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220" yWindow="240" windowWidth="32040" windowHeight="20860" tabRatio="500"/>
  </bookViews>
  <sheets>
    <sheet name="Plant Measurements" sheetId="1" r:id="rId1"/>
    <sheet name="Quadrat totals" sheetId="3" r:id="rId2"/>
    <sheet name="Sheet2" sheetId="4" r:id="rId3"/>
    <sheet name="Sheet1" sheetId="2" r:id="rId4"/>
  </sheets>
  <externalReferences>
    <externalReference r:id="rId5"/>
  </externalReferences>
  <definedNames>
    <definedName name="_xlnm._FilterDatabase" localSheetId="0" hidden="1">'Plant Measurements'!$A$3:$O$1544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390" i="1"/>
  <c r="P116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R6" i="3"/>
  <c r="R5" i="3"/>
  <c r="C5" i="3"/>
  <c r="R4" i="3"/>
  <c r="O4" i="3"/>
  <c r="C4" i="3"/>
  <c r="R3" i="3"/>
  <c r="C3" i="3"/>
  <c r="T4" i="3"/>
  <c r="AA4" i="3"/>
  <c r="T5" i="3"/>
  <c r="AA5" i="3"/>
  <c r="T6" i="3"/>
  <c r="AA6" i="3"/>
  <c r="R7" i="3"/>
  <c r="T7" i="3"/>
  <c r="AA7" i="3"/>
  <c r="R8" i="3"/>
  <c r="T8" i="3"/>
  <c r="AA8" i="3"/>
  <c r="R9" i="3"/>
  <c r="T9" i="3"/>
  <c r="AA9" i="3"/>
  <c r="R10" i="3"/>
  <c r="T10" i="3"/>
  <c r="AA10" i="3"/>
  <c r="R11" i="3"/>
  <c r="T11" i="3"/>
  <c r="AA11" i="3"/>
  <c r="R12" i="3"/>
  <c r="T12" i="3"/>
  <c r="AA12" i="3"/>
  <c r="R13" i="3"/>
  <c r="T13" i="3"/>
  <c r="AA13" i="3"/>
  <c r="U14" i="3"/>
  <c r="W14" i="3"/>
  <c r="AA14" i="3"/>
  <c r="U15" i="3"/>
  <c r="W15" i="3"/>
  <c r="AA15" i="3"/>
  <c r="R16" i="3"/>
  <c r="T16" i="3"/>
  <c r="U16" i="3"/>
  <c r="W16" i="3"/>
  <c r="AA16" i="3"/>
  <c r="R17" i="3"/>
  <c r="T17" i="3"/>
  <c r="AA17" i="3"/>
  <c r="R18" i="3"/>
  <c r="T18" i="3"/>
  <c r="AA18" i="3"/>
  <c r="AA19" i="3"/>
  <c r="R20" i="3"/>
  <c r="T20" i="3"/>
  <c r="AA20" i="3"/>
  <c r="R21" i="3"/>
  <c r="T21" i="3"/>
  <c r="AA21" i="3"/>
  <c r="AA22" i="3"/>
  <c r="R23" i="3"/>
  <c r="T23" i="3"/>
  <c r="AA23" i="3"/>
  <c r="R24" i="3"/>
  <c r="T24" i="3"/>
  <c r="AA24" i="3"/>
  <c r="R25" i="3"/>
  <c r="T25" i="3"/>
  <c r="AA25" i="3"/>
  <c r="R26" i="3"/>
  <c r="T26" i="3"/>
  <c r="AA26" i="3"/>
  <c r="AA27" i="3"/>
  <c r="R28" i="3"/>
  <c r="T28" i="3"/>
  <c r="AA28" i="3"/>
  <c r="R29" i="3"/>
  <c r="T29" i="3"/>
  <c r="AA29" i="3"/>
  <c r="R30" i="3"/>
  <c r="T30" i="3"/>
  <c r="AA30" i="3"/>
  <c r="R31" i="3"/>
  <c r="T31" i="3"/>
  <c r="AA31" i="3"/>
  <c r="R32" i="3"/>
  <c r="T32" i="3"/>
  <c r="AA32" i="3"/>
  <c r="AA33" i="3"/>
  <c r="AA34" i="3"/>
  <c r="R35" i="3"/>
  <c r="T35" i="3"/>
  <c r="U35" i="3"/>
  <c r="W35" i="3"/>
  <c r="AA35" i="3"/>
  <c r="R36" i="3"/>
  <c r="T36" i="3"/>
  <c r="U36" i="3"/>
  <c r="W36" i="3"/>
  <c r="AA36" i="3"/>
  <c r="AA37" i="3"/>
  <c r="R38" i="3"/>
  <c r="T38" i="3"/>
  <c r="AA38" i="3"/>
  <c r="R39" i="3"/>
  <c r="T39" i="3"/>
  <c r="AA39" i="3"/>
  <c r="R40" i="3"/>
  <c r="T40" i="3"/>
  <c r="U40" i="3"/>
  <c r="W40" i="3"/>
  <c r="AA40" i="3"/>
  <c r="R41" i="3"/>
  <c r="T41" i="3"/>
  <c r="U41" i="3"/>
  <c r="W41" i="3"/>
  <c r="AA41" i="3"/>
  <c r="R42" i="3"/>
  <c r="T42" i="3"/>
  <c r="AA42" i="3"/>
  <c r="U43" i="3"/>
  <c r="W43" i="3"/>
  <c r="AA43" i="3"/>
  <c r="R44" i="3"/>
  <c r="T44" i="3"/>
  <c r="U44" i="3"/>
  <c r="W44" i="3"/>
  <c r="AA44" i="3"/>
  <c r="U45" i="3"/>
  <c r="W45" i="3"/>
  <c r="AA45" i="3"/>
  <c r="U46" i="3"/>
  <c r="W46" i="3"/>
  <c r="AA46" i="3"/>
  <c r="U47" i="3"/>
  <c r="W47" i="3"/>
  <c r="AA47" i="3"/>
  <c r="R48" i="3"/>
  <c r="T48" i="3"/>
  <c r="AA48" i="3"/>
  <c r="R49" i="3"/>
  <c r="T49" i="3"/>
  <c r="AA49" i="3"/>
  <c r="R50" i="3"/>
  <c r="T50" i="3"/>
  <c r="AA50" i="3"/>
  <c r="R51" i="3"/>
  <c r="T51" i="3"/>
  <c r="AA51" i="3"/>
  <c r="R52" i="3"/>
  <c r="T52" i="3"/>
  <c r="AA52" i="3"/>
  <c r="T3" i="3"/>
  <c r="AA3" i="3"/>
  <c r="E4" i="3"/>
  <c r="Q4" i="3"/>
  <c r="Z4" i="3"/>
  <c r="E5" i="3"/>
  <c r="Z5" i="3"/>
  <c r="Z6" i="3"/>
  <c r="Z7" i="3"/>
  <c r="Z9" i="3"/>
  <c r="Z10" i="3"/>
  <c r="Z11" i="3"/>
  <c r="Z15" i="3"/>
  <c r="Z17" i="3"/>
  <c r="Z19" i="3"/>
  <c r="Z20" i="3"/>
  <c r="Z21" i="3"/>
  <c r="Z24" i="3"/>
  <c r="Z25" i="3"/>
  <c r="Z26" i="3"/>
  <c r="Z28" i="3"/>
  <c r="Z32" i="3"/>
  <c r="Z34" i="3"/>
  <c r="Z35" i="3"/>
  <c r="Z36" i="3"/>
  <c r="Z44" i="3"/>
  <c r="Z46" i="3"/>
  <c r="Z48" i="3"/>
  <c r="Z49" i="3"/>
  <c r="Z50" i="3"/>
  <c r="Z51" i="3"/>
  <c r="Z52" i="3"/>
  <c r="E3" i="3"/>
  <c r="Z3" i="3"/>
  <c r="X4" i="3"/>
  <c r="AF4" i="3"/>
  <c r="X5" i="3"/>
  <c r="AF5" i="3"/>
  <c r="X3" i="3"/>
  <c r="AF3" i="3"/>
  <c r="X6" i="3"/>
  <c r="X7" i="3"/>
  <c r="O8" i="3"/>
  <c r="Q8" i="3"/>
  <c r="C8" i="3"/>
  <c r="E8" i="3"/>
  <c r="X8" i="3"/>
  <c r="F9" i="3"/>
  <c r="H9" i="3"/>
  <c r="X9" i="3"/>
  <c r="F10" i="3"/>
  <c r="H10" i="3"/>
  <c r="L10" i="3"/>
  <c r="N10" i="3"/>
  <c r="X10" i="3"/>
  <c r="F11" i="3"/>
  <c r="H11" i="3"/>
  <c r="X11" i="3"/>
  <c r="AF11" i="3"/>
  <c r="F12" i="3"/>
  <c r="H12" i="3"/>
  <c r="C12" i="3"/>
  <c r="E12" i="3"/>
  <c r="O13" i="3"/>
  <c r="Q13" i="3"/>
  <c r="C13" i="3"/>
  <c r="E13" i="3"/>
  <c r="X13" i="3"/>
  <c r="O14" i="3"/>
  <c r="Q14" i="3"/>
  <c r="I14" i="3"/>
  <c r="K14" i="3"/>
  <c r="X14" i="3"/>
  <c r="Z14" i="3"/>
  <c r="F15" i="3"/>
  <c r="H15" i="3"/>
  <c r="O16" i="3"/>
  <c r="Q16" i="3"/>
  <c r="C16" i="3"/>
  <c r="E16" i="3"/>
  <c r="Z16" i="3"/>
  <c r="X16" i="3"/>
  <c r="X17" i="3"/>
  <c r="O18" i="3"/>
  <c r="Q18" i="3"/>
  <c r="F19" i="3"/>
  <c r="H19" i="3"/>
  <c r="X19" i="3"/>
  <c r="AF19" i="3"/>
  <c r="F20" i="3"/>
  <c r="H20" i="3"/>
  <c r="X20" i="3"/>
  <c r="AF20" i="3"/>
  <c r="F21" i="3"/>
  <c r="H21" i="3"/>
  <c r="X21" i="3"/>
  <c r="AF21" i="3"/>
  <c r="C22" i="3"/>
  <c r="E22" i="3"/>
  <c r="L23" i="3"/>
  <c r="N23" i="3"/>
  <c r="C23" i="3"/>
  <c r="E23" i="3"/>
  <c r="Z23" i="3"/>
  <c r="X24" i="3"/>
  <c r="F25" i="3"/>
  <c r="H25" i="3"/>
  <c r="X25" i="3"/>
  <c r="AF25" i="3"/>
  <c r="F26" i="3"/>
  <c r="H26" i="3"/>
  <c r="X26" i="3"/>
  <c r="F27" i="3"/>
  <c r="H27" i="3"/>
  <c r="C27" i="3"/>
  <c r="E27" i="3"/>
  <c r="Z27" i="3"/>
  <c r="X28" i="3"/>
  <c r="O29" i="3"/>
  <c r="Q29" i="3"/>
  <c r="C29" i="3"/>
  <c r="E29" i="3"/>
  <c r="X29" i="3"/>
  <c r="O30" i="3"/>
  <c r="Q30" i="3"/>
  <c r="L30" i="3"/>
  <c r="N30" i="3"/>
  <c r="X30" i="3"/>
  <c r="Z30" i="3"/>
  <c r="O31" i="3"/>
  <c r="Q31" i="3"/>
  <c r="F32" i="3"/>
  <c r="H32" i="3"/>
  <c r="X32" i="3"/>
  <c r="AF32" i="3"/>
  <c r="O33" i="3"/>
  <c r="Q33" i="3"/>
  <c r="C33" i="3"/>
  <c r="E33" i="3"/>
  <c r="X33" i="3"/>
  <c r="L34" i="3"/>
  <c r="N34" i="3"/>
  <c r="X34" i="3"/>
  <c r="X35" i="3"/>
  <c r="X36" i="3"/>
  <c r="C37" i="3"/>
  <c r="E37" i="3"/>
  <c r="O38" i="3"/>
  <c r="Q38" i="3"/>
  <c r="I38" i="3"/>
  <c r="K38" i="3"/>
  <c r="C38" i="3"/>
  <c r="E38" i="3"/>
  <c r="X38" i="3"/>
  <c r="O39" i="3"/>
  <c r="Q39" i="3"/>
  <c r="C39" i="3"/>
  <c r="E39" i="3"/>
  <c r="Z39" i="3"/>
  <c r="X39" i="3"/>
  <c r="O40" i="3"/>
  <c r="Q40" i="3"/>
  <c r="Z40" i="3"/>
  <c r="X40" i="3"/>
  <c r="O41" i="3"/>
  <c r="Q41" i="3"/>
  <c r="C41" i="3"/>
  <c r="E41" i="3"/>
  <c r="O42" i="3"/>
  <c r="Q42" i="3"/>
  <c r="Z42" i="3"/>
  <c r="O43" i="3"/>
  <c r="Q43" i="3"/>
  <c r="C43" i="3"/>
  <c r="E43" i="3"/>
  <c r="X43" i="3"/>
  <c r="C45" i="3"/>
  <c r="E45" i="3"/>
  <c r="Z45" i="3"/>
  <c r="X45" i="3"/>
  <c r="X46" i="3"/>
  <c r="O47" i="3"/>
  <c r="Q47" i="3"/>
  <c r="C47" i="3"/>
  <c r="E47" i="3"/>
  <c r="Z47" i="3"/>
  <c r="X47" i="3"/>
  <c r="I48" i="3"/>
  <c r="K48" i="3"/>
  <c r="F49" i="3"/>
  <c r="H49" i="3"/>
  <c r="F50" i="3"/>
  <c r="H50" i="3"/>
  <c r="F51" i="3"/>
  <c r="H51" i="3"/>
  <c r="AD6" i="3"/>
  <c r="AD7" i="3"/>
  <c r="AD8" i="3"/>
  <c r="AD11" i="3"/>
  <c r="AD16" i="3"/>
  <c r="AD17" i="3"/>
  <c r="AD19" i="3"/>
  <c r="AD20" i="3"/>
  <c r="AD21" i="3"/>
  <c r="AD24" i="3"/>
  <c r="AD25" i="3"/>
  <c r="AD32" i="3"/>
  <c r="AD35" i="3"/>
  <c r="AD38" i="3"/>
  <c r="AD39" i="3"/>
  <c r="AD40" i="3"/>
  <c r="AD45" i="3"/>
  <c r="AD46" i="3"/>
  <c r="AD47" i="3"/>
  <c r="AE6" i="3"/>
  <c r="AE7" i="3"/>
  <c r="AE8" i="3"/>
  <c r="AE11" i="3"/>
  <c r="AE16" i="3"/>
  <c r="AE17" i="3"/>
  <c r="AE19" i="3"/>
  <c r="AE20" i="3"/>
  <c r="AE21" i="3"/>
  <c r="AE24" i="3"/>
  <c r="AE25" i="3"/>
  <c r="AE32" i="3"/>
  <c r="AE35" i="3"/>
  <c r="AE38" i="3"/>
  <c r="AE39" i="3"/>
  <c r="AE40" i="3"/>
  <c r="AE45" i="3"/>
  <c r="AE46" i="3"/>
  <c r="AE47" i="3"/>
  <c r="AB6" i="3"/>
  <c r="AB7" i="3"/>
  <c r="AB8" i="3"/>
  <c r="AB11" i="3"/>
  <c r="AB16" i="3"/>
  <c r="AB17" i="3"/>
  <c r="AB19" i="3"/>
  <c r="AB20" i="3"/>
  <c r="AB21" i="3"/>
  <c r="AB24" i="3"/>
  <c r="AB25" i="3"/>
  <c r="AB32" i="3"/>
  <c r="AB35" i="3"/>
  <c r="AB38" i="3"/>
  <c r="AB39" i="3"/>
  <c r="AB40" i="3"/>
  <c r="AB45" i="3"/>
  <c r="AB46" i="3"/>
  <c r="AB47" i="3"/>
  <c r="AE4" i="3"/>
  <c r="AE5" i="3"/>
  <c r="AE3" i="3"/>
  <c r="AD4" i="3"/>
  <c r="AD5" i="3"/>
  <c r="AD3" i="3"/>
  <c r="AC4" i="3"/>
  <c r="AC5" i="3"/>
  <c r="AC3" i="3"/>
  <c r="AB4" i="3"/>
  <c r="AB5" i="3"/>
  <c r="AB3" i="3"/>
  <c r="AJ6" i="3"/>
  <c r="AJ7" i="3"/>
  <c r="AJ8" i="3"/>
  <c r="AJ11" i="3"/>
  <c r="AJ16" i="3"/>
  <c r="AJ17" i="3"/>
  <c r="AJ19" i="3"/>
  <c r="AJ20" i="3"/>
  <c r="AJ21" i="3"/>
  <c r="AJ24" i="3"/>
  <c r="AJ25" i="3"/>
  <c r="AJ32" i="3"/>
  <c r="AJ35" i="3"/>
  <c r="AJ38" i="3"/>
  <c r="AJ39" i="3"/>
  <c r="AJ40" i="3"/>
  <c r="AJ45" i="3"/>
  <c r="AJ46" i="3"/>
  <c r="AJ47" i="3"/>
  <c r="AH4" i="3"/>
  <c r="AI4" i="3"/>
  <c r="AJ4" i="3"/>
  <c r="AH5" i="3"/>
  <c r="AI5" i="3"/>
  <c r="AJ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0" i="3"/>
  <c r="AI40" i="3"/>
  <c r="AH41" i="3"/>
  <c r="AI41" i="3"/>
  <c r="AH42" i="3"/>
  <c r="AI42" i="3"/>
  <c r="AH43" i="3"/>
  <c r="AI43" i="3"/>
  <c r="AH44" i="3"/>
  <c r="AI44" i="3"/>
  <c r="AH45" i="3"/>
  <c r="AI45" i="3"/>
  <c r="AH46" i="3"/>
  <c r="AI46" i="3"/>
  <c r="AH47" i="3"/>
  <c r="AI47" i="3"/>
  <c r="AH48" i="3"/>
  <c r="AI48" i="3"/>
  <c r="AH49" i="3"/>
  <c r="AI49" i="3"/>
  <c r="AH50" i="3"/>
  <c r="AI50" i="3"/>
  <c r="AH51" i="3"/>
  <c r="AI51" i="3"/>
  <c r="AH52" i="3"/>
  <c r="AI52" i="3"/>
  <c r="AJ3" i="3"/>
  <c r="AH3" i="3"/>
  <c r="AI3" i="3"/>
  <c r="N4" i="1"/>
  <c r="N1029" i="1"/>
  <c r="N334" i="1"/>
  <c r="J333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290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35" i="1"/>
  <c r="N336" i="1"/>
  <c r="J408" i="1"/>
  <c r="J413" i="1"/>
  <c r="J414" i="1"/>
  <c r="J415" i="1"/>
  <c r="J416" i="1"/>
  <c r="N412" i="1"/>
  <c r="N409" i="1"/>
  <c r="N410" i="1"/>
  <c r="N411" i="1"/>
  <c r="J417" i="1"/>
  <c r="J418" i="1"/>
  <c r="J419" i="1"/>
  <c r="J420" i="1"/>
  <c r="J421" i="1"/>
  <c r="J422" i="1"/>
  <c r="J423" i="1"/>
  <c r="J424" i="1"/>
  <c r="J425" i="1"/>
  <c r="J426" i="1"/>
  <c r="J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J560" i="1"/>
  <c r="J561" i="1"/>
  <c r="J562" i="1"/>
  <c r="J563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J656" i="1"/>
  <c r="J657" i="1"/>
  <c r="J658" i="1"/>
  <c r="J659" i="1"/>
  <c r="J660" i="1"/>
  <c r="J661" i="1"/>
  <c r="J662" i="1"/>
  <c r="J663" i="1"/>
  <c r="J664" i="1"/>
  <c r="J665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J670" i="1"/>
  <c r="J671" i="1"/>
  <c r="J672" i="1"/>
  <c r="J688" i="1"/>
  <c r="J689" i="1"/>
  <c r="J690" i="1"/>
  <c r="J691" i="1"/>
  <c r="J692" i="1"/>
  <c r="J754" i="1"/>
  <c r="J755" i="1"/>
  <c r="J756" i="1"/>
  <c r="J757" i="1"/>
  <c r="N758" i="1"/>
  <c r="J797" i="1"/>
  <c r="J798" i="1"/>
  <c r="J823" i="1"/>
  <c r="J824" i="1"/>
  <c r="J825" i="1"/>
  <c r="J826" i="1"/>
  <c r="J827" i="1"/>
  <c r="J828" i="1"/>
  <c r="J829" i="1"/>
  <c r="N804" i="1"/>
  <c r="N805" i="1"/>
  <c r="N806" i="1"/>
  <c r="N807" i="1"/>
  <c r="N808" i="1"/>
  <c r="N809" i="1"/>
  <c r="N810" i="1"/>
  <c r="N811" i="1"/>
  <c r="N812" i="1"/>
  <c r="N813" i="1"/>
  <c r="N799" i="1"/>
  <c r="N800" i="1"/>
  <c r="N801" i="1"/>
  <c r="N802" i="1"/>
  <c r="N803" i="1"/>
  <c r="J851" i="1"/>
  <c r="J852" i="1"/>
  <c r="J85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J929" i="1"/>
  <c r="J930" i="1"/>
  <c r="J1056" i="1"/>
  <c r="J1057" i="1"/>
  <c r="J1058" i="1"/>
  <c r="J1059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30" i="1"/>
  <c r="N1024" i="1"/>
  <c r="N1025" i="1"/>
  <c r="N1026" i="1"/>
  <c r="N1027" i="1"/>
  <c r="N1028" i="1"/>
  <c r="F1105" i="1"/>
  <c r="F1106" i="1"/>
  <c r="J1107" i="1"/>
  <c r="J1108" i="1"/>
  <c r="J1109" i="1"/>
  <c r="N1061" i="1"/>
  <c r="N1062" i="1"/>
  <c r="N1063" i="1"/>
  <c r="F1064" i="1"/>
  <c r="N1064" i="1"/>
  <c r="F1065" i="1"/>
  <c r="N1065" i="1"/>
  <c r="F1066" i="1"/>
  <c r="N1066" i="1"/>
  <c r="F1067" i="1"/>
  <c r="N1067" i="1"/>
  <c r="F1068" i="1"/>
  <c r="N1068" i="1"/>
  <c r="N1069" i="1"/>
  <c r="F1070" i="1"/>
  <c r="N1070" i="1"/>
  <c r="N1071" i="1"/>
  <c r="F1072" i="1"/>
  <c r="N1072" i="1"/>
  <c r="N1073" i="1"/>
  <c r="N1074" i="1"/>
  <c r="N1075" i="1"/>
  <c r="N1076" i="1"/>
  <c r="N1077" i="1"/>
  <c r="N1078" i="1"/>
  <c r="N1079" i="1"/>
  <c r="N1080" i="1"/>
  <c r="F1081" i="1"/>
  <c r="N1081" i="1"/>
  <c r="F1082" i="1"/>
  <c r="N1082" i="1"/>
  <c r="N1083" i="1"/>
  <c r="F1084" i="1"/>
  <c r="N1084" i="1"/>
  <c r="F1085" i="1"/>
  <c r="N1085" i="1"/>
  <c r="N1086" i="1"/>
  <c r="N1087" i="1"/>
  <c r="F1088" i="1"/>
  <c r="N1088" i="1"/>
  <c r="N1089" i="1"/>
  <c r="F1090" i="1"/>
  <c r="N1090" i="1"/>
  <c r="N1091" i="1"/>
  <c r="F1092" i="1"/>
  <c r="N1092" i="1"/>
  <c r="N1093" i="1"/>
  <c r="N1094" i="1"/>
  <c r="F1095" i="1"/>
  <c r="N1095" i="1"/>
  <c r="F1096" i="1"/>
  <c r="N1096" i="1"/>
  <c r="N1097" i="1"/>
  <c r="F1098" i="1"/>
  <c r="N1098" i="1"/>
  <c r="F1099" i="1"/>
  <c r="N1099" i="1"/>
  <c r="F1100" i="1"/>
  <c r="N1100" i="1"/>
  <c r="N1101" i="1"/>
  <c r="F1102" i="1"/>
  <c r="N1102" i="1"/>
  <c r="F1060" i="1"/>
  <c r="N1060" i="1"/>
  <c r="J1136" i="1"/>
  <c r="J1137" i="1"/>
  <c r="J1138" i="1"/>
  <c r="J1139" i="1"/>
  <c r="J1140" i="1"/>
  <c r="J1141" i="1"/>
  <c r="J1142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J1168" i="1"/>
  <c r="J1169" i="1"/>
  <c r="J1170" i="1"/>
  <c r="J1171" i="1"/>
  <c r="J1172" i="1"/>
  <c r="J117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43" i="1"/>
  <c r="J1192" i="1"/>
  <c r="J1193" i="1"/>
  <c r="J1194" i="1"/>
  <c r="J1195" i="1"/>
  <c r="J1196" i="1"/>
  <c r="J1197" i="1"/>
  <c r="J1198" i="1"/>
  <c r="J1199" i="1"/>
  <c r="N1174" i="1"/>
  <c r="N1175" i="1"/>
  <c r="N1176" i="1"/>
  <c r="N1177" i="1"/>
  <c r="N1178" i="1"/>
  <c r="N1179" i="1"/>
  <c r="N1180" i="1"/>
  <c r="N1181" i="1"/>
  <c r="N1182" i="1"/>
  <c r="N1183" i="1"/>
  <c r="N1184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31" i="1"/>
  <c r="N932" i="1"/>
  <c r="J983" i="1"/>
  <c r="J984" i="1"/>
  <c r="J985" i="1"/>
  <c r="J986" i="1"/>
  <c r="J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J1216" i="1"/>
  <c r="J1217" i="1"/>
  <c r="J1218" i="1"/>
  <c r="N1208" i="1"/>
  <c r="N1209" i="1"/>
  <c r="N1210" i="1"/>
  <c r="N1200" i="1"/>
  <c r="N1201" i="1"/>
  <c r="N1202" i="1"/>
  <c r="N1203" i="1"/>
  <c r="N1204" i="1"/>
  <c r="N1205" i="1"/>
  <c r="N1206" i="1"/>
  <c r="N1207" i="1"/>
  <c r="J1223" i="1"/>
  <c r="J1235" i="1"/>
  <c r="J1236" i="1"/>
  <c r="N1227" i="1"/>
  <c r="N1228" i="1"/>
  <c r="J1238" i="1"/>
  <c r="J1239" i="1"/>
  <c r="J1240" i="1"/>
  <c r="J1241" i="1"/>
  <c r="J1242" i="1"/>
  <c r="J1243" i="1"/>
  <c r="J1260" i="1"/>
  <c r="J1261" i="1"/>
  <c r="J1262" i="1"/>
  <c r="J1263" i="1"/>
  <c r="N1257" i="1"/>
  <c r="N1258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J1283" i="1"/>
  <c r="N1264" i="1"/>
  <c r="N1265" i="1"/>
  <c r="N1266" i="1"/>
  <c r="N1267" i="1"/>
  <c r="N1268" i="1"/>
  <c r="N1269" i="1"/>
  <c r="N1270" i="1"/>
  <c r="N1271" i="1"/>
  <c r="N1272" i="1"/>
  <c r="N1273" i="1"/>
  <c r="N1274" i="1"/>
  <c r="J1375" i="1"/>
  <c r="J1444" i="1"/>
  <c r="J1530" i="1"/>
  <c r="J1531" i="1"/>
  <c r="J1532" i="1"/>
  <c r="J1533" i="1"/>
  <c r="J1541" i="1"/>
  <c r="Q5" i="3"/>
  <c r="J78" i="1"/>
  <c r="J79" i="1"/>
  <c r="J80" i="1"/>
  <c r="J81" i="1"/>
  <c r="J82" i="1"/>
  <c r="J83" i="1"/>
  <c r="J84" i="1"/>
  <c r="Q6" i="3"/>
  <c r="E6" i="3"/>
  <c r="J93" i="1"/>
  <c r="J94" i="1"/>
  <c r="J95" i="1"/>
  <c r="J96" i="1"/>
  <c r="J97" i="1"/>
  <c r="J98" i="1"/>
  <c r="J99" i="1"/>
  <c r="Q7" i="3"/>
  <c r="E7" i="3"/>
  <c r="Y3" i="3"/>
  <c r="C10" i="4"/>
  <c r="D10" i="4"/>
  <c r="J136" i="1"/>
  <c r="J137" i="1"/>
  <c r="J138" i="1"/>
  <c r="J139" i="1"/>
  <c r="J140" i="1"/>
  <c r="N125" i="1"/>
  <c r="N126" i="1"/>
  <c r="N127" i="1"/>
  <c r="N128" i="1"/>
  <c r="N129" i="1"/>
  <c r="N130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J153" i="1"/>
  <c r="J154" i="1"/>
  <c r="J187" i="1"/>
  <c r="J188" i="1"/>
  <c r="J189" i="1"/>
  <c r="J226" i="1"/>
  <c r="J227" i="1"/>
  <c r="J289" i="1"/>
  <c r="E245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G5" i="2"/>
  <c r="G3" i="2"/>
  <c r="H5" i="2"/>
  <c r="G4" i="2"/>
  <c r="H4" i="2"/>
  <c r="D10" i="2"/>
  <c r="D7" i="2"/>
  <c r="E10" i="2"/>
  <c r="D9" i="2"/>
  <c r="E9" i="2"/>
  <c r="D8" i="2"/>
  <c r="E8" i="2"/>
  <c r="D5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J23" i="1"/>
  <c r="J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J57" i="1"/>
  <c r="N58" i="1"/>
  <c r="N59" i="1"/>
  <c r="N60" i="1"/>
  <c r="N61" i="1"/>
  <c r="D2" i="2"/>
  <c r="E5" i="2"/>
  <c r="D4" i="2"/>
  <c r="E4" i="2"/>
  <c r="N62" i="1"/>
  <c r="N63" i="1"/>
  <c r="N64" i="1"/>
  <c r="N65" i="1"/>
  <c r="J69" i="1"/>
  <c r="J70" i="1"/>
  <c r="J71" i="1"/>
  <c r="J72" i="1"/>
  <c r="D3" i="2"/>
  <c r="E3" i="2"/>
  <c r="H10" i="2"/>
  <c r="H9" i="2"/>
  <c r="H8" i="2"/>
  <c r="H7" i="2"/>
  <c r="G10" i="2"/>
  <c r="G9" i="2"/>
  <c r="G8" i="2"/>
  <c r="G7" i="2"/>
  <c r="F10" i="2"/>
  <c r="F9" i="2"/>
  <c r="F8" i="2"/>
  <c r="F7" i="2"/>
  <c r="C10" i="2"/>
  <c r="C9" i="2"/>
  <c r="C8" i="2"/>
  <c r="C7" i="2"/>
  <c r="C5" i="2"/>
  <c r="C4" i="2"/>
  <c r="C3" i="2"/>
  <c r="C2" i="2"/>
  <c r="F3" i="2"/>
  <c r="F5" i="2"/>
  <c r="F4" i="2"/>
  <c r="N1542" i="1"/>
  <c r="F1109" i="1"/>
  <c r="AD43" i="3"/>
  <c r="AE43" i="3"/>
  <c r="AB43" i="3"/>
  <c r="AJ43" i="3"/>
  <c r="AC30" i="3"/>
  <c r="AD30" i="3"/>
  <c r="AE30" i="3"/>
  <c r="AB30" i="3"/>
  <c r="AJ30" i="3"/>
  <c r="AD28" i="3"/>
  <c r="AE28" i="3"/>
  <c r="AB28" i="3"/>
  <c r="AJ28" i="3"/>
  <c r="AD14" i="3"/>
  <c r="AE14" i="3"/>
  <c r="AB14" i="3"/>
  <c r="AJ14" i="3"/>
  <c r="AD10" i="3"/>
  <c r="AE10" i="3"/>
  <c r="AB10" i="3"/>
  <c r="AJ10" i="3"/>
  <c r="AD29" i="3"/>
  <c r="AE29" i="3"/>
  <c r="AB29" i="3"/>
  <c r="AJ29" i="3"/>
  <c r="AD13" i="3"/>
  <c r="AE13" i="3"/>
  <c r="AB13" i="3"/>
  <c r="AJ13" i="3"/>
  <c r="AF9" i="3"/>
  <c r="AD9" i="3"/>
  <c r="AE9" i="3"/>
  <c r="AB9" i="3"/>
  <c r="AJ9" i="3"/>
  <c r="X44" i="3"/>
  <c r="Z43" i="3"/>
  <c r="X42" i="3"/>
  <c r="Z41" i="3"/>
  <c r="Z38" i="3"/>
  <c r="X37" i="3"/>
  <c r="Z37" i="3"/>
  <c r="Z33" i="3"/>
  <c r="X31" i="3"/>
  <c r="Z31" i="3"/>
  <c r="Z29" i="3"/>
  <c r="X27" i="3"/>
  <c r="X22" i="3"/>
  <c r="Z22" i="3"/>
  <c r="X15" i="3"/>
  <c r="Y13" i="3"/>
  <c r="C2" i="4"/>
  <c r="D2" i="4"/>
  <c r="Z13" i="3"/>
  <c r="X12" i="3"/>
  <c r="Y8" i="3"/>
  <c r="C11" i="4"/>
  <c r="D11" i="4"/>
  <c r="Z12" i="3"/>
  <c r="X48" i="3"/>
  <c r="X41" i="3"/>
  <c r="AC25" i="3"/>
  <c r="X23" i="3"/>
  <c r="X18" i="3"/>
  <c r="Z18" i="3"/>
  <c r="Z8" i="3"/>
  <c r="X52" i="3"/>
  <c r="AF44" i="3"/>
  <c r="AC44" i="3"/>
  <c r="AD44" i="3"/>
  <c r="AE44" i="3"/>
  <c r="AB44" i="3"/>
  <c r="AJ44" i="3"/>
  <c r="Y43" i="3"/>
  <c r="C8" i="4"/>
  <c r="D8" i="4"/>
  <c r="AF37" i="3"/>
  <c r="AC37" i="3"/>
  <c r="AD37" i="3"/>
  <c r="AE37" i="3"/>
  <c r="AB37" i="3"/>
  <c r="AJ37" i="3"/>
  <c r="AC34" i="3"/>
  <c r="AD34" i="3"/>
  <c r="AE34" i="3"/>
  <c r="AB34" i="3"/>
  <c r="AJ34" i="3"/>
  <c r="AF31" i="3"/>
  <c r="AC31" i="3"/>
  <c r="Y28" i="3"/>
  <c r="AD31" i="3"/>
  <c r="AE31" i="3"/>
  <c r="AB31" i="3"/>
  <c r="AJ31" i="3"/>
  <c r="X51" i="3"/>
  <c r="AE51" i="3"/>
  <c r="X50" i="3"/>
  <c r="X49" i="3"/>
  <c r="AE49" i="3"/>
  <c r="AF48" i="3"/>
  <c r="AC48" i="3"/>
  <c r="AD48" i="3"/>
  <c r="AE48" i="3"/>
  <c r="AB48" i="3"/>
  <c r="AJ48" i="3"/>
  <c r="AF41" i="3"/>
  <c r="AC41" i="3"/>
  <c r="AD41" i="3"/>
  <c r="AE41" i="3"/>
  <c r="AB41" i="3"/>
  <c r="AJ41" i="3"/>
  <c r="Y38" i="3"/>
  <c r="C6" i="4"/>
  <c r="D6" i="4"/>
  <c r="AF36" i="3"/>
  <c r="AC36" i="3"/>
  <c r="AD36" i="3"/>
  <c r="AE36" i="3"/>
  <c r="AB36" i="3"/>
  <c r="AJ36" i="3"/>
  <c r="AF33" i="3"/>
  <c r="AC33" i="3"/>
  <c r="AD33" i="3"/>
  <c r="AE33" i="3"/>
  <c r="AB33" i="3"/>
  <c r="AJ33" i="3"/>
  <c r="Y33" i="3"/>
  <c r="C7" i="4"/>
  <c r="D7" i="4"/>
  <c r="AF26" i="3"/>
  <c r="AD26" i="3"/>
  <c r="AE26" i="3"/>
  <c r="AB26" i="3"/>
  <c r="AJ26" i="3"/>
  <c r="Y23" i="3"/>
  <c r="AF30" i="3"/>
  <c r="AC26" i="3"/>
  <c r="AC24" i="3"/>
  <c r="AF24" i="3"/>
  <c r="AC22" i="3"/>
  <c r="AF22" i="3"/>
  <c r="AF47" i="3"/>
  <c r="AC47" i="3"/>
  <c r="AF46" i="3"/>
  <c r="AC46" i="3"/>
  <c r="AF45" i="3"/>
  <c r="AC45" i="3"/>
  <c r="AF43" i="3"/>
  <c r="AC43" i="3"/>
  <c r="AF42" i="3"/>
  <c r="AC42" i="3"/>
  <c r="AF40" i="3"/>
  <c r="AC40" i="3"/>
  <c r="AF39" i="3"/>
  <c r="AC39" i="3"/>
  <c r="AF38" i="3"/>
  <c r="AC38" i="3"/>
  <c r="AF35" i="3"/>
  <c r="AC35" i="3"/>
  <c r="AF34" i="3"/>
  <c r="AC32" i="3"/>
  <c r="AF29" i="3"/>
  <c r="AC29" i="3"/>
  <c r="AF28" i="3"/>
  <c r="AC28" i="3"/>
  <c r="AC27" i="3"/>
  <c r="AC18" i="3"/>
  <c r="AF18" i="3"/>
  <c r="AF23" i="3"/>
  <c r="AC21" i="3"/>
  <c r="AC15" i="3"/>
  <c r="AC12" i="3"/>
  <c r="AC9" i="3"/>
  <c r="AC6" i="3"/>
  <c r="AF6" i="3"/>
  <c r="AC20" i="3"/>
  <c r="AC19" i="3"/>
  <c r="AF17" i="3"/>
  <c r="AC17" i="3"/>
  <c r="AC16" i="3"/>
  <c r="AF16" i="3"/>
  <c r="AC14" i="3"/>
  <c r="AF14" i="3"/>
  <c r="AF13" i="3"/>
  <c r="AC13" i="3"/>
  <c r="AC11" i="3"/>
  <c r="AF10" i="3"/>
  <c r="AC10" i="3"/>
  <c r="AC8" i="3"/>
  <c r="AF8" i="3"/>
  <c r="AF7" i="3"/>
  <c r="AC7" i="3"/>
  <c r="AC23" i="3"/>
  <c r="AD23" i="3"/>
  <c r="AE23" i="3"/>
  <c r="AB23" i="3"/>
  <c r="AJ23" i="3"/>
  <c r="AF27" i="3"/>
  <c r="AD27" i="3"/>
  <c r="AE27" i="3"/>
  <c r="AB27" i="3"/>
  <c r="AJ27" i="3"/>
  <c r="AD18" i="3"/>
  <c r="AE18" i="3"/>
  <c r="AB18" i="3"/>
  <c r="AJ18" i="3"/>
  <c r="Y18" i="3"/>
  <c r="C3" i="4"/>
  <c r="D3" i="4"/>
  <c r="AF12" i="3"/>
  <c r="AD12" i="3"/>
  <c r="AE12" i="3"/>
  <c r="AB12" i="3"/>
  <c r="AJ12" i="3"/>
  <c r="AF15" i="3"/>
  <c r="AD15" i="3"/>
  <c r="AE15" i="3"/>
  <c r="AB15" i="3"/>
  <c r="AJ15" i="3"/>
  <c r="AD22" i="3"/>
  <c r="AE22" i="3"/>
  <c r="AB22" i="3"/>
  <c r="AJ22" i="3"/>
  <c r="AD42" i="3"/>
  <c r="AE42" i="3"/>
  <c r="AB42" i="3"/>
  <c r="AJ42" i="3"/>
  <c r="AF50" i="3"/>
  <c r="AD50" i="3"/>
  <c r="AB50" i="3"/>
  <c r="AJ50" i="3"/>
  <c r="C12" i="4"/>
  <c r="D12" i="4"/>
  <c r="C5" i="4"/>
  <c r="D5" i="4"/>
  <c r="AC50" i="3"/>
  <c r="AF52" i="3"/>
  <c r="AC52" i="3"/>
  <c r="AD52" i="3"/>
  <c r="AB52" i="3"/>
  <c r="AJ52" i="3"/>
  <c r="C4" i="4"/>
  <c r="D4" i="4"/>
  <c r="C13" i="4"/>
  <c r="D13" i="4"/>
  <c r="Y48" i="3"/>
  <c r="C9" i="4"/>
  <c r="D9" i="4"/>
  <c r="AF49" i="3"/>
  <c r="AF51" i="3"/>
  <c r="AF53" i="3"/>
  <c r="AD49" i="3"/>
  <c r="AB49" i="3"/>
  <c r="AJ49" i="3"/>
  <c r="AE50" i="3"/>
  <c r="AE52" i="3"/>
  <c r="AE53" i="3"/>
  <c r="AD51" i="3"/>
  <c r="AB51" i="3"/>
  <c r="AJ51" i="3"/>
  <c r="AC49" i="3"/>
  <c r="AC51" i="3"/>
  <c r="AC53" i="3"/>
  <c r="AB53" i="3"/>
  <c r="AJ53" i="3"/>
  <c r="AD53" i="3"/>
  <c r="D14" i="4"/>
</calcChain>
</file>

<file path=xl/sharedStrings.xml><?xml version="1.0" encoding="utf-8"?>
<sst xmlns="http://schemas.openxmlformats.org/spreadsheetml/2006/main" count="3869" uniqueCount="122">
  <si>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</si>
  <si>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</si>
  <si>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</si>
  <si>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</si>
  <si>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</si>
  <si>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</si>
  <si>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</si>
  <si>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Quadrat</t>
  </si>
  <si>
    <t>Date</t>
  </si>
  <si>
    <t>Transect</t>
  </si>
  <si>
    <t>Plant Measurementss to Calculate Above Ground Biomass</t>
  </si>
  <si>
    <t>M-4-S</t>
  </si>
  <si>
    <t>S. acutus</t>
  </si>
  <si>
    <t>T. domingensis</t>
  </si>
  <si>
    <t># of leaves (Typha only)</t>
  </si>
  <si>
    <t>Longest Leaf (cm; Typha Only)</t>
  </si>
  <si>
    <t>S. tabernaemontani</t>
  </si>
  <si>
    <t>Notes</t>
  </si>
  <si>
    <t>See 'Transects' for Sp. Con, O2, pH, and stem counts</t>
  </si>
  <si>
    <t>T. latifolia</t>
  </si>
  <si>
    <t>Total of 22 S. acutus or tabernaemontani stems in this quadrat</t>
  </si>
  <si>
    <t>Total of 13 T. domingensis in this quadrat</t>
  </si>
  <si>
    <t>M-4-C</t>
  </si>
  <si>
    <t>S. maritimus</t>
  </si>
  <si>
    <t>Calculated Biomass (g)</t>
  </si>
  <si>
    <t>Total of 11 T. domingensis stems in this quadrat</t>
  </si>
  <si>
    <t>Total of 5 S. acutus in this quadrat</t>
  </si>
  <si>
    <t>Total of 52 S. tabernaemontani in this quadrat</t>
  </si>
  <si>
    <t>M-3</t>
  </si>
  <si>
    <t>S. americanus</t>
  </si>
  <si>
    <t>C-2</t>
  </si>
  <si>
    <t>SAM Stem Count = 39+18 (measured 1/2)</t>
  </si>
  <si>
    <t> </t>
  </si>
  <si>
    <t>M-2</t>
  </si>
  <si>
    <t>Total sam count is 116. Measured 58</t>
  </si>
  <si>
    <t>?</t>
  </si>
  <si>
    <t>C-1</t>
  </si>
  <si>
    <t>M-1-W</t>
  </si>
  <si>
    <t>SAM stem count Dan 76=36 and Jorge 39=20</t>
  </si>
  <si>
    <t>SAM Stem Count 42 = Dan (21) and 32 = Jorge (16)</t>
  </si>
  <si>
    <t>M-4-N</t>
  </si>
  <si>
    <t>At 46 there is some regrowth of typha over matted down plants</t>
  </si>
  <si>
    <t>S. californicus</t>
  </si>
  <si>
    <t>M-5</t>
  </si>
  <si>
    <t>Total SAM count = 162. First half 128 = 64. Second half 34 = 17.</t>
  </si>
  <si>
    <t>Total SAM count = 134. first half 46 = 23. Second half 88=44</t>
  </si>
  <si>
    <t>Total SAM count = 177. First half 91 = 45. Second half 86=43</t>
  </si>
  <si>
    <t>M-1-E</t>
  </si>
  <si>
    <t>2 broken S. acutus stems in quadrat</t>
  </si>
  <si>
    <t>30 SAM stem count in first half of quadrat, 50 SAM in second half</t>
  </si>
  <si>
    <t>Total of 66 SAM in this quadrat</t>
  </si>
  <si>
    <t>Caliper was off by .03 cm for CDB, values have been adjusted</t>
  </si>
  <si>
    <t xml:space="preserve">Calculated Volume (if necessary) cm^3 </t>
  </si>
  <si>
    <t>Week</t>
  </si>
  <si>
    <t>Avg stem ht (SAM)</t>
  </si>
  <si>
    <t>Week (#)</t>
  </si>
  <si>
    <t>Avg weight (SAM)</t>
  </si>
  <si>
    <t>Avg stem ht (SAC)</t>
  </si>
  <si>
    <t>Avg weight (SAC)</t>
  </si>
  <si>
    <t>Avg stem ht (STAB)</t>
  </si>
  <si>
    <t>Avg weight (STAB)</t>
  </si>
  <si>
    <t>Avg CDB (TLAT)</t>
  </si>
  <si>
    <t>Avg weight (TLAT)</t>
  </si>
  <si>
    <t>% change wt (SAC)</t>
  </si>
  <si>
    <t>% change wt (STAB)</t>
  </si>
  <si>
    <t>% change wt (SAM)</t>
  </si>
  <si>
    <t>Avg distance from inflow (arbitrary units)</t>
  </si>
  <si>
    <t xml:space="preserve">Transect </t>
  </si>
  <si>
    <t>S. americanus total wt</t>
  </si>
  <si>
    <t>S. californicus total wt</t>
  </si>
  <si>
    <t>S. maritimus total wt</t>
  </si>
  <si>
    <t>S. taber total wt</t>
  </si>
  <si>
    <t>T. latifolia total wt</t>
  </si>
  <si>
    <t>T. domingensis total wt</t>
  </si>
  <si>
    <t>Sort plant measurements by transect (A-Z), quadrat (low-high), &amp; species (A-Z)</t>
  </si>
  <si>
    <t>Quadrat Total (g/m^2)</t>
  </si>
  <si>
    <t>S. acutus total wt inc unmeasured (g/m^2)</t>
  </si>
  <si>
    <t>S. acutus total wt (g)</t>
  </si>
  <si>
    <t>S. americanus total wt inc unmeasured (g/m^2)</t>
  </si>
  <si>
    <t>S. californicus total wt inc unmeasured (g/m^2)</t>
  </si>
  <si>
    <t>S. maritimus total wt inc unmeasured (g/m^2)</t>
  </si>
  <si>
    <t>S. taber total wt inc unmeasured (g/m^2)</t>
  </si>
  <si>
    <t>T. latifolia total wt inc unmeasured (g/m^2)</t>
  </si>
  <si>
    <t>T. domingensis total wt inc unmeasured (g/m^2)</t>
  </si>
  <si>
    <t>Unmeasured count/measured count?</t>
  </si>
  <si>
    <t>28/29</t>
  </si>
  <si>
    <t>40/40</t>
  </si>
  <si>
    <t>55/60</t>
  </si>
  <si>
    <t>37/37</t>
  </si>
  <si>
    <t>33/33</t>
  </si>
  <si>
    <t>57/59</t>
  </si>
  <si>
    <t>30/22</t>
  </si>
  <si>
    <t>8 .0 / 8. 0</t>
  </si>
  <si>
    <t>3.0 / 3.0</t>
  </si>
  <si>
    <t xml:space="preserve">5.0 / 8.0 </t>
  </si>
  <si>
    <t>4.0 / 7.0</t>
  </si>
  <si>
    <t>86/91</t>
  </si>
  <si>
    <t>68/66</t>
  </si>
  <si>
    <t>82/80</t>
  </si>
  <si>
    <t>Transect Average (g/m^2)</t>
  </si>
  <si>
    <t>Site</t>
  </si>
  <si>
    <t>Area (m^2)</t>
  </si>
  <si>
    <t>M-1</t>
  </si>
  <si>
    <t>M-4</t>
  </si>
  <si>
    <t>C-3</t>
  </si>
  <si>
    <t>C-4</t>
  </si>
  <si>
    <t>Total</t>
  </si>
  <si>
    <t>Vegetation (gdw/m^2)</t>
  </si>
  <si>
    <t>Total Vegetation (kgdw)</t>
  </si>
  <si>
    <t>Average M-4-N &amp; M-2</t>
  </si>
  <si>
    <t>Area of site (whole wetland/10) m^2</t>
  </si>
  <si>
    <t>Area of site (AA/# quadrats) m^2</t>
  </si>
  <si>
    <t>Biomass (quadrat total * whole section area/# of quadrats) kg</t>
  </si>
  <si>
    <t>Total biomass</t>
  </si>
  <si>
    <t>% Acutus/tab</t>
  </si>
  <si>
    <t>% americ</t>
  </si>
  <si>
    <t>% cal</t>
  </si>
  <si>
    <t>%typha</t>
  </si>
  <si>
    <t>avg %</t>
  </si>
  <si>
    <t>%marit</t>
  </si>
  <si>
    <t>Acutus + Tab (g/m^2)</t>
  </si>
  <si>
    <t>Dom+Lat (g/m^2)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</si>
</sst>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sz val="12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5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3" borderId="2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2" fontId="0" fillId="0" borderId="0" xfId="0" applyNumberFormat="1"/>
    <xf numFmtId="0" fontId="6" fillId="2" borderId="0" xfId="395"/>
    <xf numFmtId="0" fontId="7" fillId="0" borderId="0" xfId="418"/>
    <xf numFmtId="14" fontId="6" fillId="2" borderId="0" xfId="395" applyNumberFormat="1"/>
    <xf numFmtId="0" fontId="6" fillId="2" borderId="0" xfId="395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0" xfId="0" applyBorder="1"/>
    <xf numFmtId="0" fontId="10" fillId="3" borderId="2" xfId="472" applyAlignment="1">
      <alignment wrapText="1"/>
    </xf>
    <xf numFmtId="0" fontId="10" fillId="3" borderId="2" xfId="472"/>
    <xf numFmtId="0" fontId="0" fillId="0" borderId="0" xfId="0" applyNumberFormat="1" applyAlignment="1">
      <alignment wrapText="1"/>
    </xf>
    <xf numFmtId="0" fontId="0" fillId="0" borderId="0" xfId="0" applyNumberFormat="1"/>
    <xf numFmtId="0" fontId="10" fillId="3" borderId="4" xfId="472" applyBorder="1"/>
    <xf numFmtId="0" fontId="10" fillId="3" borderId="5" xfId="472" applyBorder="1"/>
    <xf numFmtId="0" fontId="0" fillId="0" borderId="6" xfId="0" applyBorder="1"/>
    <xf numFmtId="0" fontId="0" fillId="0" borderId="7" xfId="0" applyNumberFormat="1" applyBorder="1"/>
    <xf numFmtId="0" fontId="0" fillId="0" borderId="7" xfId="0" applyBorder="1"/>
    <xf numFmtId="0" fontId="10" fillId="3" borderId="8" xfId="472" applyBorder="1"/>
    <xf numFmtId="0" fontId="10" fillId="3" borderId="9" xfId="472" applyBorder="1"/>
    <xf numFmtId="0" fontId="10" fillId="3" borderId="2" xfId="472" applyBorder="1"/>
    <xf numFmtId="0" fontId="0" fillId="0" borderId="0" xfId="0" applyNumberFormat="1" applyBorder="1"/>
    <xf numFmtId="0" fontId="10" fillId="3" borderId="10" xfId="472" applyBorder="1"/>
    <xf numFmtId="0" fontId="10" fillId="3" borderId="11" xfId="472" applyBorder="1"/>
    <xf numFmtId="0" fontId="10" fillId="3" borderId="12" xfId="472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10" fillId="3" borderId="15" xfId="472" applyBorder="1"/>
    <xf numFmtId="12" fontId="0" fillId="0" borderId="7" xfId="0" applyNumberFormat="1" applyBorder="1"/>
    <xf numFmtId="164" fontId="0" fillId="0" borderId="7" xfId="0" applyNumberFormat="1" applyBorder="1"/>
    <xf numFmtId="165" fontId="5" fillId="0" borderId="0" xfId="0" applyNumberFormat="1" applyFont="1"/>
    <xf numFmtId="0" fontId="5" fillId="0" borderId="0" xfId="0" applyFont="1" applyAlignment="1">
      <alignment wrapText="1"/>
    </xf>
    <xf numFmtId="0" fontId="9" fillId="3" borderId="1" xfId="471" applyFill="1" applyAlignment="1">
      <alignment horizontal="center"/>
    </xf>
    <xf numFmtId="0" fontId="10" fillId="3" borderId="0" xfId="472" applyBorder="1" applyAlignment="1">
      <alignment wrapText="1"/>
    </xf>
    <xf numFmtId="0" fontId="10" fillId="3" borderId="16" xfId="472" applyBorder="1"/>
    <xf numFmtId="0" fontId="11" fillId="0" borderId="0" xfId="472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10" fillId="3" borderId="0" xfId="472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3" borderId="1" xfId="471" applyFill="1" applyAlignment="1">
      <alignment horizontal="center"/>
    </xf>
  </cellXfs>
  <cellStyles count="531">
    <cellStyle name="Bad" xfId="395" builtinId="27"/>
    <cellStyle name="Explanatory Text" xfId="418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Heading 1" xfId="471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Normal" xfId="0" builtinId="0"/>
    <cellStyle name="Output" xfId="472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4"/>
  <sheetViews>
    <sheetView tabSelected="1" zoomScale="90" zoomScaleNormal="90" zoomScalePageLayoutView="90" workbookViewId="0">
      <pane ySplit="3" topLeftCell="A4" activePane="bottomLeft" state="frozen"/>
      <selection pane="bottomLeft" activeCell="A4" sqref="A4:O1541"/>
    </sheetView>
  </sheetViews>
  <sheetFormatPr baseColWidth="10" defaultColWidth="11" defaultRowHeight="15" x14ac:dyDescent="0"/>
  <cols>
    <col min="1" max="2" width="10.83203125" customWidth="1"/>
    <col min="3" max="3" width="8" bestFit="1" customWidth="1"/>
    <col min="4" max="4" width="23" style="6" customWidth="1"/>
    <col min="5" max="5" width="23" customWidth="1"/>
    <col min="6" max="9" width="10.83203125" customWidth="1"/>
    <col min="10" max="12" width="11" customWidth="1"/>
    <col min="13" max="13" width="16.6640625" customWidth="1"/>
    <col min="14" max="14" width="29.6640625" customWidth="1"/>
    <col min="15" max="15" width="34.5" customWidth="1"/>
    <col min="16" max="16" width="12.83203125" customWidth="1"/>
  </cols>
  <sheetData>
    <row r="1" spans="1:16">
      <c r="A1" s="49" t="s">
        <v>10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13"/>
    </row>
    <row r="2" spans="1:16">
      <c r="A2" s="50" t="s">
        <v>18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14"/>
    </row>
    <row r="3" spans="1:16" ht="55" customHeight="1">
      <c r="A3" t="s">
        <v>8</v>
      </c>
      <c r="B3" t="s">
        <v>9</v>
      </c>
      <c r="C3" t="s">
        <v>7</v>
      </c>
      <c r="D3" s="5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14</v>
      </c>
      <c r="L3" s="1" t="s">
        <v>15</v>
      </c>
      <c r="M3" s="1" t="s">
        <v>17</v>
      </c>
      <c r="N3" s="1" t="s">
        <v>52</v>
      </c>
      <c r="O3" s="1" t="s">
        <v>24</v>
      </c>
      <c r="P3" s="1"/>
    </row>
    <row r="4" spans="1:16">
      <c r="A4" s="2">
        <v>40732</v>
      </c>
      <c r="B4" t="s">
        <v>36</v>
      </c>
      <c r="C4">
        <v>6</v>
      </c>
      <c r="D4" s="6" t="s">
        <v>12</v>
      </c>
      <c r="E4">
        <v>109</v>
      </c>
      <c r="F4">
        <v>0.63</v>
      </c>
      <c r="G4">
        <v>0</v>
      </c>
      <c r="N4">
        <f>(1/3)*(3.14159)*((F4/2)^2)*E4</f>
        <v>11.325981728249999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 domingensis",D4="T. latifolia"),E4&gt;0),F4*[1]Sheet1!$C$4+E4*[1]Sheet1!$D$4+H4*[1]Sheet1!$J$4+I4*[1]Sheet1!$K$4+[1]Sheet1!$L$4,IF(AND(OR(D4="T. domingensis",D4="T. latifolia"),J4&gt;0),J4*[1]Sheet1!$G$5+K4*[1]Sheet1!$H$5+L4*[1]Sheet1!$I$5+[1]Sheet1!$L$5,0)))))))</f>
        <v>3.0508480000000002</v>
      </c>
    </row>
    <row r="5" spans="1:16">
      <c r="A5" s="2">
        <v>40732</v>
      </c>
      <c r="B5" t="s">
        <v>36</v>
      </c>
      <c r="C5">
        <v>6</v>
      </c>
      <c r="D5" s="6" t="s">
        <v>12</v>
      </c>
      <c r="E5">
        <v>127</v>
      </c>
      <c r="F5">
        <v>0.35</v>
      </c>
      <c r="G5">
        <v>0</v>
      </c>
      <c r="N5">
        <f t="shared" ref="N5:N18" si="0">(1/3)*(3.14159)*((F5/2)^2)*E5</f>
        <v>4.0729405354166657</v>
      </c>
      <c r="O5">
        <f>IF(AND(OR(D5="S. acutus",D5="S. californicus",D5="S. tabernaemontani"),G5=0),E5*[1]Sheet1!$D$7+[1]Sheet1!$L$7,IF(AND(OR(D5="S. acutus",D5="S. tabernaemontani"),G5&gt;0),E5*[1]Sheet1!$D$8+N5*[1]Sheet1!$E$8,IF(AND(D5="S. californicus",G5&gt;0),E5*[1]Sheet1!$D$9+N5*[1]Sheet1!$E$9,IF(D5="S. maritimus",F5*[1]Sheet1!$C$10+E5*[1]Sheet1!$D$10+G5*[1]Sheet1!$F$10+[1]Sheet1!$L$10,IF(D5="S. americanus",F5*[1]Sheet1!$C$6+E5*[1]Sheet1!$D$6+[1]Sheet1!$L$6,IF(AND(OR(D5="T. domingensis",D5="T. latifolia"),E5&gt;0),F5*[1]Sheet1!$C$4+E5*[1]Sheet1!$D$4+H5*[1]Sheet1!$J$4+I5*[1]Sheet1!$K$4+[1]Sheet1!$L$4,IF(AND(OR(D5="T. domingensis",D5="T. latifolia"),J5&gt;0),J5*[1]Sheet1!$G$5+K5*[1]Sheet1!$H$5+L5*[1]Sheet1!$I$5+[1]Sheet1!$L$5,0)))))))</f>
        <v>4.3127380000000004</v>
      </c>
    </row>
    <row r="6" spans="1:16">
      <c r="A6" s="2">
        <v>40732</v>
      </c>
      <c r="B6" t="s">
        <v>36</v>
      </c>
      <c r="C6">
        <v>6</v>
      </c>
      <c r="D6" s="6" t="s">
        <v>12</v>
      </c>
      <c r="E6">
        <v>171</v>
      </c>
      <c r="F6">
        <v>0.35</v>
      </c>
      <c r="G6">
        <v>0</v>
      </c>
      <c r="N6">
        <f t="shared" si="0"/>
        <v>5.4840380437499991</v>
      </c>
      <c r="O6">
        <f>IF(AND(OR(D6="S. acutus",D6="S. californicus",D6="S. tabernaemontani"),G6=0),E6*[1]Sheet1!$D$7+[1]Sheet1!$L$7,IF(AND(OR(D6="S. acutus",D6="S. tabernaemontani"),G6&gt;0),E6*[1]Sheet1!$D$8+N6*[1]Sheet1!$E$8,IF(AND(D6="S. californicus",G6&gt;0),E6*[1]Sheet1!$D$9+N6*[1]Sheet1!$E$9,IF(D6="S. maritimus",F6*[1]Sheet1!$C$10+E6*[1]Sheet1!$D$10+G6*[1]Sheet1!$F$10+[1]Sheet1!$L$10,IF(D6="S. americanus",F6*[1]Sheet1!$C$6+E6*[1]Sheet1!$D$6+[1]Sheet1!$L$6,IF(AND(OR(D6="T. domingensis",D6="T. latifolia"),E6&gt;0),F6*[1]Sheet1!$C$4+E6*[1]Sheet1!$D$4+H6*[1]Sheet1!$J$4+I6*[1]Sheet1!$K$4+[1]Sheet1!$L$4,IF(AND(OR(D6="T. domingensis",D6="T. latifolia"),J6&gt;0),J6*[1]Sheet1!$G$5+K6*[1]Sheet1!$H$5+L6*[1]Sheet1!$I$5+[1]Sheet1!$L$5,0)))))))</f>
        <v>7.3973579999999997</v>
      </c>
    </row>
    <row r="7" spans="1:16">
      <c r="A7" s="2">
        <v>40732</v>
      </c>
      <c r="B7" t="s">
        <v>36</v>
      </c>
      <c r="C7">
        <v>6</v>
      </c>
      <c r="D7" s="6" t="s">
        <v>12</v>
      </c>
      <c r="E7">
        <v>171</v>
      </c>
      <c r="F7">
        <v>0.7</v>
      </c>
      <c r="G7">
        <v>2</v>
      </c>
      <c r="N7">
        <f t="shared" si="0"/>
        <v>21.936152174999997</v>
      </c>
      <c r="O7">
        <f>IF(AND(OR(D7="S. acutus",D7="S. californicus",D7="S. tabernaemontani"),G7=0),E7*[1]Sheet1!$D$7+[1]Sheet1!$L$7,IF(AND(OR(D7="S. acutus",D7="S. tabernaemontani"),G7&gt;0),E7*[1]Sheet1!$D$8+N7*[1]Sheet1!$E$8,IF(AND(D7="S. californicus",G7&gt;0),E7*[1]Sheet1!$D$9+N7*[1]Sheet1!$E$9,IF(D7="S. maritimus",F7*[1]Sheet1!$C$10+E7*[1]Sheet1!$D$10+G7*[1]Sheet1!$F$10+[1]Sheet1!$L$10,IF(D7="S. americanus",F7*[1]Sheet1!$C$6+E7*[1]Sheet1!$D$6+[1]Sheet1!$L$6,IF(AND(OR(D7="T. domingensis",D7="T. latifolia"),E7&gt;0),F7*[1]Sheet1!$C$4+E7*[1]Sheet1!$D$4+H7*[1]Sheet1!$J$4+I7*[1]Sheet1!$K$4+[1]Sheet1!$L$4,IF(AND(OR(D7="T. domingensis",D7="T. latifolia"),J7&gt;0),J7*[1]Sheet1!$G$5+K7*[1]Sheet1!$H$5+L7*[1]Sheet1!$I$5+[1]Sheet1!$L$5,0)))))))</f>
        <v>7.2910779425719578</v>
      </c>
    </row>
    <row r="8" spans="1:16">
      <c r="A8" s="2">
        <v>40732</v>
      </c>
      <c r="B8" t="s">
        <v>36</v>
      </c>
      <c r="C8">
        <v>6</v>
      </c>
      <c r="D8" s="6" t="s">
        <v>12</v>
      </c>
      <c r="E8">
        <v>209</v>
      </c>
      <c r="F8">
        <v>0.34</v>
      </c>
      <c r="G8">
        <v>0</v>
      </c>
      <c r="N8">
        <f t="shared" si="0"/>
        <v>6.3251725863333332</v>
      </c>
      <c r="O8">
        <f>IF(AND(OR(D8="S. acutus",D8="S. californicus",D8="S. tabernaemontani"),G8=0),E8*[1]Sheet1!$D$7+[1]Sheet1!$L$7,IF(AND(OR(D8="S. acutus",D8="S. tabernaemontani"),G8&gt;0),E8*[1]Sheet1!$D$8+N8*[1]Sheet1!$E$8,IF(AND(D8="S. californicus",G8&gt;0),E8*[1]Sheet1!$D$9+N8*[1]Sheet1!$E$9,IF(D8="S. maritimus",F8*[1]Sheet1!$C$10+E8*[1]Sheet1!$D$10+G8*[1]Sheet1!$F$10+[1]Sheet1!$L$10,IF(D8="S. americanus",F8*[1]Sheet1!$C$6+E8*[1]Sheet1!$D$6+[1]Sheet1!$L$6,IF(AND(OR(D8="T. domingensis",D8="T. latifolia"),E8&gt;0),F8*[1]Sheet1!$C$4+E8*[1]Sheet1!$D$4+H8*[1]Sheet1!$J$4+I8*[1]Sheet1!$K$4+[1]Sheet1!$L$4,IF(AND(OR(D8="T. domingensis",D8="T. latifolia"),J8&gt;0),J8*[1]Sheet1!$G$5+K8*[1]Sheet1!$H$5+L8*[1]Sheet1!$I$5+[1]Sheet1!$L$5,0)))))))</f>
        <v>10.061347999999999</v>
      </c>
    </row>
    <row r="9" spans="1:16">
      <c r="A9" s="2">
        <v>40732</v>
      </c>
      <c r="B9" t="s">
        <v>36</v>
      </c>
      <c r="C9">
        <v>6</v>
      </c>
      <c r="D9" s="6" t="s">
        <v>12</v>
      </c>
      <c r="E9">
        <v>215</v>
      </c>
      <c r="F9">
        <v>0.84</v>
      </c>
      <c r="G9">
        <v>0</v>
      </c>
      <c r="N9">
        <f t="shared" si="0"/>
        <v>39.715980779999995</v>
      </c>
      <c r="O9">
        <f>IF(AND(OR(D9="S. acutus",D9="S. californicus",D9="S. tabernaemontani"),G9=0),E9*[1]Sheet1!$D$7+[1]Sheet1!$L$7,IF(AND(OR(D9="S. acutus",D9="S. tabernaemontani"),G9&gt;0),E9*[1]Sheet1!$D$8+N9*[1]Sheet1!$E$8,IF(AND(D9="S. californicus",G9&gt;0),E9*[1]Sheet1!$D$9+N9*[1]Sheet1!$E$9,IF(D9="S. maritimus",F9*[1]Sheet1!$C$10+E9*[1]Sheet1!$D$10+G9*[1]Sheet1!$F$10+[1]Sheet1!$L$10,IF(D9="S. americanus",F9*[1]Sheet1!$C$6+E9*[1]Sheet1!$D$6+[1]Sheet1!$L$6,IF(AND(OR(D9="T. domingensis",D9="T. latifolia"),E9&gt;0),F9*[1]Sheet1!$C$4+E9*[1]Sheet1!$D$4+H9*[1]Sheet1!$J$4+I9*[1]Sheet1!$K$4+[1]Sheet1!$L$4,IF(AND(OR(D9="T. domingensis",D9="T. latifolia"),J9&gt;0),J9*[1]Sheet1!$G$5+K9*[1]Sheet1!$H$5+L9*[1]Sheet1!$I$5+[1]Sheet1!$L$5,0)))))))</f>
        <v>10.481978000000002</v>
      </c>
    </row>
    <row r="10" spans="1:16">
      <c r="A10" s="2">
        <v>40732</v>
      </c>
      <c r="B10" t="s">
        <v>36</v>
      </c>
      <c r="C10">
        <v>6</v>
      </c>
      <c r="D10" s="6" t="s">
        <v>12</v>
      </c>
      <c r="E10">
        <v>225</v>
      </c>
      <c r="F10">
        <v>0.6</v>
      </c>
      <c r="G10">
        <v>0</v>
      </c>
      <c r="N10">
        <f t="shared" si="0"/>
        <v>21.205732499999996</v>
      </c>
      <c r="O10">
        <f>IF(AND(OR(D10="S. acutus",D10="S. californicus",D10="S. tabernaemontani"),G10=0),E10*[1]Sheet1!$D$7+[1]Sheet1!$L$7,IF(AND(OR(D10="S. acutus",D10="S. tabernaemontani"),G10&gt;0),E10*[1]Sheet1!$D$8+N10*[1]Sheet1!$E$8,IF(AND(D10="S. californicus",G10&gt;0),E10*[1]Sheet1!$D$9+N10*[1]Sheet1!$E$9,IF(D10="S.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latifolia"),E10&gt;0),F10*[1]Sheet1!$C$4+E10*[1]Sheet1!$D$4+H10*[1]Sheet1!$J$4+I10*[1]Sheet1!$K$4+[1]Sheet1!$L$4,IF(AND(OR(D10="T. domingensis",D10="T. latifolia"),J10&gt;0),J10*[1]Sheet1!$G$5+K10*[1]Sheet1!$H$5+L10*[1]Sheet1!$I$5+[1]Sheet1!$L$5,0)))))))</f>
        <v>11.183028</v>
      </c>
    </row>
    <row r="11" spans="1:16">
      <c r="A11" s="2">
        <v>40732</v>
      </c>
      <c r="B11" t="s">
        <v>36</v>
      </c>
      <c r="C11">
        <v>6</v>
      </c>
      <c r="D11" s="6" t="s">
        <v>12</v>
      </c>
      <c r="E11">
        <v>240</v>
      </c>
      <c r="F11">
        <v>1.01</v>
      </c>
      <c r="G11">
        <v>0</v>
      </c>
      <c r="N11">
        <f t="shared" si="0"/>
        <v>64.094719179999998</v>
      </c>
      <c r="O11">
        <f>IF(AND(OR(D11="S. acutus",D11="S. californicus",D11="S. tabernaemontani"),G11=0),E11*[1]Sheet1!$D$7+[1]Sheet1!$L$7,IF(AND(OR(D11="S. acutus",D11="S. tabernaemontani"),G11&gt;0),E11*[1]Sheet1!$D$8+N11*[1]Sheet1!$E$8,IF(AND(D11="S. californicus",G11&gt;0),E11*[1]Sheet1!$D$9+N11*[1]Sheet1!$E$9,IF(D11="S.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latifolia"),E11&gt;0),F11*[1]Sheet1!$C$4+E11*[1]Sheet1!$D$4+H11*[1]Sheet1!$J$4+I11*[1]Sheet1!$K$4+[1]Sheet1!$L$4,IF(AND(OR(D11="T. domingensis",D11="T. latifolia"),J11&gt;0),J11*[1]Sheet1!$G$5+K11*[1]Sheet1!$H$5+L11*[1]Sheet1!$I$5+[1]Sheet1!$L$5,0)))))))</f>
        <v>12.234603</v>
      </c>
    </row>
    <row r="12" spans="1:16">
      <c r="A12" s="2">
        <v>40732</v>
      </c>
      <c r="B12" t="s">
        <v>36</v>
      </c>
      <c r="C12">
        <v>6</v>
      </c>
      <c r="D12" s="6" t="s">
        <v>12</v>
      </c>
      <c r="E12">
        <v>253</v>
      </c>
      <c r="F12">
        <v>2.74</v>
      </c>
      <c r="G12">
        <v>0</v>
      </c>
      <c r="N12">
        <f t="shared" si="0"/>
        <v>497.26730618766669</v>
      </c>
      <c r="O12">
        <f>IF(AND(OR(D12="S. acutus",D12="S. californicus",D12="S. tabernaemontani"),G12=0),E12*[1]Sheet1!$D$7+[1]Sheet1!$L$7,IF(AND(OR(D12="S. acutus",D12="S. tabernaemontani"),G12&gt;0),E12*[1]Sheet1!$D$8+N12*[1]Sheet1!$E$8,IF(AND(D12="S. californicus",G12&gt;0),E12*[1]Sheet1!$D$9+N12*[1]Sheet1!$E$9,IF(D12="S.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latifolia"),E12&gt;0),F12*[1]Sheet1!$C$4+E12*[1]Sheet1!$D$4+H12*[1]Sheet1!$J$4+I12*[1]Sheet1!$K$4+[1]Sheet1!$L$4,IF(AND(OR(D12="T. domingensis",D12="T. latifolia"),J12&gt;0),J12*[1]Sheet1!$G$5+K12*[1]Sheet1!$H$5+L12*[1]Sheet1!$I$5+[1]Sheet1!$L$5,0)))))))</f>
        <v>13.145968</v>
      </c>
    </row>
    <row r="13" spans="1:16">
      <c r="A13" s="2">
        <v>40732</v>
      </c>
      <c r="B13" t="s">
        <v>36</v>
      </c>
      <c r="C13">
        <v>6</v>
      </c>
      <c r="D13" s="6" t="s">
        <v>12</v>
      </c>
      <c r="E13">
        <v>261</v>
      </c>
      <c r="F13">
        <v>0.89</v>
      </c>
      <c r="G13">
        <v>0</v>
      </c>
      <c r="N13">
        <f t="shared" si="0"/>
        <v>54.123862298249996</v>
      </c>
      <c r="O13">
        <f>IF(AND(OR(D13="S. acutus",D13="S. californicus",D13="S. tabernaemontani"),G13=0),E13*[1]Sheet1!$D$7+[1]Sheet1!$L$7,IF(AND(OR(D13="S. acutus",D13="S. tabernaemontani"),G13&gt;0),E13*[1]Sheet1!$D$8+N13*[1]Sheet1!$E$8,IF(AND(D13="S. californicus",G13&gt;0),E13*[1]Sheet1!$D$9+N13*[1]Sheet1!$E$9,IF(D13="S.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latifolia"),E13&gt;0),F13*[1]Sheet1!$C$4+E13*[1]Sheet1!$D$4+H13*[1]Sheet1!$J$4+I13*[1]Sheet1!$K$4+[1]Sheet1!$L$4,IF(AND(OR(D13="T. domingensis",D13="T. latifolia"),J13&gt;0),J13*[1]Sheet1!$G$5+K13*[1]Sheet1!$H$5+L13*[1]Sheet1!$I$5+[1]Sheet1!$L$5,0)))))))</f>
        <v>13.706808000000002</v>
      </c>
    </row>
    <row r="14" spans="1:16">
      <c r="A14" s="2">
        <v>40732</v>
      </c>
      <c r="B14" t="s">
        <v>36</v>
      </c>
      <c r="C14">
        <v>6</v>
      </c>
      <c r="D14" s="6" t="s">
        <v>12</v>
      </c>
      <c r="E14">
        <v>274</v>
      </c>
      <c r="F14">
        <v>0.86</v>
      </c>
      <c r="G14">
        <v>0</v>
      </c>
      <c r="N14">
        <f t="shared" si="0"/>
        <v>53.053705844666652</v>
      </c>
      <c r="O14">
        <f>IF(AND(OR(D14="S. acutus",D14="S. californicus",D14="S. tabernaemontani"),G14=0),E14*[1]Sheet1!$D$7+[1]Sheet1!$L$7,IF(AND(OR(D14="S. acutus",D14="S. tabernaemontani"),G14&gt;0),E14*[1]Sheet1!$D$8+N14*[1]Sheet1!$E$8,IF(AND(D14="S. californicus",G14&gt;0),E14*[1]Sheet1!$D$9+N14*[1]Sheet1!$E$9,IF(D14="S.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latifolia"),E14&gt;0),F14*[1]Sheet1!$C$4+E14*[1]Sheet1!$D$4+H14*[1]Sheet1!$J$4+I14*[1]Sheet1!$K$4+[1]Sheet1!$L$4,IF(AND(OR(D14="T. domingensis",D14="T. latifolia"),J14&gt;0),J14*[1]Sheet1!$G$5+K14*[1]Sheet1!$H$5+L14*[1]Sheet1!$I$5+[1]Sheet1!$L$5,0)))))))</f>
        <v>14.618173000000002</v>
      </c>
    </row>
    <row r="15" spans="1:16">
      <c r="A15" s="2">
        <v>40732</v>
      </c>
      <c r="B15" t="s">
        <v>36</v>
      </c>
      <c r="C15">
        <v>6</v>
      </c>
      <c r="D15" s="6" t="s">
        <v>12</v>
      </c>
      <c r="E15">
        <v>279</v>
      </c>
      <c r="F15">
        <v>0.7</v>
      </c>
      <c r="G15">
        <v>0</v>
      </c>
      <c r="N15">
        <f t="shared" si="0"/>
        <v>35.790564074999992</v>
      </c>
      <c r="O15">
        <f>IF(AND(OR(D15="S. acutus",D15="S. californicus",D15="S. tabernaemontani"),G15=0),E15*[1]Sheet1!$D$7+[1]Sheet1!$L$7,IF(AND(OR(D15="S. acutus",D15="S. tabernaemontani"),G15&gt;0),E15*[1]Sheet1!$D$8+N15*[1]Sheet1!$E$8,IF(AND(D15="S. californicus",G15&gt;0),E15*[1]Sheet1!$D$9+N15*[1]Sheet1!$E$9,IF(D15="S.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latifolia"),E15&gt;0),F15*[1]Sheet1!$C$4+E15*[1]Sheet1!$D$4+H15*[1]Sheet1!$J$4+I15*[1]Sheet1!$K$4+[1]Sheet1!$L$4,IF(AND(OR(D15="T. domingensis",D15="T. latifolia"),J15&gt;0),J15*[1]Sheet1!$G$5+K15*[1]Sheet1!$H$5+L15*[1]Sheet1!$I$5+[1]Sheet1!$L$5,0)))))))</f>
        <v>14.968698</v>
      </c>
    </row>
    <row r="16" spans="1:16">
      <c r="A16" s="2">
        <v>40732</v>
      </c>
      <c r="B16" t="s">
        <v>36</v>
      </c>
      <c r="C16">
        <v>6</v>
      </c>
      <c r="D16" s="6" t="s">
        <v>12</v>
      </c>
      <c r="E16">
        <v>284</v>
      </c>
      <c r="F16">
        <v>0.91</v>
      </c>
      <c r="G16">
        <v>0</v>
      </c>
      <c r="N16">
        <f t="shared" si="0"/>
        <v>61.570032736333332</v>
      </c>
      <c r="O16">
        <f>IF(AND(OR(D16="S. acutus",D16="S. californicus",D16="S. tabernaemontani"),G16=0),E16*[1]Sheet1!$D$7+[1]Sheet1!$L$7,IF(AND(OR(D16="S. acutus",D16="S. tabernaemontani"),G16&gt;0),E16*[1]Sheet1!$D$8+N16*[1]Sheet1!$E$8,IF(AND(D16="S. californicus",G16&gt;0),E16*[1]Sheet1!$D$9+N16*[1]Sheet1!$E$9,IF(D16="S.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latifolia"),E16&gt;0),F16*[1]Sheet1!$C$4+E16*[1]Sheet1!$D$4+H16*[1]Sheet1!$J$4+I16*[1]Sheet1!$K$4+[1]Sheet1!$L$4,IF(AND(OR(D16="T. domingensis",D16="T. latifolia"),J16&gt;0),J16*[1]Sheet1!$G$5+K16*[1]Sheet1!$H$5+L16*[1]Sheet1!$I$5+[1]Sheet1!$L$5,0)))))))</f>
        <v>15.319223000000001</v>
      </c>
    </row>
    <row r="17" spans="1:15">
      <c r="A17" s="2">
        <v>40732</v>
      </c>
      <c r="B17" t="s">
        <v>36</v>
      </c>
      <c r="C17">
        <v>6</v>
      </c>
      <c r="D17" s="6" t="s">
        <v>12</v>
      </c>
      <c r="E17">
        <v>305</v>
      </c>
      <c r="F17">
        <v>0.98</v>
      </c>
      <c r="G17">
        <v>0</v>
      </c>
      <c r="N17">
        <f t="shared" si="0"/>
        <v>76.68673549833332</v>
      </c>
      <c r="O17">
        <f>IF(AND(OR(D17="S. acutus",D17="S. californicus",D17="S. tabernaemontani"),G17=0),E17*[1]Sheet1!$D$7+[1]Sheet1!$L$7,IF(AND(OR(D17="S. acutus",D17="S. tabernaemontani"),G17&gt;0),E17*[1]Sheet1!$D$8+N17*[1]Sheet1!$E$8,IF(AND(D17="S. californicus",G17&gt;0),E17*[1]Sheet1!$D$9+N17*[1]Sheet1!$E$9,IF(D17="S.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latifolia"),E17&gt;0),F17*[1]Sheet1!$C$4+E17*[1]Sheet1!$D$4+H17*[1]Sheet1!$J$4+I17*[1]Sheet1!$K$4+[1]Sheet1!$L$4,IF(AND(OR(D17="T. domingensis",D17="T. latifolia"),J17&gt;0),J17*[1]Sheet1!$G$5+K17*[1]Sheet1!$H$5+L17*[1]Sheet1!$I$5+[1]Sheet1!$L$5,0)))))))</f>
        <v>16.791428</v>
      </c>
    </row>
    <row r="18" spans="1:15">
      <c r="A18" s="2">
        <v>40732</v>
      </c>
      <c r="B18" t="s">
        <v>36</v>
      </c>
      <c r="C18">
        <v>6</v>
      </c>
      <c r="D18" s="6" t="s">
        <v>12</v>
      </c>
      <c r="E18">
        <v>328</v>
      </c>
      <c r="F18">
        <v>0.77</v>
      </c>
      <c r="G18">
        <v>0</v>
      </c>
      <c r="N18">
        <f t="shared" si="0"/>
        <v>50.912398100666657</v>
      </c>
      <c r="O18">
        <f>IF(AND(OR(D18="S. acutus",D18="S. californicus",D18="S. tabernaemontani"),G18=0),E18*[1]Sheet1!$D$7+[1]Sheet1!$L$7,IF(AND(OR(D18="S. acutus",D18="S. tabernaemontani"),G18&gt;0),E18*[1]Sheet1!$D$8+N18*[1]Sheet1!$E$8,IF(AND(D18="S. californicus",G18&gt;0),E18*[1]Sheet1!$D$9+N18*[1]Sheet1!$E$9,IF(D18="S.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latifolia"),E18&gt;0),F18*[1]Sheet1!$C$4+E18*[1]Sheet1!$D$4+H18*[1]Sheet1!$J$4+I18*[1]Sheet1!$K$4+[1]Sheet1!$L$4,IF(AND(OR(D18="T. domingensis",D18="T. latifolia"),J18&gt;0),J18*[1]Sheet1!$G$5+K18*[1]Sheet1!$H$5+L18*[1]Sheet1!$I$5+[1]Sheet1!$L$5,0)))))))</f>
        <v>18.403843000000002</v>
      </c>
    </row>
    <row r="19" spans="1:15">
      <c r="A19" s="2">
        <v>40732</v>
      </c>
      <c r="B19" t="s">
        <v>36</v>
      </c>
      <c r="C19">
        <v>6</v>
      </c>
      <c r="D19" s="6" t="s">
        <v>19</v>
      </c>
      <c r="E19">
        <v>226</v>
      </c>
      <c r="F19">
        <v>2.2200000000000002</v>
      </c>
      <c r="H19">
        <v>18</v>
      </c>
      <c r="I19">
        <v>0.7</v>
      </c>
      <c r="O19">
        <f>IF(AND(OR(D19="S. acutus",D19="S. californicus",D19="S. tabernaemontani"),G19=0),E19*[1]Sheet1!$D$7+[1]Sheet1!$L$7,IF(AND(OR(D19="S. acutus",D19="S. tabernaemontani"),G19&gt;0),E19*[1]Sheet1!$D$8+N19*[1]Sheet1!$E$8,IF(AND(D19="S. californicus",G19&gt;0),E19*[1]Sheet1!$D$9+N19*[1]Sheet1!$E$9,IF(D19="S.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latifolia"),E19&gt;0),F19*[1]Sheet1!$C$4+E19*[1]Sheet1!$D$4+H19*[1]Sheet1!$J$4+I19*[1]Sheet1!$K$4+[1]Sheet1!$L$4,IF(AND(OR(D19="T. domingensis",D19="T. latifolia"),J19&gt;0),J19*[1]Sheet1!$G$5+K19*[1]Sheet1!$H$5+L19*[1]Sheet1!$I$5+[1]Sheet1!$L$5,0)))))))</f>
        <v>42.230162140000004</v>
      </c>
    </row>
    <row r="20" spans="1:15">
      <c r="A20" s="2">
        <v>40732</v>
      </c>
      <c r="B20" t="s">
        <v>36</v>
      </c>
      <c r="C20">
        <v>6</v>
      </c>
      <c r="D20" s="6" t="s">
        <v>19</v>
      </c>
      <c r="E20">
        <v>349</v>
      </c>
      <c r="F20">
        <v>2.63</v>
      </c>
      <c r="H20">
        <v>24</v>
      </c>
      <c r="I20">
        <v>2</v>
      </c>
      <c r="O20">
        <f>IF(AND(OR(D20="S. acutus",D20="S. californicus",D20="S. tabernaemontani"),G20=0),E20*[1]Sheet1!$D$7+[1]Sheet1!$L$7,IF(AND(OR(D20="S. acutus",D20="S. tabernaemontani"),G20&gt;0),E20*[1]Sheet1!$D$8+N20*[1]Sheet1!$E$8,IF(AND(D20="S. californicus",G20&gt;0),E20*[1]Sheet1!$D$9+N20*[1]Sheet1!$E$9,IF(D20="S.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latifolia"),E20&gt;0),F20*[1]Sheet1!$C$4+E20*[1]Sheet1!$D$4+H20*[1]Sheet1!$J$4+I20*[1]Sheet1!$K$4+[1]Sheet1!$L$4,IF(AND(OR(D20="T. domingensis",D20="T. latifolia"),J20&gt;0),J20*[1]Sheet1!$G$5+K20*[1]Sheet1!$H$5+L20*[1]Sheet1!$I$5+[1]Sheet1!$L$5,0)))))))</f>
        <v>115.80537930999998</v>
      </c>
    </row>
    <row r="21" spans="1:15">
      <c r="A21" s="2">
        <v>40732</v>
      </c>
      <c r="B21" t="s">
        <v>36</v>
      </c>
      <c r="C21">
        <v>6</v>
      </c>
      <c r="D21" s="6" t="s">
        <v>19</v>
      </c>
      <c r="E21">
        <v>367</v>
      </c>
      <c r="F21">
        <v>3.04</v>
      </c>
      <c r="H21">
        <v>33</v>
      </c>
      <c r="I21">
        <v>2.2999999999999998</v>
      </c>
      <c r="O21">
        <f>IF(AND(OR(D21="S. acutus",D21="S. californicus",D21="S. tabernaemontani"),G21=0),E21*[1]Sheet1!$D$7+[1]Sheet1!$L$7,IF(AND(OR(D21="S. acutus",D21="S. tabernaemontani"),G21&gt;0),E21*[1]Sheet1!$D$8+N21*[1]Sheet1!$E$8,IF(AND(D21="S. californicus",G21&gt;0),E21*[1]Sheet1!$D$9+N21*[1]Sheet1!$E$9,IF(D21="S.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latifolia"),E21&gt;0),F21*[1]Sheet1!$C$4+E21*[1]Sheet1!$D$4+H21*[1]Sheet1!$J$4+I21*[1]Sheet1!$K$4+[1]Sheet1!$L$4,IF(AND(OR(D21="T. domingensis",D21="T. latifolia"),J21&gt;0),J21*[1]Sheet1!$G$5+K21*[1]Sheet1!$H$5+L21*[1]Sheet1!$I$5+[1]Sheet1!$L$5,0)))))))</f>
        <v>142.78781408</v>
      </c>
    </row>
    <row r="22" spans="1:15">
      <c r="A22" s="2">
        <v>40732</v>
      </c>
      <c r="B22" t="s">
        <v>36</v>
      </c>
      <c r="C22">
        <v>6</v>
      </c>
      <c r="D22" s="6" t="s">
        <v>19</v>
      </c>
      <c r="E22">
        <v>371</v>
      </c>
      <c r="F22">
        <v>3.24</v>
      </c>
      <c r="H22">
        <v>33</v>
      </c>
      <c r="I22">
        <v>2.4</v>
      </c>
      <c r="O22">
        <f>IF(AND(OR(D22="S. acutus",D22="S. californicus",D22="S. tabernaemontani"),G22=0),E22*[1]Sheet1!$D$7+[1]Sheet1!$L$7,IF(AND(OR(D22="S. acutus",D22="S. tabernaemontani"),G22&gt;0),E22*[1]Sheet1!$D$8+N22*[1]Sheet1!$E$8,IF(AND(D22="S. californicus",G22&gt;0),E22*[1]Sheet1!$D$9+N22*[1]Sheet1!$E$9,IF(D22="S.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latifolia"),E22&gt;0),F22*[1]Sheet1!$C$4+E22*[1]Sheet1!$D$4+H22*[1]Sheet1!$J$4+I22*[1]Sheet1!$K$4+[1]Sheet1!$L$4,IF(AND(OR(D22="T. domingensis",D22="T. latifolia"),J22&gt;0),J22*[1]Sheet1!$G$5+K22*[1]Sheet1!$H$5+L22*[1]Sheet1!$I$5+[1]Sheet1!$L$5,0)))))))</f>
        <v>149.60351507999999</v>
      </c>
    </row>
    <row r="23" spans="1:15">
      <c r="A23" s="2">
        <v>40732</v>
      </c>
      <c r="B23" t="s">
        <v>36</v>
      </c>
      <c r="C23">
        <v>6</v>
      </c>
      <c r="D23" s="6" t="s">
        <v>19</v>
      </c>
      <c r="F23">
        <v>1.05</v>
      </c>
      <c r="J23">
        <f>SUM(215,264,288,304)</f>
        <v>1071</v>
      </c>
      <c r="K23">
        <v>4</v>
      </c>
      <c r="L23">
        <v>304</v>
      </c>
      <c r="O23">
        <f>IF(AND(OR(D23="S. acutus",D23="S. californicus",D23="S. tabernaemontani"),G23=0),E23*[1]Sheet1!$D$7+[1]Sheet1!$L$7,IF(AND(OR(D23="S. acutus",D23="S. tabernaemontani"),G23&gt;0),E23*[1]Sheet1!$D$8+N23*[1]Sheet1!$E$8,IF(AND(D23="S. californicus",G23&gt;0),E23*[1]Sheet1!$D$9+N23*[1]Sheet1!$E$9,IF(D23="S.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latifolia"),E23&gt;0),F23*[1]Sheet1!$C$4+E23*[1]Sheet1!$D$4+H23*[1]Sheet1!$J$4+I23*[1]Sheet1!$K$4+[1]Sheet1!$L$4,IF(AND(OR(D23="T. domingensis",D23="T. latifolia"),J23&gt;0),J23*[1]Sheet1!$G$5+K23*[1]Sheet1!$H$5+L23*[1]Sheet1!$I$5+[1]Sheet1!$L$5,0)))))))</f>
        <v>13.780697000000011</v>
      </c>
    </row>
    <row r="24" spans="1:15">
      <c r="A24" s="2">
        <v>40732</v>
      </c>
      <c r="B24" t="s">
        <v>36</v>
      </c>
      <c r="C24">
        <v>6</v>
      </c>
      <c r="D24" s="6" t="s">
        <v>19</v>
      </c>
      <c r="F24">
        <v>1.4</v>
      </c>
      <c r="J24">
        <f>SUM(227,227,283,296,310)</f>
        <v>1343</v>
      </c>
      <c r="K24">
        <v>5</v>
      </c>
      <c r="L24">
        <v>310</v>
      </c>
      <c r="O24">
        <f>IF(AND(OR(D24="S. acutus",D24="S. californicus",D24="S. tabernaemontani"),G24=0),E24*[1]Sheet1!$D$7+[1]Sheet1!$L$7,IF(AND(OR(D24="S. acutus",D24="S. tabernaemontani"),G24&gt;0),E24*[1]Sheet1!$D$8+N24*[1]Sheet1!$E$8,IF(AND(D24="S. californicus",G24&gt;0),E24*[1]Sheet1!$D$9+N24*[1]Sheet1!$E$9,IF(D24="S.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latifolia"),E24&gt;0),F24*[1]Sheet1!$C$4+E24*[1]Sheet1!$D$4+H24*[1]Sheet1!$J$4+I24*[1]Sheet1!$K$4+[1]Sheet1!$L$4,IF(AND(OR(D24="T. domingensis",D24="T. latifolia"),J24&gt;0),J24*[1]Sheet1!$G$5+K24*[1]Sheet1!$H$5+L24*[1]Sheet1!$I$5+[1]Sheet1!$L$5,0)))))))</f>
        <v>30.452233999999997</v>
      </c>
    </row>
    <row r="25" spans="1:15">
      <c r="A25" s="2">
        <v>40732</v>
      </c>
      <c r="B25" t="s">
        <v>36</v>
      </c>
      <c r="C25">
        <v>8</v>
      </c>
      <c r="D25" s="6" t="s">
        <v>12</v>
      </c>
      <c r="E25">
        <v>185</v>
      </c>
      <c r="F25">
        <v>1.68</v>
      </c>
      <c r="G25">
        <v>0</v>
      </c>
      <c r="N25">
        <f t="shared" ref="N25:N50" si="1">(1/3)*(3.14159)*((F25/2)^2)*E25</f>
        <v>136.69686407999998</v>
      </c>
      <c r="O25">
        <f>IF(AND(OR(D25="S. acutus",D25="S. californicus",D25="S. tabernaemontani"),G25=0),E25*[1]Sheet1!$D$7+[1]Sheet1!$L$7,IF(AND(OR(D25="S. acutus",D25="S. tabernaemontani"),G25&gt;0),E25*[1]Sheet1!$D$8+N25*[1]Sheet1!$E$8,IF(AND(D25="S. californicus",G25&gt;0),E25*[1]Sheet1!$D$9+N25*[1]Sheet1!$E$9,IF(D25="S.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latifolia"),E25&gt;0),F25*[1]Sheet1!$C$4+E25*[1]Sheet1!$D$4+H25*[1]Sheet1!$J$4+I25*[1]Sheet1!$K$4+[1]Sheet1!$L$4,IF(AND(OR(D25="T. domingensis",D25="T. latifolia"),J25&gt;0),J25*[1]Sheet1!$G$5+K25*[1]Sheet1!$H$5+L25*[1]Sheet1!$I$5+[1]Sheet1!$L$5,0)))))))</f>
        <v>8.3788279999999986</v>
      </c>
    </row>
    <row r="26" spans="1:15">
      <c r="A26" s="2">
        <v>40732</v>
      </c>
      <c r="B26" t="s">
        <v>36</v>
      </c>
      <c r="C26">
        <v>8</v>
      </c>
      <c r="D26" s="6" t="s">
        <v>12</v>
      </c>
      <c r="E26">
        <v>203</v>
      </c>
      <c r="F26">
        <v>0.98</v>
      </c>
      <c r="G26">
        <v>0</v>
      </c>
      <c r="N26">
        <f t="shared" si="1"/>
        <v>51.04067969233332</v>
      </c>
      <c r="O26">
        <f>IF(AND(OR(D26="S. acutus",D26="S. californicus",D26="S. tabernaemontani"),G26=0),E26*[1]Sheet1!$D$7+[1]Sheet1!$L$7,IF(AND(OR(D26="S. acutus",D26="S. tabernaemontani"),G26&gt;0),E26*[1]Sheet1!$D$8+N26*[1]Sheet1!$E$8,IF(AND(D26="S. californicus",G26&gt;0),E26*[1]Sheet1!$D$9+N26*[1]Sheet1!$E$9,IF(D26="S.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latifolia"),E26&gt;0),F26*[1]Sheet1!$C$4+E26*[1]Sheet1!$D$4+H26*[1]Sheet1!$J$4+I26*[1]Sheet1!$K$4+[1]Sheet1!$L$4,IF(AND(OR(D26="T. domingensis",D26="T. latifolia"),J26&gt;0),J26*[1]Sheet1!$G$5+K26*[1]Sheet1!$H$5+L26*[1]Sheet1!$I$5+[1]Sheet1!$L$5,0)))))))</f>
        <v>9.6407179999999997</v>
      </c>
    </row>
    <row r="27" spans="1:15">
      <c r="A27" s="2">
        <v>40732</v>
      </c>
      <c r="B27" t="s">
        <v>36</v>
      </c>
      <c r="C27">
        <v>8</v>
      </c>
      <c r="D27" s="6" t="s">
        <v>12</v>
      </c>
      <c r="E27">
        <v>206</v>
      </c>
      <c r="F27">
        <v>1.1499999999999999</v>
      </c>
      <c r="G27">
        <v>0</v>
      </c>
      <c r="N27">
        <f t="shared" si="1"/>
        <v>71.323255970833316</v>
      </c>
      <c r="O27">
        <f>IF(AND(OR(D27="S. acutus",D27="S. californicus",D27="S. tabernaemontani"),G27=0),E27*[1]Sheet1!$D$7+[1]Sheet1!$L$7,IF(AND(OR(D27="S. acutus",D27="S. tabernaemontani"),G27&gt;0),E27*[1]Sheet1!$D$8+N27*[1]Sheet1!$E$8,IF(AND(D27="S. californicus",G27&gt;0),E27*[1]Sheet1!$D$9+N27*[1]Sheet1!$E$9,IF(D27="S.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latifolia"),E27&gt;0),F27*[1]Sheet1!$C$4+E27*[1]Sheet1!$D$4+H27*[1]Sheet1!$J$4+I27*[1]Sheet1!$K$4+[1]Sheet1!$L$4,IF(AND(OR(D27="T. domingensis",D27="T. latifolia"),J27&gt;0),J27*[1]Sheet1!$G$5+K27*[1]Sheet1!$H$5+L27*[1]Sheet1!$I$5+[1]Sheet1!$L$5,0)))))))</f>
        <v>9.851033000000001</v>
      </c>
    </row>
    <row r="28" spans="1:15">
      <c r="A28" s="2">
        <v>40732</v>
      </c>
      <c r="B28" t="s">
        <v>36</v>
      </c>
      <c r="C28">
        <v>8</v>
      </c>
      <c r="D28" s="6" t="s">
        <v>12</v>
      </c>
      <c r="E28">
        <v>212</v>
      </c>
      <c r="F28">
        <v>0.75</v>
      </c>
      <c r="G28">
        <v>16</v>
      </c>
      <c r="N28">
        <f t="shared" si="1"/>
        <v>31.219550624999997</v>
      </c>
      <c r="O28">
        <f>IF(AND(OR(D28="S. acutus",D28="S. californicus",D28="S. tabernaemontani"),G28=0),E28*[1]Sheet1!$D$7+[1]Sheet1!$L$7,IF(AND(OR(D28="S. acutus",D28="S. tabernaemontani"),G28&gt;0),E28*[1]Sheet1!$D$8+N28*[1]Sheet1!$E$8,IF(AND(D28="S. californicus",G28&gt;0),E28*[1]Sheet1!$D$9+N28*[1]Sheet1!$E$9,IF(D28="S.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latifolia"),E28&gt;0),F28*[1]Sheet1!$C$4+E28*[1]Sheet1!$D$4+H28*[1]Sheet1!$J$4+I28*[1]Sheet1!$K$4+[1]Sheet1!$L$4,IF(AND(OR(D28="T. domingensis",D28="T. latifolia"),J28&gt;0),J28*[1]Sheet1!$G$5+K28*[1]Sheet1!$H$5+L28*[1]Sheet1!$I$5+[1]Sheet1!$L$5,0)))))))</f>
        <v>9.1688028277205635</v>
      </c>
    </row>
    <row r="29" spans="1:15">
      <c r="A29" s="2">
        <v>40732</v>
      </c>
      <c r="B29" t="s">
        <v>36</v>
      </c>
      <c r="C29">
        <v>8</v>
      </c>
      <c r="D29" s="6" t="s">
        <v>12</v>
      </c>
      <c r="E29">
        <v>218</v>
      </c>
      <c r="F29">
        <v>1.1000000000000001</v>
      </c>
      <c r="G29">
        <v>0</v>
      </c>
      <c r="N29">
        <f t="shared" si="1"/>
        <v>69.05738418333334</v>
      </c>
      <c r="O29">
        <f>IF(AND(OR(D29="S. acutus",D29="S. californicus",D29="S. tabernaemontani"),G29=0),E29*[1]Sheet1!$D$7+[1]Sheet1!$L$7,IF(AND(OR(D29="S. acutus",D29="S. tabernaemontani"),G29&gt;0),E29*[1]Sheet1!$D$8+N29*[1]Sheet1!$E$8,IF(AND(D29="S. californicus",G29&gt;0),E29*[1]Sheet1!$D$9+N29*[1]Sheet1!$E$9,IF(D29="S.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latifolia"),E29&gt;0),F29*[1]Sheet1!$C$4+E29*[1]Sheet1!$D$4+H29*[1]Sheet1!$J$4+I29*[1]Sheet1!$K$4+[1]Sheet1!$L$4,IF(AND(OR(D29="T. domingensis",D29="T. latifolia"),J29&gt;0),J29*[1]Sheet1!$G$5+K29*[1]Sheet1!$H$5+L29*[1]Sheet1!$I$5+[1]Sheet1!$L$5,0)))))))</f>
        <v>10.692292999999999</v>
      </c>
    </row>
    <row r="30" spans="1:15">
      <c r="A30" s="2">
        <v>40732</v>
      </c>
      <c r="B30" t="s">
        <v>36</v>
      </c>
      <c r="C30">
        <v>8</v>
      </c>
      <c r="D30" s="6" t="s">
        <v>12</v>
      </c>
      <c r="E30">
        <v>236</v>
      </c>
      <c r="F30">
        <v>1.1000000000000001</v>
      </c>
      <c r="G30">
        <v>4</v>
      </c>
      <c r="N30">
        <f t="shared" si="1"/>
        <v>74.75937003333334</v>
      </c>
      <c r="O30">
        <f>IF(AND(OR(D30="S. acutus",D30="S. californicus",D30="S. tabernaemontani"),G30=0),E30*[1]Sheet1!$D$7+[1]Sheet1!$L$7,IF(AND(OR(D30="S. acutus",D30="S. tabernaemontani"),G30&gt;0),E30*[1]Sheet1!$D$8+N30*[1]Sheet1!$E$8,IF(AND(D30="S. californicus",G30&gt;0),E30*[1]Sheet1!$D$9+N30*[1]Sheet1!$E$9,IF(D30="S.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latifolia"),E30&gt;0),F30*[1]Sheet1!$C$4+E30*[1]Sheet1!$D$4+H30*[1]Sheet1!$J$4+I30*[1]Sheet1!$K$4+[1]Sheet1!$L$4,IF(AND(OR(D30="T. domingensis",D30="T. latifolia"),J30&gt;0),J30*[1]Sheet1!$G$5+K30*[1]Sheet1!$H$5+L30*[1]Sheet1!$I$5+[1]Sheet1!$L$5,0)))))))</f>
        <v>11.494994598506365</v>
      </c>
    </row>
    <row r="31" spans="1:15">
      <c r="A31" s="2">
        <v>40732</v>
      </c>
      <c r="B31" t="s">
        <v>36</v>
      </c>
      <c r="C31">
        <v>8</v>
      </c>
      <c r="D31" s="6" t="s">
        <v>12</v>
      </c>
      <c r="E31">
        <v>240</v>
      </c>
      <c r="F31">
        <v>0.98</v>
      </c>
      <c r="G31">
        <v>0</v>
      </c>
      <c r="N31">
        <f t="shared" si="1"/>
        <v>60.343660719999988</v>
      </c>
      <c r="O31">
        <f>IF(AND(OR(D31="S. acutus",D31="S. californicus",D31="S. tabernaemontani"),G31=0),E31*[1]Sheet1!$D$7+[1]Sheet1!$L$7,IF(AND(OR(D31="S. acutus",D31="S. tabernaemontani"),G31&gt;0),E31*[1]Sheet1!$D$8+N31*[1]Sheet1!$E$8,IF(AND(D31="S. californicus",G31&gt;0),E31*[1]Sheet1!$D$9+N31*[1]Sheet1!$E$9,IF(D31="S.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latifolia"),E31&gt;0),F31*[1]Sheet1!$C$4+E31*[1]Sheet1!$D$4+H31*[1]Sheet1!$J$4+I31*[1]Sheet1!$K$4+[1]Sheet1!$L$4,IF(AND(OR(D31="T. domingensis",D31="T. latifolia"),J31&gt;0),J31*[1]Sheet1!$G$5+K31*[1]Sheet1!$H$5+L31*[1]Sheet1!$I$5+[1]Sheet1!$L$5,0)))))))</f>
        <v>12.234603</v>
      </c>
    </row>
    <row r="32" spans="1:15">
      <c r="A32" s="2">
        <v>40732</v>
      </c>
      <c r="B32" t="s">
        <v>36</v>
      </c>
      <c r="C32">
        <v>8</v>
      </c>
      <c r="D32" s="6" t="s">
        <v>12</v>
      </c>
      <c r="E32">
        <v>240</v>
      </c>
      <c r="F32">
        <v>1.1000000000000001</v>
      </c>
      <c r="G32">
        <v>0</v>
      </c>
      <c r="N32">
        <f t="shared" si="1"/>
        <v>76.026477999999997</v>
      </c>
      <c r="O32">
        <f>IF(AND(OR(D32="S. acutus",D32="S. californicus",D32="S. tabernaemontani"),G32=0),E32*[1]Sheet1!$D$7+[1]Sheet1!$L$7,IF(AND(OR(D32="S. acutus",D32="S. tabernaemontani"),G32&gt;0),E32*[1]Sheet1!$D$8+N32*[1]Sheet1!$E$8,IF(AND(D32="S. californicus",G32&gt;0),E32*[1]Sheet1!$D$9+N32*[1]Sheet1!$E$9,IF(D32="S.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latifolia"),E32&gt;0),F32*[1]Sheet1!$C$4+E32*[1]Sheet1!$D$4+H32*[1]Sheet1!$J$4+I32*[1]Sheet1!$K$4+[1]Sheet1!$L$4,IF(AND(OR(D32="T. domingensis",D32="T. latifolia"),J32&gt;0),J32*[1]Sheet1!$G$5+K32*[1]Sheet1!$H$5+L32*[1]Sheet1!$I$5+[1]Sheet1!$L$5,0)))))))</f>
        <v>12.234603</v>
      </c>
    </row>
    <row r="33" spans="1:15">
      <c r="A33" s="2">
        <v>40732</v>
      </c>
      <c r="B33" t="s">
        <v>36</v>
      </c>
      <c r="C33">
        <v>8</v>
      </c>
      <c r="D33" s="6" t="s">
        <v>12</v>
      </c>
      <c r="E33">
        <v>241</v>
      </c>
      <c r="F33">
        <v>0.97</v>
      </c>
      <c r="G33">
        <v>7</v>
      </c>
      <c r="N33">
        <f t="shared" si="1"/>
        <v>59.364767455916656</v>
      </c>
      <c r="O33">
        <f>IF(AND(OR(D33="S. acutus",D33="S. californicus",D33="S. tabernaemontani"),G33=0),E33*[1]Sheet1!$D$7+[1]Sheet1!$L$7,IF(AND(OR(D33="S. acutus",D33="S. tabernaemontani"),G33&gt;0),E33*[1]Sheet1!$D$8+N33*[1]Sheet1!$E$8,IF(AND(D33="S. californicus",G33&gt;0),E33*[1]Sheet1!$D$9+N33*[1]Sheet1!$E$9,IF(D33="S.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latifolia"),E33&gt;0),F33*[1]Sheet1!$C$4+E33*[1]Sheet1!$D$4+H33*[1]Sheet1!$J$4+I33*[1]Sheet1!$K$4+[1]Sheet1!$L$4,IF(AND(OR(D33="T. domingensis",D33="T. latifolia"),J33&gt;0),J33*[1]Sheet1!$G$5+K33*[1]Sheet1!$H$5+L33*[1]Sheet1!$I$5+[1]Sheet1!$L$5,0)))))))</f>
        <v>11.191810040371227</v>
      </c>
    </row>
    <row r="34" spans="1:15">
      <c r="A34" s="2">
        <v>40732</v>
      </c>
      <c r="B34" t="s">
        <v>36</v>
      </c>
      <c r="C34">
        <v>8</v>
      </c>
      <c r="D34" s="6" t="s">
        <v>12</v>
      </c>
      <c r="E34">
        <v>250</v>
      </c>
      <c r="F34">
        <v>1.01</v>
      </c>
      <c r="G34">
        <v>0</v>
      </c>
      <c r="N34">
        <f t="shared" si="1"/>
        <v>66.765332479166659</v>
      </c>
      <c r="O34">
        <f>IF(AND(OR(D34="S. acutus",D34="S. californicus",D34="S. tabernaemontani"),G34=0),E34*[1]Sheet1!$D$7+[1]Sheet1!$L$7,IF(AND(OR(D34="S. acutus",D34="S. tabernaemontani"),G34&gt;0),E34*[1]Sheet1!$D$8+N34*[1]Sheet1!$E$8,IF(AND(D34="S. californicus",G34&gt;0),E34*[1]Sheet1!$D$9+N34*[1]Sheet1!$E$9,IF(D34="S.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latifolia"),E34&gt;0),F34*[1]Sheet1!$C$4+E34*[1]Sheet1!$D$4+H34*[1]Sheet1!$J$4+I34*[1]Sheet1!$K$4+[1]Sheet1!$L$4,IF(AND(OR(D34="T. domingensis",D34="T. latifolia"),J34&gt;0),J34*[1]Sheet1!$G$5+K34*[1]Sheet1!$H$5+L34*[1]Sheet1!$I$5+[1]Sheet1!$L$5,0)))))))</f>
        <v>12.935653000000002</v>
      </c>
    </row>
    <row r="35" spans="1:15">
      <c r="A35" s="2">
        <v>40732</v>
      </c>
      <c r="B35" t="s">
        <v>36</v>
      </c>
      <c r="C35">
        <v>8</v>
      </c>
      <c r="D35" s="6" t="s">
        <v>12</v>
      </c>
      <c r="E35">
        <v>250</v>
      </c>
      <c r="F35">
        <v>0.68</v>
      </c>
      <c r="G35">
        <v>2</v>
      </c>
      <c r="N35">
        <f t="shared" si="1"/>
        <v>30.263983666666668</v>
      </c>
      <c r="O35">
        <f>IF(AND(OR(D35="S. acutus",D35="S. californicus",D35="S. tabernaemontani"),G35=0),E35*[1]Sheet1!$D$7+[1]Sheet1!$L$7,IF(AND(OR(D35="S. acutus",D35="S. tabernaemontani"),G35&gt;0),E35*[1]Sheet1!$D$8+N35*[1]Sheet1!$E$8,IF(AND(D35="S. californicus",G35&gt;0),E35*[1]Sheet1!$D$9+N35*[1]Sheet1!$E$9,IF(D35="S.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latifolia"),E35&gt;0),F35*[1]Sheet1!$C$4+E35*[1]Sheet1!$D$4+H35*[1]Sheet1!$J$4+I35*[1]Sheet1!$K$4+[1]Sheet1!$L$4,IF(AND(OR(D35="T. domingensis",D35="T. latifolia"),J35&gt;0),J35*[1]Sheet1!$G$5+K35*[1]Sheet1!$H$5+L35*[1]Sheet1!$I$5+[1]Sheet1!$L$5,0)))))))</f>
        <v>10.601302511651967</v>
      </c>
    </row>
    <row r="36" spans="1:15">
      <c r="A36" s="2">
        <v>40732</v>
      </c>
      <c r="B36" t="s">
        <v>36</v>
      </c>
      <c r="C36">
        <v>8</v>
      </c>
      <c r="D36" s="6" t="s">
        <v>12</v>
      </c>
      <c r="E36">
        <v>260</v>
      </c>
      <c r="F36">
        <v>0.85</v>
      </c>
      <c r="G36">
        <v>5</v>
      </c>
      <c r="N36">
        <f t="shared" si="1"/>
        <v>49.178973458333317</v>
      </c>
      <c r="O36">
        <f>IF(AND(OR(D36="S. acutus",D36="S. californicus",D36="S. tabernaemontani"),G36=0),E36*[1]Sheet1!$D$7+[1]Sheet1!$L$7,IF(AND(OR(D36="S. acutus",D36="S. tabernaemontani"),G36&gt;0),E36*[1]Sheet1!$D$8+N36*[1]Sheet1!$E$8,IF(AND(D36="S. californicus",G36&gt;0),E36*[1]Sheet1!$D$9+N36*[1]Sheet1!$E$9,IF(D36="S.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latifolia"),E36&gt;0),F36*[1]Sheet1!$C$4+E36*[1]Sheet1!$D$4+H36*[1]Sheet1!$J$4+I36*[1]Sheet1!$K$4+[1]Sheet1!$L$4,IF(AND(OR(D36="T. domingensis",D36="T. latifolia"),J36&gt;0),J36*[1]Sheet1!$G$5+K36*[1]Sheet1!$H$5+L36*[1]Sheet1!$I$5+[1]Sheet1!$L$5,0)))))))</f>
        <v>11.595453206434446</v>
      </c>
    </row>
    <row r="37" spans="1:15">
      <c r="A37" s="2">
        <v>40732</v>
      </c>
      <c r="B37" t="s">
        <v>36</v>
      </c>
      <c r="C37">
        <v>8</v>
      </c>
      <c r="D37" s="6" t="s">
        <v>12</v>
      </c>
      <c r="E37">
        <v>265</v>
      </c>
      <c r="F37">
        <v>0.89</v>
      </c>
      <c r="G37">
        <v>6</v>
      </c>
      <c r="N37">
        <f t="shared" si="1"/>
        <v>54.953346777916664</v>
      </c>
      <c r="O37">
        <f>IF(AND(OR(D37="S. acutus",D37="S. californicus",D37="S. tabernaemontani"),G37=0),E37*[1]Sheet1!$D$7+[1]Sheet1!$L$7,IF(AND(OR(D37="S. acutus",D37="S. tabernaemontani"),G37&gt;0),E37*[1]Sheet1!$D$8+N37*[1]Sheet1!$E$8,IF(AND(D37="S. californicus",G37&gt;0),E37*[1]Sheet1!$D$9+N37*[1]Sheet1!$E$9,IF(D37="S.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latifolia"),E37&gt;0),F37*[1]Sheet1!$C$4+E37*[1]Sheet1!$D$4+H37*[1]Sheet1!$J$4+I37*[1]Sheet1!$K$4+[1]Sheet1!$L$4,IF(AND(OR(D37="T. domingensis",D37="T. latifolia"),J37&gt;0),J37*[1]Sheet1!$G$5+K37*[1]Sheet1!$H$5+L37*[1]Sheet1!$I$5+[1]Sheet1!$L$5,0)))))))</f>
        <v>11.973928724261016</v>
      </c>
    </row>
    <row r="38" spans="1:15">
      <c r="A38" s="2">
        <v>40732</v>
      </c>
      <c r="B38" t="s">
        <v>36</v>
      </c>
      <c r="C38">
        <v>8</v>
      </c>
      <c r="D38" s="6" t="s">
        <v>12</v>
      </c>
      <c r="E38">
        <v>267</v>
      </c>
      <c r="F38">
        <v>1</v>
      </c>
      <c r="G38">
        <v>0</v>
      </c>
      <c r="N38">
        <f t="shared" si="1"/>
        <v>69.900377499999991</v>
      </c>
      <c r="O38">
        <f>IF(AND(OR(D38="S. acutus",D38="S. californicus",D38="S. tabernaemontani"),G38=0),E38*[1]Sheet1!$D$7+[1]Sheet1!$L$7,IF(AND(OR(D38="S. acutus",D38="S. tabernaemontani"),G38&gt;0),E38*[1]Sheet1!$D$8+N38*[1]Sheet1!$E$8,IF(AND(D38="S. californicus",G38&gt;0),E38*[1]Sheet1!$D$9+N38*[1]Sheet1!$E$9,IF(D38="S.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latifolia"),E38&gt;0),F38*[1]Sheet1!$C$4+E38*[1]Sheet1!$D$4+H38*[1]Sheet1!$J$4+I38*[1]Sheet1!$K$4+[1]Sheet1!$L$4,IF(AND(OR(D38="T. domingensis",D38="T. latifolia"),J38&gt;0),J38*[1]Sheet1!$G$5+K38*[1]Sheet1!$H$5+L38*[1]Sheet1!$I$5+[1]Sheet1!$L$5,0)))))))</f>
        <v>14.127438000000001</v>
      </c>
    </row>
    <row r="39" spans="1:15">
      <c r="A39" s="2">
        <v>40732</v>
      </c>
      <c r="B39" t="s">
        <v>36</v>
      </c>
      <c r="C39">
        <v>8</v>
      </c>
      <c r="D39" s="6" t="s">
        <v>12</v>
      </c>
      <c r="E39">
        <v>269</v>
      </c>
      <c r="F39">
        <v>1.03</v>
      </c>
      <c r="G39">
        <v>9</v>
      </c>
      <c r="N39">
        <f t="shared" si="1"/>
        <v>74.712795961583325</v>
      </c>
      <c r="O39">
        <f>IF(AND(OR(D39="S. acutus",D39="S. californicus",D39="S. tabernaemontani"),G39=0),E39*[1]Sheet1!$D$7+[1]Sheet1!$L$7,IF(AND(OR(D39="S. acutus",D39="S. tabernaemontani"),G39&gt;0),E39*[1]Sheet1!$D$8+N39*[1]Sheet1!$E$8,IF(AND(D39="S. californicus",G39&gt;0),E39*[1]Sheet1!$D$9+N39*[1]Sheet1!$E$9,IF(D39="S.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latifolia"),E39&gt;0),F39*[1]Sheet1!$C$4+E39*[1]Sheet1!$D$4+H39*[1]Sheet1!$J$4+I39*[1]Sheet1!$K$4+[1]Sheet1!$L$4,IF(AND(OR(D39="T. domingensis",D39="T. latifolia"),J39&gt;0),J39*[1]Sheet1!$G$5+K39*[1]Sheet1!$H$5+L39*[1]Sheet1!$I$5+[1]Sheet1!$L$5,0)))))))</f>
        <v>12.764229171479348</v>
      </c>
    </row>
    <row r="40" spans="1:15">
      <c r="A40" s="2">
        <v>40732</v>
      </c>
      <c r="B40" t="s">
        <v>36</v>
      </c>
      <c r="C40">
        <v>8</v>
      </c>
      <c r="D40" s="6" t="s">
        <v>12</v>
      </c>
      <c r="E40">
        <v>279</v>
      </c>
      <c r="F40">
        <v>1</v>
      </c>
      <c r="G40">
        <v>0</v>
      </c>
      <c r="N40">
        <f t="shared" si="1"/>
        <v>73.041967499999998</v>
      </c>
      <c r="O40">
        <f>IF(AND(OR(D40="S. acutus",D40="S. californicus",D40="S. tabernaemontani"),G40=0),E40*[1]Sheet1!$D$7+[1]Sheet1!$L$7,IF(AND(OR(D40="S. acutus",D40="S. tabernaemontani"),G40&gt;0),E40*[1]Sheet1!$D$8+N40*[1]Sheet1!$E$8,IF(AND(D40="S. californicus",G40&gt;0),E40*[1]Sheet1!$D$9+N40*[1]Sheet1!$E$9,IF(D40="S.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latifolia"),E40&gt;0),F40*[1]Sheet1!$C$4+E40*[1]Sheet1!$D$4+H40*[1]Sheet1!$J$4+I40*[1]Sheet1!$K$4+[1]Sheet1!$L$4,IF(AND(OR(D40="T. domingensis",D40="T. latifolia"),J40&gt;0),J40*[1]Sheet1!$G$5+K40*[1]Sheet1!$H$5+L40*[1]Sheet1!$I$5+[1]Sheet1!$L$5,0)))))))</f>
        <v>14.968698</v>
      </c>
    </row>
    <row r="41" spans="1:15">
      <c r="A41" s="2">
        <v>40732</v>
      </c>
      <c r="B41" t="s">
        <v>36</v>
      </c>
      <c r="C41">
        <v>8</v>
      </c>
      <c r="D41" s="6" t="s">
        <v>12</v>
      </c>
      <c r="E41">
        <v>279</v>
      </c>
      <c r="F41">
        <v>0.8</v>
      </c>
      <c r="G41">
        <v>5</v>
      </c>
      <c r="N41">
        <f t="shared" si="1"/>
        <v>46.746859200000003</v>
      </c>
      <c r="O41">
        <f>IF(AND(OR(D41="S. acutus",D41="S. californicus",D41="S. tabernaemontani"),G41=0),E41*[1]Sheet1!$D$7+[1]Sheet1!$L$7,IF(AND(OR(D41="S. acutus",D41="S. tabernaemontani"),G41&gt;0),E41*[1]Sheet1!$D$8+N41*[1]Sheet1!$E$8,IF(AND(D41="S. californicus",G41&gt;0),E41*[1]Sheet1!$D$9+N41*[1]Sheet1!$E$9,IF(D41="S.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latifolia"),E41&gt;0),F41*[1]Sheet1!$C$4+E41*[1]Sheet1!$D$4+H41*[1]Sheet1!$J$4+I41*[1]Sheet1!$K$4+[1]Sheet1!$L$4,IF(AND(OR(D41="T. domingensis",D41="T. latifolia"),J41&gt;0),J41*[1]Sheet1!$G$5+K41*[1]Sheet1!$H$5+L41*[1]Sheet1!$I$5+[1]Sheet1!$L$5,0)))))))</f>
        <v>12.248771838413282</v>
      </c>
    </row>
    <row r="42" spans="1:15">
      <c r="A42" s="2">
        <v>40732</v>
      </c>
      <c r="B42" t="s">
        <v>36</v>
      </c>
      <c r="C42">
        <v>8</v>
      </c>
      <c r="D42" s="6" t="s">
        <v>12</v>
      </c>
      <c r="E42">
        <v>279</v>
      </c>
      <c r="F42">
        <v>1.1599999999999999</v>
      </c>
      <c r="G42">
        <v>3</v>
      </c>
      <c r="N42">
        <f t="shared" si="1"/>
        <v>98.285271467999976</v>
      </c>
      <c r="O42">
        <f>IF(AND(OR(D42="S. acutus",D42="S. californicus",D42="S. tabernaemontani"),G42=0),E42*[1]Sheet1!$D$7+[1]Sheet1!$L$7,IF(AND(OR(D42="S. acutus",D42="S. tabernaemontani"),G42&gt;0),E42*[1]Sheet1!$D$8+N42*[1]Sheet1!$E$8,IF(AND(D42="S. californicus",G42&gt;0),E42*[1]Sheet1!$D$9+N42*[1]Sheet1!$E$9,IF(D42="S.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latifolia"),E42&gt;0),F42*[1]Sheet1!$C$4+E42*[1]Sheet1!$D$4+H42*[1]Sheet1!$J$4+I42*[1]Sheet1!$K$4+[1]Sheet1!$L$4,IF(AND(OR(D42="T. domingensis",D42="T. latifolia"),J42&gt;0),J42*[1]Sheet1!$G$5+K42*[1]Sheet1!$H$5+L42*[1]Sheet1!$I$5+[1]Sheet1!$L$5,0)))))))</f>
        <v>13.908355098013921</v>
      </c>
    </row>
    <row r="43" spans="1:15">
      <c r="A43" s="2">
        <v>40732</v>
      </c>
      <c r="B43" t="s">
        <v>36</v>
      </c>
      <c r="C43">
        <v>8</v>
      </c>
      <c r="D43" s="6" t="s">
        <v>12</v>
      </c>
      <c r="E43">
        <v>280</v>
      </c>
      <c r="F43">
        <v>0.9</v>
      </c>
      <c r="G43">
        <v>0</v>
      </c>
      <c r="N43">
        <f t="shared" si="1"/>
        <v>59.376050999999997</v>
      </c>
      <c r="O43">
        <f>IF(AND(OR(D43="S. acutus",D43="S. californicus",D43="S. tabernaemontani"),G43=0),E43*[1]Sheet1!$D$7+[1]Sheet1!$L$7,IF(AND(OR(D43="S. acutus",D43="S. tabernaemontani"),G43&gt;0),E43*[1]Sheet1!$D$8+N43*[1]Sheet1!$E$8,IF(AND(D43="S. californicus",G43&gt;0),E43*[1]Sheet1!$D$9+N43*[1]Sheet1!$E$9,IF(D43="S.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latifolia"),E43&gt;0),F43*[1]Sheet1!$C$4+E43*[1]Sheet1!$D$4+H43*[1]Sheet1!$J$4+I43*[1]Sheet1!$K$4+[1]Sheet1!$L$4,IF(AND(OR(D43="T. domingensis",D43="T. latifolia"),J43&gt;0),J43*[1]Sheet1!$G$5+K43*[1]Sheet1!$H$5+L43*[1]Sheet1!$I$5+[1]Sheet1!$L$5,0)))))))</f>
        <v>15.038803000000001</v>
      </c>
    </row>
    <row r="44" spans="1:15">
      <c r="A44" s="2">
        <v>40732</v>
      </c>
      <c r="B44" t="s">
        <v>36</v>
      </c>
      <c r="C44">
        <v>8</v>
      </c>
      <c r="D44" s="6" t="s">
        <v>12</v>
      </c>
      <c r="E44">
        <v>301</v>
      </c>
      <c r="F44">
        <v>1.18</v>
      </c>
      <c r="G44">
        <v>12</v>
      </c>
      <c r="N44">
        <f t="shared" si="1"/>
        <v>109.72327705966664</v>
      </c>
      <c r="O44">
        <f>IF(AND(OR(D44="S. acutus",D44="S. californicus",D44="S. tabernaemontani"),G44=0),E44*[1]Sheet1!$D$7+[1]Sheet1!$L$7,IF(AND(OR(D44="S. acutus",D44="S. tabernaemontani"),G44&gt;0),E44*[1]Sheet1!$D$8+N44*[1]Sheet1!$E$8,IF(AND(D44="S. californicus",G44&gt;0),E44*[1]Sheet1!$D$9+N44*[1]Sheet1!$E$9,IF(D44="S.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latifolia"),E44&gt;0),F44*[1]Sheet1!$C$4+E44*[1]Sheet1!$D$4+H44*[1]Sheet1!$J$4+I44*[1]Sheet1!$K$4+[1]Sheet1!$L$4,IF(AND(OR(D44="T. domingensis",D44="T. latifolia"),J44&gt;0),J44*[1]Sheet1!$G$5+K44*[1]Sheet1!$H$5+L44*[1]Sheet1!$I$5+[1]Sheet1!$L$5,0)))))))</f>
        <v>15.12382537227062</v>
      </c>
    </row>
    <row r="45" spans="1:15">
      <c r="A45" s="2">
        <v>40732</v>
      </c>
      <c r="B45" t="s">
        <v>36</v>
      </c>
      <c r="C45">
        <v>8</v>
      </c>
      <c r="D45" s="6" t="s">
        <v>12</v>
      </c>
      <c r="E45">
        <v>302</v>
      </c>
      <c r="F45">
        <v>0.9</v>
      </c>
      <c r="G45">
        <v>0</v>
      </c>
      <c r="N45">
        <f t="shared" si="1"/>
        <v>64.041312149999996</v>
      </c>
      <c r="O45">
        <f>IF(AND(OR(D45="S. acutus",D45="S. californicus",D45="S. tabernaemontani"),G45=0),E45*[1]Sheet1!$D$7+[1]Sheet1!$L$7,IF(AND(OR(D45="S. acutus",D45="S. tabernaemontani"),G45&gt;0),E45*[1]Sheet1!$D$8+N45*[1]Sheet1!$E$8,IF(AND(D45="S. californicus",G45&gt;0),E45*[1]Sheet1!$D$9+N45*[1]Sheet1!$E$9,IF(D45="S.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latifolia"),E45&gt;0),F45*[1]Sheet1!$C$4+E45*[1]Sheet1!$D$4+H45*[1]Sheet1!$J$4+I45*[1]Sheet1!$K$4+[1]Sheet1!$L$4,IF(AND(OR(D45="T. domingensis",D45="T. latifolia"),J45&gt;0),J45*[1]Sheet1!$G$5+K45*[1]Sheet1!$H$5+L45*[1]Sheet1!$I$5+[1]Sheet1!$L$5,0)))))))</f>
        <v>16.581113000000002</v>
      </c>
    </row>
    <row r="46" spans="1:15">
      <c r="A46" s="2">
        <v>40732</v>
      </c>
      <c r="B46" t="s">
        <v>36</v>
      </c>
      <c r="C46">
        <v>8</v>
      </c>
      <c r="D46" s="6" t="s">
        <v>12</v>
      </c>
      <c r="E46">
        <v>304</v>
      </c>
      <c r="F46">
        <v>0.98</v>
      </c>
      <c r="G46">
        <v>0</v>
      </c>
      <c r="N46">
        <f t="shared" si="1"/>
        <v>76.435303578666648</v>
      </c>
      <c r="O46">
        <f>IF(AND(OR(D46="S. acutus",D46="S. californicus",D46="S. tabernaemontani"),G46=0),E46*[1]Sheet1!$D$7+[1]Sheet1!$L$7,IF(AND(OR(D46="S. acutus",D46="S. tabernaemontani"),G46&gt;0),E46*[1]Sheet1!$D$8+N46*[1]Sheet1!$E$8,IF(AND(D46="S. californicus",G46&gt;0),E46*[1]Sheet1!$D$9+N46*[1]Sheet1!$E$9,IF(D46="S.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latifolia"),E46&gt;0),F46*[1]Sheet1!$C$4+E46*[1]Sheet1!$D$4+H46*[1]Sheet1!$J$4+I46*[1]Sheet1!$K$4+[1]Sheet1!$L$4,IF(AND(OR(D46="T. domingensis",D46="T. latifolia"),J46&gt;0),J46*[1]Sheet1!$G$5+K46*[1]Sheet1!$H$5+L46*[1]Sheet1!$I$5+[1]Sheet1!$L$5,0)))))))</f>
        <v>16.721323000000002</v>
      </c>
    </row>
    <row r="47" spans="1:15">
      <c r="A47" s="2">
        <v>40732</v>
      </c>
      <c r="B47" t="s">
        <v>36</v>
      </c>
      <c r="C47">
        <v>8</v>
      </c>
      <c r="D47" s="6" t="s">
        <v>12</v>
      </c>
      <c r="E47">
        <v>305</v>
      </c>
      <c r="F47">
        <v>1.07</v>
      </c>
      <c r="G47">
        <v>3</v>
      </c>
      <c r="N47">
        <f t="shared" si="1"/>
        <v>91.418829104583324</v>
      </c>
      <c r="O47">
        <f>IF(AND(OR(D47="S. acutus",D47="S. californicus",D47="S. tabernaemontani"),G47=0),E47*[1]Sheet1!$D$7+[1]Sheet1!$L$7,IF(AND(OR(D47="S. acutus",D47="S. tabernaemontani"),G47&gt;0),E47*[1]Sheet1!$D$8+N47*[1]Sheet1!$E$8,IF(AND(D47="S. californicus",G47&gt;0),E47*[1]Sheet1!$D$9+N47*[1]Sheet1!$E$9,IF(D47="S.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latifolia"),E47&gt;0),F47*[1]Sheet1!$C$4+E47*[1]Sheet1!$D$4+H47*[1]Sheet1!$J$4+I47*[1]Sheet1!$K$4+[1]Sheet1!$L$4,IF(AND(OR(D47="T. domingensis",D47="T. latifolia"),J47&gt;0),J47*[1]Sheet1!$G$5+K47*[1]Sheet1!$H$5+L47*[1]Sheet1!$I$5+[1]Sheet1!$L$5,0)))))))</f>
        <v>14.688434074113777</v>
      </c>
    </row>
    <row r="48" spans="1:15">
      <c r="A48" s="2">
        <v>40732</v>
      </c>
      <c r="B48" t="s">
        <v>36</v>
      </c>
      <c r="C48">
        <v>8</v>
      </c>
      <c r="D48" s="6" t="s">
        <v>12</v>
      </c>
      <c r="E48">
        <v>312</v>
      </c>
      <c r="F48">
        <v>1.26</v>
      </c>
      <c r="G48">
        <v>0</v>
      </c>
      <c r="N48">
        <f t="shared" si="1"/>
        <v>129.67729538399999</v>
      </c>
      <c r="O48">
        <f>IF(AND(OR(D48="S. acutus",D48="S. californicus",D48="S. tabernaemontani"),G48=0),E48*[1]Sheet1!$D$7+[1]Sheet1!$L$7,IF(AND(OR(D48="S. acutus",D48="S. tabernaemontani"),G48&gt;0),E48*[1]Sheet1!$D$8+N48*[1]Sheet1!$E$8,IF(AND(D48="S. californicus",G48&gt;0),E48*[1]Sheet1!$D$9+N48*[1]Sheet1!$E$9,IF(D48="S.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latifolia"),E48&gt;0),F48*[1]Sheet1!$C$4+E48*[1]Sheet1!$D$4+H48*[1]Sheet1!$J$4+I48*[1]Sheet1!$K$4+[1]Sheet1!$L$4,IF(AND(OR(D48="T. domingensis",D48="T. latifolia"),J48&gt;0),J48*[1]Sheet1!$G$5+K48*[1]Sheet1!$H$5+L48*[1]Sheet1!$I$5+[1]Sheet1!$L$5,0)))))))</f>
        <v>17.282163000000001</v>
      </c>
    </row>
    <row r="49" spans="1:15">
      <c r="A49" s="2">
        <v>40732</v>
      </c>
      <c r="B49" t="s">
        <v>36</v>
      </c>
      <c r="C49">
        <v>8</v>
      </c>
      <c r="D49" s="6" t="s">
        <v>12</v>
      </c>
      <c r="E49">
        <v>317</v>
      </c>
      <c r="F49">
        <v>1.3</v>
      </c>
      <c r="G49">
        <v>0</v>
      </c>
      <c r="N49">
        <f t="shared" si="1"/>
        <v>140.25366755833332</v>
      </c>
      <c r="O49">
        <f>IF(AND(OR(D49="S. acutus",D49="S. californicus",D49="S. tabernaemontani"),G49=0),E49*[1]Sheet1!$D$7+[1]Sheet1!$L$7,IF(AND(OR(D49="S. acutus",D49="S. tabernaemontani"),G49&gt;0),E49*[1]Sheet1!$D$8+N49*[1]Sheet1!$E$8,IF(AND(D49="S. californicus",G49&gt;0),E49*[1]Sheet1!$D$9+N49*[1]Sheet1!$E$9,IF(D49="S.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latifolia"),E49&gt;0),F49*[1]Sheet1!$C$4+E49*[1]Sheet1!$D$4+H49*[1]Sheet1!$J$4+I49*[1]Sheet1!$K$4+[1]Sheet1!$L$4,IF(AND(OR(D49="T. domingensis",D49="T. latifolia"),J49&gt;0),J49*[1]Sheet1!$G$5+K49*[1]Sheet1!$H$5+L49*[1]Sheet1!$I$5+[1]Sheet1!$L$5,0)))))))</f>
        <v>17.632688000000002</v>
      </c>
    </row>
    <row r="50" spans="1:15">
      <c r="A50" s="2">
        <v>40732</v>
      </c>
      <c r="B50" t="s">
        <v>36</v>
      </c>
      <c r="C50">
        <v>8</v>
      </c>
      <c r="D50" s="6" t="s">
        <v>12</v>
      </c>
      <c r="E50">
        <v>326</v>
      </c>
      <c r="F50">
        <v>1.01</v>
      </c>
      <c r="G50">
        <v>3</v>
      </c>
      <c r="N50">
        <f t="shared" si="1"/>
        <v>87.061993552833329</v>
      </c>
      <c r="O50">
        <f>IF(AND(OR(D50="S. acutus",D50="S. californicus",D50="S. tabernaemontani"),G50=0),E50*[1]Sheet1!$D$7+[1]Sheet1!$L$7,IF(AND(OR(D50="S. acutus",D50="S. tabernaemontani"),G50&gt;0),E50*[1]Sheet1!$D$8+N50*[1]Sheet1!$E$8,IF(AND(D50="S. californicus",G50&gt;0),E50*[1]Sheet1!$D$9+N50*[1]Sheet1!$E$9,IF(D50="S.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latifolia"),E50&gt;0),F50*[1]Sheet1!$C$4+E50*[1]Sheet1!$D$4+H50*[1]Sheet1!$J$4+I50*[1]Sheet1!$K$4+[1]Sheet1!$L$4,IF(AND(OR(D50="T. domingensis",D50="T. latifolia"),J50&gt;0),J50*[1]Sheet1!$G$5+K50*[1]Sheet1!$H$5+L50*[1]Sheet1!$I$5+[1]Sheet1!$L$5,0)))))))</f>
        <v>15.35678914819543</v>
      </c>
    </row>
    <row r="51" spans="1:15">
      <c r="A51" s="2">
        <v>40732</v>
      </c>
      <c r="B51" t="s">
        <v>36</v>
      </c>
      <c r="C51">
        <v>8</v>
      </c>
      <c r="D51" s="6" t="s">
        <v>16</v>
      </c>
      <c r="E51">
        <v>253</v>
      </c>
      <c r="F51">
        <v>0.95</v>
      </c>
      <c r="G51">
        <v>10</v>
      </c>
      <c r="N51">
        <f>((1/3)*(3.14159)*((F51/2)^2)*E51)</f>
        <v>59.777258222916657</v>
      </c>
      <c r="O51">
        <f>IF(AND(OR(D51="S. acutus",D51="S. californicus",D51="S. tabernaemontani"),G51=0),E51*[1]Sheet1!$D$7+[1]Sheet1!$L$7,IF(AND(OR(D51="S. acutus",D51="S. tabernaemontani"),G51&gt;0),E51*[1]Sheet1!$D$8+N51*[1]Sheet1!$E$8,IF(AND(D51="S. californicus",G51&gt;0),E51*[1]Sheet1!$D$9+N51*[1]Sheet1!$E$9,IF(D51="S.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latifolia"),E51&gt;0),F51*[1]Sheet1!$C$4+E51*[1]Sheet1!$D$4+H51*[1]Sheet1!$J$4+I51*[1]Sheet1!$K$4+[1]Sheet1!$L$4,IF(AND(OR(D51="T. domingensis",D51="T. latifolia"),J51&gt;0),J51*[1]Sheet1!$G$5+K51*[1]Sheet1!$H$5+L51*[1]Sheet1!$I$5+[1]Sheet1!$L$5,0)))))))</f>
        <v>11.667177814310318</v>
      </c>
    </row>
    <row r="52" spans="1:15">
      <c r="A52" s="2">
        <v>40732</v>
      </c>
      <c r="B52" t="s">
        <v>36</v>
      </c>
      <c r="C52">
        <v>8</v>
      </c>
      <c r="D52" s="6" t="s">
        <v>19</v>
      </c>
      <c r="E52">
        <v>293</v>
      </c>
      <c r="F52">
        <v>2.2000000000000002</v>
      </c>
      <c r="H52">
        <v>33</v>
      </c>
      <c r="I52">
        <v>1.9</v>
      </c>
      <c r="O52">
        <f>IF(AND(OR(D52="S. acutus",D52="S. californicus",D52="S. tabernaemontani"),G52=0),E52*[1]Sheet1!$D$7+[1]Sheet1!$L$7,IF(AND(OR(D52="S. acutus",D52="S. tabernaemontani"),G52&gt;0),E52*[1]Sheet1!$D$8+N52*[1]Sheet1!$E$8,IF(AND(D52="S. californicus",G52&gt;0),E52*[1]Sheet1!$D$9+N52*[1]Sheet1!$E$9,IF(D52="S.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latifolia"),E52&gt;0),F52*[1]Sheet1!$C$4+E52*[1]Sheet1!$D$4+H52*[1]Sheet1!$J$4+I52*[1]Sheet1!$K$4+[1]Sheet1!$L$4,IF(AND(OR(D52="T. domingensis",D52="T. latifolia"),J52&gt;0),J52*[1]Sheet1!$G$5+K52*[1]Sheet1!$H$5+L52*[1]Sheet1!$I$5+[1]Sheet1!$L$5,0)))))))</f>
        <v>97.129205800000022</v>
      </c>
    </row>
    <row r="53" spans="1:15">
      <c r="A53" s="2">
        <v>40732</v>
      </c>
      <c r="B53" t="s">
        <v>36</v>
      </c>
      <c r="C53">
        <v>8</v>
      </c>
      <c r="D53" s="6" t="s">
        <v>19</v>
      </c>
      <c r="E53">
        <v>301</v>
      </c>
      <c r="F53">
        <v>2.08</v>
      </c>
      <c r="H53">
        <v>23</v>
      </c>
      <c r="I53">
        <v>1.5</v>
      </c>
      <c r="O53">
        <f>IF(AND(OR(D53="S. acutus",D53="S. californicus",D53="S. tabernaemontani"),G53=0),E53*[1]Sheet1!$D$7+[1]Sheet1!$L$7,IF(AND(OR(D53="S. acutus",D53="S. tabernaemontani"),G53&gt;0),E53*[1]Sheet1!$D$8+N53*[1]Sheet1!$E$8,IF(AND(D53="S. californicus",G53&gt;0),E53*[1]Sheet1!$D$9+N53*[1]Sheet1!$E$9,IF(D53="S.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latifolia"),E53&gt;0),F53*[1]Sheet1!$C$4+E53*[1]Sheet1!$D$4+H53*[1]Sheet1!$J$4+I53*[1]Sheet1!$K$4+[1]Sheet1!$L$4,IF(AND(OR(D53="T. domingensis",D53="T. latifolia"),J53&gt;0),J53*[1]Sheet1!$G$5+K53*[1]Sheet1!$H$5+L53*[1]Sheet1!$I$5+[1]Sheet1!$L$5,0)))))))</f>
        <v>80.95625216000002</v>
      </c>
    </row>
    <row r="54" spans="1:15">
      <c r="A54" s="2">
        <v>40732</v>
      </c>
      <c r="B54" t="s">
        <v>36</v>
      </c>
      <c r="C54">
        <v>8</v>
      </c>
      <c r="D54" s="6" t="s">
        <v>19</v>
      </c>
      <c r="E54">
        <v>305</v>
      </c>
      <c r="F54">
        <v>2.25</v>
      </c>
      <c r="H54">
        <v>20</v>
      </c>
      <c r="I54">
        <v>1.2</v>
      </c>
      <c r="O54">
        <f>IF(AND(OR(D54="S. acutus",D54="S. californicus",D54="S. tabernaemontani"),G54=0),E54*[1]Sheet1!$D$7+[1]Sheet1!$L$7,IF(AND(OR(D54="S. acutus",D54="S. tabernaemontani"),G54&gt;0),E54*[1]Sheet1!$D$8+N54*[1]Sheet1!$E$8,IF(AND(D54="S. californicus",G54&gt;0),E54*[1]Sheet1!$D$9+N54*[1]Sheet1!$E$9,IF(D54="S.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latifolia"),E54&gt;0),F54*[1]Sheet1!$C$4+E54*[1]Sheet1!$D$4+H54*[1]Sheet1!$J$4+I54*[1]Sheet1!$K$4+[1]Sheet1!$L$4,IF(AND(OR(D54="T. domingensis",D54="T. latifolia"),J54&gt;0),J54*[1]Sheet1!$G$5+K54*[1]Sheet1!$H$5+L54*[1]Sheet1!$I$5+[1]Sheet1!$L$5,0)))))))</f>
        <v>77.413152849999989</v>
      </c>
    </row>
    <row r="55" spans="1:15">
      <c r="A55" s="2">
        <v>40732</v>
      </c>
      <c r="B55" t="s">
        <v>36</v>
      </c>
      <c r="C55">
        <v>8</v>
      </c>
      <c r="D55" s="6" t="s">
        <v>19</v>
      </c>
      <c r="E55">
        <v>307</v>
      </c>
      <c r="F55">
        <v>2.16</v>
      </c>
      <c r="H55">
        <v>28</v>
      </c>
      <c r="I55">
        <v>1.8</v>
      </c>
      <c r="O55">
        <f>IF(AND(OR(D55="S. acutus",D55="S. californicus",D55="S. tabernaemontani"),G55=0),E55*[1]Sheet1!$D$7+[1]Sheet1!$L$7,IF(AND(OR(D55="S. acutus",D55="S. tabernaemontani"),G55&gt;0),E55*[1]Sheet1!$D$8+N55*[1]Sheet1!$E$8,IF(AND(D55="S. californicus",G55&gt;0),E55*[1]Sheet1!$D$9+N55*[1]Sheet1!$E$9,IF(D55="S.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latifolia"),E55&gt;0),F55*[1]Sheet1!$C$4+E55*[1]Sheet1!$D$4+H55*[1]Sheet1!$J$4+I55*[1]Sheet1!$K$4+[1]Sheet1!$L$4,IF(AND(OR(D55="T. domingensis",D55="T. latifolia"),J55&gt;0),J55*[1]Sheet1!$G$5+K55*[1]Sheet1!$H$5+L55*[1]Sheet1!$I$5+[1]Sheet1!$L$5,0)))))))</f>
        <v>94.214392120000014</v>
      </c>
    </row>
    <row r="56" spans="1:15">
      <c r="A56" s="2">
        <v>40732</v>
      </c>
      <c r="B56" t="s">
        <v>36</v>
      </c>
      <c r="C56">
        <v>8</v>
      </c>
      <c r="D56" s="6" t="s">
        <v>19</v>
      </c>
      <c r="E56">
        <v>310</v>
      </c>
      <c r="F56">
        <v>2.25</v>
      </c>
      <c r="H56">
        <v>17</v>
      </c>
      <c r="I56">
        <v>2.2999999999999998</v>
      </c>
      <c r="O56">
        <f>IF(AND(OR(D56="S. acutus",D56="S. californicus",D56="S. tabernaemontani"),G56=0),E56*[1]Sheet1!$D$7+[1]Sheet1!$L$7,IF(AND(OR(D56="S. acutus",D56="S. tabernaemontani"),G56&gt;0),E56*[1]Sheet1!$D$8+N56*[1]Sheet1!$E$8,IF(AND(D56="S. californicus",G56&gt;0),E56*[1]Sheet1!$D$9+N56*[1]Sheet1!$E$9,IF(D56="S.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latifolia"),E56&gt;0),F56*[1]Sheet1!$C$4+E56*[1]Sheet1!$D$4+H56*[1]Sheet1!$J$4+I56*[1]Sheet1!$K$4+[1]Sheet1!$L$4,IF(AND(OR(D56="T. domingensis",D56="T. latifolia"),J56&gt;0),J56*[1]Sheet1!$G$5+K56*[1]Sheet1!$H$5+L56*[1]Sheet1!$I$5+[1]Sheet1!$L$5,0)))))))</f>
        <v>95.365076049999971</v>
      </c>
    </row>
    <row r="57" spans="1:15">
      <c r="A57" s="2">
        <v>40732</v>
      </c>
      <c r="B57" t="s">
        <v>36</v>
      </c>
      <c r="C57">
        <v>8</v>
      </c>
      <c r="D57" s="6" t="s">
        <v>19</v>
      </c>
      <c r="F57">
        <v>0.9</v>
      </c>
      <c r="J57">
        <f>SUM(153,160,183,186)</f>
        <v>682</v>
      </c>
      <c r="K57">
        <v>4</v>
      </c>
      <c r="L57">
        <v>186</v>
      </c>
      <c r="O57">
        <f>IF(AND(OR(D57="S. acutus",D57="S. californicus",D57="S. tabernaemontani"),G57=0),E57*[1]Sheet1!$D$7+[1]Sheet1!$L$7,IF(AND(OR(D57="S. acutus",D57="S. tabernaemontani"),G57&gt;0),E57*[1]Sheet1!$D$8+N57*[1]Sheet1!$E$8,IF(AND(D57="S. californicus",G57&gt;0),E57*[1]Sheet1!$D$9+N57*[1]Sheet1!$E$9,IF(D57="S.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latifolia"),E57&gt;0),F57*[1]Sheet1!$C$4+E57*[1]Sheet1!$D$4+H57*[1]Sheet1!$J$4+I57*[1]Sheet1!$K$4+[1]Sheet1!$L$4,IF(AND(OR(D57="T. domingensis",D57="T. latifolia"),J57&gt;0),J57*[1]Sheet1!$G$5+K57*[1]Sheet1!$H$5+L57*[1]Sheet1!$I$5+[1]Sheet1!$L$5,0)))))))</f>
        <v>12.856912000000008</v>
      </c>
    </row>
    <row r="58" spans="1:15">
      <c r="A58" s="2">
        <v>40732</v>
      </c>
      <c r="B58" t="s">
        <v>36</v>
      </c>
      <c r="C58">
        <v>19</v>
      </c>
      <c r="D58" s="6" t="s">
        <v>12</v>
      </c>
      <c r="E58">
        <v>213</v>
      </c>
      <c r="F58">
        <v>1.1200000000000001</v>
      </c>
      <c r="G58">
        <v>0</v>
      </c>
      <c r="N58">
        <f t="shared" ref="N58:N65" si="2">(1/3)*(3.14159)*((F58/2)^2)*E58</f>
        <v>69.949386304000001</v>
      </c>
      <c r="O58">
        <f>IF(AND(OR(D58="S. acutus",D58="S. californicus",D58="S. tabernaemontani"),G58=0),E58*[1]Sheet1!$D$7+[1]Sheet1!$L$7,IF(AND(OR(D58="S. acutus",D58="S. tabernaemontani"),G58&gt;0),E58*[1]Sheet1!$D$8+N58*[1]Sheet1!$E$8,IF(AND(D58="S. californicus",G58&gt;0),E58*[1]Sheet1!$D$9+N58*[1]Sheet1!$E$9,IF(D58="S.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latifolia"),E58&gt;0),F58*[1]Sheet1!$C$4+E58*[1]Sheet1!$D$4+H58*[1]Sheet1!$J$4+I58*[1]Sheet1!$K$4+[1]Sheet1!$L$4,IF(AND(OR(D58="T. domingensis",D58="T. latifolia"),J58&gt;0),J58*[1]Sheet1!$G$5+K58*[1]Sheet1!$H$5+L58*[1]Sheet1!$I$5+[1]Sheet1!$L$5,0)))))))</f>
        <v>10.341768000000002</v>
      </c>
    </row>
    <row r="59" spans="1:15">
      <c r="A59" s="2">
        <v>40732</v>
      </c>
      <c r="B59" t="s">
        <v>36</v>
      </c>
      <c r="C59">
        <v>19</v>
      </c>
      <c r="D59" s="6" t="s">
        <v>12</v>
      </c>
      <c r="E59">
        <v>231</v>
      </c>
      <c r="F59">
        <v>1.1399999999999999</v>
      </c>
      <c r="G59">
        <v>0</v>
      </c>
      <c r="N59">
        <f t="shared" si="2"/>
        <v>78.594099506999981</v>
      </c>
      <c r="O59">
        <f>IF(AND(OR(D59="S. acutus",D59="S. californicus",D59="S. tabernaemontani"),G59=0),E59*[1]Sheet1!$D$7+[1]Sheet1!$L$7,IF(AND(OR(D59="S. acutus",D59="S. tabernaemontani"),G59&gt;0),E59*[1]Sheet1!$D$8+N59*[1]Sheet1!$E$8,IF(AND(D59="S. californicus",G59&gt;0),E59*[1]Sheet1!$D$9+N59*[1]Sheet1!$E$9,IF(D59="S.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latifolia"),E59&gt;0),F59*[1]Sheet1!$C$4+E59*[1]Sheet1!$D$4+H59*[1]Sheet1!$J$4+I59*[1]Sheet1!$K$4+[1]Sheet1!$L$4,IF(AND(OR(D59="T. domingensis",D59="T. latifolia"),J59&gt;0),J59*[1]Sheet1!$G$5+K59*[1]Sheet1!$H$5+L59*[1]Sheet1!$I$5+[1]Sheet1!$L$5,0)))))))</f>
        <v>11.603658000000003</v>
      </c>
    </row>
    <row r="60" spans="1:15">
      <c r="A60" s="2">
        <v>40732</v>
      </c>
      <c r="B60" t="s">
        <v>36</v>
      </c>
      <c r="C60">
        <v>19</v>
      </c>
      <c r="D60" s="6" t="s">
        <v>12</v>
      </c>
      <c r="E60">
        <v>235</v>
      </c>
      <c r="F60">
        <v>0.9</v>
      </c>
      <c r="G60">
        <v>9</v>
      </c>
      <c r="N60">
        <f t="shared" si="2"/>
        <v>49.833471374999995</v>
      </c>
      <c r="O60">
        <f>IF(AND(OR(D60="S. acutus",D60="S. californicus",D60="S. tabernaemontani"),G60=0),E60*[1]Sheet1!$D$7+[1]Sheet1!$L$7,IF(AND(OR(D60="S. acutus",D60="S. tabernaemontani"),G60&gt;0),E60*[1]Sheet1!$D$8+N60*[1]Sheet1!$E$8,IF(AND(D60="S. californicus",G60&gt;0),E60*[1]Sheet1!$D$9+N60*[1]Sheet1!$E$9,IF(D60="S.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latifolia"),E60&gt;0),F60*[1]Sheet1!$C$4+E60*[1]Sheet1!$D$4+H60*[1]Sheet1!$J$4+I60*[1]Sheet1!$K$4+[1]Sheet1!$L$4,IF(AND(OR(D60="T. domingensis",D60="T. latifolia"),J60&gt;0),J60*[1]Sheet1!$G$5+K60*[1]Sheet1!$H$5+L60*[1]Sheet1!$I$5+[1]Sheet1!$L$5,0)))))))</f>
        <v>10.653851128399237</v>
      </c>
    </row>
    <row r="61" spans="1:15">
      <c r="A61" s="2">
        <v>40732</v>
      </c>
      <c r="B61" t="s">
        <v>36</v>
      </c>
      <c r="C61">
        <v>19</v>
      </c>
      <c r="D61" s="6" t="s">
        <v>12</v>
      </c>
      <c r="E61">
        <v>252</v>
      </c>
      <c r="F61">
        <v>1.47</v>
      </c>
      <c r="G61">
        <v>10</v>
      </c>
      <c r="N61">
        <f t="shared" si="2"/>
        <v>142.56189845099996</v>
      </c>
      <c r="O61">
        <f>IF(AND(OR(D61="S. acutus",D61="S. californicus",D61="S. tabernaemontani"),G61=0),E61*[1]Sheet1!$D$7+[1]Sheet1!$L$7,IF(AND(OR(D61="S. acutus",D61="S. tabernaemontani"),G61&gt;0),E61*[1]Sheet1!$D$8+N61*[1]Sheet1!$E$8,IF(AND(D61="S. californicus",G61&gt;0),E61*[1]Sheet1!$D$9+N61*[1]Sheet1!$E$9,IF(D61="S.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latifolia"),E61&gt;0),F61*[1]Sheet1!$C$4+E61*[1]Sheet1!$D$4+H61*[1]Sheet1!$J$4+I61*[1]Sheet1!$K$4+[1]Sheet1!$L$4,IF(AND(OR(D61="T. domingensis",D61="T. latifolia"),J61&gt;0),J61*[1]Sheet1!$G$5+K61*[1]Sheet1!$H$5+L61*[1]Sheet1!$I$5+[1]Sheet1!$L$5,0)))))))</f>
        <v>14.294410635830804</v>
      </c>
    </row>
    <row r="62" spans="1:15">
      <c r="A62" s="2">
        <v>40732</v>
      </c>
      <c r="B62" t="s">
        <v>36</v>
      </c>
      <c r="C62">
        <v>19</v>
      </c>
      <c r="D62" s="6" t="s">
        <v>12</v>
      </c>
      <c r="E62">
        <v>258</v>
      </c>
      <c r="F62">
        <v>1.35</v>
      </c>
      <c r="G62">
        <v>0</v>
      </c>
      <c r="N62">
        <f t="shared" si="2"/>
        <v>123.0992771625</v>
      </c>
      <c r="O62">
        <f>IF(AND(OR(D62="S. acutus",D62="S. californicus",D62="S. tabernaemontani"),G62=0),E62*[1]Sheet1!$D$7+[1]Sheet1!$L$7,IF(AND(OR(D62="S. acutus",D62="S. tabernaemontani"),G62&gt;0),E62*[1]Sheet1!$D$8+N62*[1]Sheet1!$E$8,IF(AND(D62="S. californicus",G62&gt;0),E62*[1]Sheet1!$D$9+N62*[1]Sheet1!$E$9,IF(D62="S.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latifolia"),E62&gt;0),F62*[1]Sheet1!$C$4+E62*[1]Sheet1!$D$4+H62*[1]Sheet1!$J$4+I62*[1]Sheet1!$K$4+[1]Sheet1!$L$4,IF(AND(OR(D62="T. domingensis",D62="T. latifolia"),J62&gt;0),J62*[1]Sheet1!$G$5+K62*[1]Sheet1!$H$5+L62*[1]Sheet1!$I$5+[1]Sheet1!$L$5,0)))))))</f>
        <v>13.496493000000001</v>
      </c>
    </row>
    <row r="63" spans="1:15">
      <c r="A63" s="2">
        <v>40732</v>
      </c>
      <c r="B63" t="s">
        <v>36</v>
      </c>
      <c r="C63">
        <v>19</v>
      </c>
      <c r="D63" s="6" t="s">
        <v>12</v>
      </c>
      <c r="E63">
        <v>296</v>
      </c>
      <c r="F63">
        <v>1.52</v>
      </c>
      <c r="G63">
        <v>0</v>
      </c>
      <c r="N63">
        <f t="shared" si="2"/>
        <v>179.03879522133332</v>
      </c>
      <c r="O63">
        <f>IF(AND(OR(D63="S. acutus",D63="S. californicus",D63="S. tabernaemontani"),G63=0),E63*[1]Sheet1!$D$7+[1]Sheet1!$L$7,IF(AND(OR(D63="S. acutus",D63="S. tabernaemontani"),G63&gt;0),E63*[1]Sheet1!$D$8+N63*[1]Sheet1!$E$8,IF(AND(D63="S. californicus",G63&gt;0),E63*[1]Sheet1!$D$9+N63*[1]Sheet1!$E$9,IF(D63="S.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latifolia"),E63&gt;0),F63*[1]Sheet1!$C$4+E63*[1]Sheet1!$D$4+H63*[1]Sheet1!$J$4+I63*[1]Sheet1!$K$4+[1]Sheet1!$L$4,IF(AND(OR(D63="T. domingensis",D63="T. latifolia"),J63&gt;0),J63*[1]Sheet1!$G$5+K63*[1]Sheet1!$H$5+L63*[1]Sheet1!$I$5+[1]Sheet1!$L$5,0)))))))</f>
        <v>16.160483000000003</v>
      </c>
    </row>
    <row r="64" spans="1:15">
      <c r="A64" s="2">
        <v>40732</v>
      </c>
      <c r="B64" t="s">
        <v>36</v>
      </c>
      <c r="C64">
        <v>19</v>
      </c>
      <c r="D64" s="6" t="s">
        <v>12</v>
      </c>
      <c r="E64">
        <v>312</v>
      </c>
      <c r="F64">
        <v>1.86</v>
      </c>
      <c r="G64">
        <v>0</v>
      </c>
      <c r="N64">
        <f t="shared" si="2"/>
        <v>282.58476386400002</v>
      </c>
      <c r="O64">
        <f>IF(AND(OR(D64="S. acutus",D64="S. californicus",D64="S. tabernaemontani"),G64=0),E64*[1]Sheet1!$D$7+[1]Sheet1!$L$7,IF(AND(OR(D64="S. acutus",D64="S. tabernaemontani"),G64&gt;0),E64*[1]Sheet1!$D$8+N64*[1]Sheet1!$E$8,IF(AND(D64="S. californicus",G64&gt;0),E64*[1]Sheet1!$D$9+N64*[1]Sheet1!$E$9,IF(D64="S.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latifolia"),E64&gt;0),F64*[1]Sheet1!$C$4+E64*[1]Sheet1!$D$4+H64*[1]Sheet1!$J$4+I64*[1]Sheet1!$K$4+[1]Sheet1!$L$4,IF(AND(OR(D64="T. domingensis",D64="T. latifolia"),J64&gt;0),J64*[1]Sheet1!$G$5+K64*[1]Sheet1!$H$5+L64*[1]Sheet1!$I$5+[1]Sheet1!$L$5,0)))))))</f>
        <v>17.282163000000001</v>
      </c>
    </row>
    <row r="65" spans="1:15">
      <c r="A65" s="2">
        <v>40732</v>
      </c>
      <c r="B65" t="s">
        <v>36</v>
      </c>
      <c r="C65">
        <v>19</v>
      </c>
      <c r="D65" s="6" t="s">
        <v>12</v>
      </c>
      <c r="E65">
        <v>335</v>
      </c>
      <c r="F65">
        <v>1.54</v>
      </c>
      <c r="G65">
        <v>9</v>
      </c>
      <c r="N65">
        <f t="shared" si="2"/>
        <v>207.99577272833329</v>
      </c>
      <c r="O65">
        <f>IF(AND(OR(D65="S. acutus",D65="S. californicus",D65="S. tabernaemontani"),G65=0),E65*[1]Sheet1!$D$7+[1]Sheet1!$L$7,IF(AND(OR(D65="S. acutus",D65="S. tabernaemontani"),G65&gt;0),E65*[1]Sheet1!$D$8+N65*[1]Sheet1!$E$8,IF(AND(D65="S. californicus",G65&gt;0),E65*[1]Sheet1!$D$9+N65*[1]Sheet1!$E$9,IF(D65="S.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latifolia"),E65&gt;0),F65*[1]Sheet1!$C$4+E65*[1]Sheet1!$D$4+H65*[1]Sheet1!$J$4+I65*[1]Sheet1!$K$4+[1]Sheet1!$L$4,IF(AND(OR(D65="T. domingensis",D65="T. latifolia"),J65&gt;0),J65*[1]Sheet1!$G$5+K65*[1]Sheet1!$H$5+L65*[1]Sheet1!$I$5+[1]Sheet1!$L$5,0)))))))</f>
        <v>19.597529578047791</v>
      </c>
    </row>
    <row r="66" spans="1:15">
      <c r="A66" s="2">
        <v>40732</v>
      </c>
      <c r="B66" t="s">
        <v>36</v>
      </c>
      <c r="C66">
        <v>19</v>
      </c>
      <c r="D66" s="6" t="s">
        <v>19</v>
      </c>
      <c r="E66">
        <v>252</v>
      </c>
      <c r="F66">
        <v>2.58</v>
      </c>
      <c r="H66">
        <v>29</v>
      </c>
      <c r="I66">
        <v>2.5</v>
      </c>
      <c r="O66">
        <f>IF(AND(OR(D66="S. acutus",D66="S. californicus",D66="S. tabernaemontani"),G66=0),E66*[1]Sheet1!$D$7+[1]Sheet1!$L$7,IF(AND(OR(D66="S. acutus",D66="S. tabernaemontani"),G66&gt;0),E66*[1]Sheet1!$D$8+N66*[1]Sheet1!$E$8,IF(AND(D66="S. californicus",G66&gt;0),E66*[1]Sheet1!$D$9+N66*[1]Sheet1!$E$9,IF(D66="S.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latifolia"),E66&gt;0),F66*[1]Sheet1!$C$4+E66*[1]Sheet1!$D$4+H66*[1]Sheet1!$J$4+I66*[1]Sheet1!$K$4+[1]Sheet1!$L$4,IF(AND(OR(D66="T. domingensis",D66="T. latifolia"),J66&gt;0),J66*[1]Sheet1!$G$5+K66*[1]Sheet1!$H$5+L66*[1]Sheet1!$I$5+[1]Sheet1!$L$5,0)))))))</f>
        <v>98.754376059999998</v>
      </c>
    </row>
    <row r="67" spans="1:15">
      <c r="A67" s="2">
        <v>40732</v>
      </c>
      <c r="B67" t="s">
        <v>36</v>
      </c>
      <c r="C67">
        <v>19</v>
      </c>
      <c r="D67" s="6" t="s">
        <v>19</v>
      </c>
      <c r="E67">
        <v>335</v>
      </c>
      <c r="F67">
        <v>2.2000000000000002</v>
      </c>
      <c r="H67">
        <v>23</v>
      </c>
      <c r="I67">
        <v>2.2000000000000002</v>
      </c>
      <c r="O67">
        <f>IF(AND(OR(D67="S. acutus",D67="S. californicus",D67="S. tabernaemontani"),G67=0),E67*[1]Sheet1!$D$7+[1]Sheet1!$L$7,IF(AND(OR(D67="S. acutus",D67="S. tabernaemontani"),G67&gt;0),E67*[1]Sheet1!$D$8+N67*[1]Sheet1!$E$8,IF(AND(D67="S. californicus",G67&gt;0),E67*[1]Sheet1!$D$9+N67*[1]Sheet1!$E$9,IF(D67="S.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latifolia"),E67&gt;0),F67*[1]Sheet1!$C$4+E67*[1]Sheet1!$D$4+H67*[1]Sheet1!$J$4+I67*[1]Sheet1!$K$4+[1]Sheet1!$L$4,IF(AND(OR(D67="T. domingensis",D67="T. latifolia"),J67&gt;0),J67*[1]Sheet1!$G$5+K67*[1]Sheet1!$H$5+L67*[1]Sheet1!$I$5+[1]Sheet1!$L$5,0)))))))</f>
        <v>105.83280260000004</v>
      </c>
    </row>
    <row r="68" spans="1:15">
      <c r="A68" s="2">
        <v>40732</v>
      </c>
      <c r="B68" t="s">
        <v>36</v>
      </c>
      <c r="C68">
        <v>19</v>
      </c>
      <c r="D68" s="6" t="s">
        <v>19</v>
      </c>
      <c r="E68">
        <v>391</v>
      </c>
      <c r="F68">
        <v>2.87</v>
      </c>
      <c r="H68">
        <v>31</v>
      </c>
      <c r="I68">
        <v>2.2000000000000002</v>
      </c>
      <c r="O68">
        <f>IF(AND(OR(D68="S. acutus",D68="S. californicus",D68="S. tabernaemontani"),G68=0),E68*[1]Sheet1!$D$7+[1]Sheet1!$L$7,IF(AND(OR(D68="S. acutus",D68="S. tabernaemontani"),G68&gt;0),E68*[1]Sheet1!$D$8+N68*[1]Sheet1!$E$8,IF(AND(D68="S. californicus",G68&gt;0),E68*[1]Sheet1!$D$9+N68*[1]Sheet1!$E$9,IF(D68="S.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latifolia"),E68&gt;0),F68*[1]Sheet1!$C$4+E68*[1]Sheet1!$D$4+H68*[1]Sheet1!$J$4+I68*[1]Sheet1!$K$4+[1]Sheet1!$L$4,IF(AND(OR(D68="T. domingensis",D68="T. latifolia"),J68&gt;0),J68*[1]Sheet1!$G$5+K68*[1]Sheet1!$H$5+L68*[1]Sheet1!$I$5+[1]Sheet1!$L$5,0)))))))</f>
        <v>143.19831679000004</v>
      </c>
    </row>
    <row r="69" spans="1:15">
      <c r="A69" s="2">
        <v>40732</v>
      </c>
      <c r="B69" t="s">
        <v>36</v>
      </c>
      <c r="C69">
        <v>19</v>
      </c>
      <c r="D69" s="6" t="s">
        <v>19</v>
      </c>
      <c r="F69">
        <v>1.38</v>
      </c>
      <c r="J69">
        <f>SUM(224,241,264,280)</f>
        <v>1009</v>
      </c>
      <c r="K69">
        <v>4</v>
      </c>
      <c r="L69">
        <v>280</v>
      </c>
      <c r="O69">
        <f>IF(AND(OR(D69="S. acutus",D69="S. californicus",D69="S. tabernaemontani"),G69=0),E69*[1]Sheet1!$D$7+[1]Sheet1!$L$7,IF(AND(OR(D69="S. acutus",D69="S. tabernaemontani"),G69&gt;0),E69*[1]Sheet1!$D$8+N69*[1]Sheet1!$E$8,IF(AND(D69="S. californicus",G69&gt;0),E69*[1]Sheet1!$D$9+N69*[1]Sheet1!$E$9,IF(D69="S.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latifolia"),E69&gt;0),F69*[1]Sheet1!$C$4+E69*[1]Sheet1!$D$4+H69*[1]Sheet1!$J$4+I69*[1]Sheet1!$K$4+[1]Sheet1!$L$4,IF(AND(OR(D69="T. domingensis",D69="T. latifolia"),J69&gt;0),J69*[1]Sheet1!$G$5+K69*[1]Sheet1!$H$5+L69*[1]Sheet1!$I$5+[1]Sheet1!$L$5,0)))))))</f>
        <v>15.19776700000002</v>
      </c>
    </row>
    <row r="70" spans="1:15">
      <c r="A70" s="2">
        <v>40732</v>
      </c>
      <c r="B70" t="s">
        <v>36</v>
      </c>
      <c r="C70">
        <v>19</v>
      </c>
      <c r="D70" s="6" t="s">
        <v>19</v>
      </c>
      <c r="F70">
        <v>1.58</v>
      </c>
      <c r="J70">
        <f>SUM(220,242,267,306,312)</f>
        <v>1347</v>
      </c>
      <c r="K70">
        <v>5</v>
      </c>
      <c r="L70">
        <v>312</v>
      </c>
      <c r="O70">
        <f>IF(AND(OR(D70="S. acutus",D70="S. californicus",D70="S. tabernaemontani"),G70=0),E70*[1]Sheet1!$D$7+[1]Sheet1!$L$7,IF(AND(OR(D70="S. acutus",D70="S. tabernaemontani"),G70&gt;0),E70*[1]Sheet1!$D$8+N70*[1]Sheet1!$E$8,IF(AND(D70="S. californicus",G70&gt;0),E70*[1]Sheet1!$D$9+N70*[1]Sheet1!$E$9,IF(D70="S.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latifolia"),E70&gt;0),F70*[1]Sheet1!$C$4+E70*[1]Sheet1!$D$4+H70*[1]Sheet1!$J$4+I70*[1]Sheet1!$K$4+[1]Sheet1!$L$4,IF(AND(OR(D70="T. domingensis",D70="T. latifolia"),J70&gt;0),J70*[1]Sheet1!$G$5+K70*[1]Sheet1!$H$5+L70*[1]Sheet1!$I$5+[1]Sheet1!$L$5,0)))))))</f>
        <v>30.224764</v>
      </c>
    </row>
    <row r="71" spans="1:15">
      <c r="A71" s="2">
        <v>40732</v>
      </c>
      <c r="B71" t="s">
        <v>36</v>
      </c>
      <c r="C71">
        <v>19</v>
      </c>
      <c r="D71" s="6" t="s">
        <v>19</v>
      </c>
      <c r="F71">
        <v>1.54</v>
      </c>
      <c r="J71">
        <f>SUM(219,236,266,301,304)</f>
        <v>1326</v>
      </c>
      <c r="K71">
        <v>5</v>
      </c>
      <c r="L71">
        <v>304</v>
      </c>
      <c r="O71">
        <f>IF(AND(OR(D71="S. acutus",D71="S. californicus",D71="S. tabernaemontani"),G71=0),E71*[1]Sheet1!$D$7+[1]Sheet1!$L$7,IF(AND(OR(D71="S. acutus",D71="S. tabernaemontani"),G71&gt;0),E71*[1]Sheet1!$D$8+N71*[1]Sheet1!$E$8,IF(AND(D71="S. californicus",G71&gt;0),E71*[1]Sheet1!$D$9+N71*[1]Sheet1!$E$9,IF(D71="S.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latifolia"),E71&gt;0),F71*[1]Sheet1!$C$4+E71*[1]Sheet1!$D$4+H71*[1]Sheet1!$J$4+I71*[1]Sheet1!$K$4+[1]Sheet1!$L$4,IF(AND(OR(D71="T. domingensis",D71="T. latifolia"),J71&gt;0),J71*[1]Sheet1!$G$5+K71*[1]Sheet1!$H$5+L71*[1]Sheet1!$I$5+[1]Sheet1!$L$5,0)))))))</f>
        <v>30.665869000000008</v>
      </c>
    </row>
    <row r="72" spans="1:15">
      <c r="A72" s="2">
        <v>40732</v>
      </c>
      <c r="B72" t="s">
        <v>36</v>
      </c>
      <c r="C72">
        <v>19</v>
      </c>
      <c r="D72" s="6" t="s">
        <v>19</v>
      </c>
      <c r="F72">
        <v>2.41</v>
      </c>
      <c r="J72">
        <f>SUM(198,207,287,296,295,334,337)</f>
        <v>1954</v>
      </c>
      <c r="K72">
        <v>7</v>
      </c>
      <c r="L72">
        <v>337</v>
      </c>
      <c r="O72">
        <f>IF(AND(OR(D72="S. acutus",D72="S. californicus",D72="S. tabernaemontani"),G72=0),E72*[1]Sheet1!$D$7+[1]Sheet1!$L$7,IF(AND(OR(D72="S. acutus",D72="S. tabernaemontani"),G72&gt;0),E72*[1]Sheet1!$D$8+N72*[1]Sheet1!$E$8,IF(AND(D72="S. californicus",G72&gt;0),E72*[1]Sheet1!$D$9+N72*[1]Sheet1!$E$9,IF(D72="S.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latifolia"),E72&gt;0),F72*[1]Sheet1!$C$4+E72*[1]Sheet1!$D$4+H72*[1]Sheet1!$J$4+I72*[1]Sheet1!$K$4+[1]Sheet1!$L$4,IF(AND(OR(D72="T. domingensis",D72="T. latifolia"),J72&gt;0),J72*[1]Sheet1!$G$5+K72*[1]Sheet1!$H$5+L72*[1]Sheet1!$I$5+[1]Sheet1!$L$5,0)))))))</f>
        <v>65.558217999999982</v>
      </c>
    </row>
    <row r="73" spans="1:15">
      <c r="A73" s="2">
        <v>40732</v>
      </c>
      <c r="B73" s="3" t="s">
        <v>36</v>
      </c>
      <c r="C73">
        <v>28</v>
      </c>
      <c r="D73" s="6" t="s">
        <v>19</v>
      </c>
      <c r="E73">
        <v>284</v>
      </c>
      <c r="F73">
        <v>1.68</v>
      </c>
      <c r="H73">
        <v>18</v>
      </c>
      <c r="I73">
        <v>1.8</v>
      </c>
      <c r="O73">
        <f>IF(AND(OR(D73="S. acutus",D73="S. californicus",D73="S. tabernaemontani"),G73=0),E73*[1]Sheet1!$D$7+[1]Sheet1!$L$7,IF(AND(OR(D73="S. acutus",D73="S. tabernaemontani"),G73&gt;0),E73*[1]Sheet1!$D$8+N73*[1]Sheet1!$E$8,IF(AND(D73="S. californicus",G73&gt;0),E73*[1]Sheet1!$D$9+N73*[1]Sheet1!$E$9,IF(D73="S.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latifolia"),E73&gt;0),F73*[1]Sheet1!$C$4+E73*[1]Sheet1!$D$4+H73*[1]Sheet1!$J$4+I73*[1]Sheet1!$K$4+[1]Sheet1!$L$4,IF(AND(OR(D73="T. domingensis",D73="T. latifolia"),J73&gt;0),J73*[1]Sheet1!$G$5+K73*[1]Sheet1!$H$5+L73*[1]Sheet1!$I$5+[1]Sheet1!$L$5,0)))))))</f>
        <v>68.67658535999999</v>
      </c>
    </row>
    <row r="74" spans="1:15">
      <c r="A74" s="2">
        <v>40732</v>
      </c>
      <c r="B74" s="3" t="s">
        <v>36</v>
      </c>
      <c r="C74">
        <v>28</v>
      </c>
      <c r="D74" s="6" t="s">
        <v>19</v>
      </c>
      <c r="E74">
        <v>310</v>
      </c>
      <c r="F74">
        <v>1.84</v>
      </c>
      <c r="H74">
        <v>37</v>
      </c>
      <c r="I74">
        <v>2.1</v>
      </c>
      <c r="O74">
        <f>IF(AND(OR(D74="S. acutus",D74="S. californicus",D74="S. tabernaemontani"),G74=0),E74*[1]Sheet1!$D$7+[1]Sheet1!$L$7,IF(AND(OR(D74="S. acutus",D74="S. tabernaemontani"),G74&gt;0),E74*[1]Sheet1!$D$8+N74*[1]Sheet1!$E$8,IF(AND(D74="S. californicus",G74&gt;0),E74*[1]Sheet1!$D$9+N74*[1]Sheet1!$E$9,IF(D74="S.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latifolia"),E74&gt;0),F74*[1]Sheet1!$C$4+E74*[1]Sheet1!$D$4+H74*[1]Sheet1!$J$4+I74*[1]Sheet1!$K$4+[1]Sheet1!$L$4,IF(AND(OR(D74="T. domingensis",D74="T. latifolia"),J74&gt;0),J74*[1]Sheet1!$G$5+K74*[1]Sheet1!$H$5+L74*[1]Sheet1!$I$5+[1]Sheet1!$L$5,0)))))))</f>
        <v>102.57656148000001</v>
      </c>
    </row>
    <row r="75" spans="1:15">
      <c r="A75" s="2">
        <v>40732</v>
      </c>
      <c r="B75" s="3" t="s">
        <v>36</v>
      </c>
      <c r="C75">
        <v>28</v>
      </c>
      <c r="D75" s="6" t="s">
        <v>19</v>
      </c>
      <c r="E75">
        <v>327</v>
      </c>
      <c r="F75">
        <v>2.74</v>
      </c>
      <c r="H75">
        <v>42</v>
      </c>
      <c r="I75">
        <v>2.6</v>
      </c>
      <c r="O75">
        <f>IF(AND(OR(D75="S. acutus",D75="S. californicus",D75="S. tabernaemontani"),G75=0),E75*[1]Sheet1!$D$7+[1]Sheet1!$L$7,IF(AND(OR(D75="S. acutus",D75="S. tabernaemontani"),G75&gt;0),E75*[1]Sheet1!$D$8+N75*[1]Sheet1!$E$8,IF(AND(D75="S. californicus",G75&gt;0),E75*[1]Sheet1!$D$9+N75*[1]Sheet1!$E$9,IF(D75="S.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latifolia"),E75&gt;0),F75*[1]Sheet1!$C$4+E75*[1]Sheet1!$D$4+H75*[1]Sheet1!$J$4+I75*[1]Sheet1!$K$4+[1]Sheet1!$L$4,IF(AND(OR(D75="T. domingensis",D75="T. latifolia"),J75&gt;0),J75*[1]Sheet1!$G$5+K75*[1]Sheet1!$H$5+L75*[1]Sheet1!$I$5+[1]Sheet1!$L$5,0)))))))</f>
        <v>138.46822318000002</v>
      </c>
    </row>
    <row r="76" spans="1:15">
      <c r="A76" s="2">
        <v>40732</v>
      </c>
      <c r="B76" s="3" t="s">
        <v>36</v>
      </c>
      <c r="C76">
        <v>28</v>
      </c>
      <c r="D76" s="6" t="s">
        <v>19</v>
      </c>
      <c r="E76">
        <v>351</v>
      </c>
      <c r="F76">
        <v>2.0499999999999998</v>
      </c>
      <c r="H76">
        <v>34</v>
      </c>
      <c r="I76">
        <v>2.1</v>
      </c>
      <c r="O76">
        <f>IF(AND(OR(D76="S. acutus",D76="S. californicus",D76="S. tabernaemontani"),G76=0),E76*[1]Sheet1!$D$7+[1]Sheet1!$L$7,IF(AND(OR(D76="S. acutus",D76="S. tabernaemontani"),G76&gt;0),E76*[1]Sheet1!$D$8+N76*[1]Sheet1!$E$8,IF(AND(D76="S. californicus",G76&gt;0),E76*[1]Sheet1!$D$9+N76*[1]Sheet1!$E$9,IF(D76="S.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latifolia"),E76&gt;0),F76*[1]Sheet1!$C$4+E76*[1]Sheet1!$D$4+H76*[1]Sheet1!$J$4+I76*[1]Sheet1!$K$4+[1]Sheet1!$L$4,IF(AND(OR(D76="T. domingensis",D76="T. latifolia"),J76&gt;0),J76*[1]Sheet1!$G$5+K76*[1]Sheet1!$H$5+L76*[1]Sheet1!$I$5+[1]Sheet1!$L$5,0)))))))</f>
        <v>116.29038065000003</v>
      </c>
    </row>
    <row r="77" spans="1:15">
      <c r="A77" s="2">
        <v>40732</v>
      </c>
      <c r="B77" s="3" t="s">
        <v>36</v>
      </c>
      <c r="C77">
        <v>28</v>
      </c>
      <c r="D77" s="6" t="s">
        <v>19</v>
      </c>
      <c r="E77">
        <v>358</v>
      </c>
      <c r="F77">
        <v>1.1599999999999999</v>
      </c>
      <c r="H77">
        <v>36</v>
      </c>
      <c r="I77">
        <v>2.7</v>
      </c>
      <c r="O77">
        <f>IF(AND(OR(D77="S. acutus",D77="S. californicus",D77="S. tabernaemontani"),G77=0),E77*[1]Sheet1!$D$7+[1]Sheet1!$L$7,IF(AND(OR(D77="S. acutus",D77="S. tabernaemontani"),G77&gt;0),E77*[1]Sheet1!$D$8+N77*[1]Sheet1!$E$8,IF(AND(D77="S. californicus",G77&gt;0),E77*[1]Sheet1!$D$9+N77*[1]Sheet1!$E$9,IF(D77="S.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latifolia"),E77&gt;0),F77*[1]Sheet1!$C$4+E77*[1]Sheet1!$D$4+H77*[1]Sheet1!$J$4+I77*[1]Sheet1!$K$4+[1]Sheet1!$L$4,IF(AND(OR(D77="T. domingensis",D77="T. latifolia"),J77&gt;0),J77*[1]Sheet1!$G$5+K77*[1]Sheet1!$H$5+L77*[1]Sheet1!$I$5+[1]Sheet1!$L$5,0)))))))</f>
        <v>113.61929411999998</v>
      </c>
    </row>
    <row r="78" spans="1:15">
      <c r="A78" s="2">
        <v>40732</v>
      </c>
      <c r="B78" s="3" t="s">
        <v>36</v>
      </c>
      <c r="C78">
        <v>28</v>
      </c>
      <c r="D78" s="6" t="s">
        <v>19</v>
      </c>
      <c r="F78">
        <v>0.88</v>
      </c>
      <c r="J78">
        <f>SUM(193,196)</f>
        <v>389</v>
      </c>
      <c r="K78">
        <v>2</v>
      </c>
      <c r="L78">
        <v>196</v>
      </c>
      <c r="O78">
        <f>IF(AND(OR(D78="S. acutus",D78="S. californicus",D78="S. tabernaemontani"),G78=0),E78*[1]Sheet1!$D$7+[1]Sheet1!$L$7,IF(AND(OR(D78="S. acutus",D78="S. tabernaemontani"),G78&gt;0),E78*[1]Sheet1!$D$8+N78*[1]Sheet1!$E$8,IF(AND(D78="S. californicus",G78&gt;0),E78*[1]Sheet1!$D$9+N78*[1]Sheet1!$E$9,IF(D78="S.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latifolia"),E78&gt;0),F78*[1]Sheet1!$C$4+E78*[1]Sheet1!$D$4+H78*[1]Sheet1!$J$4+I78*[1]Sheet1!$K$4+[1]Sheet1!$L$4,IF(AND(OR(D78="T. domingensis",D78="T. latifolia"),J78&gt;0),J78*[1]Sheet1!$G$5+K78*[1]Sheet1!$H$5+L78*[1]Sheet1!$I$5+[1]Sheet1!$L$5,0)))))))</f>
        <v>-3.5810469999999981</v>
      </c>
    </row>
    <row r="79" spans="1:15">
      <c r="A79" s="2">
        <v>40732</v>
      </c>
      <c r="B79" s="3" t="s">
        <v>36</v>
      </c>
      <c r="C79">
        <v>28</v>
      </c>
      <c r="D79" s="6" t="s">
        <v>19</v>
      </c>
      <c r="F79">
        <v>0.75</v>
      </c>
      <c r="G79" s="6"/>
      <c r="J79">
        <f>SUM(220,246,192)</f>
        <v>658</v>
      </c>
      <c r="K79">
        <v>3</v>
      </c>
      <c r="L79">
        <v>246</v>
      </c>
      <c r="O79">
        <f>IF(AND(OR(D79="S. acutus",D79="S. californicus",D79="S. tabernaemontani"),G79=0),E79*[1]Sheet1!$D$7+[1]Sheet1!$L$7,IF(AND(OR(D79="S. acutus",D79="S. tabernaemontani"),G79&gt;0),E79*[1]Sheet1!$D$8+N79*[1]Sheet1!$E$8,IF(AND(D79="S. californicus",G79&gt;0),E79*[1]Sheet1!$D$9+N79*[1]Sheet1!$E$9,IF(D79="S.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latifolia"),E79&gt;0),F79*[1]Sheet1!$C$4+E79*[1]Sheet1!$D$4+H79*[1]Sheet1!$J$4+I79*[1]Sheet1!$K$4+[1]Sheet1!$L$4,IF(AND(OR(D79="T. domingensis",D79="T. latifolia"),J79&gt;0),J79*[1]Sheet1!$G$5+K79*[1]Sheet1!$H$5+L79*[1]Sheet1!$I$5+[1]Sheet1!$L$5,0)))))))</f>
        <v>-0.44555499999999881</v>
      </c>
    </row>
    <row r="80" spans="1:15">
      <c r="A80" s="2">
        <v>40732</v>
      </c>
      <c r="B80" s="3" t="s">
        <v>36</v>
      </c>
      <c r="C80">
        <v>28</v>
      </c>
      <c r="D80" s="6" t="s">
        <v>19</v>
      </c>
      <c r="F80">
        <v>0.65</v>
      </c>
      <c r="J80">
        <f>SUM(165,198,200,207)</f>
        <v>770</v>
      </c>
      <c r="K80">
        <v>4</v>
      </c>
      <c r="L80">
        <v>207</v>
      </c>
      <c r="O80">
        <f>IF(AND(OR(D80="S. acutus",D80="S. californicus",D80="S. tabernaemontani"),G80=0),E80*[1]Sheet1!$D$7+[1]Sheet1!$L$7,IF(AND(OR(D80="S. acutus",D80="S. tabernaemontani"),G80&gt;0),E80*[1]Sheet1!$D$8+N80*[1]Sheet1!$E$8,IF(AND(D80="S. californicus",G80&gt;0),E80*[1]Sheet1!$D$9+N80*[1]Sheet1!$E$9,IF(D80="S.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latifolia"),E80&gt;0),F80*[1]Sheet1!$C$4+E80*[1]Sheet1!$D$4+H80*[1]Sheet1!$J$4+I80*[1]Sheet1!$K$4+[1]Sheet1!$L$4,IF(AND(OR(D80="T. domingensis",D80="T. latifolia"),J80&gt;0),J80*[1]Sheet1!$G$5+K80*[1]Sheet1!$H$5+L80*[1]Sheet1!$I$5+[1]Sheet1!$L$5,0)))))))</f>
        <v>14.781207000000002</v>
      </c>
    </row>
    <row r="81" spans="1:15">
      <c r="A81" s="2">
        <v>40732</v>
      </c>
      <c r="B81" s="3" t="s">
        <v>36</v>
      </c>
      <c r="C81">
        <v>28</v>
      </c>
      <c r="D81" s="6" t="s">
        <v>19</v>
      </c>
      <c r="F81">
        <v>1.31</v>
      </c>
      <c r="J81">
        <f>SUM(162,206,217,242,253)</f>
        <v>1080</v>
      </c>
      <c r="K81">
        <v>5</v>
      </c>
      <c r="L81">
        <v>253</v>
      </c>
      <c r="O81">
        <f>IF(AND(OR(D81="S. acutus",D81="S. californicus",D81="S. tabernaemontani"),G81=0),E81*[1]Sheet1!$D$7+[1]Sheet1!$L$7,IF(AND(OR(D81="S. acutus",D81="S. tabernaemontani"),G81&gt;0),E81*[1]Sheet1!$D$8+N81*[1]Sheet1!$E$8,IF(AND(D81="S. californicus",G81&gt;0),E81*[1]Sheet1!$D$9+N81*[1]Sheet1!$E$9,IF(D81="S.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latifolia"),E81&gt;0),F81*[1]Sheet1!$C$4+E81*[1]Sheet1!$D$4+H81*[1]Sheet1!$J$4+I81*[1]Sheet1!$K$4+[1]Sheet1!$L$4,IF(AND(OR(D81="T. domingensis",D81="T. latifolia"),J81&gt;0),J81*[1]Sheet1!$G$5+K81*[1]Sheet1!$H$5+L81*[1]Sheet1!$I$5+[1]Sheet1!$L$5,0)))))))</f>
        <v>22.965634000000016</v>
      </c>
    </row>
    <row r="82" spans="1:15">
      <c r="A82" s="2">
        <v>40732</v>
      </c>
      <c r="B82" s="3" t="s">
        <v>36</v>
      </c>
      <c r="C82">
        <v>28</v>
      </c>
      <c r="D82" s="6" t="s">
        <v>19</v>
      </c>
      <c r="F82">
        <v>1.38</v>
      </c>
      <c r="J82">
        <f>SUM(174,219,248,251,262)</f>
        <v>1154</v>
      </c>
      <c r="K82">
        <v>5</v>
      </c>
      <c r="L82">
        <v>262</v>
      </c>
      <c r="O82">
        <f>IF(AND(OR(D82="S. acutus",D82="S. californicus",D82="S. tabernaemontani"),G82=0),E82*[1]Sheet1!$D$7+[1]Sheet1!$L$7,IF(AND(OR(D82="S. acutus",D82="S. tabernaemontani"),G82&gt;0),E82*[1]Sheet1!$D$8+N82*[1]Sheet1!$E$8,IF(AND(D82="S. californicus",G82&gt;0),E82*[1]Sheet1!$D$9+N82*[1]Sheet1!$E$9,IF(D82="S.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latifolia"),E82&gt;0),F82*[1]Sheet1!$C$4+E82*[1]Sheet1!$D$4+H82*[1]Sheet1!$J$4+I82*[1]Sheet1!$K$4+[1]Sheet1!$L$4,IF(AND(OR(D82="T. domingensis",D82="T. latifolia"),J82&gt;0),J82*[1]Sheet1!$G$5+K82*[1]Sheet1!$H$5+L82*[1]Sheet1!$I$5+[1]Sheet1!$L$5,0)))))))</f>
        <v>27.192299000000027</v>
      </c>
    </row>
    <row r="83" spans="1:15">
      <c r="A83" s="2">
        <v>40732</v>
      </c>
      <c r="B83" s="3" t="s">
        <v>36</v>
      </c>
      <c r="C83">
        <v>28</v>
      </c>
      <c r="D83" s="6" t="s">
        <v>19</v>
      </c>
      <c r="F83">
        <v>2</v>
      </c>
      <c r="J83">
        <f>SUM(172,270,270,225,310,334)</f>
        <v>1581</v>
      </c>
      <c r="K83">
        <v>6</v>
      </c>
      <c r="L83">
        <v>334</v>
      </c>
      <c r="O83">
        <f>IF(AND(OR(D83="S. acutus",D83="S. californicus",D83="S. tabernaemontani"),G83=0),E83*[1]Sheet1!$D$7+[1]Sheet1!$L$7,IF(AND(OR(D83="S. acutus",D83="S. tabernaemontani"),G83&gt;0),E83*[1]Sheet1!$D$8+N83*[1]Sheet1!$E$8,IF(AND(D83="S. californicus",G83&gt;0),E83*[1]Sheet1!$D$9+N83*[1]Sheet1!$E$9,IF(D83="S.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latifolia"),E83&gt;0),F83*[1]Sheet1!$C$4+E83*[1]Sheet1!$D$4+H83*[1]Sheet1!$J$4+I83*[1]Sheet1!$K$4+[1]Sheet1!$L$4,IF(AND(OR(D83="T. domingensis",D83="T. latifolia"),J83&gt;0),J83*[1]Sheet1!$G$5+K83*[1]Sheet1!$H$5+L83*[1]Sheet1!$I$5+[1]Sheet1!$L$5,0)))))))</f>
        <v>38.513691000000001</v>
      </c>
    </row>
    <row r="84" spans="1:15">
      <c r="A84" s="2">
        <v>40732</v>
      </c>
      <c r="B84" s="3" t="s">
        <v>36</v>
      </c>
      <c r="C84">
        <v>28</v>
      </c>
      <c r="D84" s="6" t="s">
        <v>19</v>
      </c>
      <c r="F84">
        <v>1.74</v>
      </c>
      <c r="J84">
        <f>SUM(262,299,322,335,337)</f>
        <v>1555</v>
      </c>
      <c r="K84">
        <v>5</v>
      </c>
      <c r="L84">
        <v>337</v>
      </c>
      <c r="O84">
        <f>IF(AND(OR(D84="S. acutus",D84="S. californicus",D84="S. tabernaemontani"),G84=0),E84*[1]Sheet1!$D$7+[1]Sheet1!$L$7,IF(AND(OR(D84="S. acutus",D84="S. tabernaemontani"),G84&gt;0),E84*[1]Sheet1!$D$8+N84*[1]Sheet1!$E$8,IF(AND(D84="S. californicus",G84&gt;0),E84*[1]Sheet1!$D$9+N84*[1]Sheet1!$E$9,IF(D84="S.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latifolia"),E84&gt;0),F84*[1]Sheet1!$C$4+E84*[1]Sheet1!$D$4+H84*[1]Sheet1!$J$4+I84*[1]Sheet1!$K$4+[1]Sheet1!$L$4,IF(AND(OR(D84="T. domingensis",D84="T. latifolia"),J84&gt;0),J84*[1]Sheet1!$G$5+K84*[1]Sheet1!$H$5+L84*[1]Sheet1!$I$5+[1]Sheet1!$L$5,0)))))))</f>
        <v>42.194679000000015</v>
      </c>
    </row>
    <row r="85" spans="1:15">
      <c r="A85" s="2">
        <v>40732</v>
      </c>
      <c r="B85" s="3" t="s">
        <v>36</v>
      </c>
      <c r="C85">
        <v>40</v>
      </c>
      <c r="D85" s="6" t="s">
        <v>19</v>
      </c>
      <c r="E85">
        <v>299</v>
      </c>
      <c r="F85">
        <v>1.68</v>
      </c>
      <c r="H85">
        <v>25</v>
      </c>
      <c r="I85">
        <v>1.8</v>
      </c>
      <c r="O85">
        <f>IF(AND(OR(D85="S. acutus",D85="S. californicus",D85="S. tabernaemontani"),G85=0),E85*[1]Sheet1!$D$7+[1]Sheet1!$L$7,IF(AND(OR(D85="S. acutus",D85="S. tabernaemontani"),G85&gt;0),E85*[1]Sheet1!$D$8+N85*[1]Sheet1!$E$8,IF(AND(D85="S. californicus",G85&gt;0),E85*[1]Sheet1!$D$9+N85*[1]Sheet1!$E$9,IF(D85="S.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latifolia"),E85&gt;0),F85*[1]Sheet1!$C$4+E85*[1]Sheet1!$D$4+H85*[1]Sheet1!$J$4+I85*[1]Sheet1!$K$4+[1]Sheet1!$L$4,IF(AND(OR(D85="T. domingensis",D85="T. latifolia"),J85&gt;0),J85*[1]Sheet1!$G$5+K85*[1]Sheet1!$H$5+L85*[1]Sheet1!$I$5+[1]Sheet1!$L$5,0)))))))</f>
        <v>79.746403759999993</v>
      </c>
    </row>
    <row r="86" spans="1:15">
      <c r="A86" s="2">
        <v>40732</v>
      </c>
      <c r="B86" s="3" t="s">
        <v>36</v>
      </c>
      <c r="C86">
        <v>40</v>
      </c>
      <c r="D86" s="6" t="s">
        <v>19</v>
      </c>
      <c r="E86">
        <v>323</v>
      </c>
      <c r="F86">
        <v>1.82</v>
      </c>
      <c r="H86">
        <v>41</v>
      </c>
      <c r="I86">
        <v>2.5</v>
      </c>
      <c r="O86">
        <f>IF(AND(OR(D86="S. acutus",D86="S. californicus",D86="S. tabernaemontani"),G86=0),E86*[1]Sheet1!$D$7+[1]Sheet1!$L$7,IF(AND(OR(D86="S. acutus",D86="S. tabernaemontani"),G86&gt;0),E86*[1]Sheet1!$D$8+N86*[1]Sheet1!$E$8,IF(AND(D86="S. californicus",G86&gt;0),E86*[1]Sheet1!$D$9+N86*[1]Sheet1!$E$9,IF(D86="S.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latifolia"),E86&gt;0),F86*[1]Sheet1!$C$4+E86*[1]Sheet1!$D$4+H86*[1]Sheet1!$J$4+I86*[1]Sheet1!$K$4+[1]Sheet1!$L$4,IF(AND(OR(D86="T. domingensis",D86="T. latifolia"),J86&gt;0),J86*[1]Sheet1!$G$5+K86*[1]Sheet1!$H$5+L86*[1]Sheet1!$I$5+[1]Sheet1!$L$5,0)))))))</f>
        <v>116.85292774000001</v>
      </c>
    </row>
    <row r="87" spans="1:15">
      <c r="A87" s="2">
        <v>40732</v>
      </c>
      <c r="B87" s="3" t="s">
        <v>36</v>
      </c>
      <c r="C87">
        <v>40</v>
      </c>
      <c r="D87" s="6" t="s">
        <v>19</v>
      </c>
      <c r="E87">
        <v>330</v>
      </c>
      <c r="F87">
        <v>2.9</v>
      </c>
      <c r="H87">
        <v>24</v>
      </c>
      <c r="I87">
        <v>2.6</v>
      </c>
      <c r="O87">
        <f>IF(AND(OR(D87="S. acutus",D87="S. californicus",D87="S. tabernaemontani"),G87=0),E87*[1]Sheet1!$D$7+[1]Sheet1!$L$7,IF(AND(OR(D87="S. acutus",D87="S. tabernaemontani"),G87&gt;0),E87*[1]Sheet1!$D$8+N87*[1]Sheet1!$E$8,IF(AND(D87="S. californicus",G87&gt;0),E87*[1]Sheet1!$D$9+N87*[1]Sheet1!$E$9,IF(D87="S.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latifolia"),E87&gt;0),F87*[1]Sheet1!$C$4+E87*[1]Sheet1!$D$4+H87*[1]Sheet1!$J$4+I87*[1]Sheet1!$K$4+[1]Sheet1!$L$4,IF(AND(OR(D87="T. domingensis",D87="T. latifolia"),J87&gt;0),J87*[1]Sheet1!$G$5+K87*[1]Sheet1!$H$5+L87*[1]Sheet1!$I$5+[1]Sheet1!$L$5,0)))))))</f>
        <v>125.71795889999999</v>
      </c>
    </row>
    <row r="88" spans="1:15">
      <c r="A88" s="2">
        <v>40732</v>
      </c>
      <c r="B88" s="3" t="s">
        <v>36</v>
      </c>
      <c r="C88">
        <v>40</v>
      </c>
      <c r="D88" s="6" t="s">
        <v>19</v>
      </c>
      <c r="E88">
        <v>343</v>
      </c>
      <c r="F88">
        <v>3.01</v>
      </c>
      <c r="H88">
        <v>27</v>
      </c>
      <c r="I88">
        <v>1.7</v>
      </c>
      <c r="O88">
        <f>IF(AND(OR(D88="S. acutus",D88="S. californicus",D88="S. tabernaemontani"),G88=0),E88*[1]Sheet1!$D$7+[1]Sheet1!$L$7,IF(AND(OR(D88="S. acutus",D88="S. tabernaemontani"),G88&gt;0),E88*[1]Sheet1!$D$8+N88*[1]Sheet1!$E$8,IF(AND(D88="S. californicus",G88&gt;0),E88*[1]Sheet1!$D$9+N88*[1]Sheet1!$E$9,IF(D88="S.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latifolia"),E88&gt;0),F88*[1]Sheet1!$C$4+E88*[1]Sheet1!$D$4+H88*[1]Sheet1!$J$4+I88*[1]Sheet1!$K$4+[1]Sheet1!$L$4,IF(AND(OR(D88="T. domingensis",D88="T. latifolia"),J88&gt;0),J88*[1]Sheet1!$G$5+K88*[1]Sheet1!$H$5+L88*[1]Sheet1!$I$5+[1]Sheet1!$L$5,0)))))))</f>
        <v>118.85000477</v>
      </c>
    </row>
    <row r="89" spans="1:15">
      <c r="A89" s="2">
        <v>40732</v>
      </c>
      <c r="B89" s="3" t="s">
        <v>36</v>
      </c>
      <c r="C89">
        <v>40</v>
      </c>
      <c r="D89" s="6" t="s">
        <v>19</v>
      </c>
      <c r="E89">
        <v>345</v>
      </c>
      <c r="F89">
        <v>2.89</v>
      </c>
      <c r="H89">
        <v>42</v>
      </c>
      <c r="I89">
        <v>2.4</v>
      </c>
      <c r="O89">
        <f>IF(AND(OR(D89="S. acutus",D89="S. californicus",D89="S. tabernaemontani"),G89=0),E89*[1]Sheet1!$D$7+[1]Sheet1!$L$7,IF(AND(OR(D89="S. acutus",D89="S. tabernaemontani"),G89&gt;0),E89*[1]Sheet1!$D$8+N89*[1]Sheet1!$E$8,IF(AND(D89="S. californicus",G89&gt;0),E89*[1]Sheet1!$D$9+N89*[1]Sheet1!$E$9,IF(D89="S.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latifolia"),E89&gt;0),F89*[1]Sheet1!$C$4+E89*[1]Sheet1!$D$4+H89*[1]Sheet1!$J$4+I89*[1]Sheet1!$K$4+[1]Sheet1!$L$4,IF(AND(OR(D89="T. domingensis",D89="T. latifolia"),J89&gt;0),J89*[1]Sheet1!$G$5+K89*[1]Sheet1!$H$5+L89*[1]Sheet1!$I$5+[1]Sheet1!$L$5,0)))))))</f>
        <v>143.33246973000001</v>
      </c>
    </row>
    <row r="90" spans="1:15">
      <c r="A90" s="2">
        <v>40732</v>
      </c>
      <c r="B90" s="3" t="s">
        <v>36</v>
      </c>
      <c r="C90">
        <v>40</v>
      </c>
      <c r="D90" s="6" t="s">
        <v>19</v>
      </c>
      <c r="E90">
        <v>375</v>
      </c>
      <c r="F90">
        <v>3.98</v>
      </c>
      <c r="H90">
        <v>39</v>
      </c>
      <c r="I90">
        <v>2</v>
      </c>
      <c r="O90">
        <f>IF(AND(OR(D90="S. acutus",D90="S. californicus",D90="S. tabernaemontani"),G90=0),E90*[1]Sheet1!$D$7+[1]Sheet1!$L$7,IF(AND(OR(D90="S. acutus",D90="S. tabernaemontani"),G90&gt;0),E90*[1]Sheet1!$D$8+N90*[1]Sheet1!$E$8,IF(AND(D90="S. californicus",G90&gt;0),E90*[1]Sheet1!$D$9+N90*[1]Sheet1!$E$9,IF(D90="S.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latifolia"),E90&gt;0),F90*[1]Sheet1!$C$4+E90*[1]Sheet1!$D$4+H90*[1]Sheet1!$J$4+I90*[1]Sheet1!$K$4+[1]Sheet1!$L$4,IF(AND(OR(D90="T. domingensis",D90="T. latifolia"),J90&gt;0),J90*[1]Sheet1!$G$5+K90*[1]Sheet1!$H$5+L90*[1]Sheet1!$I$5+[1]Sheet1!$L$5,0)))))))</f>
        <v>163.66477445999999</v>
      </c>
    </row>
    <row r="91" spans="1:15">
      <c r="A91" s="2">
        <v>40732</v>
      </c>
      <c r="B91" s="3" t="s">
        <v>36</v>
      </c>
      <c r="C91">
        <v>40</v>
      </c>
      <c r="D91" s="6" t="s">
        <v>19</v>
      </c>
      <c r="E91">
        <v>404</v>
      </c>
      <c r="F91">
        <v>2.0099999999999998</v>
      </c>
      <c r="H91">
        <v>24</v>
      </c>
      <c r="I91">
        <v>2.5</v>
      </c>
      <c r="O91">
        <f>IF(AND(OR(D91="S. acutus",D91="S. californicus",D91="S. tabernaemontani"),G91=0),E91*[1]Sheet1!$D$7+[1]Sheet1!$L$7,IF(AND(OR(D91="S. acutus",D91="S. tabernaemontani"),G91&gt;0),E91*[1]Sheet1!$D$8+N91*[1]Sheet1!$E$8,IF(AND(D91="S. californicus",G91&gt;0),E91*[1]Sheet1!$D$9+N91*[1]Sheet1!$E$9,IF(D91="S.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latifolia"),E91&gt;0),F91*[1]Sheet1!$C$4+E91*[1]Sheet1!$D$4+H91*[1]Sheet1!$J$4+I91*[1]Sheet1!$K$4+[1]Sheet1!$L$4,IF(AND(OR(D91="T. domingensis",D91="T. latifolia"),J91&gt;0),J91*[1]Sheet1!$G$5+K91*[1]Sheet1!$H$5+L91*[1]Sheet1!$I$5+[1]Sheet1!$L$5,0)))))))</f>
        <v>129.31374377</v>
      </c>
    </row>
    <row r="92" spans="1:15">
      <c r="A92" s="2">
        <v>40732</v>
      </c>
      <c r="B92" s="3" t="s">
        <v>36</v>
      </c>
      <c r="C92">
        <v>40</v>
      </c>
      <c r="D92" s="6" t="s">
        <v>19</v>
      </c>
      <c r="E92">
        <v>434</v>
      </c>
      <c r="F92">
        <v>2.46</v>
      </c>
      <c r="H92">
        <v>35</v>
      </c>
      <c r="I92">
        <v>2.2999999999999998</v>
      </c>
      <c r="O92">
        <f>IF(AND(OR(D92="S. acutus",D92="S. californicus",D92="S. tabernaemontani"),G92=0),E92*[1]Sheet1!$D$7+[1]Sheet1!$L$7,IF(AND(OR(D92="S. acutus",D92="S. tabernaemontani"),G92&gt;0),E92*[1]Sheet1!$D$8+N92*[1]Sheet1!$E$8,IF(AND(D92="S. californicus",G92&gt;0),E92*[1]Sheet1!$D$9+N92*[1]Sheet1!$E$9,IF(D92="S.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latifolia"),E92&gt;0),F92*[1]Sheet1!$C$4+E92*[1]Sheet1!$D$4+H92*[1]Sheet1!$J$4+I92*[1]Sheet1!$K$4+[1]Sheet1!$L$4,IF(AND(OR(D92="T. domingensis",D92="T. latifolia"),J92&gt;0),J92*[1]Sheet1!$G$5+K92*[1]Sheet1!$H$5+L92*[1]Sheet1!$I$5+[1]Sheet1!$L$5,0)))))))</f>
        <v>153.83595002000001</v>
      </c>
    </row>
    <row r="93" spans="1:15">
      <c r="A93" s="2">
        <v>40732</v>
      </c>
      <c r="B93" s="3" t="s">
        <v>36</v>
      </c>
      <c r="C93">
        <v>40</v>
      </c>
      <c r="D93" s="6" t="s">
        <v>19</v>
      </c>
      <c r="F93">
        <v>1.51</v>
      </c>
      <c r="J93">
        <f>SUM(318,343,347)</f>
        <v>1008</v>
      </c>
      <c r="K93">
        <v>3</v>
      </c>
      <c r="L93">
        <v>347</v>
      </c>
      <c r="O93">
        <f>IF(AND(OR(D93="S. acutus",D93="S. californicus",D93="S. tabernaemontani"),G93=0),E93*[1]Sheet1!$D$7+[1]Sheet1!$L$7,IF(AND(OR(D93="S. acutus",D93="S. tabernaemontani"),G93&gt;0),E93*[1]Sheet1!$D$8+N93*[1]Sheet1!$E$8,IF(AND(D93="S. californicus",G93&gt;0),E93*[1]Sheet1!$D$9+N93*[1]Sheet1!$E$9,IF(D93="S.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latifolia"),E93&gt;0),F93*[1]Sheet1!$C$4+E93*[1]Sheet1!$D$4+H93*[1]Sheet1!$J$4+I93*[1]Sheet1!$K$4+[1]Sheet1!$L$4,IF(AND(OR(D93="T. domingensis",D93="T. latifolia"),J93&gt;0),J93*[1]Sheet1!$G$5+K93*[1]Sheet1!$H$5+L93*[1]Sheet1!$I$5+[1]Sheet1!$L$5,0)))))))</f>
        <v>1.9429500000000033</v>
      </c>
    </row>
    <row r="94" spans="1:15">
      <c r="A94" s="2">
        <v>40732</v>
      </c>
      <c r="B94" s="3" t="s">
        <v>36</v>
      </c>
      <c r="C94">
        <v>40</v>
      </c>
      <c r="D94" s="6" t="s">
        <v>19</v>
      </c>
      <c r="F94">
        <v>1</v>
      </c>
      <c r="J94">
        <f>SUM(196,270,269,290)</f>
        <v>1025</v>
      </c>
      <c r="K94">
        <v>4</v>
      </c>
      <c r="L94">
        <v>290</v>
      </c>
      <c r="O94">
        <f>IF(AND(OR(D94="S. acutus",D94="S. californicus",D94="S. tabernaemontani"),G94=0),E94*[1]Sheet1!$D$7+[1]Sheet1!$L$7,IF(AND(OR(D94="S. acutus",D94="S. tabernaemontani"),G94&gt;0),E94*[1]Sheet1!$D$8+N94*[1]Sheet1!$E$8,IF(AND(D94="S. californicus",G94&gt;0),E94*[1]Sheet1!$D$9+N94*[1]Sheet1!$E$9,IF(D94="S.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latifolia"),E94&gt;0),F94*[1]Sheet1!$C$4+E94*[1]Sheet1!$D$4+H94*[1]Sheet1!$J$4+I94*[1]Sheet1!$K$4+[1]Sheet1!$L$4,IF(AND(OR(D94="T. domingensis",D94="T. latifolia"),J94&gt;0),J94*[1]Sheet1!$G$5+K94*[1]Sheet1!$H$5+L94*[1]Sheet1!$I$5+[1]Sheet1!$L$5,0)))))))</f>
        <v>13.685397000000016</v>
      </c>
    </row>
    <row r="95" spans="1:15">
      <c r="A95" s="2">
        <v>40732</v>
      </c>
      <c r="B95" s="3" t="s">
        <v>36</v>
      </c>
      <c r="C95">
        <v>40</v>
      </c>
      <c r="D95" s="6" t="s">
        <v>19</v>
      </c>
      <c r="F95">
        <v>1.26</v>
      </c>
      <c r="J95">
        <f>SUM(177,216,259,288,312)</f>
        <v>1252</v>
      </c>
      <c r="K95">
        <v>5</v>
      </c>
      <c r="L95">
        <v>312</v>
      </c>
      <c r="O95">
        <f>IF(AND(OR(D95="S. acutus",D95="S. californicus",D95="S. tabernaemontani"),G95=0),E95*[1]Sheet1!$D$7+[1]Sheet1!$L$7,IF(AND(OR(D95="S. acutus",D95="S. tabernaemontani"),G95&gt;0),E95*[1]Sheet1!$D$8+N95*[1]Sheet1!$E$8,IF(AND(D95="S. californicus",G95&gt;0),E95*[1]Sheet1!$D$9+N95*[1]Sheet1!$E$9,IF(D95="S.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latifolia"),E95&gt;0),F95*[1]Sheet1!$C$4+E95*[1]Sheet1!$D$4+H95*[1]Sheet1!$J$4+I95*[1]Sheet1!$K$4+[1]Sheet1!$L$4,IF(AND(OR(D95="T. domingensis",D95="T. latifolia"),J95&gt;0),J95*[1]Sheet1!$G$5+K95*[1]Sheet1!$H$5+L95*[1]Sheet1!$I$5+[1]Sheet1!$L$5,0)))))))</f>
        <v>21.318039000000006</v>
      </c>
    </row>
    <row r="96" spans="1:15">
      <c r="A96" s="2">
        <v>40732</v>
      </c>
      <c r="B96" s="3" t="s">
        <v>36</v>
      </c>
      <c r="C96">
        <v>40</v>
      </c>
      <c r="D96" s="6" t="s">
        <v>19</v>
      </c>
      <c r="F96">
        <v>1.71</v>
      </c>
      <c r="J96">
        <f>SUM(233,285,308,359)</f>
        <v>1185</v>
      </c>
      <c r="K96">
        <v>1</v>
      </c>
      <c r="L96">
        <v>359</v>
      </c>
      <c r="O96">
        <f>IF(AND(OR(D96="S. acutus",D96="S. californicus",D96="S. tabernaemontani"),G96=0),E96*[1]Sheet1!$D$7+[1]Sheet1!$L$7,IF(AND(OR(D96="S. acutus",D96="S. tabernaemontani"),G96&gt;0),E96*[1]Sheet1!$D$8+N96*[1]Sheet1!$E$8,IF(AND(D96="S. californicus",G96&gt;0),E96*[1]Sheet1!$D$9+N96*[1]Sheet1!$E$9,IF(D96="S.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latifolia"),E96&gt;0),F96*[1]Sheet1!$C$4+E96*[1]Sheet1!$D$4+H96*[1]Sheet1!$J$4+I96*[1]Sheet1!$K$4+[1]Sheet1!$L$4,IF(AND(OR(D96="T. domingensis",D96="T. latifolia"),J96&gt;0),J96*[1]Sheet1!$G$5+K96*[1]Sheet1!$H$5+L96*[1]Sheet1!$I$5+[1]Sheet1!$L$5,0)))))))</f>
        <v>28.967351000000015</v>
      </c>
    </row>
    <row r="97" spans="1:15">
      <c r="A97" s="2">
        <v>40732</v>
      </c>
      <c r="B97" s="3" t="s">
        <v>36</v>
      </c>
      <c r="C97">
        <v>40</v>
      </c>
      <c r="D97" s="6" t="s">
        <v>19</v>
      </c>
      <c r="F97">
        <v>3.12</v>
      </c>
      <c r="J97">
        <f>SUM(218,307,350,390,415,427)</f>
        <v>2107</v>
      </c>
      <c r="K97">
        <v>6</v>
      </c>
      <c r="L97">
        <v>427</v>
      </c>
      <c r="O97">
        <f>IF(AND(OR(D97="S. acutus",D97="S. californicus",D97="S. tabernaemontani"),G97=0),E97*[1]Sheet1!$D$7+[1]Sheet1!$L$7,IF(AND(OR(D97="S. acutus",D97="S. tabernaemontani"),G97&gt;0),E97*[1]Sheet1!$D$8+N97*[1]Sheet1!$E$8,IF(AND(D97="S. californicus",G97&gt;0),E97*[1]Sheet1!$D$9+N97*[1]Sheet1!$E$9,IF(D97="S.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latifolia"),E97&gt;0),F97*[1]Sheet1!$C$4+E97*[1]Sheet1!$D$4+H97*[1]Sheet1!$J$4+I97*[1]Sheet1!$K$4+[1]Sheet1!$L$4,IF(AND(OR(D97="T. domingensis",D97="T. latifolia"),J97&gt;0),J97*[1]Sheet1!$G$5+K97*[1]Sheet1!$H$5+L97*[1]Sheet1!$I$5+[1]Sheet1!$L$5,0)))))))</f>
        <v>59.813036000000018</v>
      </c>
    </row>
    <row r="98" spans="1:15">
      <c r="A98" s="2">
        <v>40732</v>
      </c>
      <c r="B98" s="3" t="s">
        <v>36</v>
      </c>
      <c r="C98">
        <v>40</v>
      </c>
      <c r="D98" s="6" t="s">
        <v>19</v>
      </c>
      <c r="F98">
        <v>4.9800000000000004</v>
      </c>
      <c r="J98">
        <f>SUM(330,358,438,460,472,474)</f>
        <v>2532</v>
      </c>
      <c r="K98">
        <v>6</v>
      </c>
      <c r="L98">
        <v>474</v>
      </c>
      <c r="O98">
        <f>IF(AND(OR(D98="S. acutus",D98="S. californicus",D98="S. tabernaemontani"),G98=0),E98*[1]Sheet1!$D$7+[1]Sheet1!$L$7,IF(AND(OR(D98="S. acutus",D98="S. tabernaemontani"),G98&gt;0),E98*[1]Sheet1!$D$8+N98*[1]Sheet1!$E$8,IF(AND(D98="S. californicus",G98&gt;0),E98*[1]Sheet1!$D$9+N98*[1]Sheet1!$E$9,IF(D98="S.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latifolia"),E98&gt;0),F98*[1]Sheet1!$C$4+E98*[1]Sheet1!$D$4+H98*[1]Sheet1!$J$4+I98*[1]Sheet1!$K$4+[1]Sheet1!$L$4,IF(AND(OR(D98="T. domingensis",D98="T. latifolia"),J98&gt;0),J98*[1]Sheet1!$G$5+K98*[1]Sheet1!$H$5+L98*[1]Sheet1!$I$5+[1]Sheet1!$L$5,0)))))))</f>
        <v>85.500395999999995</v>
      </c>
    </row>
    <row r="99" spans="1:15">
      <c r="A99" s="2">
        <v>40732</v>
      </c>
      <c r="B99" s="3" t="s">
        <v>36</v>
      </c>
      <c r="C99">
        <v>40</v>
      </c>
      <c r="D99" s="6" t="s">
        <v>19</v>
      </c>
      <c r="F99">
        <v>5.84</v>
      </c>
      <c r="J99">
        <f>SUM(230,323,347,386,398,428,466,474,492)</f>
        <v>3544</v>
      </c>
      <c r="K99">
        <v>9</v>
      </c>
      <c r="L99">
        <v>492</v>
      </c>
      <c r="O99">
        <f>IF(AND(OR(D99="S. acutus",D99="S. californicus",D99="S. tabernaemontani"),G99=0),E99*[1]Sheet1!$D$7+[1]Sheet1!$L$7,IF(AND(OR(D99="S. acutus",D99="S. tabernaemontani"),G99&gt;0),E99*[1]Sheet1!$D$8+N99*[1]Sheet1!$E$8,IF(AND(D99="S. californicus",G99&gt;0),E99*[1]Sheet1!$D$9+N99*[1]Sheet1!$E$9,IF(D99="S.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latifolia"),E99&gt;0),F99*[1]Sheet1!$C$4+E99*[1]Sheet1!$D$4+H99*[1]Sheet1!$J$4+I99*[1]Sheet1!$K$4+[1]Sheet1!$L$4,IF(AND(OR(D99="T. domingensis",D99="T. latifolia"),J99&gt;0),J99*[1]Sheet1!$G$5+K99*[1]Sheet1!$H$5+L99*[1]Sheet1!$I$5+[1]Sheet1!$L$5,0)))))))</f>
        <v>153.89098700000002</v>
      </c>
    </row>
    <row r="100" spans="1:15">
      <c r="A100" s="2">
        <v>40731</v>
      </c>
      <c r="B100" s="3" t="s">
        <v>30</v>
      </c>
      <c r="C100">
        <v>5</v>
      </c>
      <c r="D100" s="7" t="s">
        <v>12</v>
      </c>
      <c r="E100">
        <v>126</v>
      </c>
      <c r="F100">
        <v>0.81</v>
      </c>
      <c r="G100">
        <v>0</v>
      </c>
      <c r="N100">
        <f t="shared" ref="N100:N124" si="3">(1/3)*(3.14159)*((F100/2)^2)*E100</f>
        <v>21.642570589500004</v>
      </c>
      <c r="O100">
        <f>IF(AND(OR(D100="S. acutus",D100="S. californicus",D100="S. tabernaemontani"),G100=0),E100*[1]Sheet1!$D$7+[1]Sheet1!$L$7,IF(AND(OR(D100="S. acutus",D100="S. tabernaemontani"),G100&gt;0),E100*[1]Sheet1!$D$8+N100*[1]Sheet1!$E$8,IF(AND(D100="S. californicus",G100&gt;0),E100*[1]Sheet1!$D$9+N100*[1]Sheet1!$E$9,IF(D100="S.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latifolia"),E100&gt;0),F100*[1]Sheet1!$C$4+E100*[1]Sheet1!$D$4+H100*[1]Sheet1!$J$4+I100*[1]Sheet1!$K$4+[1]Sheet1!$L$4,IF(AND(OR(D100="T. domingensis",D100="T. latifolia"),J100&gt;0),J100*[1]Sheet1!$G$5+K100*[1]Sheet1!$H$5+L100*[1]Sheet1!$I$5+[1]Sheet1!$L$5,0)))))))</f>
        <v>4.2426330000000005</v>
      </c>
    </row>
    <row r="101" spans="1:15">
      <c r="A101" s="2">
        <v>40731</v>
      </c>
      <c r="B101" s="3" t="s">
        <v>30</v>
      </c>
      <c r="C101">
        <v>5</v>
      </c>
      <c r="D101" s="7" t="s">
        <v>12</v>
      </c>
      <c r="E101">
        <v>184</v>
      </c>
      <c r="F101">
        <v>0.75</v>
      </c>
      <c r="G101">
        <v>12</v>
      </c>
      <c r="N101">
        <f t="shared" si="3"/>
        <v>27.096213749999997</v>
      </c>
      <c r="O101">
        <f>IF(AND(OR(D101="S. acutus",D101="S. californicus",D101="S. tabernaemontani"),G101=0),E101*[1]Sheet1!$D$7+[1]Sheet1!$L$7,IF(AND(OR(D101="S. acutus",D101="S. tabernaemontani"),G101&gt;0),E101*[1]Sheet1!$D$8+N101*[1]Sheet1!$E$8,IF(AND(D101="S. californicus",G101&gt;0),E101*[1]Sheet1!$D$9+N101*[1]Sheet1!$E$9,IF(D101="S.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latifolia"),E101&gt;0),F101*[1]Sheet1!$C$4+E101*[1]Sheet1!$D$4+H101*[1]Sheet1!$J$4+I101*[1]Sheet1!$K$4+[1]Sheet1!$L$4,IF(AND(OR(D101="T. domingensis",D101="T. latifolia"),J101&gt;0),J101*[1]Sheet1!$G$5+K101*[1]Sheet1!$H$5+L101*[1]Sheet1!$I$5+[1]Sheet1!$L$5,0)))))))</f>
        <v>7.9578288693423751</v>
      </c>
    </row>
    <row r="102" spans="1:15">
      <c r="A102" s="2">
        <v>40731</v>
      </c>
      <c r="B102" s="3" t="s">
        <v>30</v>
      </c>
      <c r="C102">
        <v>5</v>
      </c>
      <c r="D102" s="7" t="s">
        <v>12</v>
      </c>
      <c r="E102">
        <v>218</v>
      </c>
      <c r="F102">
        <v>1.61</v>
      </c>
      <c r="G102">
        <v>0</v>
      </c>
      <c r="N102">
        <f t="shared" si="3"/>
        <v>147.93689714183333</v>
      </c>
      <c r="O102">
        <f>IF(AND(OR(D102="S. acutus",D102="S. californicus",D102="S. tabernaemontani"),G102=0),E102*[1]Sheet1!$D$7+[1]Sheet1!$L$7,IF(AND(OR(D102="S. acutus",D102="S. tabernaemontani"),G102&gt;0),E102*[1]Sheet1!$D$8+N102*[1]Sheet1!$E$8,IF(AND(D102="S. californicus",G102&gt;0),E102*[1]Sheet1!$D$9+N102*[1]Sheet1!$E$9,IF(D102="S.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latifolia"),E102&gt;0),F102*[1]Sheet1!$C$4+E102*[1]Sheet1!$D$4+H102*[1]Sheet1!$J$4+I102*[1]Sheet1!$K$4+[1]Sheet1!$L$4,IF(AND(OR(D102="T. domingensis",D102="T. latifolia"),J102&gt;0),J102*[1]Sheet1!$G$5+K102*[1]Sheet1!$H$5+L102*[1]Sheet1!$I$5+[1]Sheet1!$L$5,0)))))))</f>
        <v>10.692292999999999</v>
      </c>
    </row>
    <row r="103" spans="1:15">
      <c r="A103" s="2">
        <v>40731</v>
      </c>
      <c r="B103" s="3" t="s">
        <v>30</v>
      </c>
      <c r="C103">
        <v>5</v>
      </c>
      <c r="D103" s="7" t="s">
        <v>12</v>
      </c>
      <c r="E103">
        <v>243</v>
      </c>
      <c r="F103">
        <v>1.52</v>
      </c>
      <c r="G103">
        <v>0</v>
      </c>
      <c r="N103">
        <f t="shared" si="3"/>
        <v>146.98117310399999</v>
      </c>
      <c r="O103">
        <f>IF(AND(OR(D103="S. acutus",D103="S. californicus",D103="S. tabernaemontani"),G103=0),E103*[1]Sheet1!$D$7+[1]Sheet1!$L$7,IF(AND(OR(D103="S. acutus",D103="S. tabernaemontani"),G103&gt;0),E103*[1]Sheet1!$D$8+N103*[1]Sheet1!$E$8,IF(AND(D103="S. californicus",G103&gt;0),E103*[1]Sheet1!$D$9+N103*[1]Sheet1!$E$9,IF(D103="S.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latifolia"),E103&gt;0),F103*[1]Sheet1!$C$4+E103*[1]Sheet1!$D$4+H103*[1]Sheet1!$J$4+I103*[1]Sheet1!$K$4+[1]Sheet1!$L$4,IF(AND(OR(D103="T. domingensis",D103="T. latifolia"),J103&gt;0),J103*[1]Sheet1!$G$5+K103*[1]Sheet1!$H$5+L103*[1]Sheet1!$I$5+[1]Sheet1!$L$5,0)))))))</f>
        <v>12.444918000000001</v>
      </c>
    </row>
    <row r="104" spans="1:15">
      <c r="A104" s="2">
        <v>40731</v>
      </c>
      <c r="B104" s="3" t="s">
        <v>30</v>
      </c>
      <c r="C104">
        <v>5</v>
      </c>
      <c r="D104" s="7" t="s">
        <v>12</v>
      </c>
      <c r="E104">
        <v>243</v>
      </c>
      <c r="F104">
        <v>1.1100000000000001</v>
      </c>
      <c r="G104">
        <v>13</v>
      </c>
      <c r="N104">
        <f t="shared" si="3"/>
        <v>78.382749039749996</v>
      </c>
      <c r="O104">
        <f>IF(AND(OR(D104="S. acutus",D104="S. californicus",D104="S. tabernaemontani"),G104=0),E104*[1]Sheet1!$D$7+[1]Sheet1!$L$7,IF(AND(OR(D104="S. acutus",D104="S. tabernaemontani"),G104&gt;0),E104*[1]Sheet1!$D$8+N104*[1]Sheet1!$E$8,IF(AND(D104="S. californicus",G104&gt;0),E104*[1]Sheet1!$D$9+N104*[1]Sheet1!$E$9,IF(D104="S.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latifolia"),E104&gt;0),F104*[1]Sheet1!$C$4+E104*[1]Sheet1!$D$4+H104*[1]Sheet1!$J$4+I104*[1]Sheet1!$K$4+[1]Sheet1!$L$4,IF(AND(OR(D104="T. domingensis",D104="T. latifolia"),J104&gt;0),J104*[1]Sheet1!$G$5+K104*[1]Sheet1!$H$5+L104*[1]Sheet1!$I$5+[1]Sheet1!$L$5,0)))))))</f>
        <v>11.881220363554087</v>
      </c>
    </row>
    <row r="105" spans="1:15">
      <c r="A105" s="2">
        <v>40731</v>
      </c>
      <c r="B105" s="3" t="s">
        <v>30</v>
      </c>
      <c r="C105">
        <v>5</v>
      </c>
      <c r="D105" s="7" t="s">
        <v>12</v>
      </c>
      <c r="E105">
        <v>259</v>
      </c>
      <c r="F105">
        <v>0.71</v>
      </c>
      <c r="G105">
        <v>0</v>
      </c>
      <c r="N105">
        <f t="shared" si="3"/>
        <v>34.180996618416664</v>
      </c>
      <c r="O105">
        <f>IF(AND(OR(D105="S. acutus",D105="S. californicus",D105="S. tabernaemontani"),G105=0),E105*[1]Sheet1!$D$7+[1]Sheet1!$L$7,IF(AND(OR(D105="S. acutus",D105="S. tabernaemontani"),G105&gt;0),E105*[1]Sheet1!$D$8+N105*[1]Sheet1!$E$8,IF(AND(D105="S. californicus",G105&gt;0),E105*[1]Sheet1!$D$9+N105*[1]Sheet1!$E$9,IF(D105="S.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latifolia"),E105&gt;0),F105*[1]Sheet1!$C$4+E105*[1]Sheet1!$D$4+H105*[1]Sheet1!$J$4+I105*[1]Sheet1!$K$4+[1]Sheet1!$L$4,IF(AND(OR(D105="T. domingensis",D105="T. latifolia"),J105&gt;0),J105*[1]Sheet1!$G$5+K105*[1]Sheet1!$H$5+L105*[1]Sheet1!$I$5+[1]Sheet1!$L$5,0)))))))</f>
        <v>13.566598000000003</v>
      </c>
    </row>
    <row r="106" spans="1:15">
      <c r="A106" s="2">
        <v>40731</v>
      </c>
      <c r="B106" s="3" t="s">
        <v>30</v>
      </c>
      <c r="C106">
        <v>5</v>
      </c>
      <c r="D106" s="7" t="s">
        <v>12</v>
      </c>
      <c r="E106">
        <v>265</v>
      </c>
      <c r="F106">
        <v>1.45</v>
      </c>
      <c r="G106">
        <v>0</v>
      </c>
      <c r="N106">
        <f t="shared" si="3"/>
        <v>145.86467819791665</v>
      </c>
      <c r="O106">
        <f>IF(AND(OR(D106="S. acutus",D106="S. californicus",D106="S. tabernaemontani"),G106=0),E106*[1]Sheet1!$D$7+[1]Sheet1!$L$7,IF(AND(OR(D106="S. acutus",D106="S. tabernaemontani"),G106&gt;0),E106*[1]Sheet1!$D$8+N106*[1]Sheet1!$E$8,IF(AND(D106="S. californicus",G106&gt;0),E106*[1]Sheet1!$D$9+N106*[1]Sheet1!$E$9,IF(D106="S.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latifolia"),E106&gt;0),F106*[1]Sheet1!$C$4+E106*[1]Sheet1!$D$4+H106*[1]Sheet1!$J$4+I106*[1]Sheet1!$K$4+[1]Sheet1!$L$4,IF(AND(OR(D106="T. domingensis",D106="T. latifolia"),J106&gt;0),J106*[1]Sheet1!$G$5+K106*[1]Sheet1!$H$5+L106*[1]Sheet1!$I$5+[1]Sheet1!$L$5,0)))))))</f>
        <v>13.987228000000002</v>
      </c>
    </row>
    <row r="107" spans="1:15">
      <c r="A107" s="2">
        <v>40731</v>
      </c>
      <c r="B107" s="3" t="s">
        <v>30</v>
      </c>
      <c r="C107">
        <v>5</v>
      </c>
      <c r="D107" s="7" t="s">
        <v>12</v>
      </c>
      <c r="E107">
        <v>269</v>
      </c>
      <c r="F107">
        <v>1.22</v>
      </c>
      <c r="G107">
        <v>3</v>
      </c>
      <c r="N107">
        <f t="shared" si="3"/>
        <v>104.81904563033332</v>
      </c>
      <c r="O107">
        <f>IF(AND(OR(D107="S. acutus",D107="S. californicus",D107="S. tabernaemontani"),G107=0),E107*[1]Sheet1!$D$7+[1]Sheet1!$L$7,IF(AND(OR(D107="S. acutus",D107="S. tabernaemontani"),G107&gt;0),E107*[1]Sheet1!$D$8+N107*[1]Sheet1!$E$8,IF(AND(D107="S. californicus",G107&gt;0),E107*[1]Sheet1!$D$9+N107*[1]Sheet1!$E$9,IF(D107="S.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latifolia"),E107&gt;0),F107*[1]Sheet1!$C$4+E107*[1]Sheet1!$D$4+H107*[1]Sheet1!$J$4+I107*[1]Sheet1!$K$4+[1]Sheet1!$L$4,IF(AND(OR(D107="T. domingensis",D107="T. latifolia"),J107&gt;0),J107*[1]Sheet1!$G$5+K107*[1]Sheet1!$H$5+L107*[1]Sheet1!$I$5+[1]Sheet1!$L$5,0)))))))</f>
        <v>13.7336775064378</v>
      </c>
    </row>
    <row r="108" spans="1:15">
      <c r="A108" s="2">
        <v>40731</v>
      </c>
      <c r="B108" s="3" t="s">
        <v>30</v>
      </c>
      <c r="C108">
        <v>5</v>
      </c>
      <c r="D108" s="7" t="s">
        <v>12</v>
      </c>
      <c r="E108">
        <v>276</v>
      </c>
      <c r="F108">
        <v>1.25</v>
      </c>
      <c r="G108">
        <v>0</v>
      </c>
      <c r="N108">
        <f t="shared" si="3"/>
        <v>112.90089062499999</v>
      </c>
      <c r="O108">
        <f>IF(AND(OR(D108="S. acutus",D108="S. californicus",D108="S. tabernaemontani"),G108=0),E108*[1]Sheet1!$D$7+[1]Sheet1!$L$7,IF(AND(OR(D108="S. acutus",D108="S. tabernaemontani"),G108&gt;0),E108*[1]Sheet1!$D$8+N108*[1]Sheet1!$E$8,IF(AND(D108="S. californicus",G108&gt;0),E108*[1]Sheet1!$D$9+N108*[1]Sheet1!$E$9,IF(D108="S.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latifolia"),E108&gt;0),F108*[1]Sheet1!$C$4+E108*[1]Sheet1!$D$4+H108*[1]Sheet1!$J$4+I108*[1]Sheet1!$K$4+[1]Sheet1!$L$4,IF(AND(OR(D108="T. domingensis",D108="T. latifolia"),J108&gt;0),J108*[1]Sheet1!$G$5+K108*[1]Sheet1!$H$5+L108*[1]Sheet1!$I$5+[1]Sheet1!$L$5,0)))))))</f>
        <v>14.758383000000002</v>
      </c>
    </row>
    <row r="109" spans="1:15">
      <c r="A109" s="2">
        <v>40731</v>
      </c>
      <c r="B109" s="3" t="s">
        <v>30</v>
      </c>
      <c r="C109">
        <v>5</v>
      </c>
      <c r="D109" s="7" t="s">
        <v>12</v>
      </c>
      <c r="E109">
        <v>283</v>
      </c>
      <c r="F109">
        <v>1.99</v>
      </c>
      <c r="G109">
        <v>0</v>
      </c>
      <c r="N109">
        <f t="shared" si="3"/>
        <v>293.40049901641669</v>
      </c>
      <c r="O109">
        <f>IF(AND(OR(D109="S. acutus",D109="S. californicus",D109="S. tabernaemontani"),G109=0),E109*[1]Sheet1!$D$7+[1]Sheet1!$L$7,IF(AND(OR(D109="S. acutus",D109="S. tabernaemontani"),G109&gt;0),E109*[1]Sheet1!$D$8+N109*[1]Sheet1!$E$8,IF(AND(D109="S. californicus",G109&gt;0),E109*[1]Sheet1!$D$9+N109*[1]Sheet1!$E$9,IF(D109="S.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latifolia"),E109&gt;0),F109*[1]Sheet1!$C$4+E109*[1]Sheet1!$D$4+H109*[1]Sheet1!$J$4+I109*[1]Sheet1!$K$4+[1]Sheet1!$L$4,IF(AND(OR(D109="T. domingensis",D109="T. latifolia"),J109&gt;0),J109*[1]Sheet1!$G$5+K109*[1]Sheet1!$H$5+L109*[1]Sheet1!$I$5+[1]Sheet1!$L$5,0)))))))</f>
        <v>15.249118000000003</v>
      </c>
    </row>
    <row r="110" spans="1:15">
      <c r="A110" s="2">
        <v>40731</v>
      </c>
      <c r="B110" s="3" t="s">
        <v>30</v>
      </c>
      <c r="C110">
        <v>5</v>
      </c>
      <c r="D110" s="6" t="s">
        <v>12</v>
      </c>
      <c r="E110">
        <v>287</v>
      </c>
      <c r="F110">
        <v>1.24</v>
      </c>
      <c r="G110">
        <v>0</v>
      </c>
      <c r="N110">
        <f t="shared" si="3"/>
        <v>115.52966841733333</v>
      </c>
      <c r="O110">
        <f>IF(AND(OR(D110="S. acutus",D110="S. californicus",D110="S. tabernaemontani"),G110=0),E110*[1]Sheet1!$D$7+[1]Sheet1!$L$7,IF(AND(OR(D110="S. acutus",D110="S. tabernaemontani"),G110&gt;0),E110*[1]Sheet1!$D$8+N110*[1]Sheet1!$E$8,IF(AND(D110="S. californicus",G110&gt;0),E110*[1]Sheet1!$D$9+N110*[1]Sheet1!$E$9,IF(D110="S.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latifolia"),E110&gt;0),F110*[1]Sheet1!$C$4+E110*[1]Sheet1!$D$4+H110*[1]Sheet1!$J$4+I110*[1]Sheet1!$K$4+[1]Sheet1!$L$4,IF(AND(OR(D110="T. domingensis",D110="T. latifolia"),J110&gt;0),J110*[1]Sheet1!$G$5+K110*[1]Sheet1!$H$5+L110*[1]Sheet1!$I$5+[1]Sheet1!$L$5,0)))))))</f>
        <v>15.529538000000002</v>
      </c>
    </row>
    <row r="111" spans="1:15">
      <c r="A111" s="2">
        <v>40731</v>
      </c>
      <c r="B111" s="3" t="s">
        <v>30</v>
      </c>
      <c r="C111">
        <v>5</v>
      </c>
      <c r="D111" s="6" t="s">
        <v>12</v>
      </c>
      <c r="E111">
        <v>291</v>
      </c>
      <c r="F111">
        <v>2.21</v>
      </c>
      <c r="G111">
        <v>0</v>
      </c>
      <c r="N111">
        <f t="shared" si="3"/>
        <v>372.08811318574999</v>
      </c>
      <c r="O111">
        <f>IF(AND(OR(D111="S. acutus",D111="S. californicus",D111="S. tabernaemontani"),G111=0),E111*[1]Sheet1!$D$7+[1]Sheet1!$L$7,IF(AND(OR(D111="S. acutus",D111="S. tabernaemontani"),G111&gt;0),E111*[1]Sheet1!$D$8+N111*[1]Sheet1!$E$8,IF(AND(D111="S. californicus",G111&gt;0),E111*[1]Sheet1!$D$9+N111*[1]Sheet1!$E$9,IF(D111="S.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latifolia"),E111&gt;0),F111*[1]Sheet1!$C$4+E111*[1]Sheet1!$D$4+H111*[1]Sheet1!$J$4+I111*[1]Sheet1!$K$4+[1]Sheet1!$L$4,IF(AND(OR(D111="T. domingensis",D111="T. latifolia"),J111&gt;0),J111*[1]Sheet1!$G$5+K111*[1]Sheet1!$H$5+L111*[1]Sheet1!$I$5+[1]Sheet1!$L$5,0)))))))</f>
        <v>15.809958000000002</v>
      </c>
    </row>
    <row r="112" spans="1:15">
      <c r="A112" s="2">
        <v>40731</v>
      </c>
      <c r="B112" s="3" t="s">
        <v>30</v>
      </c>
      <c r="C112">
        <v>5</v>
      </c>
      <c r="D112" s="7" t="s">
        <v>12</v>
      </c>
      <c r="E112">
        <v>293</v>
      </c>
      <c r="F112">
        <v>1.06</v>
      </c>
      <c r="G112">
        <v>0</v>
      </c>
      <c r="N112">
        <f t="shared" si="3"/>
        <v>86.188160294333343</v>
      </c>
      <c r="O112">
        <f>IF(AND(OR(D112="S. acutus",D112="S. californicus",D112="S. tabernaemontani"),G112=0),E112*[1]Sheet1!$D$7+[1]Sheet1!$L$7,IF(AND(OR(D112="S. acutus",D112="S. tabernaemontani"),G112&gt;0),E112*[1]Sheet1!$D$8+N112*[1]Sheet1!$E$8,IF(AND(D112="S. californicus",G112&gt;0),E112*[1]Sheet1!$D$9+N112*[1]Sheet1!$E$9,IF(D112="S.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latifolia"),E112&gt;0),F112*[1]Sheet1!$C$4+E112*[1]Sheet1!$D$4+H112*[1]Sheet1!$J$4+I112*[1]Sheet1!$K$4+[1]Sheet1!$L$4,IF(AND(OR(D112="T. domingensis",D112="T. latifolia"),J112&gt;0),J112*[1]Sheet1!$G$5+K112*[1]Sheet1!$H$5+L112*[1]Sheet1!$I$5+[1]Sheet1!$L$5,0)))))))</f>
        <v>15.950168000000001</v>
      </c>
    </row>
    <row r="113" spans="1:15">
      <c r="A113" s="2">
        <v>40731</v>
      </c>
      <c r="B113" s="3" t="s">
        <v>30</v>
      </c>
      <c r="C113">
        <v>5</v>
      </c>
      <c r="D113" s="7" t="s">
        <v>12</v>
      </c>
      <c r="E113">
        <v>294</v>
      </c>
      <c r="F113">
        <v>1.94</v>
      </c>
      <c r="G113">
        <v>0</v>
      </c>
      <c r="N113">
        <f t="shared" si="3"/>
        <v>289.68035903799995</v>
      </c>
      <c r="O113">
        <f>IF(AND(OR(D113="S. acutus",D113="S. californicus",D113="S. tabernaemontani"),G113=0),E113*[1]Sheet1!$D$7+[1]Sheet1!$L$7,IF(AND(OR(D113="S. acutus",D113="S. tabernaemontani"),G113&gt;0),E113*[1]Sheet1!$D$8+N113*[1]Sheet1!$E$8,IF(AND(D113="S. californicus",G113&gt;0),E113*[1]Sheet1!$D$9+N113*[1]Sheet1!$E$9,IF(D113="S.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latifolia"),E113&gt;0),F113*[1]Sheet1!$C$4+E113*[1]Sheet1!$D$4+H113*[1]Sheet1!$J$4+I113*[1]Sheet1!$K$4+[1]Sheet1!$L$4,IF(AND(OR(D113="T. domingensis",D113="T. latifolia"),J113&gt;0),J113*[1]Sheet1!$G$5+K113*[1]Sheet1!$H$5+L113*[1]Sheet1!$I$5+[1]Sheet1!$L$5,0)))))))</f>
        <v>16.020273</v>
      </c>
    </row>
    <row r="114" spans="1:15">
      <c r="A114" s="2">
        <v>40731</v>
      </c>
      <c r="B114" s="3" t="s">
        <v>30</v>
      </c>
      <c r="C114">
        <v>5</v>
      </c>
      <c r="D114" s="7" t="s">
        <v>12</v>
      </c>
      <c r="E114">
        <v>295</v>
      </c>
      <c r="F114">
        <v>1.54</v>
      </c>
      <c r="G114">
        <v>9</v>
      </c>
      <c r="N114">
        <f t="shared" si="3"/>
        <v>183.16045658166664</v>
      </c>
      <c r="O114">
        <f>IF(AND(OR(D114="S. acutus",D114="S. californicus",D114="S. tabernaemontani"),G114=0),E114*[1]Sheet1!$D$7+[1]Sheet1!$L$7,IF(AND(OR(D114="S. acutus",D114="S. tabernaemontani"),G114&gt;0),E114*[1]Sheet1!$D$8+N114*[1]Sheet1!$E$8,IF(AND(D114="S. californicus",G114&gt;0),E114*[1]Sheet1!$D$9+N114*[1]Sheet1!$E$9,IF(D114="S.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latifolia"),E114&gt;0),F114*[1]Sheet1!$C$4+E114*[1]Sheet1!$D$4+H114*[1]Sheet1!$J$4+I114*[1]Sheet1!$K$4+[1]Sheet1!$L$4,IF(AND(OR(D114="T. domingensis",D114="T. latifolia"),J114&gt;0),J114*[1]Sheet1!$G$5+K114*[1]Sheet1!$H$5+L114*[1]Sheet1!$I$5+[1]Sheet1!$L$5,0)))))))</f>
        <v>17.257526046340587</v>
      </c>
    </row>
    <row r="115" spans="1:15">
      <c r="A115" s="2">
        <v>40731</v>
      </c>
      <c r="B115" s="3" t="s">
        <v>30</v>
      </c>
      <c r="C115">
        <v>5</v>
      </c>
      <c r="D115" s="7" t="s">
        <v>12</v>
      </c>
      <c r="E115">
        <v>300</v>
      </c>
      <c r="F115">
        <v>1.26</v>
      </c>
      <c r="G115">
        <v>7</v>
      </c>
      <c r="N115">
        <f t="shared" si="3"/>
        <v>124.68970710000001</v>
      </c>
      <c r="O115">
        <f>IF(AND(OR(D115="S. acutus",D115="S. californicus",D115="S. tabernaemontani"),G115=0),E115*[1]Sheet1!$D$7+[1]Sheet1!$L$7,IF(AND(OR(D115="S. acutus",D115="S. tabernaemontani"),G115&gt;0),E115*[1]Sheet1!$D$8+N115*[1]Sheet1!$E$8,IF(AND(D115="S. californicus",G115&gt;0),E115*[1]Sheet1!$D$9+N115*[1]Sheet1!$E$9,IF(D115="S.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latifolia"),E115&gt;0),F115*[1]Sheet1!$C$4+E115*[1]Sheet1!$D$4+H115*[1]Sheet1!$J$4+I115*[1]Sheet1!$K$4+[1]Sheet1!$L$4,IF(AND(OR(D115="T. domingensis",D115="T. latifolia"),J115&gt;0),J115*[1]Sheet1!$G$5+K115*[1]Sheet1!$H$5+L115*[1]Sheet1!$I$5+[1]Sheet1!$L$5,0)))))))</f>
        <v>15.56725078935639</v>
      </c>
    </row>
    <row r="116" spans="1:15">
      <c r="A116" s="2">
        <v>40731</v>
      </c>
      <c r="B116" s="3" t="s">
        <v>30</v>
      </c>
      <c r="C116">
        <v>5</v>
      </c>
      <c r="D116" s="7" t="s">
        <v>12</v>
      </c>
      <c r="E116">
        <v>303</v>
      </c>
      <c r="F116">
        <v>2.1800000000000002</v>
      </c>
      <c r="G116">
        <v>0</v>
      </c>
      <c r="N116">
        <f t="shared" si="3"/>
        <v>376.98483097900004</v>
      </c>
      <c r="O116">
        <f>IF(AND(OR(D116="S. acutus",D116="S. californicus",D116="S. tabernaemontani"),G116=0),E116*[1]Sheet1!$D$7+[1]Sheet1!$L$7,IF(AND(OR(D116="S. acutus",D116="S. tabernaemontani"),G116&gt;0),E116*[1]Sheet1!$D$8+N116*[1]Sheet1!$E$8,IF(AND(D116="S. californicus",G116&gt;0),E116*[1]Sheet1!$D$9+N116*[1]Sheet1!$E$9,IF(D116="S.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latifolia"),E116&gt;0),F116*[1]Sheet1!$C$4+E116*[1]Sheet1!$D$4+H116*[1]Sheet1!$J$4+I116*[1]Sheet1!$K$4+[1]Sheet1!$L$4,IF(AND(OR(D116="T. domingensis",D116="T. latifolia"),J116&gt;0),J116*[1]Sheet1!$G$5+K116*[1]Sheet1!$H$5+L116*[1]Sheet1!$I$5+[1]Sheet1!$L$5,0)))))))</f>
        <v>16.651218</v>
      </c>
    </row>
    <row r="117" spans="1:15">
      <c r="A117" s="2">
        <v>40731</v>
      </c>
      <c r="B117" s="3" t="s">
        <v>30</v>
      </c>
      <c r="C117">
        <v>5</v>
      </c>
      <c r="D117" s="6" t="s">
        <v>12</v>
      </c>
      <c r="E117">
        <v>304</v>
      </c>
      <c r="F117">
        <v>1.24</v>
      </c>
      <c r="G117">
        <v>12</v>
      </c>
      <c r="N117">
        <f t="shared" si="3"/>
        <v>122.37288919466666</v>
      </c>
      <c r="O117">
        <f>IF(AND(OR(D117="S. acutus",D117="S. californicus",D117="S. tabernaemontani"),G117=0),E117*[1]Sheet1!$D$7+[1]Sheet1!$L$7,IF(AND(OR(D117="S. acutus",D117="S. tabernaemontani"),G117&gt;0),E117*[1]Sheet1!$D$8+N117*[1]Sheet1!$E$8,IF(AND(D117="S. californicus",G117&gt;0),E117*[1]Sheet1!$D$9+N117*[1]Sheet1!$E$9,IF(D117="S.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latifolia"),E117&gt;0),F117*[1]Sheet1!$C$4+E117*[1]Sheet1!$D$4+H117*[1]Sheet1!$J$4+I117*[1]Sheet1!$K$4+[1]Sheet1!$L$4,IF(AND(OR(D117="T. domingensis",D117="T. latifolia"),J117&gt;0),J117*[1]Sheet1!$G$5+K117*[1]Sheet1!$H$5+L117*[1]Sheet1!$I$5+[1]Sheet1!$L$5,0)))))))</f>
        <v>15.646675567668542</v>
      </c>
    </row>
    <row r="118" spans="1:15">
      <c r="A118" s="2">
        <v>40731</v>
      </c>
      <c r="B118" s="3" t="s">
        <v>30</v>
      </c>
      <c r="C118">
        <v>5</v>
      </c>
      <c r="D118" s="6" t="s">
        <v>12</v>
      </c>
      <c r="E118">
        <v>316</v>
      </c>
      <c r="F118">
        <v>1.55</v>
      </c>
      <c r="G118">
        <v>0</v>
      </c>
      <c r="N118">
        <f t="shared" si="3"/>
        <v>198.75530934166667</v>
      </c>
      <c r="O118">
        <f>IF(AND(OR(D118="S. acutus",D118="S. californicus",D118="S. tabernaemontani"),G118=0),E118*[1]Sheet1!$D$7+[1]Sheet1!$L$7,IF(AND(OR(D118="S. acutus",D118="S. tabernaemontani"),G118&gt;0),E118*[1]Sheet1!$D$8+N118*[1]Sheet1!$E$8,IF(AND(D118="S. californicus",G118&gt;0),E118*[1]Sheet1!$D$9+N118*[1]Sheet1!$E$9,IF(D118="S.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latifolia"),E118&gt;0),F118*[1]Sheet1!$C$4+E118*[1]Sheet1!$D$4+H118*[1]Sheet1!$J$4+I118*[1]Sheet1!$K$4+[1]Sheet1!$L$4,IF(AND(OR(D118="T. domingensis",D118="T. latifolia"),J118&gt;0),J118*[1]Sheet1!$G$5+K118*[1]Sheet1!$H$5+L118*[1]Sheet1!$I$5+[1]Sheet1!$L$5,0)))))))</f>
        <v>17.562583</v>
      </c>
    </row>
    <row r="119" spans="1:15">
      <c r="A119" s="2">
        <v>40731</v>
      </c>
      <c r="B119" s="3" t="s">
        <v>30</v>
      </c>
      <c r="C119">
        <v>5</v>
      </c>
      <c r="D119" s="6" t="s">
        <v>12</v>
      </c>
      <c r="E119">
        <v>321</v>
      </c>
      <c r="F119">
        <v>1.5</v>
      </c>
      <c r="G119">
        <v>0</v>
      </c>
      <c r="N119">
        <f t="shared" si="3"/>
        <v>189.08444812499997</v>
      </c>
      <c r="O119">
        <f>IF(AND(OR(D119="S. acutus",D119="S. californicus",D119="S. tabernaemontani"),G119=0),E119*[1]Sheet1!$D$7+[1]Sheet1!$L$7,IF(AND(OR(D119="S. acutus",D119="S. tabernaemontani"),G119&gt;0),E119*[1]Sheet1!$D$8+N119*[1]Sheet1!$E$8,IF(AND(D119="S. californicus",G119&gt;0),E119*[1]Sheet1!$D$9+N119*[1]Sheet1!$E$9,IF(D119="S.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latifolia"),E119&gt;0),F119*[1]Sheet1!$C$4+E119*[1]Sheet1!$D$4+H119*[1]Sheet1!$J$4+I119*[1]Sheet1!$K$4+[1]Sheet1!$L$4,IF(AND(OR(D119="T. domingensis",D119="T. latifolia"),J119&gt;0),J119*[1]Sheet1!$G$5+K119*[1]Sheet1!$H$5+L119*[1]Sheet1!$I$5+[1]Sheet1!$L$5,0)))))))</f>
        <v>17.913108000000001</v>
      </c>
    </row>
    <row r="120" spans="1:15">
      <c r="A120" s="2">
        <v>40731</v>
      </c>
      <c r="B120" s="3" t="s">
        <v>30</v>
      </c>
      <c r="C120">
        <v>5</v>
      </c>
      <c r="D120" s="7" t="s">
        <v>12</v>
      </c>
      <c r="E120">
        <v>326</v>
      </c>
      <c r="F120">
        <v>2.33</v>
      </c>
      <c r="G120">
        <v>0</v>
      </c>
      <c r="N120">
        <f t="shared" si="3"/>
        <v>463.33776766883335</v>
      </c>
      <c r="O120">
        <f>IF(AND(OR(D120="S. acutus",D120="S. californicus",D120="S. tabernaemontani"),G120=0),E120*[1]Sheet1!$D$7+[1]Sheet1!$L$7,IF(AND(OR(D120="S. acutus",D120="S. tabernaemontani"),G120&gt;0),E120*[1]Sheet1!$D$8+N120*[1]Sheet1!$E$8,IF(AND(D120="S. californicus",G120&gt;0),E120*[1]Sheet1!$D$9+N120*[1]Sheet1!$E$9,IF(D120="S.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latifolia"),E120&gt;0),F120*[1]Sheet1!$C$4+E120*[1]Sheet1!$D$4+H120*[1]Sheet1!$J$4+I120*[1]Sheet1!$K$4+[1]Sheet1!$L$4,IF(AND(OR(D120="T. domingensis",D120="T. latifolia"),J120&gt;0),J120*[1]Sheet1!$G$5+K120*[1]Sheet1!$H$5+L120*[1]Sheet1!$I$5+[1]Sheet1!$L$5,0)))))))</f>
        <v>18.263633000000002</v>
      </c>
    </row>
    <row r="121" spans="1:15">
      <c r="A121" s="2">
        <v>40731</v>
      </c>
      <c r="B121" s="3" t="s">
        <v>30</v>
      </c>
      <c r="C121">
        <v>5</v>
      </c>
      <c r="D121" s="6" t="s">
        <v>12</v>
      </c>
      <c r="E121">
        <v>329</v>
      </c>
      <c r="F121">
        <v>1.37</v>
      </c>
      <c r="G121">
        <v>2</v>
      </c>
      <c r="N121">
        <f t="shared" si="3"/>
        <v>161.66101159658334</v>
      </c>
      <c r="O121">
        <f>IF(AND(OR(D121="S. acutus",D121="S. californicus",D121="S. tabernaemontani"),G121=0),E121*[1]Sheet1!$D$7+[1]Sheet1!$L$7,IF(AND(OR(D121="S. acutus",D121="S. tabernaemontani"),G121&gt;0),E121*[1]Sheet1!$D$8+N121*[1]Sheet1!$E$8,IF(AND(D121="S. californicus",G121&gt;0),E121*[1]Sheet1!$D$9+N121*[1]Sheet1!$E$9,IF(D121="S.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latifolia"),E121&gt;0),F121*[1]Sheet1!$C$4+E121*[1]Sheet1!$D$4+H121*[1]Sheet1!$J$4+I121*[1]Sheet1!$K$4+[1]Sheet1!$L$4,IF(AND(OR(D121="T. domingensis",D121="T. latifolia"),J121&gt;0),J121*[1]Sheet1!$G$5+K121*[1]Sheet1!$H$5+L121*[1]Sheet1!$I$5+[1]Sheet1!$L$5,0)))))))</f>
        <v>17.874465968320422</v>
      </c>
    </row>
    <row r="122" spans="1:15">
      <c r="A122" s="2">
        <v>40731</v>
      </c>
      <c r="B122" s="3" t="s">
        <v>30</v>
      </c>
      <c r="C122">
        <v>5</v>
      </c>
      <c r="D122" s="6" t="s">
        <v>12</v>
      </c>
      <c r="E122">
        <v>340</v>
      </c>
      <c r="F122">
        <v>1.75</v>
      </c>
      <c r="G122">
        <v>1</v>
      </c>
      <c r="N122">
        <f t="shared" si="3"/>
        <v>272.59838229166667</v>
      </c>
      <c r="O122">
        <f>IF(AND(OR(D122="S. acutus",D122="S. californicus",D122="S. tabernaemontani"),G122=0),E122*[1]Sheet1!$D$7+[1]Sheet1!$L$7,IF(AND(OR(D122="S. acutus",D122="S. tabernaemontani"),G122&gt;0),E122*[1]Sheet1!$D$8+N122*[1]Sheet1!$E$8,IF(AND(D122="S. californicus",G122&gt;0),E122*[1]Sheet1!$D$9+N122*[1]Sheet1!$E$9,IF(D122="S.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latifolia"),E122&gt;0),F122*[1]Sheet1!$C$4+E122*[1]Sheet1!$D$4+H122*[1]Sheet1!$J$4+I122*[1]Sheet1!$K$4+[1]Sheet1!$L$4,IF(AND(OR(D122="T. domingensis",D122="T. latifolia"),J122&gt;0),J122*[1]Sheet1!$G$5+K122*[1]Sheet1!$H$5+L122*[1]Sheet1!$I$5+[1]Sheet1!$L$5,0)))))))</f>
        <v>21.87032724833573</v>
      </c>
    </row>
    <row r="123" spans="1:15">
      <c r="A123" s="2">
        <v>40731</v>
      </c>
      <c r="B123" s="3" t="s">
        <v>30</v>
      </c>
      <c r="C123">
        <v>5</v>
      </c>
      <c r="D123" s="7" t="s">
        <v>12</v>
      </c>
      <c r="E123">
        <v>346</v>
      </c>
      <c r="F123">
        <v>1.95</v>
      </c>
      <c r="G123">
        <v>0</v>
      </c>
      <c r="N123">
        <f t="shared" si="3"/>
        <v>344.44000061249994</v>
      </c>
      <c r="O123">
        <f>IF(AND(OR(D123="S. acutus",D123="S. californicus",D123="S. tabernaemontani"),G123=0),E123*[1]Sheet1!$D$7+[1]Sheet1!$L$7,IF(AND(OR(D123="S. acutus",D123="S. tabernaemontani"),G123&gt;0),E123*[1]Sheet1!$D$8+N123*[1]Sheet1!$E$8,IF(AND(D123="S. californicus",G123&gt;0),E123*[1]Sheet1!$D$9+N123*[1]Sheet1!$E$9,IF(D123="S.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latifolia"),E123&gt;0),F123*[1]Sheet1!$C$4+E123*[1]Sheet1!$D$4+H123*[1]Sheet1!$J$4+I123*[1]Sheet1!$K$4+[1]Sheet1!$L$4,IF(AND(OR(D123="T. domingensis",D123="T. latifolia"),J123&gt;0),J123*[1]Sheet1!$G$5+K123*[1]Sheet1!$H$5+L123*[1]Sheet1!$I$5+[1]Sheet1!$L$5,0)))))))</f>
        <v>19.665733000000003</v>
      </c>
    </row>
    <row r="124" spans="1:15">
      <c r="A124" s="2">
        <v>40731</v>
      </c>
      <c r="B124" s="3" t="s">
        <v>30</v>
      </c>
      <c r="C124">
        <v>5</v>
      </c>
      <c r="D124" s="7" t="s">
        <v>12</v>
      </c>
      <c r="E124">
        <v>349</v>
      </c>
      <c r="F124">
        <v>1.05</v>
      </c>
      <c r="G124">
        <v>9</v>
      </c>
      <c r="N124">
        <f t="shared" si="3"/>
        <v>100.73311985625</v>
      </c>
      <c r="O124">
        <f>IF(AND(OR(D124="S. acutus",D124="S. californicus",D124="S. tabernaemontani"),G124=0),E124*[1]Sheet1!$D$7+[1]Sheet1!$L$7,IF(AND(OR(D124="S. acutus",D124="S. tabernaemontani"),G124&gt;0),E124*[1]Sheet1!$D$8+N124*[1]Sheet1!$E$8,IF(AND(D124="S. californicus",G124&gt;0),E124*[1]Sheet1!$D$9+N124*[1]Sheet1!$E$9,IF(D124="S.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latifolia"),E124&gt;0),F124*[1]Sheet1!$C$4+E124*[1]Sheet1!$D$4+H124*[1]Sheet1!$J$4+I124*[1]Sheet1!$K$4+[1]Sheet1!$L$4,IF(AND(OR(D124="T. domingensis",D124="T. latifolia"),J124&gt;0),J124*[1]Sheet1!$G$5+K124*[1]Sheet1!$H$5+L124*[1]Sheet1!$I$5+[1]Sheet1!$L$5,0)))))))</f>
        <v>16.682675019179122</v>
      </c>
    </row>
    <row r="125" spans="1:15">
      <c r="A125" s="2">
        <v>40731</v>
      </c>
      <c r="B125" s="3" t="s">
        <v>30</v>
      </c>
      <c r="C125">
        <v>5</v>
      </c>
      <c r="D125" s="7" t="s">
        <v>16</v>
      </c>
      <c r="E125">
        <v>315</v>
      </c>
      <c r="F125">
        <v>1.34</v>
      </c>
      <c r="G125">
        <v>8</v>
      </c>
      <c r="N125">
        <f t="shared" ref="N125:N130" si="4">((1/3)*(3.14159)*((F125/2)^2)*E125)</f>
        <v>148.07727385499999</v>
      </c>
      <c r="O125">
        <f>IF(AND(OR(D125="S. acutus",D125="S. californicus",D125="S. tabernaemontani"),G125=0),E125*[1]Sheet1!$D$7+[1]Sheet1!$L$7,IF(AND(OR(D125="S. acutus",D125="S. tabernaemontani"),G125&gt;0),E125*[1]Sheet1!$D$8+N125*[1]Sheet1!$E$8,IF(AND(D125="S. californicus",G125&gt;0),E125*[1]Sheet1!$D$9+N125*[1]Sheet1!$E$9,IF(D125="S.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latifolia"),E125&gt;0),F125*[1]Sheet1!$C$4+E125*[1]Sheet1!$D$4+H125*[1]Sheet1!$J$4+I125*[1]Sheet1!$K$4+[1]Sheet1!$L$4,IF(AND(OR(D125="T. domingensis",D125="T. latifolia"),J125&gt;0),J125*[1]Sheet1!$G$5+K125*[1]Sheet1!$H$5+L125*[1]Sheet1!$I$5+[1]Sheet1!$L$5,0)))))))</f>
        <v>16.897957987677469</v>
      </c>
    </row>
    <row r="126" spans="1:15">
      <c r="A126" s="2">
        <v>40731</v>
      </c>
      <c r="B126" s="3" t="s">
        <v>30</v>
      </c>
      <c r="C126">
        <v>5</v>
      </c>
      <c r="D126" s="6" t="s">
        <v>16</v>
      </c>
      <c r="E126">
        <v>332</v>
      </c>
      <c r="F126">
        <v>1.41</v>
      </c>
      <c r="G126">
        <v>7</v>
      </c>
      <c r="N126">
        <f t="shared" si="4"/>
        <v>172.80033051899997</v>
      </c>
      <c r="O126">
        <f>IF(AND(OR(D126="S. acutus",D126="S. californicus",D126="S. tabernaemontani"),G126=0),E126*[1]Sheet1!$D$7+[1]Sheet1!$L$7,IF(AND(OR(D126="S. acutus",D126="S. tabernaemontani"),G126&gt;0),E126*[1]Sheet1!$D$8+N126*[1]Sheet1!$E$8,IF(AND(D126="S. californicus",G126&gt;0),E126*[1]Sheet1!$D$9+N126*[1]Sheet1!$E$9,IF(D126="S.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latifolia"),E126&gt;0),F126*[1]Sheet1!$C$4+E126*[1]Sheet1!$D$4+H126*[1]Sheet1!$J$4+I126*[1]Sheet1!$K$4+[1]Sheet1!$L$4,IF(AND(OR(D126="T. domingensis",D126="T. latifolia"),J126&gt;0),J126*[1]Sheet1!$G$5+K126*[1]Sheet1!$H$5+L126*[1]Sheet1!$I$5+[1]Sheet1!$L$5,0)))))))</f>
        <v>18.348683363009265</v>
      </c>
    </row>
    <row r="127" spans="1:15">
      <c r="A127" s="2">
        <v>40731</v>
      </c>
      <c r="B127" s="3" t="s">
        <v>30</v>
      </c>
      <c r="C127">
        <v>5</v>
      </c>
      <c r="D127" s="7" t="s">
        <v>16</v>
      </c>
      <c r="E127">
        <v>332</v>
      </c>
      <c r="F127">
        <v>1.48</v>
      </c>
      <c r="G127">
        <v>8</v>
      </c>
      <c r="N127">
        <f t="shared" si="4"/>
        <v>190.3837050293333</v>
      </c>
      <c r="O127">
        <f>IF(AND(OR(D127="S. acutus",D127="S. californicus",D127="S. tabernaemontani"),G127=0),E127*[1]Sheet1!$D$7+[1]Sheet1!$L$7,IF(AND(OR(D127="S. acutus",D127="S. tabernaemontani"),G127&gt;0),E127*[1]Sheet1!$D$8+N127*[1]Sheet1!$E$8,IF(AND(D127="S. californicus",G127&gt;0),E127*[1]Sheet1!$D$9+N127*[1]Sheet1!$E$9,IF(D127="S.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latifolia"),E127&gt;0),F127*[1]Sheet1!$C$4+E127*[1]Sheet1!$D$4+H127*[1]Sheet1!$J$4+I127*[1]Sheet1!$K$4+[1]Sheet1!$L$4,IF(AND(OR(D127="T. domingensis",D127="T. latifolia"),J127&gt;0),J127*[1]Sheet1!$G$5+K127*[1]Sheet1!$H$5+L127*[1]Sheet1!$I$5+[1]Sheet1!$L$5,0)))))))</f>
        <v>18.914883847279057</v>
      </c>
    </row>
    <row r="128" spans="1:15">
      <c r="A128" s="2">
        <v>40731</v>
      </c>
      <c r="B128" s="3" t="s">
        <v>30</v>
      </c>
      <c r="C128">
        <v>5</v>
      </c>
      <c r="D128" s="7" t="s">
        <v>16</v>
      </c>
      <c r="E128">
        <v>357</v>
      </c>
      <c r="F128">
        <v>1.9</v>
      </c>
      <c r="G128">
        <v>9</v>
      </c>
      <c r="N128">
        <f t="shared" si="4"/>
        <v>337.39891202499996</v>
      </c>
      <c r="O128">
        <f>IF(AND(OR(D128="S. acutus",D128="S. californicus",D128="S. tabernaemontani"),G128=0),E128*[1]Sheet1!$D$7+[1]Sheet1!$L$7,IF(AND(OR(D128="S. acutus",D128="S. tabernaemontani"),G128&gt;0),E128*[1]Sheet1!$D$8+N128*[1]Sheet1!$E$8,IF(AND(D128="S. californicus",G128&gt;0),E128*[1]Sheet1!$D$9+N128*[1]Sheet1!$E$9,IF(D128="S.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latifolia"),E128&gt;0),F128*[1]Sheet1!$C$4+E128*[1]Sheet1!$D$4+H128*[1]Sheet1!$J$4+I128*[1]Sheet1!$K$4+[1]Sheet1!$L$4,IF(AND(OR(D128="T. domingensis",D128="T. latifolia"),J128&gt;0),J128*[1]Sheet1!$G$5+K128*[1]Sheet1!$H$5+L128*[1]Sheet1!$I$5+[1]Sheet1!$L$5,0)))))))</f>
        <v>24.611583326225819</v>
      </c>
    </row>
    <row r="129" spans="1:15">
      <c r="A129" s="2">
        <v>40731</v>
      </c>
      <c r="B129" s="3" t="s">
        <v>30</v>
      </c>
      <c r="C129">
        <v>5</v>
      </c>
      <c r="D129" s="7" t="s">
        <v>16</v>
      </c>
      <c r="E129">
        <v>361</v>
      </c>
      <c r="F129">
        <v>1.61</v>
      </c>
      <c r="G129">
        <v>0</v>
      </c>
      <c r="N129">
        <f t="shared" si="4"/>
        <v>244.97807278991667</v>
      </c>
      <c r="O129">
        <f>IF(AND(OR(D129="S. acutus",D129="S. californicus",D129="S. tabernaemontani"),G129=0),E129*[1]Sheet1!$D$7+[1]Sheet1!$L$7,IF(AND(OR(D129="S. acutus",D129="S. tabernaemontani"),G129&gt;0),E129*[1]Sheet1!$D$8+N129*[1]Sheet1!$E$8,IF(AND(D129="S. californicus",G129&gt;0),E129*[1]Sheet1!$D$9+N129*[1]Sheet1!$E$9,IF(D129="S.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latifolia"),E129&gt;0),F129*[1]Sheet1!$C$4+E129*[1]Sheet1!$D$4+H129*[1]Sheet1!$J$4+I129*[1]Sheet1!$K$4+[1]Sheet1!$L$4,IF(AND(OR(D129="T. domingensis",D129="T. latifolia"),J129&gt;0),J129*[1]Sheet1!$G$5+K129*[1]Sheet1!$H$5+L129*[1]Sheet1!$I$5+[1]Sheet1!$L$5,0)))))))</f>
        <v>20.717308000000003</v>
      </c>
    </row>
    <row r="130" spans="1:15">
      <c r="A130" s="2">
        <v>40731</v>
      </c>
      <c r="B130" s="3" t="s">
        <v>30</v>
      </c>
      <c r="C130">
        <v>5</v>
      </c>
      <c r="D130" s="7" t="s">
        <v>16</v>
      </c>
      <c r="E130">
        <v>384</v>
      </c>
      <c r="F130">
        <v>1.69</v>
      </c>
      <c r="G130">
        <v>0</v>
      </c>
      <c r="N130">
        <f t="shared" si="4"/>
        <v>287.12624636799995</v>
      </c>
      <c r="O130">
        <f>IF(AND(OR(D130="S. acutus",D130="S. californicus",D130="S. tabernaemontani"),G130=0),E130*[1]Sheet1!$D$7+[1]Sheet1!$L$7,IF(AND(OR(D130="S. acutus",D130="S. tabernaemontani"),G130&gt;0),E130*[1]Sheet1!$D$8+N130*[1]Sheet1!$E$8,IF(AND(D130="S. californicus",G130&gt;0),E130*[1]Sheet1!$D$9+N130*[1]Sheet1!$E$9,IF(D130="S.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latifolia"),E130&gt;0),F130*[1]Sheet1!$C$4+E130*[1]Sheet1!$D$4+H130*[1]Sheet1!$J$4+I130*[1]Sheet1!$K$4+[1]Sheet1!$L$4,IF(AND(OR(D130="T. domingensis",D130="T. latifolia"),J130&gt;0),J130*[1]Sheet1!$G$5+K130*[1]Sheet1!$H$5+L130*[1]Sheet1!$I$5+[1]Sheet1!$L$5,0)))))))</f>
        <v>22.329723000000001</v>
      </c>
    </row>
    <row r="131" spans="1:15">
      <c r="A131" s="2">
        <v>40731</v>
      </c>
      <c r="B131" s="3" t="s">
        <v>30</v>
      </c>
      <c r="C131">
        <v>5</v>
      </c>
      <c r="D131" s="6" t="s">
        <v>19</v>
      </c>
      <c r="E131">
        <v>233</v>
      </c>
      <c r="F131">
        <v>1.5</v>
      </c>
      <c r="H131">
        <v>18</v>
      </c>
      <c r="I131">
        <v>2</v>
      </c>
      <c r="O131">
        <f>IF(AND(OR(D131="S. acutus",D131="S. californicus",D131="S. tabernaemontani"),G131=0),E131*[1]Sheet1!$D$7+[1]Sheet1!$L$7,IF(AND(OR(D131="S. acutus",D131="S. tabernaemontani"),G131&gt;0),E131*[1]Sheet1!$D$8+N131*[1]Sheet1!$E$8,IF(AND(D131="S. californicus",G131&gt;0),E131*[1]Sheet1!$D$9+N131*[1]Sheet1!$E$9,IF(D131="S.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latifolia"),E131&gt;0),F131*[1]Sheet1!$C$4+E131*[1]Sheet1!$D$4+H131*[1]Sheet1!$J$4+I131*[1]Sheet1!$K$4+[1]Sheet1!$L$4,IF(AND(OR(D131="T. domingensis",D131="T. latifolia"),J131&gt;0),J131*[1]Sheet1!$G$5+K131*[1]Sheet1!$H$5+L131*[1]Sheet1!$I$5+[1]Sheet1!$L$5,0)))))))</f>
        <v>53.206269700000007</v>
      </c>
    </row>
    <row r="132" spans="1:15">
      <c r="A132" s="2">
        <v>40731</v>
      </c>
      <c r="B132" s="3" t="s">
        <v>30</v>
      </c>
      <c r="C132">
        <v>5</v>
      </c>
      <c r="D132" s="6" t="s">
        <v>19</v>
      </c>
      <c r="E132">
        <v>316</v>
      </c>
      <c r="F132">
        <v>1.76</v>
      </c>
      <c r="H132">
        <v>16</v>
      </c>
      <c r="I132">
        <v>2</v>
      </c>
      <c r="O132">
        <f>IF(AND(OR(D132="S. acutus",D132="S. californicus",D132="S. tabernaemontani"),G132=0),E132*[1]Sheet1!$D$7+[1]Sheet1!$L$7,IF(AND(OR(D132="S. acutus",D132="S. tabernaemontani"),G132&gt;0),E132*[1]Sheet1!$D$8+N132*[1]Sheet1!$E$8,IF(AND(D132="S. californicus",G132&gt;0),E132*[1]Sheet1!$D$9+N132*[1]Sheet1!$E$9,IF(D132="S.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latifolia"),E132&gt;0),F132*[1]Sheet1!$C$4+E132*[1]Sheet1!$D$4+H132*[1]Sheet1!$J$4+I132*[1]Sheet1!$K$4+[1]Sheet1!$L$4,IF(AND(OR(D132="T. domingensis",D132="T. latifolia"),J132&gt;0),J132*[1]Sheet1!$G$5+K132*[1]Sheet1!$H$5+L132*[1]Sheet1!$I$5+[1]Sheet1!$L$5,0)))))))</f>
        <v>81.576598320000016</v>
      </c>
    </row>
    <row r="133" spans="1:15">
      <c r="A133" s="2">
        <v>40731</v>
      </c>
      <c r="B133" s="3" t="s">
        <v>30</v>
      </c>
      <c r="C133">
        <v>5</v>
      </c>
      <c r="D133" s="6" t="s">
        <v>19</v>
      </c>
      <c r="E133">
        <v>317</v>
      </c>
      <c r="F133">
        <v>2.23</v>
      </c>
      <c r="H133">
        <v>29</v>
      </c>
      <c r="I133">
        <v>1.9</v>
      </c>
      <c r="O133">
        <f>IF(AND(OR(D133="S. acutus",D133="S. californicus",D133="S. tabernaemontani"),G133=0),E133*[1]Sheet1!$D$7+[1]Sheet1!$L$7,IF(AND(OR(D133="S. acutus",D133="S. tabernaemontani"),G133&gt;0),E133*[1]Sheet1!$D$8+N133*[1]Sheet1!$E$8,IF(AND(D133="S. californicus",G133&gt;0),E133*[1]Sheet1!$D$9+N133*[1]Sheet1!$E$9,IF(D133="S.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latifolia"),E133&gt;0),F133*[1]Sheet1!$C$4+E133*[1]Sheet1!$D$4+H133*[1]Sheet1!$J$4+I133*[1]Sheet1!$K$4+[1]Sheet1!$L$4,IF(AND(OR(D133="T. domingensis",D133="T. latifolia"),J133&gt;0),J133*[1]Sheet1!$G$5+K133*[1]Sheet1!$H$5+L133*[1]Sheet1!$I$5+[1]Sheet1!$L$5,0)))))))</f>
        <v>101.27942831000001</v>
      </c>
    </row>
    <row r="134" spans="1:15">
      <c r="A134" s="2">
        <v>40731</v>
      </c>
      <c r="B134" s="3" t="s">
        <v>30</v>
      </c>
      <c r="C134">
        <v>5</v>
      </c>
      <c r="D134" s="6" t="s">
        <v>19</v>
      </c>
      <c r="E134">
        <v>321</v>
      </c>
      <c r="F134">
        <v>1.65</v>
      </c>
      <c r="H134">
        <v>20</v>
      </c>
      <c r="I134">
        <v>1.6</v>
      </c>
      <c r="O134">
        <f>IF(AND(OR(D134="S. acutus",D134="S. californicus",D134="S. tabernaemontani"),G134=0),E134*[1]Sheet1!$D$7+[1]Sheet1!$L$7,IF(AND(OR(D134="S. acutus",D134="S. tabernaemontani"),G134&gt;0),E134*[1]Sheet1!$D$8+N134*[1]Sheet1!$E$8,IF(AND(D134="S. californicus",G134&gt;0),E134*[1]Sheet1!$D$9+N134*[1]Sheet1!$E$9,IF(D134="S.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latifolia"),E134&gt;0),F134*[1]Sheet1!$C$4+E134*[1]Sheet1!$D$4+H134*[1]Sheet1!$J$4+I134*[1]Sheet1!$K$4+[1]Sheet1!$L$4,IF(AND(OR(D134="T. domingensis",D134="T. latifolia"),J134&gt;0),J134*[1]Sheet1!$G$5+K134*[1]Sheet1!$H$5+L134*[1]Sheet1!$I$5+[1]Sheet1!$L$5,0)))))))</f>
        <v>77.707733050000002</v>
      </c>
    </row>
    <row r="135" spans="1:15">
      <c r="A135" s="2">
        <v>40731</v>
      </c>
      <c r="B135" s="3" t="s">
        <v>30</v>
      </c>
      <c r="C135">
        <v>5</v>
      </c>
      <c r="D135" s="6" t="s">
        <v>19</v>
      </c>
      <c r="E135">
        <v>328</v>
      </c>
      <c r="F135">
        <v>1.76</v>
      </c>
      <c r="H135">
        <v>21</v>
      </c>
      <c r="I135">
        <v>1.8</v>
      </c>
      <c r="O135">
        <f>IF(AND(OR(D135="S. acutus",D135="S. californicus",D135="S. tabernaemontani"),G135=0),E135*[1]Sheet1!$D$7+[1]Sheet1!$L$7,IF(AND(OR(D135="S. acutus",D135="S. tabernaemontani"),G135&gt;0),E135*[1]Sheet1!$D$8+N135*[1]Sheet1!$E$8,IF(AND(D135="S. californicus",G135&gt;0),E135*[1]Sheet1!$D$9+N135*[1]Sheet1!$E$9,IF(D135="S.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latifolia"),E135&gt;0),F135*[1]Sheet1!$C$4+E135*[1]Sheet1!$D$4+H135*[1]Sheet1!$J$4+I135*[1]Sheet1!$K$4+[1]Sheet1!$L$4,IF(AND(OR(D135="T. domingensis",D135="T. latifolia"),J135&gt;0),J135*[1]Sheet1!$G$5+K135*[1]Sheet1!$H$5+L135*[1]Sheet1!$I$5+[1]Sheet1!$L$5,0)))))))</f>
        <v>86.379198120000012</v>
      </c>
    </row>
    <row r="136" spans="1:15">
      <c r="A136" s="2">
        <v>40731</v>
      </c>
      <c r="B136" s="3" t="s">
        <v>30</v>
      </c>
      <c r="C136">
        <v>5</v>
      </c>
      <c r="D136" s="6" t="s">
        <v>19</v>
      </c>
      <c r="F136">
        <v>0.96</v>
      </c>
      <c r="J136">
        <f>SUM(222,294,150)</f>
        <v>666</v>
      </c>
      <c r="K136">
        <v>3</v>
      </c>
      <c r="L136">
        <v>294</v>
      </c>
      <c r="O136">
        <f>IF(AND(OR(D136="S. acutus",D136="S. californicus",D136="S. tabernaemontani"),G136=0),E136*[1]Sheet1!$D$7+[1]Sheet1!$L$7,IF(AND(OR(D136="S. acutus",D136="S. tabernaemontani"),G136&gt;0),E136*[1]Sheet1!$D$8+N136*[1]Sheet1!$E$8,IF(AND(D136="S. californicus",G136&gt;0),E136*[1]Sheet1!$D$9+N136*[1]Sheet1!$E$9,IF(D136="S.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latifolia"),E136&gt;0),F136*[1]Sheet1!$C$4+E136*[1]Sheet1!$D$4+H136*[1]Sheet1!$J$4+I136*[1]Sheet1!$K$4+[1]Sheet1!$L$4,IF(AND(OR(D136="T. domingensis",D136="T. latifolia"),J136&gt;0),J136*[1]Sheet1!$G$5+K136*[1]Sheet1!$H$5+L136*[1]Sheet1!$I$5+[1]Sheet1!$L$5,0)))))))</f>
        <v>-14.155274999999996</v>
      </c>
    </row>
    <row r="137" spans="1:15">
      <c r="A137" s="2">
        <v>40731</v>
      </c>
      <c r="B137" s="3" t="s">
        <v>30</v>
      </c>
      <c r="C137">
        <v>5</v>
      </c>
      <c r="D137" s="6" t="s">
        <v>19</v>
      </c>
      <c r="F137">
        <v>1.01</v>
      </c>
      <c r="J137">
        <f>SUM(178,226,255)</f>
        <v>659</v>
      </c>
      <c r="K137">
        <v>3</v>
      </c>
      <c r="L137">
        <v>255</v>
      </c>
      <c r="O137">
        <f>IF(AND(OR(D137="S. acutus",D137="S. californicus",D137="S. tabernaemontani"),G137=0),E137*[1]Sheet1!$D$7+[1]Sheet1!$L$7,IF(AND(OR(D137="S. acutus",D137="S. tabernaemontani"),G137&gt;0),E137*[1]Sheet1!$D$8+N137*[1]Sheet1!$E$8,IF(AND(D137="S. californicus",G137&gt;0),E137*[1]Sheet1!$D$9+N137*[1]Sheet1!$E$9,IF(D137="S.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latifolia"),E137&gt;0),F137*[1]Sheet1!$C$4+E137*[1]Sheet1!$D$4+H137*[1]Sheet1!$J$4+I137*[1]Sheet1!$K$4+[1]Sheet1!$L$4,IF(AND(OR(D137="T. domingensis",D137="T. latifolia"),J137&gt;0),J137*[1]Sheet1!$G$5+K137*[1]Sheet1!$H$5+L137*[1]Sheet1!$I$5+[1]Sheet1!$L$5,0)))))))</f>
        <v>-3.063005000000004</v>
      </c>
    </row>
    <row r="138" spans="1:15">
      <c r="A138" s="2">
        <v>40731</v>
      </c>
      <c r="B138" s="3" t="s">
        <v>30</v>
      </c>
      <c r="C138">
        <v>5</v>
      </c>
      <c r="D138" s="6" t="s">
        <v>19</v>
      </c>
      <c r="F138">
        <v>0.7</v>
      </c>
      <c r="J138">
        <f>SUM(196,151,196)</f>
        <v>543</v>
      </c>
      <c r="K138">
        <v>3</v>
      </c>
      <c r="L138">
        <v>196</v>
      </c>
      <c r="O138">
        <f>IF(AND(OR(D138="S. acutus",D138="S. californicus",D138="S. tabernaemontani"),G138=0),E138*[1]Sheet1!$D$7+[1]Sheet1!$L$7,IF(AND(OR(D138="S. acutus",D138="S. tabernaemontani"),G138&gt;0),E138*[1]Sheet1!$D$8+N138*[1]Sheet1!$E$8,IF(AND(D138="S. californicus",G138&gt;0),E138*[1]Sheet1!$D$9+N138*[1]Sheet1!$E$9,IF(D138="S.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latifolia"),E138&gt;0),F138*[1]Sheet1!$C$4+E138*[1]Sheet1!$D$4+H138*[1]Sheet1!$J$4+I138*[1]Sheet1!$K$4+[1]Sheet1!$L$4,IF(AND(OR(D138="T. domingensis",D138="T. latifolia"),J138&gt;0),J138*[1]Sheet1!$G$5+K138*[1]Sheet1!$H$5+L138*[1]Sheet1!$I$5+[1]Sheet1!$L$5,0)))))))</f>
        <v>3.8348700000000022</v>
      </c>
    </row>
    <row r="139" spans="1:15">
      <c r="A139" s="2">
        <v>40731</v>
      </c>
      <c r="B139" s="3" t="s">
        <v>30</v>
      </c>
      <c r="C139">
        <v>5</v>
      </c>
      <c r="D139" s="6" t="s">
        <v>19</v>
      </c>
      <c r="F139">
        <v>2.14</v>
      </c>
      <c r="J139">
        <f>SUM(301,243,143,314,266)</f>
        <v>1267</v>
      </c>
      <c r="K139">
        <v>5</v>
      </c>
      <c r="L139">
        <v>314</v>
      </c>
      <c r="O139">
        <f>IF(AND(OR(D139="S. acutus",D139="S. californicus",D139="S. tabernaemontani"),G139=0),E139*[1]Sheet1!$D$7+[1]Sheet1!$L$7,IF(AND(OR(D139="S. acutus",D139="S. tabernaemontani"),G139&gt;0),E139*[1]Sheet1!$D$8+N139*[1]Sheet1!$E$8,IF(AND(D139="S. californicus",G139&gt;0),E139*[1]Sheet1!$D$9+N139*[1]Sheet1!$E$9,IF(D139="S.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latifolia"),E139&gt;0),F139*[1]Sheet1!$C$4+E139*[1]Sheet1!$D$4+H139*[1]Sheet1!$J$4+I139*[1]Sheet1!$K$4+[1]Sheet1!$L$4,IF(AND(OR(D139="T. domingensis",D139="T. latifolia"),J139&gt;0),J139*[1]Sheet1!$G$5+K139*[1]Sheet1!$H$5+L139*[1]Sheet1!$I$5+[1]Sheet1!$L$5,0)))))))</f>
        <v>22.121874000000012</v>
      </c>
    </row>
    <row r="140" spans="1:15">
      <c r="A140" s="2">
        <v>40731</v>
      </c>
      <c r="B140" s="3" t="s">
        <v>30</v>
      </c>
      <c r="C140">
        <v>5</v>
      </c>
      <c r="D140" s="6" t="s">
        <v>19</v>
      </c>
      <c r="F140">
        <v>2.7</v>
      </c>
      <c r="J140">
        <f>SUM(219,369,351,340,336,320)</f>
        <v>1935</v>
      </c>
      <c r="K140">
        <v>6</v>
      </c>
      <c r="L140">
        <v>369</v>
      </c>
      <c r="O140">
        <f>IF(AND(OR(D140="S. acutus",D140="S. californicus",D140="S. tabernaemontani"),G140=0),E140*[1]Sheet1!$D$7+[1]Sheet1!$L$7,IF(AND(OR(D140="S. acutus",D140="S. tabernaemontani"),G140&gt;0),E140*[1]Sheet1!$D$8+N140*[1]Sheet1!$E$8,IF(AND(D140="S. californicus",G140&gt;0),E140*[1]Sheet1!$D$9+N140*[1]Sheet1!$E$9,IF(D140="S.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latifolia"),E140&gt;0),F140*[1]Sheet1!$C$4+E140*[1]Sheet1!$D$4+H140*[1]Sheet1!$J$4+I140*[1]Sheet1!$K$4+[1]Sheet1!$L$4,IF(AND(OR(D140="T. domingensis",D140="T. latifolia"),J140&gt;0),J140*[1]Sheet1!$G$5+K140*[1]Sheet1!$H$5+L140*[1]Sheet1!$I$5+[1]Sheet1!$L$5,0)))))))</f>
        <v>61.159386000000019</v>
      </c>
    </row>
    <row r="141" spans="1:15">
      <c r="A141" s="2">
        <v>40731</v>
      </c>
      <c r="B141" s="3" t="s">
        <v>30</v>
      </c>
      <c r="C141">
        <v>16</v>
      </c>
      <c r="D141" s="6" t="s">
        <v>29</v>
      </c>
      <c r="E141">
        <v>179</v>
      </c>
      <c r="F141">
        <v>0.71</v>
      </c>
      <c r="G141">
        <v>0</v>
      </c>
      <c r="O141">
        <f>IF(AND(OR(D141="S. acutus",D141="S. californicus",D141="S. tabernaemontani"),G141=0),E141*[1]Sheet1!$D$7+[1]Sheet1!$L$7,IF(AND(OR(D141="S. acutus",D141="S. tabernaemontani"),G141&gt;0),E141*[1]Sheet1!$D$8+N141*[1]Sheet1!$E$8,IF(AND(D141="S. californicus",G141&gt;0),E141*[1]Sheet1!$D$9+N141*[1]Sheet1!$E$9,IF(D141="S.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latifolia"),E141&gt;0),F141*[1]Sheet1!$C$4+E141*[1]Sheet1!$D$4+H141*[1]Sheet1!$J$4+I141*[1]Sheet1!$K$4+[1]Sheet1!$L$4,IF(AND(OR(D141="T. domingensis",D141="T. latifolia"),J141&gt;0),J141*[1]Sheet1!$G$5+K141*[1]Sheet1!$H$5+L141*[1]Sheet1!$I$5+[1]Sheet1!$L$5,0)))))))</f>
        <v>3.0311866190000001</v>
      </c>
    </row>
    <row r="142" spans="1:15">
      <c r="A142" s="2">
        <v>40731</v>
      </c>
      <c r="B142" s="3" t="s">
        <v>30</v>
      </c>
      <c r="C142">
        <v>16</v>
      </c>
      <c r="D142" s="6" t="s">
        <v>19</v>
      </c>
      <c r="E142">
        <v>302</v>
      </c>
      <c r="F142">
        <v>2.42</v>
      </c>
      <c r="H142">
        <v>30</v>
      </c>
      <c r="I142">
        <v>2.1</v>
      </c>
      <c r="O142">
        <f>IF(AND(OR(D142="S. acutus",D142="S. californicus",D142="S. tabernaemontani"),G142=0),E142*[1]Sheet1!$D$7+[1]Sheet1!$L$7,IF(AND(OR(D142="S. acutus",D142="S. tabernaemontani"),G142&gt;0),E142*[1]Sheet1!$D$8+N142*[1]Sheet1!$E$8,IF(AND(D142="S. californicus",G142&gt;0),E142*[1]Sheet1!$D$9+N142*[1]Sheet1!$E$9,IF(D142="S.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latifolia"),E142&gt;0),F142*[1]Sheet1!$C$4+E142*[1]Sheet1!$D$4+H142*[1]Sheet1!$J$4+I142*[1]Sheet1!$K$4+[1]Sheet1!$L$4,IF(AND(OR(D142="T. domingensis",D142="T. latifolia"),J142&gt;0),J142*[1]Sheet1!$G$5+K142*[1]Sheet1!$H$5+L142*[1]Sheet1!$I$5+[1]Sheet1!$L$5,0)))))))</f>
        <v>104.80648234</v>
      </c>
    </row>
    <row r="143" spans="1:15">
      <c r="A143" s="2">
        <v>40731</v>
      </c>
      <c r="B143" s="3" t="s">
        <v>30</v>
      </c>
      <c r="C143">
        <v>16</v>
      </c>
      <c r="D143" s="6" t="s">
        <v>19</v>
      </c>
      <c r="E143">
        <v>309</v>
      </c>
      <c r="F143">
        <v>2.5</v>
      </c>
      <c r="H143">
        <v>32</v>
      </c>
      <c r="I143">
        <v>1.9</v>
      </c>
      <c r="O143">
        <f>IF(AND(OR(D143="S. acutus",D143="S. californicus",D143="S. tabernaemontani"),G143=0),E143*[1]Sheet1!$D$7+[1]Sheet1!$L$7,IF(AND(OR(D143="S. acutus",D143="S. tabernaemontani"),G143&gt;0),E143*[1]Sheet1!$D$8+N143*[1]Sheet1!$E$8,IF(AND(D143="S. californicus",G143&gt;0),E143*[1]Sheet1!$D$9+N143*[1]Sheet1!$E$9,IF(D143="S.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latifolia"),E143&gt;0),F143*[1]Sheet1!$C$4+E143*[1]Sheet1!$D$4+H143*[1]Sheet1!$J$4+I143*[1]Sheet1!$K$4+[1]Sheet1!$L$4,IF(AND(OR(D143="T. domingensis",D143="T. latifolia"),J143&gt;0),J143*[1]Sheet1!$G$5+K143*[1]Sheet1!$H$5+L143*[1]Sheet1!$I$5+[1]Sheet1!$L$5,0)))))))</f>
        <v>106.84003589999998</v>
      </c>
    </row>
    <row r="144" spans="1:15">
      <c r="A144" s="2">
        <v>40731</v>
      </c>
      <c r="B144" s="3" t="s">
        <v>30</v>
      </c>
      <c r="C144">
        <v>16</v>
      </c>
      <c r="D144" s="6" t="s">
        <v>19</v>
      </c>
      <c r="E144">
        <v>311</v>
      </c>
      <c r="F144">
        <v>2.57</v>
      </c>
      <c r="H144">
        <v>35</v>
      </c>
      <c r="I144">
        <v>2.1</v>
      </c>
      <c r="O144">
        <f>IF(AND(OR(D144="S. acutus",D144="S. californicus",D144="S. tabernaemontani"),G144=0),E144*[1]Sheet1!$D$7+[1]Sheet1!$L$7,IF(AND(OR(D144="S. acutus",D144="S. tabernaemontani"),G144&gt;0),E144*[1]Sheet1!$D$8+N144*[1]Sheet1!$E$8,IF(AND(D144="S. californicus",G144&gt;0),E144*[1]Sheet1!$D$9+N144*[1]Sheet1!$E$9,IF(D144="S.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latifolia"),E144&gt;0),F144*[1]Sheet1!$C$4+E144*[1]Sheet1!$D$4+H144*[1]Sheet1!$J$4+I144*[1]Sheet1!$K$4+[1]Sheet1!$L$4,IF(AND(OR(D144="T. domingensis",D144="T. latifolia"),J144&gt;0),J144*[1]Sheet1!$G$5+K144*[1]Sheet1!$H$5+L144*[1]Sheet1!$I$5+[1]Sheet1!$L$5,0)))))))</f>
        <v>115.08200369000002</v>
      </c>
    </row>
    <row r="145" spans="1:15">
      <c r="A145" s="2">
        <v>40731</v>
      </c>
      <c r="B145" s="3" t="s">
        <v>30</v>
      </c>
      <c r="C145">
        <v>16</v>
      </c>
      <c r="D145" s="6" t="s">
        <v>19</v>
      </c>
      <c r="E145">
        <v>314</v>
      </c>
      <c r="F145">
        <v>2.38</v>
      </c>
      <c r="H145">
        <v>31</v>
      </c>
      <c r="I145">
        <v>2.1</v>
      </c>
      <c r="O145">
        <f>IF(AND(OR(D145="S. acutus",D145="S. californicus",D145="S. tabernaemontani"),G145=0),E145*[1]Sheet1!$D$7+[1]Sheet1!$L$7,IF(AND(OR(D145="S. acutus",D145="S. tabernaemontani"),G145&gt;0),E145*[1]Sheet1!$D$8+N145*[1]Sheet1!$E$8,IF(AND(D145="S. californicus",G145&gt;0),E145*[1]Sheet1!$D$9+N145*[1]Sheet1!$E$9,IF(D145="S.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latifolia"),E145&gt;0),F145*[1]Sheet1!$C$4+E145*[1]Sheet1!$D$4+H145*[1]Sheet1!$J$4+I145*[1]Sheet1!$K$4+[1]Sheet1!$L$4,IF(AND(OR(D145="T. domingensis",D145="T. latifolia"),J145&gt;0),J145*[1]Sheet1!$G$5+K145*[1]Sheet1!$H$5+L145*[1]Sheet1!$I$5+[1]Sheet1!$L$5,0)))))))</f>
        <v>108.61279425999999</v>
      </c>
    </row>
    <row r="146" spans="1:15">
      <c r="A146" s="2">
        <v>40731</v>
      </c>
      <c r="B146" s="3" t="s">
        <v>30</v>
      </c>
      <c r="C146">
        <v>16</v>
      </c>
      <c r="D146" s="6" t="s">
        <v>19</v>
      </c>
      <c r="E146">
        <v>315</v>
      </c>
      <c r="F146">
        <v>2.5</v>
      </c>
      <c r="H146">
        <v>40</v>
      </c>
      <c r="I146">
        <v>2.1</v>
      </c>
      <c r="O146">
        <f>IF(AND(OR(D146="S. acutus",D146="S. californicus",D146="S. tabernaemontani"),G146=0),E146*[1]Sheet1!$D$7+[1]Sheet1!$L$7,IF(AND(OR(D146="S. acutus",D146="S. tabernaemontani"),G146&gt;0),E146*[1]Sheet1!$D$8+N146*[1]Sheet1!$E$8,IF(AND(D146="S. californicus",G146&gt;0),E146*[1]Sheet1!$D$9+N146*[1]Sheet1!$E$9,IF(D146="S.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latifolia"),E146&gt;0),F146*[1]Sheet1!$C$4+E146*[1]Sheet1!$D$4+H146*[1]Sheet1!$J$4+I146*[1]Sheet1!$K$4+[1]Sheet1!$L$4,IF(AND(OR(D146="T. domingensis",D146="T. latifolia"),J146&gt;0),J146*[1]Sheet1!$G$5+K146*[1]Sheet1!$H$5+L146*[1]Sheet1!$I$5+[1]Sheet1!$L$5,0)))))))</f>
        <v>119.6002403</v>
      </c>
    </row>
    <row r="147" spans="1:15">
      <c r="A147" s="2">
        <v>40731</v>
      </c>
      <c r="B147" s="3" t="s">
        <v>30</v>
      </c>
      <c r="C147">
        <v>16</v>
      </c>
      <c r="D147" s="6" t="s">
        <v>19</v>
      </c>
      <c r="E147">
        <v>326</v>
      </c>
      <c r="F147">
        <v>2.7</v>
      </c>
      <c r="H147">
        <v>26</v>
      </c>
      <c r="I147">
        <v>1.2</v>
      </c>
      <c r="O147">
        <f>IF(AND(OR(D147="S. acutus",D147="S. californicus",D147="S. tabernaemontani"),G147=0),E147*[1]Sheet1!$D$7+[1]Sheet1!$L$7,IF(AND(OR(D147="S. acutus",D147="S. tabernaemontani"),G147&gt;0),E147*[1]Sheet1!$D$8+N147*[1]Sheet1!$E$8,IF(AND(D147="S. californicus",G147&gt;0),E147*[1]Sheet1!$D$9+N147*[1]Sheet1!$E$9,IF(D147="S.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latifolia"),E147&gt;0),F147*[1]Sheet1!$C$4+E147*[1]Sheet1!$D$4+H147*[1]Sheet1!$J$4+I147*[1]Sheet1!$K$4+[1]Sheet1!$L$4,IF(AND(OR(D147="T. domingensis",D147="T. latifolia"),J147&gt;0),J147*[1]Sheet1!$G$5+K147*[1]Sheet1!$H$5+L147*[1]Sheet1!$I$5+[1]Sheet1!$L$5,0)))))))</f>
        <v>98.0444119</v>
      </c>
    </row>
    <row r="148" spans="1:15">
      <c r="A148" s="2">
        <v>40731</v>
      </c>
      <c r="B148" s="3" t="s">
        <v>30</v>
      </c>
      <c r="C148">
        <v>16</v>
      </c>
      <c r="D148" s="6" t="s">
        <v>19</v>
      </c>
      <c r="E148">
        <v>335</v>
      </c>
      <c r="F148">
        <v>2.1</v>
      </c>
      <c r="H148">
        <v>34</v>
      </c>
      <c r="I148">
        <v>2.4</v>
      </c>
      <c r="O148">
        <f>IF(AND(OR(D148="S. acutus",D148="S. californicus",D148="S. tabernaemontani"),G148=0),E148*[1]Sheet1!$D$7+[1]Sheet1!$L$7,IF(AND(OR(D148="S. acutus",D148="S. tabernaemontani"),G148&gt;0),E148*[1]Sheet1!$D$8+N148*[1]Sheet1!$E$8,IF(AND(D148="S. californicus",G148&gt;0),E148*[1]Sheet1!$D$9+N148*[1]Sheet1!$E$9,IF(D148="S.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latifolia"),E148&gt;0),F148*[1]Sheet1!$C$4+E148*[1]Sheet1!$D$4+H148*[1]Sheet1!$J$4+I148*[1]Sheet1!$K$4+[1]Sheet1!$L$4,IF(AND(OR(D148="T. domingensis",D148="T. latifolia"),J148&gt;0),J148*[1]Sheet1!$G$5+K148*[1]Sheet1!$H$5+L148*[1]Sheet1!$I$5+[1]Sheet1!$L$5,0)))))))</f>
        <v>117.63406670000001</v>
      </c>
    </row>
    <row r="149" spans="1:15">
      <c r="A149" s="2">
        <v>40731</v>
      </c>
      <c r="B149" s="3" t="s">
        <v>30</v>
      </c>
      <c r="C149">
        <v>16</v>
      </c>
      <c r="D149" s="6" t="s">
        <v>19</v>
      </c>
      <c r="E149">
        <v>359</v>
      </c>
      <c r="F149">
        <v>2.57</v>
      </c>
      <c r="H149">
        <v>33</v>
      </c>
      <c r="I149">
        <v>2.1</v>
      </c>
      <c r="O149">
        <f>IF(AND(OR(D149="S. acutus",D149="S. californicus",D149="S. tabernaemontani"),G149=0),E149*[1]Sheet1!$D$7+[1]Sheet1!$L$7,IF(AND(OR(D149="S. acutus",D149="S. tabernaemontani"),G149&gt;0),E149*[1]Sheet1!$D$8+N149*[1]Sheet1!$E$8,IF(AND(D149="S. californicus",G149&gt;0),E149*[1]Sheet1!$D$9+N149*[1]Sheet1!$E$9,IF(D149="S.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latifolia"),E149&gt;0),F149*[1]Sheet1!$C$4+E149*[1]Sheet1!$D$4+H149*[1]Sheet1!$J$4+I149*[1]Sheet1!$K$4+[1]Sheet1!$L$4,IF(AND(OR(D149="T. domingensis",D149="T. latifolia"),J149&gt;0),J149*[1]Sheet1!$G$5+K149*[1]Sheet1!$H$5+L149*[1]Sheet1!$I$5+[1]Sheet1!$L$5,0)))))))</f>
        <v>127.80800089000002</v>
      </c>
    </row>
    <row r="150" spans="1:15">
      <c r="A150" s="2">
        <v>40731</v>
      </c>
      <c r="B150" s="3" t="s">
        <v>30</v>
      </c>
      <c r="C150">
        <v>16</v>
      </c>
      <c r="D150" s="6" t="s">
        <v>19</v>
      </c>
      <c r="E150">
        <v>367</v>
      </c>
      <c r="F150">
        <v>4.07</v>
      </c>
      <c r="H150">
        <v>30</v>
      </c>
      <c r="I150">
        <v>1.3</v>
      </c>
      <c r="O150">
        <f>IF(AND(OR(D150="S. acutus",D150="S. californicus",D150="S. tabernaemontani"),G150=0),E150*[1]Sheet1!$D$7+[1]Sheet1!$L$7,IF(AND(OR(D150="S. acutus",D150="S. tabernaemontani"),G150&gt;0),E150*[1]Sheet1!$D$8+N150*[1]Sheet1!$E$8,IF(AND(D150="S. californicus",G150&gt;0),E150*[1]Sheet1!$D$9+N150*[1]Sheet1!$E$9,IF(D150="S.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latifolia"),E150&gt;0),F150*[1]Sheet1!$C$4+E150*[1]Sheet1!$D$4+H150*[1]Sheet1!$J$4+I150*[1]Sheet1!$K$4+[1]Sheet1!$L$4,IF(AND(OR(D150="T. domingensis",D150="T. latifolia"),J150&gt;0),J150*[1]Sheet1!$G$5+K150*[1]Sheet1!$H$5+L150*[1]Sheet1!$I$5+[1]Sheet1!$L$5,0)))))))</f>
        <v>142.36244699</v>
      </c>
    </row>
    <row r="151" spans="1:15">
      <c r="A151" s="2">
        <v>40731</v>
      </c>
      <c r="B151" s="3" t="s">
        <v>30</v>
      </c>
      <c r="C151">
        <v>16</v>
      </c>
      <c r="D151" s="6" t="s">
        <v>19</v>
      </c>
      <c r="E151">
        <v>377</v>
      </c>
      <c r="F151">
        <v>2.74</v>
      </c>
      <c r="H151">
        <v>33</v>
      </c>
      <c r="I151">
        <v>2.5</v>
      </c>
      <c r="O151">
        <f>IF(AND(OR(D151="S. acutus",D151="S. californicus",D151="S. tabernaemontani"),G151=0),E151*[1]Sheet1!$D$7+[1]Sheet1!$L$7,IF(AND(OR(D151="S. acutus",D151="S. tabernaemontani"),G151&gt;0),E151*[1]Sheet1!$D$8+N151*[1]Sheet1!$E$8,IF(AND(D151="S. californicus",G151&gt;0),E151*[1]Sheet1!$D$9+N151*[1]Sheet1!$E$9,IF(D151="S.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latifolia"),E151&gt;0),F151*[1]Sheet1!$C$4+E151*[1]Sheet1!$D$4+H151*[1]Sheet1!$J$4+I151*[1]Sheet1!$K$4+[1]Sheet1!$L$4,IF(AND(OR(D151="T. domingensis",D151="T. latifolia"),J151&gt;0),J151*[1]Sheet1!$G$5+K151*[1]Sheet1!$H$5+L151*[1]Sheet1!$I$5+[1]Sheet1!$L$5,0)))))))</f>
        <v>143.54287258000002</v>
      </c>
    </row>
    <row r="152" spans="1:15">
      <c r="A152" s="2">
        <v>40731</v>
      </c>
      <c r="B152" s="3" t="s">
        <v>30</v>
      </c>
      <c r="C152">
        <v>16</v>
      </c>
      <c r="D152" s="6" t="s">
        <v>19</v>
      </c>
      <c r="E152">
        <v>379</v>
      </c>
      <c r="F152">
        <v>3.12</v>
      </c>
      <c r="H152">
        <v>27</v>
      </c>
      <c r="I152">
        <v>2</v>
      </c>
      <c r="O152">
        <f>IF(AND(OR(D152="S. acutus",D152="S. californicus",D152="S. tabernaemontani"),G152=0),E152*[1]Sheet1!$D$7+[1]Sheet1!$L$7,IF(AND(OR(D152="S. acutus",D152="S. tabernaemontani"),G152&gt;0),E152*[1]Sheet1!$D$8+N152*[1]Sheet1!$E$8,IF(AND(D152="S. californicus",G152&gt;0),E152*[1]Sheet1!$D$9+N152*[1]Sheet1!$E$9,IF(D152="S.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latifolia"),E152&gt;0),F152*[1]Sheet1!$C$4+E152*[1]Sheet1!$D$4+H152*[1]Sheet1!$J$4+I152*[1]Sheet1!$K$4+[1]Sheet1!$L$4,IF(AND(OR(D152="T. domingensis",D152="T. latifolia"),J152&gt;0),J152*[1]Sheet1!$G$5+K152*[1]Sheet1!$H$5+L152*[1]Sheet1!$I$5+[1]Sheet1!$L$5,0)))))))</f>
        <v>137.15145023999997</v>
      </c>
    </row>
    <row r="153" spans="1:15">
      <c r="A153" s="2">
        <v>40731</v>
      </c>
      <c r="B153" s="3" t="s">
        <v>30</v>
      </c>
      <c r="C153">
        <v>16</v>
      </c>
      <c r="D153" s="6" t="s">
        <v>19</v>
      </c>
      <c r="F153">
        <v>0.85</v>
      </c>
      <c r="J153">
        <f>SUM(222,223,239)</f>
        <v>684</v>
      </c>
      <c r="K153">
        <v>3</v>
      </c>
      <c r="L153">
        <v>239</v>
      </c>
      <c r="O153">
        <f>IF(AND(OR(D153="S. acutus",D153="S. californicus",D153="S. tabernaemontani"),G153=0),E153*[1]Sheet1!$D$7+[1]Sheet1!$L$7,IF(AND(OR(D153="S. acutus",D153="S. tabernaemontani"),G153&gt;0),E153*[1]Sheet1!$D$8+N153*[1]Sheet1!$E$8,IF(AND(D153="S. californicus",G153&gt;0),E153*[1]Sheet1!$D$9+N153*[1]Sheet1!$E$9,IF(D153="S.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latifolia"),E153&gt;0),F153*[1]Sheet1!$C$4+E153*[1]Sheet1!$D$4+H153*[1]Sheet1!$J$4+I153*[1]Sheet1!$K$4+[1]Sheet1!$L$4,IF(AND(OR(D153="T. domingensis",D153="T. latifolia"),J153&gt;0),J153*[1]Sheet1!$G$5+K153*[1]Sheet1!$H$5+L153*[1]Sheet1!$I$5+[1]Sheet1!$L$5,0)))))))</f>
        <v>4.1007900000000106</v>
      </c>
    </row>
    <row r="154" spans="1:15">
      <c r="A154" s="2">
        <v>40731</v>
      </c>
      <c r="B154" s="3" t="s">
        <v>30</v>
      </c>
      <c r="C154">
        <v>16</v>
      </c>
      <c r="D154" s="6" t="s">
        <v>19</v>
      </c>
      <c r="F154">
        <v>1.55</v>
      </c>
      <c r="J154">
        <f>SUM(210,264,287,306,307)</f>
        <v>1374</v>
      </c>
      <c r="K154">
        <v>5</v>
      </c>
      <c r="L154">
        <v>307</v>
      </c>
      <c r="O154">
        <f>IF(AND(OR(D154="S. acutus",D154="S. californicus",D154="S. tabernaemontani"),G154=0),E154*[1]Sheet1!$D$7+[1]Sheet1!$L$7,IF(AND(OR(D154="S. acutus",D154="S. tabernaemontani"),G154&gt;0),E154*[1]Sheet1!$D$8+N154*[1]Sheet1!$E$8,IF(AND(D154="S. californicus",G154&gt;0),E154*[1]Sheet1!$D$9+N154*[1]Sheet1!$E$9,IF(D154="S.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latifolia"),E154&gt;0),F154*[1]Sheet1!$C$4+E154*[1]Sheet1!$D$4+H154*[1]Sheet1!$J$4+I154*[1]Sheet1!$K$4+[1]Sheet1!$L$4,IF(AND(OR(D154="T. domingensis",D154="T. latifolia"),J154&gt;0),J154*[1]Sheet1!$G$5+K154*[1]Sheet1!$H$5+L154*[1]Sheet1!$I$5+[1]Sheet1!$L$5,0)))))))</f>
        <v>34.26237400000003</v>
      </c>
    </row>
    <row r="155" spans="1:15">
      <c r="A155" s="2">
        <v>40731</v>
      </c>
      <c r="B155" s="3" t="s">
        <v>30</v>
      </c>
      <c r="C155">
        <v>17</v>
      </c>
      <c r="D155" s="6" t="s">
        <v>29</v>
      </c>
      <c r="E155">
        <v>32</v>
      </c>
      <c r="F155">
        <v>0.64</v>
      </c>
      <c r="G155">
        <v>0</v>
      </c>
      <c r="O155">
        <f>IF(AND(OR(D155="S. acutus",D155="S. californicus",D155="S. tabernaemontani"),G155=0),E155*[1]Sheet1!$D$7+[1]Sheet1!$L$7,IF(AND(OR(D155="S. acutus",D155="S. tabernaemontani"),G155&gt;0),E155*[1]Sheet1!$D$8+N155*[1]Sheet1!$E$8,IF(AND(D155="S. californicus",G155&gt;0),E155*[1]Sheet1!$D$9+N155*[1]Sheet1!$E$9,IF(D155="S.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latifolia"),E155&gt;0),F155*[1]Sheet1!$C$4+E155*[1]Sheet1!$D$4+H155*[1]Sheet1!$J$4+I155*[1]Sheet1!$K$4+[1]Sheet1!$L$4,IF(AND(OR(D155="T. domingensis",D155="T. latifolia"),J155&gt;0),J155*[1]Sheet1!$G$5+K155*[1]Sheet1!$H$5+L155*[1]Sheet1!$I$5+[1]Sheet1!$L$5,0)))))))</f>
        <v>0.47744809600000027</v>
      </c>
    </row>
    <row r="156" spans="1:15">
      <c r="A156" s="2">
        <v>40731</v>
      </c>
      <c r="B156" s="3" t="s">
        <v>30</v>
      </c>
      <c r="C156">
        <v>17</v>
      </c>
      <c r="D156" s="6" t="s">
        <v>29</v>
      </c>
      <c r="E156">
        <v>47</v>
      </c>
      <c r="F156">
        <v>0.95</v>
      </c>
      <c r="G156">
        <v>0</v>
      </c>
      <c r="O156">
        <f>IF(AND(OR(D156="S. acutus",D156="S. californicus",D156="S. tabernaemontani"),G156=0),E156*[1]Sheet1!$D$7+[1]Sheet1!$L$7,IF(AND(OR(D156="S. acutus",D156="S. tabernaemontani"),G156&gt;0),E156*[1]Sheet1!$D$8+N156*[1]Sheet1!$E$8,IF(AND(D156="S. californicus",G156&gt;0),E156*[1]Sheet1!$D$9+N156*[1]Sheet1!$E$9,IF(D156="S.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latifolia"),E156&gt;0),F156*[1]Sheet1!$C$4+E156*[1]Sheet1!$D$4+H156*[1]Sheet1!$J$4+I156*[1]Sheet1!$K$4+[1]Sheet1!$L$4,IF(AND(OR(D156="T. domingensis",D156="T. latifolia"),J156&gt;0),J156*[1]Sheet1!$G$5+K156*[1]Sheet1!$H$5+L156*[1]Sheet1!$I$5+[1]Sheet1!$L$5,0)))))))</f>
        <v>1.8139363549999996</v>
      </c>
    </row>
    <row r="157" spans="1:15">
      <c r="A157" s="2">
        <v>40731</v>
      </c>
      <c r="B157" s="3" t="s">
        <v>30</v>
      </c>
      <c r="C157">
        <v>17</v>
      </c>
      <c r="D157" s="6" t="s">
        <v>29</v>
      </c>
      <c r="E157">
        <v>70</v>
      </c>
      <c r="F157">
        <v>0.79</v>
      </c>
      <c r="G157">
        <v>0</v>
      </c>
      <c r="O157">
        <f>IF(AND(OR(D157="S. acutus",D157="S. californicus",D157="S. tabernaemontani"),G157=0),E157*[1]Sheet1!$D$7+[1]Sheet1!$L$7,IF(AND(OR(D157="S. acutus",D157="S. tabernaemontani"),G157&gt;0),E157*[1]Sheet1!$D$8+N157*[1]Sheet1!$E$8,IF(AND(D157="S. californicus",G157&gt;0),E157*[1]Sheet1!$D$9+N157*[1]Sheet1!$E$9,IF(D157="S.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latifolia"),E157&gt;0),F157*[1]Sheet1!$C$4+E157*[1]Sheet1!$D$4+H157*[1]Sheet1!$J$4+I157*[1]Sheet1!$K$4+[1]Sheet1!$L$4,IF(AND(OR(D157="T. domingensis",D157="T. latifolia"),J157&gt;0),J157*[1]Sheet1!$G$5+K157*[1]Sheet1!$H$5+L157*[1]Sheet1!$I$5+[1]Sheet1!$L$5,0)))))))</f>
        <v>1.6061910309999994</v>
      </c>
    </row>
    <row r="158" spans="1:15">
      <c r="A158" s="2">
        <v>40731</v>
      </c>
      <c r="B158" s="3" t="s">
        <v>30</v>
      </c>
      <c r="C158">
        <v>17</v>
      </c>
      <c r="D158" s="6" t="s">
        <v>29</v>
      </c>
      <c r="E158">
        <v>74</v>
      </c>
      <c r="F158">
        <v>0.56999999999999995</v>
      </c>
      <c r="G158">
        <v>0</v>
      </c>
      <c r="O158">
        <f>IF(AND(OR(D158="S. acutus",D158="S. californicus",D158="S. tabernaemontani"),G158=0),E158*[1]Sheet1!$D$7+[1]Sheet1!$L$7,IF(AND(OR(D158="S. acutus",D158="S. tabernaemontani"),G158&gt;0),E158*[1]Sheet1!$D$8+N158*[1]Sheet1!$E$8,IF(AND(D158="S. californicus",G158&gt;0),E158*[1]Sheet1!$D$9+N158*[1]Sheet1!$E$9,IF(D158="S.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latifolia"),E158&gt;0),F158*[1]Sheet1!$C$4+E158*[1]Sheet1!$D$4+H158*[1]Sheet1!$J$4+I158*[1]Sheet1!$K$4+[1]Sheet1!$L$4,IF(AND(OR(D158="T. domingensis",D158="T. latifolia"),J158&gt;0),J158*[1]Sheet1!$G$5+K158*[1]Sheet1!$H$5+L158*[1]Sheet1!$I$5+[1]Sheet1!$L$5,0)))))))</f>
        <v>0.88736187299999925</v>
      </c>
    </row>
    <row r="159" spans="1:15">
      <c r="A159" s="2">
        <v>40731</v>
      </c>
      <c r="B159" s="3" t="s">
        <v>30</v>
      </c>
      <c r="C159">
        <v>17</v>
      </c>
      <c r="D159" s="6" t="s">
        <v>29</v>
      </c>
      <c r="E159">
        <v>76</v>
      </c>
      <c r="F159">
        <v>0.46</v>
      </c>
      <c r="G159">
        <v>1</v>
      </c>
      <c r="O159">
        <f>IF(AND(OR(D159="S. acutus",D159="S. californicus",D159="S. tabernaemontani"),G159=0),E159*[1]Sheet1!$D$7+[1]Sheet1!$L$7,IF(AND(OR(D159="S. acutus",D159="S. tabernaemontani"),G159&gt;0),E159*[1]Sheet1!$D$8+N159*[1]Sheet1!$E$8,IF(AND(D159="S. californicus",G159&gt;0),E159*[1]Sheet1!$D$9+N159*[1]Sheet1!$E$9,IF(D159="S.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latifolia"),E159&gt;0),F159*[1]Sheet1!$C$4+E159*[1]Sheet1!$D$4+H159*[1]Sheet1!$J$4+I159*[1]Sheet1!$K$4+[1]Sheet1!$L$4,IF(AND(OR(D159="T. domingensis",D159="T. latifolia"),J159&gt;0),J159*[1]Sheet1!$G$5+K159*[1]Sheet1!$H$5+L159*[1]Sheet1!$I$5+[1]Sheet1!$L$5,0)))))))</f>
        <v>0.52794729400000007</v>
      </c>
    </row>
    <row r="160" spans="1:15">
      <c r="A160" s="2">
        <v>40731</v>
      </c>
      <c r="B160" s="3" t="s">
        <v>30</v>
      </c>
      <c r="C160">
        <v>17</v>
      </c>
      <c r="D160" s="6" t="s">
        <v>29</v>
      </c>
      <c r="E160">
        <v>78</v>
      </c>
      <c r="F160">
        <v>0.62</v>
      </c>
      <c r="G160">
        <v>0</v>
      </c>
      <c r="O160">
        <f>IF(AND(OR(D160="S. acutus",D160="S. californicus",D160="S. tabernaemontani"),G160=0),E160*[1]Sheet1!$D$7+[1]Sheet1!$L$7,IF(AND(OR(D160="S. acutus",D160="S. tabernaemontani"),G160&gt;0),E160*[1]Sheet1!$D$8+N160*[1]Sheet1!$E$8,IF(AND(D160="S. californicus",G160&gt;0),E160*[1]Sheet1!$D$9+N160*[1]Sheet1!$E$9,IF(D160="S.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latifolia"),E160&gt;0),F160*[1]Sheet1!$C$4+E160*[1]Sheet1!$D$4+H160*[1]Sheet1!$J$4+I160*[1]Sheet1!$K$4+[1]Sheet1!$L$4,IF(AND(OR(D160="T. domingensis",D160="T. latifolia"),J160&gt;0),J160*[1]Sheet1!$G$5+K160*[1]Sheet1!$H$5+L160*[1]Sheet1!$I$5+[1]Sheet1!$L$5,0)))))))</f>
        <v>1.127710118</v>
      </c>
    </row>
    <row r="161" spans="1:15">
      <c r="A161" s="2">
        <v>40731</v>
      </c>
      <c r="B161" s="3" t="s">
        <v>30</v>
      </c>
      <c r="C161">
        <v>17</v>
      </c>
      <c r="D161" s="6" t="s">
        <v>29</v>
      </c>
      <c r="E161">
        <v>80</v>
      </c>
      <c r="F161">
        <v>0.72</v>
      </c>
      <c r="G161">
        <v>0</v>
      </c>
      <c r="O161">
        <f>IF(AND(OR(D161="S. acutus",D161="S. californicus",D161="S. tabernaemontani"),G161=0),E161*[1]Sheet1!$D$7+[1]Sheet1!$L$7,IF(AND(OR(D161="S. acutus",D161="S. tabernaemontani"),G161&gt;0),E161*[1]Sheet1!$D$8+N161*[1]Sheet1!$E$8,IF(AND(D161="S. californicus",G161&gt;0),E161*[1]Sheet1!$D$9+N161*[1]Sheet1!$E$9,IF(D161="S.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latifolia"),E161&gt;0),F161*[1]Sheet1!$C$4+E161*[1]Sheet1!$D$4+H161*[1]Sheet1!$J$4+I161*[1]Sheet1!$K$4+[1]Sheet1!$L$4,IF(AND(OR(D161="T. domingensis",D161="T. latifolia"),J161&gt;0),J161*[1]Sheet1!$G$5+K161*[1]Sheet1!$H$5+L161*[1]Sheet1!$I$5+[1]Sheet1!$L$5,0)))))))</f>
        <v>1.5143224079999995</v>
      </c>
    </row>
    <row r="162" spans="1:15">
      <c r="A162" s="2">
        <v>40731</v>
      </c>
      <c r="B162" s="3" t="s">
        <v>30</v>
      </c>
      <c r="C162">
        <v>17</v>
      </c>
      <c r="D162" s="6" t="s">
        <v>29</v>
      </c>
      <c r="E162">
        <v>94</v>
      </c>
      <c r="F162">
        <v>0.64</v>
      </c>
      <c r="G162">
        <v>0</v>
      </c>
      <c r="O162">
        <f>IF(AND(OR(D162="S. acutus",D162="S. californicus",D162="S. tabernaemontani"),G162=0),E162*[1]Sheet1!$D$7+[1]Sheet1!$L$7,IF(AND(OR(D162="S. acutus",D162="S. tabernaemontani"),G162&gt;0),E162*[1]Sheet1!$D$8+N162*[1]Sheet1!$E$8,IF(AND(D162="S. californicus",G162&gt;0),E162*[1]Sheet1!$D$9+N162*[1]Sheet1!$E$9,IF(D162="S.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latifolia"),E162&gt;0),F162*[1]Sheet1!$C$4+E162*[1]Sheet1!$D$4+H162*[1]Sheet1!$J$4+I162*[1]Sheet1!$K$4+[1]Sheet1!$L$4,IF(AND(OR(D162="T. domingensis",D162="T. latifolia"),J162&gt;0),J162*[1]Sheet1!$G$5+K162*[1]Sheet1!$H$5+L162*[1]Sheet1!$I$5+[1]Sheet1!$L$5,0)))))))</f>
        <v>1.449651496</v>
      </c>
    </row>
    <row r="163" spans="1:15">
      <c r="A163" s="2">
        <v>40731</v>
      </c>
      <c r="B163" s="3" t="s">
        <v>30</v>
      </c>
      <c r="C163">
        <v>17</v>
      </c>
      <c r="D163" s="6" t="s">
        <v>29</v>
      </c>
      <c r="E163">
        <v>96</v>
      </c>
      <c r="F163">
        <v>0.59</v>
      </c>
      <c r="G163">
        <v>0</v>
      </c>
      <c r="O163">
        <f>IF(AND(OR(D163="S. acutus",D163="S. californicus",D163="S. tabernaemontani"),G163=0),E163*[1]Sheet1!$D$7+[1]Sheet1!$L$7,IF(AND(OR(D163="S. acutus",D163="S. tabernaemontani"),G163&gt;0),E163*[1]Sheet1!$D$8+N163*[1]Sheet1!$E$8,IF(AND(D163="S. californicus",G163&gt;0),E163*[1]Sheet1!$D$9+N163*[1]Sheet1!$E$9,IF(D163="S.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latifolia"),E163&gt;0),F163*[1]Sheet1!$C$4+E163*[1]Sheet1!$D$4+H163*[1]Sheet1!$J$4+I163*[1]Sheet1!$K$4+[1]Sheet1!$L$4,IF(AND(OR(D163="T. domingensis",D163="T. latifolia"),J163&gt;0),J163*[1]Sheet1!$G$5+K163*[1]Sheet1!$H$5+L163*[1]Sheet1!$I$5+[1]Sheet1!$L$5,0)))))))</f>
        <v>1.3033874509999994</v>
      </c>
    </row>
    <row r="164" spans="1:15">
      <c r="A164" s="2">
        <v>40731</v>
      </c>
      <c r="B164" s="3" t="s">
        <v>30</v>
      </c>
      <c r="C164">
        <v>17</v>
      </c>
      <c r="D164" s="6" t="s">
        <v>29</v>
      </c>
      <c r="E164">
        <v>101</v>
      </c>
      <c r="F164">
        <v>0.49</v>
      </c>
      <c r="G164">
        <v>0</v>
      </c>
      <c r="O164">
        <f>IF(AND(OR(D164="S. acutus",D164="S. californicus",D164="S. tabernaemontani"),G164=0),E164*[1]Sheet1!$D$7+[1]Sheet1!$L$7,IF(AND(OR(D164="S. acutus",D164="S. tabernaemontani"),G164&gt;0),E164*[1]Sheet1!$D$8+N164*[1]Sheet1!$E$8,IF(AND(D164="S. californicus",G164&gt;0),E164*[1]Sheet1!$D$9+N164*[1]Sheet1!$E$9,IF(D164="S.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latifolia"),E164&gt;0),F164*[1]Sheet1!$C$4+E164*[1]Sheet1!$D$4+H164*[1]Sheet1!$J$4+I164*[1]Sheet1!$K$4+[1]Sheet1!$L$4,IF(AND(OR(D164="T. domingensis",D164="T. latifolia"),J164&gt;0),J164*[1]Sheet1!$G$5+K164*[1]Sheet1!$H$5+L164*[1]Sheet1!$I$5+[1]Sheet1!$L$5,0)))))))</f>
        <v>1.0265400609999999</v>
      </c>
    </row>
    <row r="165" spans="1:15">
      <c r="A165" s="2">
        <v>40731</v>
      </c>
      <c r="B165" s="3" t="s">
        <v>30</v>
      </c>
      <c r="C165">
        <v>17</v>
      </c>
      <c r="D165" s="6" t="s">
        <v>29</v>
      </c>
      <c r="E165">
        <v>102</v>
      </c>
      <c r="F165">
        <v>0.2</v>
      </c>
      <c r="G165">
        <v>0</v>
      </c>
      <c r="O165">
        <f>IF(AND(OR(D165="S. acutus",D165="S. californicus",D165="S. tabernaemontani"),G165=0),E165*[1]Sheet1!$D$7+[1]Sheet1!$L$7,IF(AND(OR(D165="S. acutus",D165="S. tabernaemontani"),G165&gt;0),E165*[1]Sheet1!$D$8+N165*[1]Sheet1!$E$8,IF(AND(D165="S. californicus",G165&gt;0),E165*[1]Sheet1!$D$9+N165*[1]Sheet1!$E$9,IF(D165="S.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latifolia"),E165&gt;0),F165*[1]Sheet1!$C$4+E165*[1]Sheet1!$D$4+H165*[1]Sheet1!$J$4+I165*[1]Sheet1!$K$4+[1]Sheet1!$L$4,IF(AND(OR(D165="T. domingensis",D165="T. latifolia"),J165&gt;0),J165*[1]Sheet1!$G$5+K165*[1]Sheet1!$H$5+L165*[1]Sheet1!$I$5+[1]Sheet1!$L$5,0)))))))</f>
        <v>1.1993179999999715E-2</v>
      </c>
    </row>
    <row r="166" spans="1:15">
      <c r="A166" s="2">
        <v>40731</v>
      </c>
      <c r="B166" s="3" t="s">
        <v>30</v>
      </c>
      <c r="C166">
        <v>17</v>
      </c>
      <c r="D166" s="6" t="s">
        <v>29</v>
      </c>
      <c r="E166">
        <v>109</v>
      </c>
      <c r="F166">
        <v>0.3</v>
      </c>
      <c r="G166">
        <v>0</v>
      </c>
      <c r="O166">
        <f>IF(AND(OR(D166="S. acutus",D166="S. californicus",D166="S. tabernaemontani"),G166=0),E166*[1]Sheet1!$D$7+[1]Sheet1!$L$7,IF(AND(OR(D166="S. acutus",D166="S. tabernaemontani"),G166&gt;0),E166*[1]Sheet1!$D$8+N166*[1]Sheet1!$E$8,IF(AND(D166="S. californicus",G166&gt;0),E166*[1]Sheet1!$D$9+N166*[1]Sheet1!$E$9,IF(D166="S.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latifolia"),E166&gt;0),F166*[1]Sheet1!$C$4+E166*[1]Sheet1!$D$4+H166*[1]Sheet1!$J$4+I166*[1]Sheet1!$K$4+[1]Sheet1!$L$4,IF(AND(OR(D166="T. domingensis",D166="T. latifolia"),J166&gt;0),J166*[1]Sheet1!$G$5+K166*[1]Sheet1!$H$5+L166*[1]Sheet1!$I$5+[1]Sheet1!$L$5,0)))))))</f>
        <v>0.47700896999999953</v>
      </c>
    </row>
    <row r="167" spans="1:15">
      <c r="A167" s="2">
        <v>40731</v>
      </c>
      <c r="B167" s="3" t="s">
        <v>30</v>
      </c>
      <c r="C167">
        <v>17</v>
      </c>
      <c r="D167" s="6" t="s">
        <v>29</v>
      </c>
      <c r="E167">
        <v>111</v>
      </c>
      <c r="F167">
        <v>0.78</v>
      </c>
      <c r="G167">
        <v>0</v>
      </c>
      <c r="O167">
        <f>IF(AND(OR(D167="S. acutus",D167="S. californicus",D167="S. tabernaemontani"),G167=0),E167*[1]Sheet1!$D$7+[1]Sheet1!$L$7,IF(AND(OR(D167="S. acutus",D167="S. tabernaemontani"),G167&gt;0),E167*[1]Sheet1!$D$8+N167*[1]Sheet1!$E$8,IF(AND(D167="S. californicus",G167&gt;0),E167*[1]Sheet1!$D$9+N167*[1]Sheet1!$E$9,IF(D167="S.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latifolia"),E167&gt;0),F167*[1]Sheet1!$C$4+E167*[1]Sheet1!$D$4+H167*[1]Sheet1!$J$4+I167*[1]Sheet1!$K$4+[1]Sheet1!$L$4,IF(AND(OR(D167="T. domingensis",D167="T. latifolia"),J167&gt;0),J167*[1]Sheet1!$G$5+K167*[1]Sheet1!$H$5+L167*[1]Sheet1!$I$5+[1]Sheet1!$L$5,0)))))))</f>
        <v>2.2135746419999998</v>
      </c>
    </row>
    <row r="168" spans="1:15">
      <c r="A168" s="2">
        <v>40731</v>
      </c>
      <c r="B168" s="3" t="s">
        <v>30</v>
      </c>
      <c r="C168">
        <v>17</v>
      </c>
      <c r="D168" s="6" t="s">
        <v>29</v>
      </c>
      <c r="E168">
        <v>113</v>
      </c>
      <c r="F168">
        <v>0.43</v>
      </c>
      <c r="G168">
        <v>0</v>
      </c>
      <c r="O168">
        <f>IF(AND(OR(D168="S. acutus",D168="S. californicus",D168="S. tabernaemontani"),G168=0),E168*[1]Sheet1!$D$7+[1]Sheet1!$L$7,IF(AND(OR(D168="S. acutus",D168="S. tabernaemontani"),G168&gt;0),E168*[1]Sheet1!$D$8+N168*[1]Sheet1!$E$8,IF(AND(D168="S. californicus",G168&gt;0),E168*[1]Sheet1!$D$9+N168*[1]Sheet1!$E$9,IF(D168="S.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latifolia"),E168&gt;0),F168*[1]Sheet1!$C$4+E168*[1]Sheet1!$D$4+H168*[1]Sheet1!$J$4+I168*[1]Sheet1!$K$4+[1]Sheet1!$L$4,IF(AND(OR(D168="T. domingensis",D168="T. latifolia"),J168&gt;0),J168*[1]Sheet1!$G$5+K168*[1]Sheet1!$H$5+L168*[1]Sheet1!$I$5+[1]Sheet1!$L$5,0)))))))</f>
        <v>1.0015579269999999</v>
      </c>
    </row>
    <row r="169" spans="1:15">
      <c r="A169" s="2">
        <v>40731</v>
      </c>
      <c r="B169" s="3" t="s">
        <v>30</v>
      </c>
      <c r="C169">
        <v>17</v>
      </c>
      <c r="D169" s="6" t="s">
        <v>29</v>
      </c>
      <c r="E169">
        <v>128</v>
      </c>
      <c r="F169">
        <v>0.73</v>
      </c>
      <c r="G169">
        <v>0</v>
      </c>
      <c r="O169">
        <f>IF(AND(OR(D169="S. acutus",D169="S. californicus",D169="S. tabernaemontani"),G169=0),E169*[1]Sheet1!$D$7+[1]Sheet1!$L$7,IF(AND(OR(D169="S. acutus",D169="S. tabernaemontani"),G169&gt;0),E169*[1]Sheet1!$D$8+N169*[1]Sheet1!$E$8,IF(AND(D169="S. californicus",G169&gt;0),E169*[1]Sheet1!$D$9+N169*[1]Sheet1!$E$9,IF(D169="S.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latifolia"),E169&gt;0),F169*[1]Sheet1!$C$4+E169*[1]Sheet1!$D$4+H169*[1]Sheet1!$J$4+I169*[1]Sheet1!$K$4+[1]Sheet1!$L$4,IF(AND(OR(D169="T. domingensis",D169="T. latifolia"),J169&gt;0),J169*[1]Sheet1!$G$5+K169*[1]Sheet1!$H$5+L169*[1]Sheet1!$I$5+[1]Sheet1!$L$5,0)))))))</f>
        <v>2.3025210970000001</v>
      </c>
    </row>
    <row r="170" spans="1:15">
      <c r="A170" s="2">
        <v>40731</v>
      </c>
      <c r="B170" s="3" t="s">
        <v>30</v>
      </c>
      <c r="C170">
        <v>17</v>
      </c>
      <c r="D170" s="6" t="s">
        <v>29</v>
      </c>
      <c r="E170">
        <v>130</v>
      </c>
      <c r="F170">
        <v>0.6</v>
      </c>
      <c r="G170">
        <v>0</v>
      </c>
      <c r="O170">
        <f>IF(AND(OR(D170="S. acutus",D170="S. californicus",D170="S. tabernaemontani"),G170=0),E170*[1]Sheet1!$D$7+[1]Sheet1!$L$7,IF(AND(OR(D170="S. acutus",D170="S. tabernaemontani"),G170&gt;0),E170*[1]Sheet1!$D$8+N170*[1]Sheet1!$E$8,IF(AND(D170="S. californicus",G170&gt;0),E170*[1]Sheet1!$D$9+N170*[1]Sheet1!$E$9,IF(D170="S.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latifolia"),E170&gt;0),F170*[1]Sheet1!$C$4+E170*[1]Sheet1!$D$4+H170*[1]Sheet1!$J$4+I170*[1]Sheet1!$K$4+[1]Sheet1!$L$4,IF(AND(OR(D170="T. domingensis",D170="T. latifolia"),J170&gt;0),J170*[1]Sheet1!$G$5+K170*[1]Sheet1!$H$5+L170*[1]Sheet1!$I$5+[1]Sheet1!$L$5,0)))))))</f>
        <v>1.8720563399999999</v>
      </c>
    </row>
    <row r="171" spans="1:15">
      <c r="A171" s="2">
        <v>40731</v>
      </c>
      <c r="B171" s="3" t="s">
        <v>30</v>
      </c>
      <c r="C171">
        <v>17</v>
      </c>
      <c r="D171" s="6" t="s">
        <v>29</v>
      </c>
      <c r="E171">
        <v>157</v>
      </c>
      <c r="F171">
        <v>0.43</v>
      </c>
      <c r="G171">
        <v>0</v>
      </c>
      <c r="O171">
        <f>IF(AND(OR(D171="S. acutus",D171="S. californicus",D171="S. tabernaemontani"),G171=0),E171*[1]Sheet1!$D$7+[1]Sheet1!$L$7,IF(AND(OR(D171="S. acutus",D171="S. tabernaemontani"),G171&gt;0),E171*[1]Sheet1!$D$8+N171*[1]Sheet1!$E$8,IF(AND(D171="S. californicus",G171&gt;0),E171*[1]Sheet1!$D$9+N171*[1]Sheet1!$E$9,IF(D171="S.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latifolia"),E171&gt;0),F171*[1]Sheet1!$C$4+E171*[1]Sheet1!$D$4+H171*[1]Sheet1!$J$4+I171*[1]Sheet1!$K$4+[1]Sheet1!$L$4,IF(AND(OR(D171="T. domingensis",D171="T. latifolia"),J171&gt;0),J171*[1]Sheet1!$G$5+K171*[1]Sheet1!$H$5+L171*[1]Sheet1!$I$5+[1]Sheet1!$L$5,0)))))))</f>
        <v>1.691508727</v>
      </c>
    </row>
    <row r="172" spans="1:15">
      <c r="A172" s="2">
        <v>40731</v>
      </c>
      <c r="B172" s="3" t="s">
        <v>30</v>
      </c>
      <c r="C172">
        <v>17</v>
      </c>
      <c r="D172" s="6" t="s">
        <v>29</v>
      </c>
      <c r="E172">
        <v>167</v>
      </c>
      <c r="F172">
        <v>0.38</v>
      </c>
      <c r="G172">
        <v>0</v>
      </c>
      <c r="O172">
        <f>IF(AND(OR(D172="S. acutus",D172="S. californicus",D172="S. tabernaemontani"),G172=0),E172*[1]Sheet1!$D$7+[1]Sheet1!$L$7,IF(AND(OR(D172="S. acutus",D172="S. tabernaemontani"),G172&gt;0),E172*[1]Sheet1!$D$8+N172*[1]Sheet1!$E$8,IF(AND(D172="S. californicus",G172&gt;0),E172*[1]Sheet1!$D$9+N172*[1]Sheet1!$E$9,IF(D172="S.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latifolia"),E172&gt;0),F172*[1]Sheet1!$C$4+E172*[1]Sheet1!$D$4+H172*[1]Sheet1!$J$4+I172*[1]Sheet1!$K$4+[1]Sheet1!$L$4,IF(AND(OR(D172="T. domingensis",D172="T. latifolia"),J172&gt;0),J172*[1]Sheet1!$G$5+K172*[1]Sheet1!$H$5+L172*[1]Sheet1!$I$5+[1]Sheet1!$L$5,0)))))))</f>
        <v>1.6706902819999994</v>
      </c>
    </row>
    <row r="173" spans="1:15">
      <c r="A173" s="2">
        <v>40731</v>
      </c>
      <c r="B173" s="3" t="s">
        <v>30</v>
      </c>
      <c r="C173">
        <v>17</v>
      </c>
      <c r="D173" s="6" t="s">
        <v>29</v>
      </c>
      <c r="E173">
        <v>168</v>
      </c>
      <c r="F173">
        <v>0.55000000000000004</v>
      </c>
      <c r="G173">
        <v>1</v>
      </c>
      <c r="O173">
        <f>IF(AND(OR(D173="S. acutus",D173="S. californicus",D173="S. tabernaemontani"),G173=0),E173*[1]Sheet1!$D$7+[1]Sheet1!$L$7,IF(AND(OR(D173="S. acutus",D173="S. tabernaemontani"),G173&gt;0),E173*[1]Sheet1!$D$8+N173*[1]Sheet1!$E$8,IF(AND(D173="S. californicus",G173&gt;0),E173*[1]Sheet1!$D$9+N173*[1]Sheet1!$E$9,IF(D173="S.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latifolia"),E173&gt;0),F173*[1]Sheet1!$C$4+E173*[1]Sheet1!$D$4+H173*[1]Sheet1!$J$4+I173*[1]Sheet1!$K$4+[1]Sheet1!$L$4,IF(AND(OR(D173="T. domingensis",D173="T. latifolia"),J173&gt;0),J173*[1]Sheet1!$G$5+K173*[1]Sheet1!$H$5+L173*[1]Sheet1!$I$5+[1]Sheet1!$L$5,0)))))))</f>
        <v>2.2902974949999995</v>
      </c>
    </row>
    <row r="174" spans="1:15">
      <c r="A174" s="2">
        <v>40731</v>
      </c>
      <c r="B174" s="3" t="s">
        <v>30</v>
      </c>
      <c r="C174">
        <v>17</v>
      </c>
      <c r="D174" s="6" t="s">
        <v>29</v>
      </c>
      <c r="E174">
        <v>174</v>
      </c>
      <c r="F174">
        <v>0.66</v>
      </c>
      <c r="G174">
        <v>0</v>
      </c>
      <c r="O174">
        <f>IF(AND(OR(D174="S. acutus",D174="S. californicus",D174="S. tabernaemontani"),G174=0),E174*[1]Sheet1!$D$7+[1]Sheet1!$L$7,IF(AND(OR(D174="S. acutus",D174="S. tabernaemontani"),G174&gt;0),E174*[1]Sheet1!$D$8+N174*[1]Sheet1!$E$8,IF(AND(D174="S. californicus",G174&gt;0),E174*[1]Sheet1!$D$9+N174*[1]Sheet1!$E$9,IF(D174="S.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latifolia"),E174&gt;0),F174*[1]Sheet1!$C$4+E174*[1]Sheet1!$D$4+H174*[1]Sheet1!$J$4+I174*[1]Sheet1!$K$4+[1]Sheet1!$L$4,IF(AND(OR(D174="T. domingensis",D174="T. latifolia"),J174&gt;0),J174*[1]Sheet1!$G$5+K174*[1]Sheet1!$H$5+L174*[1]Sheet1!$I$5+[1]Sheet1!$L$5,0)))))))</f>
        <v>2.7751576739999995</v>
      </c>
    </row>
    <row r="175" spans="1:15">
      <c r="A175" s="2">
        <v>40731</v>
      </c>
      <c r="B175" s="3" t="s">
        <v>30</v>
      </c>
      <c r="C175">
        <v>17</v>
      </c>
      <c r="D175" s="6" t="s">
        <v>29</v>
      </c>
      <c r="E175">
        <v>179</v>
      </c>
      <c r="F175">
        <v>0.63</v>
      </c>
      <c r="G175">
        <v>0</v>
      </c>
      <c r="O175">
        <f>IF(AND(OR(D175="S. acutus",D175="S. californicus",D175="S. tabernaemontani"),G175=0),E175*[1]Sheet1!$D$7+[1]Sheet1!$L$7,IF(AND(OR(D175="S. acutus",D175="S. tabernaemontani"),G175&gt;0),E175*[1]Sheet1!$D$8+N175*[1]Sheet1!$E$8,IF(AND(D175="S. californicus",G175&gt;0),E175*[1]Sheet1!$D$9+N175*[1]Sheet1!$E$9,IF(D175="S.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latifolia"),E175&gt;0),F175*[1]Sheet1!$C$4+E175*[1]Sheet1!$D$4+H175*[1]Sheet1!$J$4+I175*[1]Sheet1!$K$4+[1]Sheet1!$L$4,IF(AND(OR(D175="T. domingensis",D175="T. latifolia"),J175&gt;0),J175*[1]Sheet1!$G$5+K175*[1]Sheet1!$H$5+L175*[1]Sheet1!$I$5+[1]Sheet1!$L$5,0)))))))</f>
        <v>2.7469859069999996</v>
      </c>
    </row>
    <row r="176" spans="1:15">
      <c r="A176" s="2">
        <v>40731</v>
      </c>
      <c r="B176" s="3" t="s">
        <v>30</v>
      </c>
      <c r="C176">
        <v>17</v>
      </c>
      <c r="D176" s="6" t="s">
        <v>29</v>
      </c>
      <c r="E176">
        <v>180</v>
      </c>
      <c r="F176">
        <v>0.72</v>
      </c>
      <c r="G176">
        <v>0</v>
      </c>
      <c r="O176">
        <f>IF(AND(OR(D176="S. acutus",D176="S. californicus",D176="S. tabernaemontani"),G176=0),E176*[1]Sheet1!$D$7+[1]Sheet1!$L$7,IF(AND(OR(D176="S. acutus",D176="S. tabernaemontani"),G176&gt;0),E176*[1]Sheet1!$D$8+N176*[1]Sheet1!$E$8,IF(AND(D176="S. californicus",G176&gt;0),E176*[1]Sheet1!$D$9+N176*[1]Sheet1!$E$9,IF(D176="S.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latifolia"),E176&gt;0),F176*[1]Sheet1!$C$4+E176*[1]Sheet1!$D$4+H176*[1]Sheet1!$J$4+I176*[1]Sheet1!$K$4+[1]Sheet1!$L$4,IF(AND(OR(D176="T. domingensis",D176="T. latifolia"),J176&gt;0),J176*[1]Sheet1!$G$5+K176*[1]Sheet1!$H$5+L176*[1]Sheet1!$I$5+[1]Sheet1!$L$5,0)))))))</f>
        <v>3.0823924079999991</v>
      </c>
    </row>
    <row r="177" spans="1:15">
      <c r="A177" s="2">
        <v>40731</v>
      </c>
      <c r="B177" s="3" t="s">
        <v>30</v>
      </c>
      <c r="C177">
        <v>17</v>
      </c>
      <c r="D177" s="6" t="s">
        <v>29</v>
      </c>
      <c r="E177">
        <v>181</v>
      </c>
      <c r="F177">
        <v>0.48</v>
      </c>
      <c r="G177">
        <v>0</v>
      </c>
      <c r="O177">
        <f>IF(AND(OR(D177="S. acutus",D177="S. californicus",D177="S. tabernaemontani"),G177=0),E177*[1]Sheet1!$D$7+[1]Sheet1!$L$7,IF(AND(OR(D177="S. acutus",D177="S. tabernaemontani"),G177&gt;0),E177*[1]Sheet1!$D$8+N177*[1]Sheet1!$E$8,IF(AND(D177="S. californicus",G177&gt;0),E177*[1]Sheet1!$D$9+N177*[1]Sheet1!$E$9,IF(D177="S.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latifolia"),E177&gt;0),F177*[1]Sheet1!$C$4+E177*[1]Sheet1!$D$4+H177*[1]Sheet1!$J$4+I177*[1]Sheet1!$K$4+[1]Sheet1!$L$4,IF(AND(OR(D177="T. domingensis",D177="T. latifolia"),J177&gt;0),J177*[1]Sheet1!$G$5+K177*[1]Sheet1!$H$5+L177*[1]Sheet1!$I$5+[1]Sheet1!$L$5,0)))))))</f>
        <v>2.2454709719999992</v>
      </c>
    </row>
    <row r="178" spans="1:15">
      <c r="A178" s="2">
        <v>40731</v>
      </c>
      <c r="B178" s="3" t="s">
        <v>30</v>
      </c>
      <c r="C178">
        <v>17</v>
      </c>
      <c r="D178" s="6" t="s">
        <v>29</v>
      </c>
      <c r="E178">
        <v>241</v>
      </c>
      <c r="F178">
        <v>0.68</v>
      </c>
      <c r="G178">
        <v>0</v>
      </c>
      <c r="O178">
        <f>IF(AND(OR(D178="S. acutus",D178="S. californicus",D178="S. tabernaemontani"),G178=0),E178*[1]Sheet1!$D$7+[1]Sheet1!$L$7,IF(AND(OR(D178="S. acutus",D178="S. tabernaemontani"),G178&gt;0),E178*[1]Sheet1!$D$8+N178*[1]Sheet1!$E$8,IF(AND(D178="S. californicus",G178&gt;0),E178*[1]Sheet1!$D$9+N178*[1]Sheet1!$E$9,IF(D178="S.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latifolia"),E178&gt;0),F178*[1]Sheet1!$C$4+E178*[1]Sheet1!$D$4+H178*[1]Sheet1!$J$4+I178*[1]Sheet1!$K$4+[1]Sheet1!$L$4,IF(AND(OR(D178="T. domingensis",D178="T. latifolia"),J178&gt;0),J178*[1]Sheet1!$G$5+K178*[1]Sheet1!$H$5+L178*[1]Sheet1!$I$5+[1]Sheet1!$L$5,0)))))))</f>
        <v>3.8968147519999996</v>
      </c>
    </row>
    <row r="179" spans="1:15">
      <c r="A179" s="2">
        <v>40731</v>
      </c>
      <c r="B179" s="3" t="s">
        <v>30</v>
      </c>
      <c r="C179">
        <v>17</v>
      </c>
      <c r="D179" s="6" t="s">
        <v>29</v>
      </c>
      <c r="E179">
        <v>288</v>
      </c>
      <c r="F179">
        <v>0.78</v>
      </c>
      <c r="G179">
        <v>0</v>
      </c>
      <c r="O179">
        <f>IF(AND(OR(D179="S. acutus",D179="S. californicus",D179="S. tabernaemontani"),G179=0),E179*[1]Sheet1!$D$7+[1]Sheet1!$L$7,IF(AND(OR(D179="S. acutus",D179="S. tabernaemontani"),G179&gt;0),E179*[1]Sheet1!$D$8+N179*[1]Sheet1!$E$8,IF(AND(D179="S. californicus",G179&gt;0),E179*[1]Sheet1!$D$9+N179*[1]Sheet1!$E$9,IF(D179="S.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latifolia"),E179&gt;0),F179*[1]Sheet1!$C$4+E179*[1]Sheet1!$D$4+H179*[1]Sheet1!$J$4+I179*[1]Sheet1!$K$4+[1]Sheet1!$L$4,IF(AND(OR(D179="T. domingensis",D179="T. latifolia"),J179&gt;0),J179*[1]Sheet1!$G$5+K179*[1]Sheet1!$H$5+L179*[1]Sheet1!$I$5+[1]Sheet1!$L$5,0)))))))</f>
        <v>4.9890585419999987</v>
      </c>
    </row>
    <row r="180" spans="1:15">
      <c r="A180" s="2">
        <v>40731</v>
      </c>
      <c r="B180" s="3" t="s">
        <v>30</v>
      </c>
      <c r="C180">
        <v>17</v>
      </c>
      <c r="D180" s="6" t="s">
        <v>23</v>
      </c>
      <c r="E180" s="15">
        <v>101</v>
      </c>
      <c r="F180">
        <v>0.22</v>
      </c>
      <c r="G180">
        <v>0</v>
      </c>
      <c r="O180">
        <f>IF(AND(OR(D180="S. acutus",D180="S. californicus",D180="S. tabernaemontani"),G180=0),E180*[1]Sheet1!$D$7+[1]Sheet1!$L$7,IF(AND(OR(D180="S. acutus",D180="S. tabernaemontani"),G180&gt;0),E180*[1]Sheet1!$D$8+N180*[1]Sheet1!$E$8,IF(AND(D180="S. californicus",G180&gt;0),E180*[1]Sheet1!$D$9+N180*[1]Sheet1!$E$9,IF(D180="S.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latifolia"),E180&gt;0),F180*[1]Sheet1!$C$4+E180*[1]Sheet1!$D$4+H180*[1]Sheet1!$J$4+I180*[1]Sheet1!$K$4+[1]Sheet1!$L$4,IF(AND(OR(D180="T. domingensis",D180="T. latifolia"),J180&gt;0),J180*[1]Sheet1!$G$5+K180*[1]Sheet1!$H$5+L180*[1]Sheet1!$I$5+[1]Sheet1!$L$5,0)))))))</f>
        <v>1.4697219260000003</v>
      </c>
    </row>
    <row r="181" spans="1:15">
      <c r="A181" s="2">
        <v>40731</v>
      </c>
      <c r="B181" s="3" t="s">
        <v>30</v>
      </c>
      <c r="C181">
        <v>17</v>
      </c>
      <c r="D181" s="6" t="s">
        <v>19</v>
      </c>
      <c r="E181">
        <v>216</v>
      </c>
      <c r="F181">
        <v>1.99</v>
      </c>
      <c r="H181">
        <v>14</v>
      </c>
      <c r="I181">
        <v>0.9</v>
      </c>
      <c r="O181">
        <f>IF(AND(OR(D181="S. acutus",D181="S. californicus",D181="S. tabernaemontani"),G181=0),E181*[1]Sheet1!$D$7+[1]Sheet1!$L$7,IF(AND(OR(D181="S. acutus",D181="S. tabernaemontani"),G181&gt;0),E181*[1]Sheet1!$D$8+N181*[1]Sheet1!$E$8,IF(AND(D181="S. californicus",G181&gt;0),E181*[1]Sheet1!$D$9+N181*[1]Sheet1!$E$9,IF(D181="S.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latifolia"),E181&gt;0),F181*[1]Sheet1!$C$4+E181*[1]Sheet1!$D$4+H181*[1]Sheet1!$J$4+I181*[1]Sheet1!$K$4+[1]Sheet1!$L$4,IF(AND(OR(D181="T. domingensis",D181="T. latifolia"),J181&gt;0),J181*[1]Sheet1!$G$5+K181*[1]Sheet1!$H$5+L181*[1]Sheet1!$I$5+[1]Sheet1!$L$5,0)))))))</f>
        <v>34.535059030000014</v>
      </c>
    </row>
    <row r="182" spans="1:15">
      <c r="A182" s="2">
        <v>40731</v>
      </c>
      <c r="B182" s="3" t="s">
        <v>30</v>
      </c>
      <c r="C182">
        <v>17</v>
      </c>
      <c r="D182" s="6" t="s">
        <v>19</v>
      </c>
      <c r="E182">
        <v>306</v>
      </c>
      <c r="F182">
        <v>2.2200000000000002</v>
      </c>
      <c r="H182">
        <v>24</v>
      </c>
      <c r="I182">
        <v>1.4</v>
      </c>
      <c r="O182">
        <f>IF(AND(OR(D182="S. acutus",D182="S. californicus",D182="S. tabernaemontani"),G182=0),E182*[1]Sheet1!$D$7+[1]Sheet1!$L$7,IF(AND(OR(D182="S. acutus",D182="S. tabernaemontani"),G182&gt;0),E182*[1]Sheet1!$D$8+N182*[1]Sheet1!$E$8,IF(AND(D182="S. californicus",G182&gt;0),E182*[1]Sheet1!$D$9+N182*[1]Sheet1!$E$9,IF(D182="S.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latifolia"),E182&gt;0),F182*[1]Sheet1!$C$4+E182*[1]Sheet1!$D$4+H182*[1]Sheet1!$J$4+I182*[1]Sheet1!$K$4+[1]Sheet1!$L$4,IF(AND(OR(D182="T. domingensis",D182="T. latifolia"),J182&gt;0),J182*[1]Sheet1!$G$5+K182*[1]Sheet1!$H$5+L182*[1]Sheet1!$I$5+[1]Sheet1!$L$5,0)))))))</f>
        <v>84.355156940000001</v>
      </c>
    </row>
    <row r="183" spans="1:15">
      <c r="A183" s="2">
        <v>40731</v>
      </c>
      <c r="B183" s="3" t="s">
        <v>30</v>
      </c>
      <c r="C183">
        <v>17</v>
      </c>
      <c r="D183" s="6" t="s">
        <v>19</v>
      </c>
      <c r="E183">
        <v>314</v>
      </c>
      <c r="F183">
        <v>2.88</v>
      </c>
      <c r="H183">
        <v>37</v>
      </c>
      <c r="I183">
        <v>2.1</v>
      </c>
      <c r="O183">
        <f>IF(AND(OR(D183="S. acutus",D183="S. californicus",D183="S. tabernaemontani"),G183=0),E183*[1]Sheet1!$D$7+[1]Sheet1!$L$7,IF(AND(OR(D183="S. acutus",D183="S. tabernaemontani"),G183&gt;0),E183*[1]Sheet1!$D$8+N183*[1]Sheet1!$E$8,IF(AND(D183="S. californicus",G183&gt;0),E183*[1]Sheet1!$D$9+N183*[1]Sheet1!$E$9,IF(D183="S.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latifolia"),E183&gt;0),F183*[1]Sheet1!$C$4+E183*[1]Sheet1!$D$4+H183*[1]Sheet1!$J$4+I183*[1]Sheet1!$K$4+[1]Sheet1!$L$4,IF(AND(OR(D183="T. domingensis",D183="T. latifolia"),J183&gt;0),J183*[1]Sheet1!$G$5+K183*[1]Sheet1!$H$5+L183*[1]Sheet1!$I$5+[1]Sheet1!$L$5,0)))))))</f>
        <v>123.82563596</v>
      </c>
    </row>
    <row r="184" spans="1:15">
      <c r="A184" s="2">
        <v>40731</v>
      </c>
      <c r="B184" s="3" t="s">
        <v>30</v>
      </c>
      <c r="C184">
        <v>17</v>
      </c>
      <c r="D184" s="6" t="s">
        <v>19</v>
      </c>
      <c r="E184">
        <v>354</v>
      </c>
      <c r="F184">
        <v>3.04</v>
      </c>
      <c r="H184">
        <v>22</v>
      </c>
      <c r="I184">
        <v>1.5</v>
      </c>
      <c r="O184">
        <f>IF(AND(OR(D184="S. acutus",D184="S. californicus",D184="S. tabernaemontani"),G184=0),E184*[1]Sheet1!$D$7+[1]Sheet1!$L$7,IF(AND(OR(D184="S. acutus",D184="S. tabernaemontani"),G184&gt;0),E184*[1]Sheet1!$D$8+N184*[1]Sheet1!$E$8,IF(AND(D184="S. californicus",G184&gt;0),E184*[1]Sheet1!$D$9+N184*[1]Sheet1!$E$9,IF(D184="S.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latifolia"),E184&gt;0),F184*[1]Sheet1!$C$4+E184*[1]Sheet1!$D$4+H184*[1]Sheet1!$J$4+I184*[1]Sheet1!$K$4+[1]Sheet1!$L$4,IF(AND(OR(D184="T. domingensis",D184="T. latifolia"),J184&gt;0),J184*[1]Sheet1!$G$5+K184*[1]Sheet1!$H$5+L184*[1]Sheet1!$I$5+[1]Sheet1!$L$5,0)))))))</f>
        <v>114.62438888000003</v>
      </c>
    </row>
    <row r="185" spans="1:15">
      <c r="A185" s="2">
        <v>40731</v>
      </c>
      <c r="B185" s="3" t="s">
        <v>30</v>
      </c>
      <c r="C185">
        <v>17</v>
      </c>
      <c r="D185" s="6" t="s">
        <v>19</v>
      </c>
      <c r="E185">
        <v>394</v>
      </c>
      <c r="F185">
        <v>3.25</v>
      </c>
      <c r="H185">
        <v>29</v>
      </c>
      <c r="I185">
        <v>1.5</v>
      </c>
      <c r="O185">
        <f>IF(AND(OR(D185="S. acutus",D185="S. californicus",D185="S. tabernaemontani"),G185=0),E185*[1]Sheet1!$D$7+[1]Sheet1!$L$7,IF(AND(OR(D185="S. acutus",D185="S. tabernaemontani"),G185&gt;0),E185*[1]Sheet1!$D$8+N185*[1]Sheet1!$E$8,IF(AND(D185="S. californicus",G185&gt;0),E185*[1]Sheet1!$D$9+N185*[1]Sheet1!$E$9,IF(D185="S.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latifolia"),E185&gt;0),F185*[1]Sheet1!$C$4+E185*[1]Sheet1!$D$4+H185*[1]Sheet1!$J$4+I185*[1]Sheet1!$K$4+[1]Sheet1!$L$4,IF(AND(OR(D185="T. domingensis",D185="T. latifolia"),J185&gt;0),J185*[1]Sheet1!$G$5+K185*[1]Sheet1!$H$5+L185*[1]Sheet1!$I$5+[1]Sheet1!$L$5,0)))))))</f>
        <v>137.33654584999999</v>
      </c>
    </row>
    <row r="186" spans="1:15">
      <c r="A186" s="2">
        <v>40731</v>
      </c>
      <c r="B186" s="3" t="s">
        <v>30</v>
      </c>
      <c r="C186">
        <v>17</v>
      </c>
      <c r="D186" s="6" t="s">
        <v>19</v>
      </c>
      <c r="E186">
        <v>394</v>
      </c>
      <c r="F186">
        <v>3.79</v>
      </c>
      <c r="H186">
        <v>32</v>
      </c>
      <c r="I186">
        <v>2.5</v>
      </c>
      <c r="O186">
        <f>IF(AND(OR(D186="S. acutus",D186="S. californicus",D186="S. tabernaemontani"),G186=0),E186*[1]Sheet1!$D$7+[1]Sheet1!$L$7,IF(AND(OR(D186="S. acutus",D186="S. tabernaemontani"),G186&gt;0),E186*[1]Sheet1!$D$8+N186*[1]Sheet1!$E$8,IF(AND(D186="S. californicus",G186&gt;0),E186*[1]Sheet1!$D$9+N186*[1]Sheet1!$E$9,IF(D186="S.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latifolia"),E186&gt;0),F186*[1]Sheet1!$C$4+E186*[1]Sheet1!$D$4+H186*[1]Sheet1!$J$4+I186*[1]Sheet1!$K$4+[1]Sheet1!$L$4,IF(AND(OR(D186="T. domingensis",D186="T. latifolia"),J186&gt;0),J186*[1]Sheet1!$G$5+K186*[1]Sheet1!$H$5+L186*[1]Sheet1!$I$5+[1]Sheet1!$L$5,0)))))))</f>
        <v>168.00484963000002</v>
      </c>
    </row>
    <row r="187" spans="1:15">
      <c r="A187" s="2">
        <v>40731</v>
      </c>
      <c r="B187" s="3" t="s">
        <v>30</v>
      </c>
      <c r="C187">
        <v>17</v>
      </c>
      <c r="D187" s="6" t="s">
        <v>19</v>
      </c>
      <c r="F187">
        <v>1.95</v>
      </c>
      <c r="J187">
        <f>SUM(230,274,300,301)</f>
        <v>1105</v>
      </c>
      <c r="K187">
        <v>4</v>
      </c>
      <c r="L187">
        <v>301</v>
      </c>
      <c r="O187">
        <f>IF(AND(OR(D187="S. acutus",D187="S. californicus",D187="S. tabernaemontani"),G187=0),E187*[1]Sheet1!$D$7+[1]Sheet1!$L$7,IF(AND(OR(D187="S. acutus",D187="S. tabernaemontani"),G187&gt;0),E187*[1]Sheet1!$D$8+N187*[1]Sheet1!$E$8,IF(AND(D187="S. californicus",G187&gt;0),E187*[1]Sheet1!$D$9+N187*[1]Sheet1!$E$9,IF(D187="S.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latifolia"),E187&gt;0),F187*[1]Sheet1!$C$4+E187*[1]Sheet1!$D$4+H187*[1]Sheet1!$J$4+I187*[1]Sheet1!$K$4+[1]Sheet1!$L$4,IF(AND(OR(D187="T. domingensis",D187="T. latifolia"),J187&gt;0),J187*[1]Sheet1!$G$5+K187*[1]Sheet1!$H$5+L187*[1]Sheet1!$I$5+[1]Sheet1!$L$5,0)))))))</f>
        <v>17.872102000000005</v>
      </c>
    </row>
    <row r="188" spans="1:15">
      <c r="A188" s="2">
        <v>40731</v>
      </c>
      <c r="B188" s="3" t="s">
        <v>30</v>
      </c>
      <c r="C188">
        <v>17</v>
      </c>
      <c r="D188" s="6" t="s">
        <v>19</v>
      </c>
      <c r="F188">
        <v>1.6</v>
      </c>
      <c r="J188">
        <f>SUM(274,321,357,347)</f>
        <v>1299</v>
      </c>
      <c r="K188">
        <v>4</v>
      </c>
      <c r="L188">
        <v>357</v>
      </c>
      <c r="O188">
        <f>IF(AND(OR(D188="S. acutus",D188="S. californicus",D188="S. tabernaemontani"),G188=0),E188*[1]Sheet1!$D$7+[1]Sheet1!$L$7,IF(AND(OR(D188="S. acutus",D188="S. tabernaemontani"),G188&gt;0),E188*[1]Sheet1!$D$8+N188*[1]Sheet1!$E$8,IF(AND(D188="S. californicus",G188&gt;0),E188*[1]Sheet1!$D$9+N188*[1]Sheet1!$E$9,IF(D188="S.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latifolia"),E188&gt;0),F188*[1]Sheet1!$C$4+E188*[1]Sheet1!$D$4+H188*[1]Sheet1!$J$4+I188*[1]Sheet1!$K$4+[1]Sheet1!$L$4,IF(AND(OR(D188="T. domingensis",D188="T. latifolia"),J188&gt;0),J188*[1]Sheet1!$G$5+K188*[1]Sheet1!$H$5+L188*[1]Sheet1!$I$5+[1]Sheet1!$L$5,0)))))))</f>
        <v>19.190852000000014</v>
      </c>
    </row>
    <row r="189" spans="1:15">
      <c r="A189" s="2">
        <v>40731</v>
      </c>
      <c r="B189" s="3" t="s">
        <v>30</v>
      </c>
      <c r="C189">
        <v>17</v>
      </c>
      <c r="D189" s="6" t="s">
        <v>19</v>
      </c>
      <c r="F189">
        <v>2.5</v>
      </c>
      <c r="J189">
        <f>SUM(185,248,288,324,344,357)</f>
        <v>1746</v>
      </c>
      <c r="K189">
        <v>6</v>
      </c>
      <c r="L189">
        <v>357</v>
      </c>
      <c r="O189">
        <f>IF(AND(OR(D189="S. acutus",D189="S. californicus",D189="S. tabernaemontani"),G189=0),E189*[1]Sheet1!$D$7+[1]Sheet1!$L$7,IF(AND(OR(D189="S. acutus",D189="S. tabernaemontani"),G189&gt;0),E189*[1]Sheet1!$D$8+N189*[1]Sheet1!$E$8,IF(AND(D189="S. californicus",G189&gt;0),E189*[1]Sheet1!$D$9+N189*[1]Sheet1!$E$9,IF(D189="S.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latifolia"),E189&gt;0),F189*[1]Sheet1!$C$4+E189*[1]Sheet1!$D$4+H189*[1]Sheet1!$J$4+I189*[1]Sheet1!$K$4+[1]Sheet1!$L$4,IF(AND(OR(D189="T. domingensis",D189="T. latifolia"),J189&gt;0),J189*[1]Sheet1!$G$5+K189*[1]Sheet1!$H$5+L189*[1]Sheet1!$I$5+[1]Sheet1!$L$5,0)))))))</f>
        <v>47.054631000000022</v>
      </c>
    </row>
    <row r="190" spans="1:15">
      <c r="A190" s="2">
        <v>40731</v>
      </c>
      <c r="B190" s="3" t="s">
        <v>30</v>
      </c>
      <c r="C190">
        <v>18</v>
      </c>
      <c r="D190" s="6" t="s">
        <v>29</v>
      </c>
      <c r="E190">
        <v>31</v>
      </c>
      <c r="F190">
        <v>0.7</v>
      </c>
      <c r="G190">
        <v>0</v>
      </c>
      <c r="M190" t="s">
        <v>31</v>
      </c>
      <c r="O190">
        <f>IF(AND(OR(D190="S. acutus",D190="S. californicus",D190="S. tabernaemontani"),G190=0),E190*[1]Sheet1!$D$7+[1]Sheet1!$L$7,IF(AND(OR(D190="S. acutus",D190="S. tabernaemontani"),G190&gt;0),E190*[1]Sheet1!$D$8+N190*[1]Sheet1!$E$8,IF(AND(D190="S. californicus",G190&gt;0),E190*[1]Sheet1!$D$9+N190*[1]Sheet1!$E$9,IF(D190="S.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latifolia"),E190&gt;0),F190*[1]Sheet1!$C$4+E190*[1]Sheet1!$D$4+H190*[1]Sheet1!$J$4+I190*[1]Sheet1!$K$4+[1]Sheet1!$L$4,IF(AND(OR(D190="T. domingensis",D190="T. latifolia"),J190&gt;0),J190*[1]Sheet1!$G$5+K190*[1]Sheet1!$H$5+L190*[1]Sheet1!$I$5+[1]Sheet1!$L$5,0)))))))</f>
        <v>0.67491792999999944</v>
      </c>
    </row>
    <row r="191" spans="1:15">
      <c r="A191" s="2">
        <v>40731</v>
      </c>
      <c r="B191" s="3" t="s">
        <v>30</v>
      </c>
      <c r="C191">
        <v>18</v>
      </c>
      <c r="D191" s="6" t="s">
        <v>29</v>
      </c>
      <c r="E191">
        <v>48</v>
      </c>
      <c r="F191">
        <v>0.95</v>
      </c>
      <c r="G191">
        <v>0</v>
      </c>
      <c r="M191" t="s">
        <v>31</v>
      </c>
      <c r="O191">
        <f>IF(AND(OR(D191="S. acutus",D191="S. californicus",D191="S. tabernaemontani"),G191=0),E191*[1]Sheet1!$D$7+[1]Sheet1!$L$7,IF(AND(OR(D191="S. acutus",D191="S. tabernaemontani"),G191&gt;0),E191*[1]Sheet1!$D$8+N191*[1]Sheet1!$E$8,IF(AND(D191="S. californicus",G191&gt;0),E191*[1]Sheet1!$D$9+N191*[1]Sheet1!$E$9,IF(D191="S.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latifolia"),E191&gt;0),F191*[1]Sheet1!$C$4+E191*[1]Sheet1!$D$4+H191*[1]Sheet1!$J$4+I191*[1]Sheet1!$K$4+[1]Sheet1!$L$4,IF(AND(OR(D191="T. domingensis",D191="T. latifolia"),J191&gt;0),J191*[1]Sheet1!$G$5+K191*[1]Sheet1!$H$5+L191*[1]Sheet1!$I$5+[1]Sheet1!$L$5,0)))))))</f>
        <v>1.8296170549999995</v>
      </c>
    </row>
    <row r="192" spans="1:15">
      <c r="A192" s="2">
        <v>40731</v>
      </c>
      <c r="B192" s="3" t="s">
        <v>30</v>
      </c>
      <c r="C192">
        <v>18</v>
      </c>
      <c r="D192" s="6" t="s">
        <v>29</v>
      </c>
      <c r="E192">
        <v>51</v>
      </c>
      <c r="F192">
        <v>0.69</v>
      </c>
      <c r="G192">
        <v>0</v>
      </c>
      <c r="M192" t="s">
        <v>31</v>
      </c>
      <c r="O192">
        <f>IF(AND(OR(D192="S. acutus",D192="S. californicus",D192="S. tabernaemontani"),G192=0),E192*[1]Sheet1!$D$7+[1]Sheet1!$L$7,IF(AND(OR(D192="S. acutus",D192="S. tabernaemontani"),G192&gt;0),E192*[1]Sheet1!$D$8+N192*[1]Sheet1!$E$8,IF(AND(D192="S. californicus",G192&gt;0),E192*[1]Sheet1!$D$9+N192*[1]Sheet1!$E$9,IF(D192="S.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latifolia"),E192&gt;0),F192*[1]Sheet1!$C$4+E192*[1]Sheet1!$D$4+H192*[1]Sheet1!$J$4+I192*[1]Sheet1!$K$4+[1]Sheet1!$L$4,IF(AND(OR(D192="T. domingensis",D192="T. latifolia"),J192&gt;0),J192*[1]Sheet1!$G$5+K192*[1]Sheet1!$H$5+L192*[1]Sheet1!$I$5+[1]Sheet1!$L$5,0)))))))</f>
        <v>0.95300684099999922</v>
      </c>
    </row>
    <row r="193" spans="1:15">
      <c r="A193" s="2">
        <v>40731</v>
      </c>
      <c r="B193" s="3" t="s">
        <v>30</v>
      </c>
      <c r="C193">
        <v>18</v>
      </c>
      <c r="D193" s="6" t="s">
        <v>29</v>
      </c>
      <c r="E193">
        <v>60</v>
      </c>
      <c r="F193">
        <v>0.87</v>
      </c>
      <c r="G193">
        <v>0</v>
      </c>
      <c r="M193" t="s">
        <v>31</v>
      </c>
      <c r="O193">
        <f>IF(AND(OR(D193="S. acutus",D193="S. californicus",D193="S. tabernaemontani"),G193=0),E193*[1]Sheet1!$D$7+[1]Sheet1!$L$7,IF(AND(OR(D193="S. acutus",D193="S. tabernaemontani"),G193&gt;0),E193*[1]Sheet1!$D$8+N193*[1]Sheet1!$E$8,IF(AND(D193="S. californicus",G193&gt;0),E193*[1]Sheet1!$D$9+N193*[1]Sheet1!$E$9,IF(D193="S.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latifolia"),E193&gt;0),F193*[1]Sheet1!$C$4+E193*[1]Sheet1!$D$4+H193*[1]Sheet1!$J$4+I193*[1]Sheet1!$K$4+[1]Sheet1!$L$4,IF(AND(OR(D193="T. domingensis",D193="T. latifolia"),J193&gt;0),J193*[1]Sheet1!$G$5+K193*[1]Sheet1!$H$5+L193*[1]Sheet1!$I$5+[1]Sheet1!$L$5,0)))))))</f>
        <v>1.7335847430000002</v>
      </c>
    </row>
    <row r="194" spans="1:15">
      <c r="A194" s="2">
        <v>40731</v>
      </c>
      <c r="B194" s="3" t="s">
        <v>30</v>
      </c>
      <c r="C194">
        <v>18</v>
      </c>
      <c r="D194" s="6" t="s">
        <v>29</v>
      </c>
      <c r="E194">
        <v>107</v>
      </c>
      <c r="F194">
        <v>0.54</v>
      </c>
      <c r="G194">
        <v>0</v>
      </c>
      <c r="M194" t="s">
        <v>31</v>
      </c>
      <c r="O194">
        <f>IF(AND(OR(D194="S. acutus",D194="S. californicus",D194="S. tabernaemontani"),G194=0),E194*[1]Sheet1!$D$7+[1]Sheet1!$L$7,IF(AND(OR(D194="S. acutus",D194="S. tabernaemontani"),G194&gt;0),E194*[1]Sheet1!$D$8+N194*[1]Sheet1!$E$8,IF(AND(D194="S. californicus",G194&gt;0),E194*[1]Sheet1!$D$9+N194*[1]Sheet1!$E$9,IF(D194="S.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latifolia"),E194&gt;0),F194*[1]Sheet1!$C$4+E194*[1]Sheet1!$D$4+H194*[1]Sheet1!$J$4+I194*[1]Sheet1!$K$4+[1]Sheet1!$L$4,IF(AND(OR(D194="T. domingensis",D194="T. latifolia"),J194&gt;0),J194*[1]Sheet1!$G$5+K194*[1]Sheet1!$H$5+L194*[1]Sheet1!$I$5+[1]Sheet1!$L$5,0)))))))</f>
        <v>1.2982497059999996</v>
      </c>
    </row>
    <row r="195" spans="1:15">
      <c r="A195" s="2">
        <v>40731</v>
      </c>
      <c r="B195" s="3" t="s">
        <v>30</v>
      </c>
      <c r="C195">
        <v>18</v>
      </c>
      <c r="D195" s="6" t="s">
        <v>29</v>
      </c>
      <c r="E195">
        <v>138</v>
      </c>
      <c r="F195">
        <v>0.24</v>
      </c>
      <c r="G195">
        <v>1</v>
      </c>
      <c r="M195" t="s">
        <v>31</v>
      </c>
      <c r="O195">
        <f>IF(AND(OR(D195="S. acutus",D195="S. californicus",D195="S. tabernaemontani"),G195=0),E195*[1]Sheet1!$D$7+[1]Sheet1!$L$7,IF(AND(OR(D195="S. acutus",D195="S. tabernaemontani"),G195&gt;0),E195*[1]Sheet1!$D$8+N195*[1]Sheet1!$E$8,IF(AND(D195="S. californicus",G195&gt;0),E195*[1]Sheet1!$D$9+N195*[1]Sheet1!$E$9,IF(D195="S.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latifolia"),E195&gt;0),F195*[1]Sheet1!$C$4+E195*[1]Sheet1!$D$4+H195*[1]Sheet1!$J$4+I195*[1]Sheet1!$K$4+[1]Sheet1!$L$4,IF(AND(OR(D195="T. domingensis",D195="T. latifolia"),J195&gt;0),J195*[1]Sheet1!$G$5+K195*[1]Sheet1!$H$5+L195*[1]Sheet1!$I$5+[1]Sheet1!$L$5,0)))))))</f>
        <v>0.71859873599999968</v>
      </c>
    </row>
    <row r="196" spans="1:15">
      <c r="A196" s="2">
        <v>40731</v>
      </c>
      <c r="B196" s="3" t="s">
        <v>30</v>
      </c>
      <c r="C196">
        <v>18</v>
      </c>
      <c r="D196" s="6" t="s">
        <v>29</v>
      </c>
      <c r="E196">
        <v>139</v>
      </c>
      <c r="F196">
        <v>0.49</v>
      </c>
      <c r="G196">
        <v>0</v>
      </c>
      <c r="M196" t="s">
        <v>31</v>
      </c>
      <c r="O196">
        <f>IF(AND(OR(D196="S. acutus",D196="S. californicus",D196="S. tabernaemontani"),G196=0),E196*[1]Sheet1!$D$7+[1]Sheet1!$L$7,IF(AND(OR(D196="S. acutus",D196="S. tabernaemontani"),G196&gt;0),E196*[1]Sheet1!$D$8+N196*[1]Sheet1!$E$8,IF(AND(D196="S. californicus",G196&gt;0),E196*[1]Sheet1!$D$9+N196*[1]Sheet1!$E$9,IF(D196="S.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latifolia"),E196&gt;0),F196*[1]Sheet1!$C$4+E196*[1]Sheet1!$D$4+H196*[1]Sheet1!$J$4+I196*[1]Sheet1!$K$4+[1]Sheet1!$L$4,IF(AND(OR(D196="T. domingensis",D196="T. latifolia"),J196&gt;0),J196*[1]Sheet1!$G$5+K196*[1]Sheet1!$H$5+L196*[1]Sheet1!$I$5+[1]Sheet1!$L$5,0)))))))</f>
        <v>1.6224066609999999</v>
      </c>
    </row>
    <row r="197" spans="1:15">
      <c r="A197" s="2">
        <v>40731</v>
      </c>
      <c r="B197" s="3" t="s">
        <v>30</v>
      </c>
      <c r="C197">
        <v>18</v>
      </c>
      <c r="D197" s="6" t="s">
        <v>29</v>
      </c>
      <c r="E197">
        <v>144</v>
      </c>
      <c r="F197">
        <v>0.39</v>
      </c>
      <c r="G197">
        <v>1</v>
      </c>
      <c r="M197" t="s">
        <v>31</v>
      </c>
      <c r="O197">
        <f>IF(AND(OR(D197="S. acutus",D197="S. californicus",D197="S. tabernaemontani"),G197=0),E197*[1]Sheet1!$D$7+[1]Sheet1!$L$7,IF(AND(OR(D197="S. acutus",D197="S. tabernaemontani"),G197&gt;0),E197*[1]Sheet1!$D$8+N197*[1]Sheet1!$E$8,IF(AND(D197="S. californicus",G197&gt;0),E197*[1]Sheet1!$D$9+N197*[1]Sheet1!$E$9,IF(D197="S.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latifolia"),E197&gt;0),F197*[1]Sheet1!$C$4+E197*[1]Sheet1!$D$4+H197*[1]Sheet1!$J$4+I197*[1]Sheet1!$K$4+[1]Sheet1!$L$4,IF(AND(OR(D197="T. domingensis",D197="T. latifolia"),J197&gt;0),J197*[1]Sheet1!$G$5+K197*[1]Sheet1!$H$5+L197*[1]Sheet1!$I$5+[1]Sheet1!$L$5,0)))))))</f>
        <v>1.3455592709999995</v>
      </c>
    </row>
    <row r="198" spans="1:15">
      <c r="A198" s="2">
        <v>40731</v>
      </c>
      <c r="B198" s="3" t="s">
        <v>30</v>
      </c>
      <c r="C198">
        <v>18</v>
      </c>
      <c r="D198" s="6" t="s">
        <v>29</v>
      </c>
      <c r="E198">
        <v>145</v>
      </c>
      <c r="F198">
        <v>0.22</v>
      </c>
      <c r="G198">
        <v>0</v>
      </c>
      <c r="M198" t="s">
        <v>31</v>
      </c>
      <c r="O198">
        <f>IF(AND(OR(D198="S. acutus",D198="S. californicus",D198="S. tabernaemontani"),G198=0),E198*[1]Sheet1!$D$7+[1]Sheet1!$L$7,IF(AND(OR(D198="S. acutus",D198="S. tabernaemontani"),G198&gt;0),E198*[1]Sheet1!$D$8+N198*[1]Sheet1!$E$8,IF(AND(D198="S. californicus",G198&gt;0),E198*[1]Sheet1!$D$9+N198*[1]Sheet1!$E$9,IF(D198="S.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latifolia"),E198&gt;0),F198*[1]Sheet1!$C$4+E198*[1]Sheet1!$D$4+H198*[1]Sheet1!$J$4+I198*[1]Sheet1!$K$4+[1]Sheet1!$L$4,IF(AND(OR(D198="T. domingensis",D198="T. latifolia"),J198&gt;0),J198*[1]Sheet1!$G$5+K198*[1]Sheet1!$H$5+L198*[1]Sheet1!$I$5+[1]Sheet1!$L$5,0)))))))</f>
        <v>0.75731345800000005</v>
      </c>
    </row>
    <row r="199" spans="1:15">
      <c r="A199" s="2">
        <v>40731</v>
      </c>
      <c r="B199" s="3" t="s">
        <v>30</v>
      </c>
      <c r="C199">
        <v>18</v>
      </c>
      <c r="D199" s="6" t="s">
        <v>29</v>
      </c>
      <c r="E199">
        <v>151</v>
      </c>
      <c r="F199">
        <v>0.45</v>
      </c>
      <c r="G199">
        <v>1</v>
      </c>
      <c r="M199" t="s">
        <v>31</v>
      </c>
      <c r="O199">
        <f>IF(AND(OR(D199="S. acutus",D199="S. californicus",D199="S. tabernaemontani"),G199=0),E199*[1]Sheet1!$D$7+[1]Sheet1!$L$7,IF(AND(OR(D199="S. acutus",D199="S. tabernaemontani"),G199&gt;0),E199*[1]Sheet1!$D$8+N199*[1]Sheet1!$E$8,IF(AND(D199="S. californicus",G199&gt;0),E199*[1]Sheet1!$D$9+N199*[1]Sheet1!$E$9,IF(D199="S.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latifolia"),E199&gt;0),F199*[1]Sheet1!$C$4+E199*[1]Sheet1!$D$4+H199*[1]Sheet1!$J$4+I199*[1]Sheet1!$K$4+[1]Sheet1!$L$4,IF(AND(OR(D199="T. domingensis",D199="T. latifolia"),J199&gt;0),J199*[1]Sheet1!$G$5+K199*[1]Sheet1!$H$5+L199*[1]Sheet1!$I$5+[1]Sheet1!$L$5,0)))))))</f>
        <v>1.6684747049999999</v>
      </c>
    </row>
    <row r="200" spans="1:15">
      <c r="A200" s="2">
        <v>40731</v>
      </c>
      <c r="B200" s="3" t="s">
        <v>30</v>
      </c>
      <c r="C200">
        <v>18</v>
      </c>
      <c r="D200" s="6" t="s">
        <v>29</v>
      </c>
      <c r="E200">
        <v>154</v>
      </c>
      <c r="F200">
        <v>0.52</v>
      </c>
      <c r="G200">
        <v>0</v>
      </c>
      <c r="M200" t="s">
        <v>31</v>
      </c>
      <c r="O200">
        <f>IF(AND(OR(D200="S. acutus",D200="S. californicus",D200="S. tabernaemontani"),G200=0),E200*[1]Sheet1!$D$7+[1]Sheet1!$L$7,IF(AND(OR(D200="S. acutus",D200="S. tabernaemontani"),G200&gt;0),E200*[1]Sheet1!$D$8+N200*[1]Sheet1!$E$8,IF(AND(D200="S. californicus",G200&gt;0),E200*[1]Sheet1!$D$9+N200*[1]Sheet1!$E$9,IF(D200="S.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latifolia"),E200&gt;0),F200*[1]Sheet1!$C$4+E200*[1]Sheet1!$D$4+H200*[1]Sheet1!$J$4+I200*[1]Sheet1!$K$4+[1]Sheet1!$L$4,IF(AND(OR(D200="T. domingensis",D200="T. latifolia"),J200&gt;0),J200*[1]Sheet1!$G$5+K200*[1]Sheet1!$H$5+L200*[1]Sheet1!$I$5+[1]Sheet1!$L$5,0)))))))</f>
        <v>1.964192428</v>
      </c>
    </row>
    <row r="201" spans="1:15">
      <c r="A201" s="2">
        <v>40731</v>
      </c>
      <c r="B201" s="3" t="s">
        <v>30</v>
      </c>
      <c r="C201">
        <v>18</v>
      </c>
      <c r="D201" s="6" t="s">
        <v>29</v>
      </c>
      <c r="E201">
        <v>160</v>
      </c>
      <c r="F201">
        <v>0.75</v>
      </c>
      <c r="G201">
        <v>0</v>
      </c>
      <c r="M201" t="s">
        <v>31</v>
      </c>
      <c r="O201">
        <f>IF(AND(OR(D201="S. acutus",D201="S. californicus",D201="S. tabernaemontani"),G201=0),E201*[1]Sheet1!$D$7+[1]Sheet1!$L$7,IF(AND(OR(D201="S. acutus",D201="S. tabernaemontani"),G201&gt;0),E201*[1]Sheet1!$D$8+N201*[1]Sheet1!$E$8,IF(AND(D201="S. californicus",G201&gt;0),E201*[1]Sheet1!$D$9+N201*[1]Sheet1!$E$9,IF(D201="S.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latifolia"),E201&gt;0),F201*[1]Sheet1!$C$4+E201*[1]Sheet1!$D$4+H201*[1]Sheet1!$J$4+I201*[1]Sheet1!$K$4+[1]Sheet1!$L$4,IF(AND(OR(D201="T. domingensis",D201="T. latifolia"),J201&gt;0),J201*[1]Sheet1!$G$5+K201*[1]Sheet1!$H$5+L201*[1]Sheet1!$I$5+[1]Sheet1!$L$5,0)))))))</f>
        <v>2.8753536749999999</v>
      </c>
    </row>
    <row r="202" spans="1:15">
      <c r="A202" s="2">
        <v>40731</v>
      </c>
      <c r="B202" s="3" t="s">
        <v>30</v>
      </c>
      <c r="C202">
        <v>18</v>
      </c>
      <c r="D202" s="6" t="s">
        <v>29</v>
      </c>
      <c r="E202">
        <v>161</v>
      </c>
      <c r="F202">
        <v>0.3</v>
      </c>
      <c r="G202">
        <v>1</v>
      </c>
      <c r="M202" t="s">
        <v>31</v>
      </c>
      <c r="O202">
        <f>IF(AND(OR(D202="S. acutus",D202="S. californicus",D202="S. tabernaemontani"),G202=0),E202*[1]Sheet1!$D$7+[1]Sheet1!$L$7,IF(AND(OR(D202="S. acutus",D202="S. tabernaemontani"),G202&gt;0),E202*[1]Sheet1!$D$8+N202*[1]Sheet1!$E$8,IF(AND(D202="S. californicus",G202&gt;0),E202*[1]Sheet1!$D$9+N202*[1]Sheet1!$E$9,IF(D202="S.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latifolia"),E202&gt;0),F202*[1]Sheet1!$C$4+E202*[1]Sheet1!$D$4+H202*[1]Sheet1!$J$4+I202*[1]Sheet1!$K$4+[1]Sheet1!$L$4,IF(AND(OR(D202="T. domingensis",D202="T. latifolia"),J202&gt;0),J202*[1]Sheet1!$G$5+K202*[1]Sheet1!$H$5+L202*[1]Sheet1!$I$5+[1]Sheet1!$L$5,0)))))))</f>
        <v>1.2924053699999996</v>
      </c>
    </row>
    <row r="203" spans="1:15">
      <c r="A203" s="2">
        <v>40731</v>
      </c>
      <c r="B203" s="3" t="s">
        <v>30</v>
      </c>
      <c r="C203">
        <v>18</v>
      </c>
      <c r="D203" s="6" t="s">
        <v>29</v>
      </c>
      <c r="E203">
        <v>163</v>
      </c>
      <c r="F203">
        <v>0.4</v>
      </c>
      <c r="G203">
        <v>0</v>
      </c>
      <c r="M203" t="s">
        <v>31</v>
      </c>
      <c r="O203">
        <f>IF(AND(OR(D203="S. acutus",D203="S. californicus",D203="S. tabernaemontani"),G203=0),E203*[1]Sheet1!$D$7+[1]Sheet1!$L$7,IF(AND(OR(D203="S. acutus",D203="S. tabernaemontani"),G203&gt;0),E203*[1]Sheet1!$D$8+N203*[1]Sheet1!$E$8,IF(AND(D203="S. californicus",G203&gt;0),E203*[1]Sheet1!$D$9+N203*[1]Sheet1!$E$9,IF(D203="S.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latifolia"),E203&gt;0),F203*[1]Sheet1!$C$4+E203*[1]Sheet1!$D$4+H203*[1]Sheet1!$J$4+I203*[1]Sheet1!$K$4+[1]Sheet1!$L$4,IF(AND(OR(D203="T. domingensis",D203="T. latifolia"),J203&gt;0),J203*[1]Sheet1!$G$5+K203*[1]Sheet1!$H$5+L203*[1]Sheet1!$I$5+[1]Sheet1!$L$5,0)))))))</f>
        <v>1.6790176599999995</v>
      </c>
    </row>
    <row r="204" spans="1:15">
      <c r="A204" s="2">
        <v>40731</v>
      </c>
      <c r="B204" s="3" t="s">
        <v>30</v>
      </c>
      <c r="C204">
        <v>18</v>
      </c>
      <c r="D204" s="6" t="s">
        <v>29</v>
      </c>
      <c r="E204">
        <v>170</v>
      </c>
      <c r="F204">
        <v>0.62</v>
      </c>
      <c r="G204">
        <v>0</v>
      </c>
      <c r="M204" t="s">
        <v>31</v>
      </c>
      <c r="O204">
        <f>IF(AND(OR(D204="S. acutus",D204="S. californicus",D204="S. tabernaemontani"),G204=0),E204*[1]Sheet1!$D$7+[1]Sheet1!$L$7,IF(AND(OR(D204="S. acutus",D204="S. tabernaemontani"),G204&gt;0),E204*[1]Sheet1!$D$8+N204*[1]Sheet1!$E$8,IF(AND(D204="S. californicus",G204&gt;0),E204*[1]Sheet1!$D$9+N204*[1]Sheet1!$E$9,IF(D204="S.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latifolia"),E204&gt;0),F204*[1]Sheet1!$C$4+E204*[1]Sheet1!$D$4+H204*[1]Sheet1!$J$4+I204*[1]Sheet1!$K$4+[1]Sheet1!$L$4,IF(AND(OR(D204="T. domingensis",D204="T. latifolia"),J204&gt;0),J204*[1]Sheet1!$G$5+K204*[1]Sheet1!$H$5+L204*[1]Sheet1!$I$5+[1]Sheet1!$L$5,0)))))))</f>
        <v>2.5703345179999997</v>
      </c>
    </row>
    <row r="205" spans="1:15">
      <c r="A205" s="2">
        <v>40731</v>
      </c>
      <c r="B205" s="3" t="s">
        <v>30</v>
      </c>
      <c r="C205">
        <v>18</v>
      </c>
      <c r="D205" s="6" t="s">
        <v>29</v>
      </c>
      <c r="E205">
        <v>171</v>
      </c>
      <c r="F205">
        <v>0.4</v>
      </c>
      <c r="G205">
        <v>0</v>
      </c>
      <c r="M205" t="s">
        <v>31</v>
      </c>
      <c r="O205">
        <f>IF(AND(OR(D205="S. acutus",D205="S. californicus",D205="S. tabernaemontani"),G205=0),E205*[1]Sheet1!$D$7+[1]Sheet1!$L$7,IF(AND(OR(D205="S. acutus",D205="S. tabernaemontani"),G205&gt;0),E205*[1]Sheet1!$D$8+N205*[1]Sheet1!$E$8,IF(AND(D205="S. californicus",G205&gt;0),E205*[1]Sheet1!$D$9+N205*[1]Sheet1!$E$9,IF(D205="S.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latifolia"),E205&gt;0),F205*[1]Sheet1!$C$4+E205*[1]Sheet1!$D$4+H205*[1]Sheet1!$J$4+I205*[1]Sheet1!$K$4+[1]Sheet1!$L$4,IF(AND(OR(D205="T. domingensis",D205="T. latifolia"),J205&gt;0),J205*[1]Sheet1!$G$5+K205*[1]Sheet1!$H$5+L205*[1]Sheet1!$I$5+[1]Sheet1!$L$5,0)))))))</f>
        <v>1.804463259999999</v>
      </c>
    </row>
    <row r="206" spans="1:15">
      <c r="A206" s="2">
        <v>40731</v>
      </c>
      <c r="B206" s="3" t="s">
        <v>30</v>
      </c>
      <c r="C206">
        <v>18</v>
      </c>
      <c r="D206" s="6" t="s">
        <v>29</v>
      </c>
      <c r="E206">
        <v>175</v>
      </c>
      <c r="F206">
        <v>0.44</v>
      </c>
      <c r="G206">
        <v>1</v>
      </c>
      <c r="M206" t="s">
        <v>31</v>
      </c>
      <c r="O206">
        <f>IF(AND(OR(D206="S. acutus",D206="S. californicus",D206="S. tabernaemontani"),G206=0),E206*[1]Sheet1!$D$7+[1]Sheet1!$L$7,IF(AND(OR(D206="S. acutus",D206="S. tabernaemontani"),G206&gt;0),E206*[1]Sheet1!$D$8+N206*[1]Sheet1!$E$8,IF(AND(D206="S. californicus",G206&gt;0),E206*[1]Sheet1!$D$9+N206*[1]Sheet1!$E$9,IF(D206="S.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latifolia"),E206&gt;0),F206*[1]Sheet1!$C$4+E206*[1]Sheet1!$D$4+H206*[1]Sheet1!$J$4+I206*[1]Sheet1!$K$4+[1]Sheet1!$L$4,IF(AND(OR(D206="T. domingensis",D206="T. latifolia"),J206&gt;0),J206*[1]Sheet1!$G$5+K206*[1]Sheet1!$H$5+L206*[1]Sheet1!$I$5+[1]Sheet1!$L$5,0)))))))</f>
        <v>2.0092864159999997</v>
      </c>
    </row>
    <row r="207" spans="1:15">
      <c r="A207" s="2">
        <v>40731</v>
      </c>
      <c r="B207" s="3" t="s">
        <v>30</v>
      </c>
      <c r="C207">
        <v>18</v>
      </c>
      <c r="D207" s="6" t="s">
        <v>29</v>
      </c>
      <c r="E207">
        <v>175</v>
      </c>
      <c r="F207">
        <v>0.56000000000000005</v>
      </c>
      <c r="G207">
        <v>0</v>
      </c>
      <c r="M207" t="s">
        <v>31</v>
      </c>
      <c r="O207">
        <f>IF(AND(OR(D207="S. acutus",D207="S. californicus",D207="S. tabernaemontani"),G207=0),E207*[1]Sheet1!$D$7+[1]Sheet1!$L$7,IF(AND(OR(D207="S. acutus",D207="S. tabernaemontani"),G207&gt;0),E207*[1]Sheet1!$D$8+N207*[1]Sheet1!$E$8,IF(AND(D207="S. californicus",G207&gt;0),E207*[1]Sheet1!$D$9+N207*[1]Sheet1!$E$9,IF(D207="S.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latifolia"),E207&gt;0),F207*[1]Sheet1!$C$4+E207*[1]Sheet1!$D$4+H207*[1]Sheet1!$J$4+I207*[1]Sheet1!$K$4+[1]Sheet1!$L$4,IF(AND(OR(D207="T. domingensis",D207="T. latifolia"),J207&gt;0),J207*[1]Sheet1!$G$5+K207*[1]Sheet1!$H$5+L207*[1]Sheet1!$I$5+[1]Sheet1!$L$5,0)))))))</f>
        <v>2.4355874839999996</v>
      </c>
    </row>
    <row r="208" spans="1:15">
      <c r="A208" s="2">
        <v>40731</v>
      </c>
      <c r="B208" s="3" t="s">
        <v>30</v>
      </c>
      <c r="C208">
        <v>18</v>
      </c>
      <c r="D208" s="6" t="s">
        <v>29</v>
      </c>
      <c r="E208">
        <v>176</v>
      </c>
      <c r="F208">
        <v>0.75</v>
      </c>
      <c r="G208">
        <v>0</v>
      </c>
      <c r="M208" t="s">
        <v>31</v>
      </c>
      <c r="O208">
        <f>IF(AND(OR(D208="S. acutus",D208="S. californicus",D208="S. tabernaemontani"),G208=0),E208*[1]Sheet1!$D$7+[1]Sheet1!$L$7,IF(AND(OR(D208="S. acutus",D208="S. tabernaemontani"),G208&gt;0),E208*[1]Sheet1!$D$8+N208*[1]Sheet1!$E$8,IF(AND(D208="S. californicus",G208&gt;0),E208*[1]Sheet1!$D$9+N208*[1]Sheet1!$E$9,IF(D208="S.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latifolia"),E208&gt;0),F208*[1]Sheet1!$C$4+E208*[1]Sheet1!$D$4+H208*[1]Sheet1!$J$4+I208*[1]Sheet1!$K$4+[1]Sheet1!$L$4,IF(AND(OR(D208="T. domingensis",D208="T. latifolia"),J208&gt;0),J208*[1]Sheet1!$G$5+K208*[1]Sheet1!$H$5+L208*[1]Sheet1!$I$5+[1]Sheet1!$L$5,0)))))))</f>
        <v>3.1262448749999998</v>
      </c>
    </row>
    <row r="209" spans="1:15">
      <c r="A209" s="2">
        <v>40731</v>
      </c>
      <c r="B209" s="3" t="s">
        <v>30</v>
      </c>
      <c r="C209">
        <v>18</v>
      </c>
      <c r="D209" s="6" t="s">
        <v>29</v>
      </c>
      <c r="E209">
        <v>178</v>
      </c>
      <c r="F209">
        <v>0.46</v>
      </c>
      <c r="G209">
        <v>0</v>
      </c>
      <c r="M209" t="s">
        <v>31</v>
      </c>
      <c r="O209">
        <f>IF(AND(OR(D209="S. acutus",D209="S. californicus",D209="S. tabernaemontani"),G209=0),E209*[1]Sheet1!$D$7+[1]Sheet1!$L$7,IF(AND(OR(D209="S. acutus",D209="S. tabernaemontani"),G209&gt;0),E209*[1]Sheet1!$D$8+N209*[1]Sheet1!$E$8,IF(AND(D209="S. californicus",G209&gt;0),E209*[1]Sheet1!$D$9+N209*[1]Sheet1!$E$9,IF(D209="S.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latifolia"),E209&gt;0),F209*[1]Sheet1!$C$4+E209*[1]Sheet1!$D$4+H209*[1]Sheet1!$J$4+I209*[1]Sheet1!$K$4+[1]Sheet1!$L$4,IF(AND(OR(D209="T. domingensis",D209="T. latifolia"),J209&gt;0),J209*[1]Sheet1!$G$5+K209*[1]Sheet1!$H$5+L209*[1]Sheet1!$I$5+[1]Sheet1!$L$5,0)))))))</f>
        <v>2.1273786939999995</v>
      </c>
    </row>
    <row r="210" spans="1:15">
      <c r="A210" s="2">
        <v>40731</v>
      </c>
      <c r="B210" s="3" t="s">
        <v>30</v>
      </c>
      <c r="C210">
        <v>18</v>
      </c>
      <c r="D210" s="6" t="s">
        <v>29</v>
      </c>
      <c r="E210">
        <v>182</v>
      </c>
      <c r="F210">
        <v>0.51</v>
      </c>
      <c r="G210">
        <v>0</v>
      </c>
      <c r="M210" t="s">
        <v>31</v>
      </c>
      <c r="O210">
        <f>IF(AND(OR(D210="S. acutus",D210="S. californicus",D210="S. tabernaemontani"),G210=0),E210*[1]Sheet1!$D$7+[1]Sheet1!$L$7,IF(AND(OR(D210="S. acutus",D210="S. tabernaemontani"),G210&gt;0),E210*[1]Sheet1!$D$8+N210*[1]Sheet1!$E$8,IF(AND(D210="S. californicus",G210&gt;0),E210*[1]Sheet1!$D$9+N210*[1]Sheet1!$E$9,IF(D210="S.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latifolia"),E210&gt;0),F210*[1]Sheet1!$C$4+E210*[1]Sheet1!$D$4+H210*[1]Sheet1!$J$4+I210*[1]Sheet1!$K$4+[1]Sheet1!$L$4,IF(AND(OR(D210="T. domingensis",D210="T. latifolia"),J210&gt;0),J210*[1]Sheet1!$G$5+K210*[1]Sheet1!$H$5+L210*[1]Sheet1!$I$5+[1]Sheet1!$L$5,0)))))))</f>
        <v>2.3677269389999993</v>
      </c>
    </row>
    <row r="211" spans="1:15">
      <c r="A211" s="2">
        <v>40731</v>
      </c>
      <c r="B211" s="3" t="s">
        <v>30</v>
      </c>
      <c r="C211">
        <v>18</v>
      </c>
      <c r="D211" s="6" t="s">
        <v>29</v>
      </c>
      <c r="E211">
        <v>186</v>
      </c>
      <c r="F211">
        <v>0.51</v>
      </c>
      <c r="G211">
        <v>0</v>
      </c>
      <c r="M211" t="s">
        <v>31</v>
      </c>
      <c r="O211">
        <f>IF(AND(OR(D211="S. acutus",D211="S. californicus",D211="S. tabernaemontani"),G211=0),E211*[1]Sheet1!$D$7+[1]Sheet1!$L$7,IF(AND(OR(D211="S. acutus",D211="S. tabernaemontani"),G211&gt;0),E211*[1]Sheet1!$D$8+N211*[1]Sheet1!$E$8,IF(AND(D211="S. californicus",G211&gt;0),E211*[1]Sheet1!$D$9+N211*[1]Sheet1!$E$9,IF(D211="S.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latifolia"),E211&gt;0),F211*[1]Sheet1!$C$4+E211*[1]Sheet1!$D$4+H211*[1]Sheet1!$J$4+I211*[1]Sheet1!$K$4+[1]Sheet1!$L$4,IF(AND(OR(D211="T. domingensis",D211="T. latifolia"),J211&gt;0),J211*[1]Sheet1!$G$5+K211*[1]Sheet1!$H$5+L211*[1]Sheet1!$I$5+[1]Sheet1!$L$5,0)))))))</f>
        <v>2.4304497389999997</v>
      </c>
    </row>
    <row r="212" spans="1:15">
      <c r="A212" s="2">
        <v>40731</v>
      </c>
      <c r="B212" s="3" t="s">
        <v>30</v>
      </c>
      <c r="C212">
        <v>18</v>
      </c>
      <c r="D212" s="6" t="s">
        <v>29</v>
      </c>
      <c r="E212">
        <v>195</v>
      </c>
      <c r="F212">
        <v>0.34</v>
      </c>
      <c r="G212">
        <v>1</v>
      </c>
      <c r="M212" t="s">
        <v>31</v>
      </c>
      <c r="O212">
        <f>IF(AND(OR(D212="S. acutus",D212="S. californicus",D212="S. tabernaemontani"),G212=0),E212*[1]Sheet1!$D$7+[1]Sheet1!$L$7,IF(AND(OR(D212="S. acutus",D212="S. tabernaemontani"),G212&gt;0),E212*[1]Sheet1!$D$8+N212*[1]Sheet1!$E$8,IF(AND(D212="S. californicus",G212&gt;0),E212*[1]Sheet1!$D$9+N212*[1]Sheet1!$E$9,IF(D212="S.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latifolia"),E212&gt;0),F212*[1]Sheet1!$C$4+E212*[1]Sheet1!$D$4+H212*[1]Sheet1!$J$4+I212*[1]Sheet1!$K$4+[1]Sheet1!$L$4,IF(AND(OR(D212="T. domingensis",D212="T. latifolia"),J212&gt;0),J212*[1]Sheet1!$G$5+K212*[1]Sheet1!$H$5+L212*[1]Sheet1!$I$5+[1]Sheet1!$L$5,0)))))))</f>
        <v>1.9676495259999993</v>
      </c>
    </row>
    <row r="213" spans="1:15">
      <c r="A213" s="2">
        <v>40731</v>
      </c>
      <c r="B213" s="3" t="s">
        <v>30</v>
      </c>
      <c r="C213">
        <v>18</v>
      </c>
      <c r="D213" s="6" t="s">
        <v>29</v>
      </c>
      <c r="E213">
        <v>203</v>
      </c>
      <c r="F213">
        <v>0.51</v>
      </c>
      <c r="G213">
        <v>1</v>
      </c>
      <c r="M213" t="s">
        <v>31</v>
      </c>
      <c r="O213">
        <f>IF(AND(OR(D213="S. acutus",D213="S. californicus",D213="S. tabernaemontani"),G213=0),E213*[1]Sheet1!$D$7+[1]Sheet1!$L$7,IF(AND(OR(D213="S. acutus",D213="S. tabernaemontani"),G213&gt;0),E213*[1]Sheet1!$D$8+N213*[1]Sheet1!$E$8,IF(AND(D213="S. californicus",G213&gt;0),E213*[1]Sheet1!$D$9+N213*[1]Sheet1!$E$9,IF(D213="S.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latifolia"),E213&gt;0),F213*[1]Sheet1!$C$4+E213*[1]Sheet1!$D$4+H213*[1]Sheet1!$J$4+I213*[1]Sheet1!$K$4+[1]Sheet1!$L$4,IF(AND(OR(D213="T. domingensis",D213="T. latifolia"),J213&gt;0),J213*[1]Sheet1!$G$5+K213*[1]Sheet1!$H$5+L213*[1]Sheet1!$I$5+[1]Sheet1!$L$5,0)))))))</f>
        <v>2.6970216389999995</v>
      </c>
    </row>
    <row r="214" spans="1:15">
      <c r="A214" s="2">
        <v>40731</v>
      </c>
      <c r="B214" s="3" t="s">
        <v>30</v>
      </c>
      <c r="C214">
        <v>18</v>
      </c>
      <c r="D214" s="6" t="s">
        <v>29</v>
      </c>
      <c r="E214">
        <v>206</v>
      </c>
      <c r="F214">
        <v>0.46</v>
      </c>
      <c r="G214">
        <v>0</v>
      </c>
      <c r="M214" t="s">
        <v>31</v>
      </c>
      <c r="O214">
        <f>IF(AND(OR(D214="S. acutus",D214="S. californicus",D214="S. tabernaemontani"),G214=0),E214*[1]Sheet1!$D$7+[1]Sheet1!$L$7,IF(AND(OR(D214="S. acutus",D214="S. tabernaemontani"),G214&gt;0),E214*[1]Sheet1!$D$8+N214*[1]Sheet1!$E$8,IF(AND(D214="S. californicus",G214&gt;0),E214*[1]Sheet1!$D$9+N214*[1]Sheet1!$E$9,IF(D214="S.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latifolia"),E214&gt;0),F214*[1]Sheet1!$C$4+E214*[1]Sheet1!$D$4+H214*[1]Sheet1!$J$4+I214*[1]Sheet1!$K$4+[1]Sheet1!$L$4,IF(AND(OR(D214="T. domingensis",D214="T. latifolia"),J214&gt;0),J214*[1]Sheet1!$G$5+K214*[1]Sheet1!$H$5+L214*[1]Sheet1!$I$5+[1]Sheet1!$L$5,0)))))))</f>
        <v>2.5664382939999997</v>
      </c>
    </row>
    <row r="215" spans="1:15">
      <c r="A215" s="2">
        <v>40731</v>
      </c>
      <c r="B215" s="3" t="s">
        <v>30</v>
      </c>
      <c r="C215">
        <v>18</v>
      </c>
      <c r="D215" s="6" t="s">
        <v>29</v>
      </c>
      <c r="E215">
        <v>222</v>
      </c>
      <c r="F215">
        <v>0.48</v>
      </c>
      <c r="G215">
        <v>0</v>
      </c>
      <c r="M215" t="s">
        <v>31</v>
      </c>
      <c r="O215">
        <f>IF(AND(OR(D215="S. acutus",D215="S. californicus",D215="S. tabernaemontani"),G215=0),E215*[1]Sheet1!$D$7+[1]Sheet1!$L$7,IF(AND(OR(D215="S. acutus",D215="S. tabernaemontani"),G215&gt;0),E215*[1]Sheet1!$D$8+N215*[1]Sheet1!$E$8,IF(AND(D215="S. californicus",G215&gt;0),E215*[1]Sheet1!$D$9+N215*[1]Sheet1!$E$9,IF(D215="S.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latifolia"),E215&gt;0),F215*[1]Sheet1!$C$4+E215*[1]Sheet1!$D$4+H215*[1]Sheet1!$J$4+I215*[1]Sheet1!$K$4+[1]Sheet1!$L$4,IF(AND(OR(D215="T. domingensis",D215="T. latifolia"),J215&gt;0),J215*[1]Sheet1!$G$5+K215*[1]Sheet1!$H$5+L215*[1]Sheet1!$I$5+[1]Sheet1!$L$5,0)))))))</f>
        <v>2.8883796719999997</v>
      </c>
    </row>
    <row r="216" spans="1:15">
      <c r="A216" s="2">
        <v>40731</v>
      </c>
      <c r="B216" s="3" t="s">
        <v>30</v>
      </c>
      <c r="C216">
        <v>18</v>
      </c>
      <c r="D216" s="6" t="s">
        <v>29</v>
      </c>
      <c r="E216">
        <v>230</v>
      </c>
      <c r="F216">
        <v>0.47</v>
      </c>
      <c r="G216">
        <v>1</v>
      </c>
      <c r="M216" t="s">
        <v>31</v>
      </c>
      <c r="O216">
        <f>IF(AND(OR(D216="S. acutus",D216="S. californicus",D216="S. tabernaemontani"),G216=0),E216*[1]Sheet1!$D$7+[1]Sheet1!$L$7,IF(AND(OR(D216="S. acutus",D216="S. tabernaemontani"),G216&gt;0),E216*[1]Sheet1!$D$8+N216*[1]Sheet1!$E$8,IF(AND(D216="S. californicus",G216&gt;0),E216*[1]Sheet1!$D$9+N216*[1]Sheet1!$E$9,IF(D216="S.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latifolia"),E216&gt;0),F216*[1]Sheet1!$C$4+E216*[1]Sheet1!$D$4+H216*[1]Sheet1!$J$4+I216*[1]Sheet1!$K$4+[1]Sheet1!$L$4,IF(AND(OR(D216="T. domingensis",D216="T. latifolia"),J216&gt;0),J216*[1]Sheet1!$G$5+K216*[1]Sheet1!$H$5+L216*[1]Sheet1!$I$5+[1]Sheet1!$L$5,0)))))))</f>
        <v>2.9783001829999995</v>
      </c>
    </row>
    <row r="217" spans="1:15">
      <c r="A217" s="2">
        <v>40731</v>
      </c>
      <c r="B217" s="3" t="s">
        <v>30</v>
      </c>
      <c r="C217">
        <v>18</v>
      </c>
      <c r="D217" s="6" t="s">
        <v>29</v>
      </c>
      <c r="E217">
        <v>233</v>
      </c>
      <c r="F217">
        <v>0.45</v>
      </c>
      <c r="G217">
        <v>1</v>
      </c>
      <c r="M217" t="s">
        <v>31</v>
      </c>
      <c r="O217">
        <f>IF(AND(OR(D217="S. acutus",D217="S. californicus",D217="S. tabernaemontani"),G217=0),E217*[1]Sheet1!$D$7+[1]Sheet1!$L$7,IF(AND(OR(D217="S. acutus",D217="S. tabernaemontani"),G217&gt;0),E217*[1]Sheet1!$D$8+N217*[1]Sheet1!$E$8,IF(AND(D217="S. californicus",G217&gt;0),E217*[1]Sheet1!$D$9+N217*[1]Sheet1!$E$9,IF(D217="S.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latifolia"),E217&gt;0),F217*[1]Sheet1!$C$4+E217*[1]Sheet1!$D$4+H217*[1]Sheet1!$J$4+I217*[1]Sheet1!$K$4+[1]Sheet1!$L$4,IF(AND(OR(D217="T. domingensis",D217="T. latifolia"),J217&gt;0),J217*[1]Sheet1!$G$5+K217*[1]Sheet1!$H$5+L217*[1]Sheet1!$I$5+[1]Sheet1!$L$5,0)))))))</f>
        <v>2.9542921049999999</v>
      </c>
    </row>
    <row r="218" spans="1:15">
      <c r="A218" s="2">
        <v>40731</v>
      </c>
      <c r="B218" s="3" t="s">
        <v>30</v>
      </c>
      <c r="C218">
        <v>18</v>
      </c>
      <c r="D218" s="6" t="s">
        <v>29</v>
      </c>
      <c r="E218">
        <v>255</v>
      </c>
      <c r="F218">
        <v>0.77</v>
      </c>
      <c r="G218">
        <v>0</v>
      </c>
      <c r="M218" t="s">
        <v>31</v>
      </c>
      <c r="O218">
        <f>IF(AND(OR(D218="S. acutus",D218="S. californicus",D218="S. tabernaemontani"),G218=0),E218*[1]Sheet1!$D$7+[1]Sheet1!$L$7,IF(AND(OR(D218="S. acutus",D218="S. tabernaemontani"),G218&gt;0),E218*[1]Sheet1!$D$8+N218*[1]Sheet1!$E$8,IF(AND(D218="S. californicus",G218&gt;0),E218*[1]Sheet1!$D$9+N218*[1]Sheet1!$E$9,IF(D218="S.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latifolia"),E218&gt;0),F218*[1]Sheet1!$C$4+E218*[1]Sheet1!$D$4+H218*[1]Sheet1!$J$4+I218*[1]Sheet1!$K$4+[1]Sheet1!$L$4,IF(AND(OR(D218="T. domingensis",D218="T. latifolia"),J218&gt;0),J218*[1]Sheet1!$G$5+K218*[1]Sheet1!$H$5+L218*[1]Sheet1!$I$5+[1]Sheet1!$L$5,0)))))))</f>
        <v>4.4360703529999999</v>
      </c>
    </row>
    <row r="219" spans="1:15">
      <c r="A219" s="2">
        <v>40731</v>
      </c>
      <c r="B219" s="3" t="s">
        <v>30</v>
      </c>
      <c r="C219">
        <v>18</v>
      </c>
      <c r="D219" s="6" t="s">
        <v>19</v>
      </c>
      <c r="E219">
        <v>227</v>
      </c>
      <c r="F219">
        <v>2.4</v>
      </c>
      <c r="H219">
        <v>17</v>
      </c>
      <c r="I219">
        <v>1.8</v>
      </c>
      <c r="M219" t="s">
        <v>31</v>
      </c>
      <c r="O219">
        <f>IF(AND(OR(D219="S. acutus",D219="S. californicus",D219="S. tabernaemontani"),G219=0),E219*[1]Sheet1!$D$7+[1]Sheet1!$L$7,IF(AND(OR(D219="S. acutus",D219="S. tabernaemontani"),G219&gt;0),E219*[1]Sheet1!$D$8+N219*[1]Sheet1!$E$8,IF(AND(D219="S. californicus",G219&gt;0),E219*[1]Sheet1!$D$9+N219*[1]Sheet1!$E$9,IF(D219="S.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latifolia"),E219&gt;0),F219*[1]Sheet1!$C$4+E219*[1]Sheet1!$D$4+H219*[1]Sheet1!$J$4+I219*[1]Sheet1!$K$4+[1]Sheet1!$L$4,IF(AND(OR(D219="T. domingensis",D219="T. latifolia"),J219&gt;0),J219*[1]Sheet1!$G$5+K219*[1]Sheet1!$H$5+L219*[1]Sheet1!$I$5+[1]Sheet1!$L$5,0)))))))</f>
        <v>64.294336000000015</v>
      </c>
    </row>
    <row r="220" spans="1:15">
      <c r="A220" s="2">
        <v>40731</v>
      </c>
      <c r="B220" s="3" t="s">
        <v>30</v>
      </c>
      <c r="C220">
        <v>18</v>
      </c>
      <c r="D220" s="6" t="s">
        <v>19</v>
      </c>
      <c r="E220">
        <v>242</v>
      </c>
      <c r="F220">
        <v>1.77</v>
      </c>
      <c r="G220" t="s">
        <v>32</v>
      </c>
      <c r="H220">
        <v>17</v>
      </c>
      <c r="I220">
        <v>1.1000000000000001</v>
      </c>
      <c r="M220" t="s">
        <v>31</v>
      </c>
      <c r="O220">
        <f>IF(AND(OR(D220="S. acutus",D220="S. californicus",D220="S. tabernaemontani"),G220=0),E220*[1]Sheet1!$D$7+[1]Sheet1!$L$7,IF(AND(OR(D220="S. acutus",D220="S. tabernaemontani"),G220&gt;0),E220*[1]Sheet1!$D$8+N220*[1]Sheet1!$E$8,IF(AND(D220="S. californicus",G220&gt;0),E220*[1]Sheet1!$D$9+N220*[1]Sheet1!$E$9,IF(D220="S.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latifolia"),E220&gt;0),F220*[1]Sheet1!$C$4+E220*[1]Sheet1!$D$4+H220*[1]Sheet1!$J$4+I220*[1]Sheet1!$K$4+[1]Sheet1!$L$4,IF(AND(OR(D220="T. domingensis",D220="T. latifolia"),J220&gt;0),J220*[1]Sheet1!$G$5+K220*[1]Sheet1!$H$5+L220*[1]Sheet1!$I$5+[1]Sheet1!$L$5,0)))))))</f>
        <v>44.483972690000002</v>
      </c>
    </row>
    <row r="221" spans="1:15">
      <c r="A221" s="2">
        <v>40731</v>
      </c>
      <c r="B221" s="3" t="s">
        <v>30</v>
      </c>
      <c r="C221">
        <v>18</v>
      </c>
      <c r="D221" s="6" t="s">
        <v>19</v>
      </c>
      <c r="E221">
        <v>285</v>
      </c>
      <c r="F221">
        <v>2.41</v>
      </c>
      <c r="H221">
        <v>23</v>
      </c>
      <c r="I221">
        <v>1.4</v>
      </c>
      <c r="M221" t="s">
        <v>31</v>
      </c>
      <c r="O221">
        <f>IF(AND(OR(D221="S. acutus",D221="S. californicus",D221="S. tabernaemontani"),G221=0),E221*[1]Sheet1!$D$7+[1]Sheet1!$L$7,IF(AND(OR(D221="S. acutus",D221="S. tabernaemontani"),G221&gt;0),E221*[1]Sheet1!$D$8+N221*[1]Sheet1!$E$8,IF(AND(D221="S. californicus",G221&gt;0),E221*[1]Sheet1!$D$9+N221*[1]Sheet1!$E$9,IF(D221="S.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latifolia"),E221&gt;0),F221*[1]Sheet1!$C$4+E221*[1]Sheet1!$D$4+H221*[1]Sheet1!$J$4+I221*[1]Sheet1!$K$4+[1]Sheet1!$L$4,IF(AND(OR(D221="T. domingensis",D221="T. latifolia"),J221&gt;0),J221*[1]Sheet1!$G$5+K221*[1]Sheet1!$H$5+L221*[1]Sheet1!$I$5+[1]Sheet1!$L$5,0)))))))</f>
        <v>80.703339770000014</v>
      </c>
    </row>
    <row r="222" spans="1:15">
      <c r="A222" s="2">
        <v>40731</v>
      </c>
      <c r="B222" s="3" t="s">
        <v>30</v>
      </c>
      <c r="C222">
        <v>18</v>
      </c>
      <c r="D222" s="6" t="s">
        <v>19</v>
      </c>
      <c r="E222">
        <v>291</v>
      </c>
      <c r="F222">
        <v>2.2999999999999998</v>
      </c>
      <c r="H222">
        <v>26</v>
      </c>
      <c r="I222">
        <v>1.6</v>
      </c>
      <c r="M222" t="s">
        <v>31</v>
      </c>
      <c r="O222">
        <f>IF(AND(OR(D222="S. acutus",D222="S. californicus",D222="S. tabernaemontani"),G222=0),E222*[1]Sheet1!$D$7+[1]Sheet1!$L$7,IF(AND(OR(D222="S. acutus",D222="S. tabernaemontani"),G222&gt;0),E222*[1]Sheet1!$D$8+N222*[1]Sheet1!$E$8,IF(AND(D222="S. californicus",G222&gt;0),E222*[1]Sheet1!$D$9+N222*[1]Sheet1!$E$9,IF(D222="S.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latifolia"),E222&gt;0),F222*[1]Sheet1!$C$4+E222*[1]Sheet1!$D$4+H222*[1]Sheet1!$J$4+I222*[1]Sheet1!$K$4+[1]Sheet1!$L$4,IF(AND(OR(D222="T. domingensis",D222="T. latifolia"),J222&gt;0),J222*[1]Sheet1!$G$5+K222*[1]Sheet1!$H$5+L222*[1]Sheet1!$I$5+[1]Sheet1!$L$5,0)))))))</f>
        <v>86.69350129999998</v>
      </c>
    </row>
    <row r="223" spans="1:15">
      <c r="A223" s="2">
        <v>40731</v>
      </c>
      <c r="B223" s="3" t="s">
        <v>30</v>
      </c>
      <c r="C223">
        <v>18</v>
      </c>
      <c r="D223" s="6" t="s">
        <v>19</v>
      </c>
      <c r="E223">
        <v>292</v>
      </c>
      <c r="F223">
        <v>2.99</v>
      </c>
      <c r="H223">
        <v>29</v>
      </c>
      <c r="I223">
        <v>1.3</v>
      </c>
      <c r="M223" t="s">
        <v>31</v>
      </c>
      <c r="O223">
        <f>IF(AND(OR(D223="S. acutus",D223="S. californicus",D223="S. tabernaemontani"),G223=0),E223*[1]Sheet1!$D$7+[1]Sheet1!$L$7,IF(AND(OR(D223="S. acutus",D223="S. tabernaemontani"),G223&gt;0),E223*[1]Sheet1!$D$8+N223*[1]Sheet1!$E$8,IF(AND(D223="S. californicus",G223&gt;0),E223*[1]Sheet1!$D$9+N223*[1]Sheet1!$E$9,IF(D223="S.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latifolia"),E223&gt;0),F223*[1]Sheet1!$C$4+E223*[1]Sheet1!$D$4+H223*[1]Sheet1!$J$4+I223*[1]Sheet1!$K$4+[1]Sheet1!$L$4,IF(AND(OR(D223="T. domingensis",D223="T. latifolia"),J223&gt;0),J223*[1]Sheet1!$G$5+K223*[1]Sheet1!$H$5+L223*[1]Sheet1!$I$5+[1]Sheet1!$L$5,0)))))))</f>
        <v>97.836851429999996</v>
      </c>
    </row>
    <row r="224" spans="1:15">
      <c r="A224" s="2">
        <v>40731</v>
      </c>
      <c r="B224" s="3" t="s">
        <v>30</v>
      </c>
      <c r="C224">
        <v>18</v>
      </c>
      <c r="D224" s="6" t="s">
        <v>19</v>
      </c>
      <c r="E224">
        <v>295</v>
      </c>
      <c r="F224">
        <v>1.9</v>
      </c>
      <c r="H224">
        <v>27</v>
      </c>
      <c r="I224">
        <v>2</v>
      </c>
      <c r="M224" t="s">
        <v>31</v>
      </c>
      <c r="O224">
        <f>IF(AND(OR(D224="S. acutus",D224="S. californicus",D224="S. tabernaemontani"),G224=0),E224*[1]Sheet1!$D$7+[1]Sheet1!$L$7,IF(AND(OR(D224="S. acutus",D224="S. tabernaemontani"),G224&gt;0),E224*[1]Sheet1!$D$8+N224*[1]Sheet1!$E$8,IF(AND(D224="S. californicus",G224&gt;0),E224*[1]Sheet1!$D$9+N224*[1]Sheet1!$E$9,IF(D224="S.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latifolia"),E224&gt;0),F224*[1]Sheet1!$C$4+E224*[1]Sheet1!$D$4+H224*[1]Sheet1!$J$4+I224*[1]Sheet1!$K$4+[1]Sheet1!$L$4,IF(AND(OR(D224="T. domingensis",D224="T. latifolia"),J224&gt;0),J224*[1]Sheet1!$G$5+K224*[1]Sheet1!$H$5+L224*[1]Sheet1!$I$5+[1]Sheet1!$L$5,0)))))))</f>
        <v>88.124296700000002</v>
      </c>
    </row>
    <row r="225" spans="1:15">
      <c r="A225" s="2">
        <v>40731</v>
      </c>
      <c r="B225" s="3" t="s">
        <v>30</v>
      </c>
      <c r="C225">
        <v>18</v>
      </c>
      <c r="D225" s="6" t="s">
        <v>19</v>
      </c>
      <c r="E225">
        <v>312</v>
      </c>
      <c r="F225">
        <v>2.0699999999999998</v>
      </c>
      <c r="H225">
        <v>26</v>
      </c>
      <c r="I225">
        <v>2</v>
      </c>
      <c r="M225" t="s">
        <v>31</v>
      </c>
      <c r="O225">
        <f>IF(AND(OR(D225="S. acutus",D225="S. californicus",D225="S. tabernaemontani"),G225=0),E225*[1]Sheet1!$D$7+[1]Sheet1!$L$7,IF(AND(OR(D225="S. acutus",D225="S. tabernaemontani"),G225&gt;0),E225*[1]Sheet1!$D$8+N225*[1]Sheet1!$E$8,IF(AND(D225="S. californicus",G225&gt;0),E225*[1]Sheet1!$D$9+N225*[1]Sheet1!$E$9,IF(D225="S.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latifolia"),E225&gt;0),F225*[1]Sheet1!$C$4+E225*[1]Sheet1!$D$4+H225*[1]Sheet1!$J$4+I225*[1]Sheet1!$K$4+[1]Sheet1!$L$4,IF(AND(OR(D225="T. domingensis",D225="T. latifolia"),J225&gt;0),J225*[1]Sheet1!$G$5+K225*[1]Sheet1!$H$5+L225*[1]Sheet1!$I$5+[1]Sheet1!$L$5,0)))))))</f>
        <v>95.634818789999997</v>
      </c>
    </row>
    <row r="226" spans="1:15">
      <c r="A226" s="2">
        <v>40731</v>
      </c>
      <c r="B226" s="3" t="s">
        <v>30</v>
      </c>
      <c r="C226">
        <v>18</v>
      </c>
      <c r="D226" s="6" t="s">
        <v>19</v>
      </c>
      <c r="F226">
        <v>0.9</v>
      </c>
      <c r="J226">
        <f>SUM(182,242,255,281)</f>
        <v>960</v>
      </c>
      <c r="K226">
        <v>4</v>
      </c>
      <c r="L226">
        <v>281</v>
      </c>
      <c r="M226" t="s">
        <v>31</v>
      </c>
      <c r="O226">
        <f>IF(AND(OR(D226="S. acutus",D226="S. californicus",D226="S. tabernaemontani"),G226=0),E226*[1]Sheet1!$D$7+[1]Sheet1!$L$7,IF(AND(OR(D226="S. acutus",D226="S. tabernaemontani"),G226&gt;0),E226*[1]Sheet1!$D$8+N226*[1]Sheet1!$E$8,IF(AND(D226="S. californicus",G226&gt;0),E226*[1]Sheet1!$D$9+N226*[1]Sheet1!$E$9,IF(D226="S.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latifolia"),E226&gt;0),F226*[1]Sheet1!$C$4+E226*[1]Sheet1!$D$4+H226*[1]Sheet1!$J$4+I226*[1]Sheet1!$K$4+[1]Sheet1!$L$4,IF(AND(OR(D226="T. domingensis",D226="T. latifolia"),J226&gt;0),J226*[1]Sheet1!$G$5+K226*[1]Sheet1!$H$5+L226*[1]Sheet1!$I$5+[1]Sheet1!$L$5,0)))))))</f>
        <v>10.302527000000005</v>
      </c>
    </row>
    <row r="227" spans="1:15">
      <c r="A227" s="2">
        <v>40731</v>
      </c>
      <c r="B227" s="3" t="s">
        <v>30</v>
      </c>
      <c r="C227">
        <v>18</v>
      </c>
      <c r="D227" s="6" t="s">
        <v>19</v>
      </c>
      <c r="F227">
        <v>2.2000000000000002</v>
      </c>
      <c r="J227">
        <f>SUM(190,248,288,298,300)</f>
        <v>1324</v>
      </c>
      <c r="K227">
        <v>5</v>
      </c>
      <c r="L227">
        <v>300</v>
      </c>
      <c r="M227" t="s">
        <v>31</v>
      </c>
      <c r="O227">
        <f>IF(AND(OR(D227="S. acutus",D227="S. californicus",D227="S. tabernaemontani"),G227=0),E227*[1]Sheet1!$D$7+[1]Sheet1!$L$7,IF(AND(OR(D227="S. acutus",D227="S. tabernaemontani"),G227&gt;0),E227*[1]Sheet1!$D$8+N227*[1]Sheet1!$E$8,IF(AND(D227="S. californicus",G227&gt;0),E227*[1]Sheet1!$D$9+N227*[1]Sheet1!$E$9,IF(D227="S.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latifolia"),E227&gt;0),F227*[1]Sheet1!$C$4+E227*[1]Sheet1!$D$4+H227*[1]Sheet1!$J$4+I227*[1]Sheet1!$K$4+[1]Sheet1!$L$4,IF(AND(OR(D227="T. domingensis",D227="T. latifolia"),J227&gt;0),J227*[1]Sheet1!$G$5+K227*[1]Sheet1!$H$5+L227*[1]Sheet1!$I$5+[1]Sheet1!$L$5,0)))))))</f>
        <v>31.683339000000011</v>
      </c>
    </row>
    <row r="228" spans="1:15">
      <c r="A228" s="2">
        <v>40731</v>
      </c>
      <c r="B228" s="3" t="s">
        <v>30</v>
      </c>
      <c r="C228">
        <v>30</v>
      </c>
      <c r="D228" s="6" t="s">
        <v>12</v>
      </c>
      <c r="E228">
        <v>200</v>
      </c>
      <c r="F228">
        <v>1.1200000000000001</v>
      </c>
      <c r="G228">
        <v>0</v>
      </c>
      <c r="M228" t="s">
        <v>49</v>
      </c>
      <c r="N228">
        <f t="shared" ref="N228:N243" si="5">(1/3)*(3.14159)*((F228/2)^2)*E228</f>
        <v>65.680174933333333</v>
      </c>
      <c r="O228">
        <f>IF(AND(OR(D228="S. acutus",D228="S. californicus",D228="S. tabernaemontani"),G228=0),E228*[1]Sheet1!$D$7+[1]Sheet1!$L$7,IF(AND(OR(D228="S. acutus",D228="S. tabernaemontani"),G228&gt;0),E228*[1]Sheet1!$D$8+N228*[1]Sheet1!$E$8,IF(AND(D228="S. californicus",G228&gt;0),E228*[1]Sheet1!$D$9+N228*[1]Sheet1!$E$9,IF(D228="S.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latifolia"),E228&gt;0),F228*[1]Sheet1!$C$4+E228*[1]Sheet1!$D$4+H228*[1]Sheet1!$J$4+I228*[1]Sheet1!$K$4+[1]Sheet1!$L$4,IF(AND(OR(D228="T. domingensis",D228="T. latifolia"),J228&gt;0),J228*[1]Sheet1!$G$5+K228*[1]Sheet1!$H$5+L228*[1]Sheet1!$I$5+[1]Sheet1!$L$5,0)))))))</f>
        <v>9.4304030000000019</v>
      </c>
    </row>
    <row r="229" spans="1:15">
      <c r="A229" s="2">
        <v>40731</v>
      </c>
      <c r="B229" s="3" t="s">
        <v>30</v>
      </c>
      <c r="C229">
        <v>30</v>
      </c>
      <c r="D229" s="6" t="s">
        <v>12</v>
      </c>
      <c r="E229">
        <v>211</v>
      </c>
      <c r="F229">
        <v>1.32</v>
      </c>
      <c r="G229">
        <v>4</v>
      </c>
      <c r="M229" t="s">
        <v>49</v>
      </c>
      <c r="N229">
        <f t="shared" si="5"/>
        <v>96.249521147999999</v>
      </c>
      <c r="O229">
        <f>IF(AND(OR(D229="S. acutus",D229="S. californicus",D229="S. tabernaemontani"),G229=0),E229*[1]Sheet1!$D$7+[1]Sheet1!$L$7,IF(AND(OR(D229="S. acutus",D229="S. tabernaemontani"),G229&gt;0),E229*[1]Sheet1!$D$8+N229*[1]Sheet1!$E$8,IF(AND(D229="S. californicus",G229&gt;0),E229*[1]Sheet1!$D$9+N229*[1]Sheet1!$E$9,IF(D229="S.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latifolia"),E229&gt;0),F229*[1]Sheet1!$C$4+E229*[1]Sheet1!$D$4+H229*[1]Sheet1!$J$4+I229*[1]Sheet1!$K$4+[1]Sheet1!$L$4,IF(AND(OR(D229="T. domingensis",D229="T. latifolia"),J229&gt;0),J229*[1]Sheet1!$G$5+K229*[1]Sheet1!$H$5+L229*[1]Sheet1!$I$5+[1]Sheet1!$L$5,0)))))))</f>
        <v>11.224319305534634</v>
      </c>
    </row>
    <row r="230" spans="1:15">
      <c r="A230" s="2">
        <v>40731</v>
      </c>
      <c r="B230" s="3" t="s">
        <v>30</v>
      </c>
      <c r="C230">
        <v>30</v>
      </c>
      <c r="D230" s="6" t="s">
        <v>12</v>
      </c>
      <c r="E230">
        <v>224</v>
      </c>
      <c r="F230">
        <v>1.35</v>
      </c>
      <c r="G230">
        <v>0</v>
      </c>
      <c r="M230" t="s">
        <v>49</v>
      </c>
      <c r="N230">
        <f t="shared" si="5"/>
        <v>106.87689180000001</v>
      </c>
      <c r="O230">
        <f>IF(AND(OR(D230="S. acutus",D230="S. californicus",D230="S. tabernaemontani"),G230=0),E230*[1]Sheet1!$D$7+[1]Sheet1!$L$7,IF(AND(OR(D230="S. acutus",D230="S. tabernaemontani"),G230&gt;0),E230*[1]Sheet1!$D$8+N230*[1]Sheet1!$E$8,IF(AND(D230="S. californicus",G230&gt;0),E230*[1]Sheet1!$D$9+N230*[1]Sheet1!$E$9,IF(D230="S.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latifolia"),E230&gt;0),F230*[1]Sheet1!$C$4+E230*[1]Sheet1!$D$4+H230*[1]Sheet1!$J$4+I230*[1]Sheet1!$K$4+[1]Sheet1!$L$4,IF(AND(OR(D230="T. domingensis",D230="T. latifolia"),J230&gt;0),J230*[1]Sheet1!$G$5+K230*[1]Sheet1!$H$5+L230*[1]Sheet1!$I$5+[1]Sheet1!$L$5,0)))))))</f>
        <v>11.112923000000002</v>
      </c>
    </row>
    <row r="231" spans="1:15">
      <c r="A231" s="2">
        <v>40731</v>
      </c>
      <c r="B231" s="3" t="s">
        <v>30</v>
      </c>
      <c r="C231">
        <v>30</v>
      </c>
      <c r="D231" s="6" t="s">
        <v>12</v>
      </c>
      <c r="E231">
        <v>231</v>
      </c>
      <c r="F231">
        <v>0.57999999999999996</v>
      </c>
      <c r="G231">
        <v>0</v>
      </c>
      <c r="M231" t="s">
        <v>49</v>
      </c>
      <c r="N231">
        <f t="shared" si="5"/>
        <v>20.343994362999997</v>
      </c>
      <c r="O231">
        <f>IF(AND(OR(D231="S. acutus",D231="S. californicus",D231="S. tabernaemontani"),G231=0),E231*[1]Sheet1!$D$7+[1]Sheet1!$L$7,IF(AND(OR(D231="S. acutus",D231="S. tabernaemontani"),G231&gt;0),E231*[1]Sheet1!$D$8+N231*[1]Sheet1!$E$8,IF(AND(D231="S. californicus",G231&gt;0),E231*[1]Sheet1!$D$9+N231*[1]Sheet1!$E$9,IF(D231="S.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latifolia"),E231&gt;0),F231*[1]Sheet1!$C$4+E231*[1]Sheet1!$D$4+H231*[1]Sheet1!$J$4+I231*[1]Sheet1!$K$4+[1]Sheet1!$L$4,IF(AND(OR(D231="T. domingensis",D231="T. latifolia"),J231&gt;0),J231*[1]Sheet1!$G$5+K231*[1]Sheet1!$H$5+L231*[1]Sheet1!$I$5+[1]Sheet1!$L$5,0)))))))</f>
        <v>11.603658000000003</v>
      </c>
    </row>
    <row r="232" spans="1:15">
      <c r="A232" s="2">
        <v>40731</v>
      </c>
      <c r="B232" s="3" t="s">
        <v>30</v>
      </c>
      <c r="C232">
        <v>30</v>
      </c>
      <c r="D232" s="6" t="s">
        <v>12</v>
      </c>
      <c r="E232">
        <v>240</v>
      </c>
      <c r="F232">
        <v>0.5</v>
      </c>
      <c r="G232">
        <v>0</v>
      </c>
      <c r="M232" t="s">
        <v>49</v>
      </c>
      <c r="N232">
        <f t="shared" si="5"/>
        <v>15.707949999999999</v>
      </c>
      <c r="O232">
        <f>IF(AND(OR(D232="S. acutus",D232="S. californicus",D232="S. tabernaemontani"),G232=0),E232*[1]Sheet1!$D$7+[1]Sheet1!$L$7,IF(AND(OR(D232="S. acutus",D232="S. tabernaemontani"),G232&gt;0),E232*[1]Sheet1!$D$8+N232*[1]Sheet1!$E$8,IF(AND(D232="S. californicus",G232&gt;0),E232*[1]Sheet1!$D$9+N232*[1]Sheet1!$E$9,IF(D232="S.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latifolia"),E232&gt;0),F232*[1]Sheet1!$C$4+E232*[1]Sheet1!$D$4+H232*[1]Sheet1!$J$4+I232*[1]Sheet1!$K$4+[1]Sheet1!$L$4,IF(AND(OR(D232="T. domingensis",D232="T. latifolia"),J232&gt;0),J232*[1]Sheet1!$G$5+K232*[1]Sheet1!$H$5+L232*[1]Sheet1!$I$5+[1]Sheet1!$L$5,0)))))))</f>
        <v>12.234603</v>
      </c>
    </row>
    <row r="233" spans="1:15">
      <c r="A233" s="2">
        <v>40731</v>
      </c>
      <c r="B233" s="3" t="s">
        <v>30</v>
      </c>
      <c r="C233">
        <v>30</v>
      </c>
      <c r="D233" s="6" t="s">
        <v>12</v>
      </c>
      <c r="E233">
        <v>242</v>
      </c>
      <c r="F233">
        <v>1.63</v>
      </c>
      <c r="G233">
        <v>2</v>
      </c>
      <c r="M233" t="s">
        <v>49</v>
      </c>
      <c r="N233">
        <f t="shared" si="5"/>
        <v>168.32895783183329</v>
      </c>
      <c r="O233">
        <f>IF(AND(OR(D233="S. acutus",D233="S. californicus",D233="S. tabernaemontani"),G233=0),E233*[1]Sheet1!$D$7+[1]Sheet1!$L$7,IF(AND(OR(D233="S. acutus",D233="S. tabernaemontani"),G233&gt;0),E233*[1]Sheet1!$D$8+N233*[1]Sheet1!$E$8,IF(AND(D233="S. californicus",G233&gt;0),E233*[1]Sheet1!$D$9+N233*[1]Sheet1!$E$9,IF(D233="S.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latifolia"),E233&gt;0),F233*[1]Sheet1!$C$4+E233*[1]Sheet1!$D$4+H233*[1]Sheet1!$J$4+I233*[1]Sheet1!$K$4+[1]Sheet1!$L$4,IF(AND(OR(D233="T. domingensis",D233="T. latifolia"),J233&gt;0),J233*[1]Sheet1!$G$5+K233*[1]Sheet1!$H$5+L233*[1]Sheet1!$I$5+[1]Sheet1!$L$5,0)))))))</f>
        <v>14.739062138247082</v>
      </c>
    </row>
    <row r="234" spans="1:15">
      <c r="A234" s="2">
        <v>40731</v>
      </c>
      <c r="B234" s="3" t="s">
        <v>30</v>
      </c>
      <c r="C234">
        <v>30</v>
      </c>
      <c r="D234" s="6" t="s">
        <v>12</v>
      </c>
      <c r="E234">
        <v>243</v>
      </c>
      <c r="F234">
        <v>0.74</v>
      </c>
      <c r="G234">
        <v>5</v>
      </c>
      <c r="M234" t="s">
        <v>49</v>
      </c>
      <c r="N234">
        <f t="shared" si="5"/>
        <v>34.836777350999995</v>
      </c>
      <c r="O234">
        <f>IF(AND(OR(D234="S. acutus",D234="S. californicus",D234="S. tabernaemontani"),G234=0),E234*[1]Sheet1!$D$7+[1]Sheet1!$L$7,IF(AND(OR(D234="S. acutus",D234="S. tabernaemontani"),G234&gt;0),E234*[1]Sheet1!$D$8+N234*[1]Sheet1!$E$8,IF(AND(D234="S. californicus",G234&gt;0),E234*[1]Sheet1!$D$9+N234*[1]Sheet1!$E$9,IF(D234="S.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latifolia"),E234&gt;0),F234*[1]Sheet1!$C$4+E234*[1]Sheet1!$D$4+H234*[1]Sheet1!$J$4+I234*[1]Sheet1!$K$4+[1]Sheet1!$L$4,IF(AND(OR(D234="T. domingensis",D234="T. latifolia"),J234&gt;0),J234*[1]Sheet1!$G$5+K234*[1]Sheet1!$H$5+L234*[1]Sheet1!$I$5+[1]Sheet1!$L$5,0)))))))</f>
        <v>10.479000883801817</v>
      </c>
    </row>
    <row r="235" spans="1:15">
      <c r="A235" s="2">
        <v>40731</v>
      </c>
      <c r="B235" s="3" t="s">
        <v>30</v>
      </c>
      <c r="C235">
        <v>30</v>
      </c>
      <c r="D235" s="6" t="s">
        <v>12</v>
      </c>
      <c r="E235">
        <v>256</v>
      </c>
      <c r="F235">
        <v>1.4</v>
      </c>
      <c r="G235">
        <v>0</v>
      </c>
      <c r="M235" t="s">
        <v>49</v>
      </c>
      <c r="N235">
        <f t="shared" si="5"/>
        <v>131.36034986666664</v>
      </c>
      <c r="O235">
        <f>IF(AND(OR(D235="S. acutus",D235="S. californicus",D235="S. tabernaemontani"),G235=0),E235*[1]Sheet1!$D$7+[1]Sheet1!$L$7,IF(AND(OR(D235="S. acutus",D235="S. tabernaemontani"),G235&gt;0),E235*[1]Sheet1!$D$8+N235*[1]Sheet1!$E$8,IF(AND(D235="S. californicus",G235&gt;0),E235*[1]Sheet1!$D$9+N235*[1]Sheet1!$E$9,IF(D235="S.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latifolia"),E235&gt;0),F235*[1]Sheet1!$C$4+E235*[1]Sheet1!$D$4+H235*[1]Sheet1!$J$4+I235*[1]Sheet1!$K$4+[1]Sheet1!$L$4,IF(AND(OR(D235="T. domingensis",D235="T. latifolia"),J235&gt;0),J235*[1]Sheet1!$G$5+K235*[1]Sheet1!$H$5+L235*[1]Sheet1!$I$5+[1]Sheet1!$L$5,0)))))))</f>
        <v>13.356283000000001</v>
      </c>
    </row>
    <row r="236" spans="1:15">
      <c r="A236" s="2">
        <v>40731</v>
      </c>
      <c r="B236" s="3" t="s">
        <v>30</v>
      </c>
      <c r="C236">
        <v>30</v>
      </c>
      <c r="D236" s="6" t="s">
        <v>12</v>
      </c>
      <c r="E236">
        <v>257</v>
      </c>
      <c r="F236">
        <v>1.1299999999999999</v>
      </c>
      <c r="G236">
        <v>0</v>
      </c>
      <c r="M236" t="s">
        <v>49</v>
      </c>
      <c r="N236">
        <f t="shared" si="5"/>
        <v>85.912878470583294</v>
      </c>
      <c r="O236">
        <f>IF(AND(OR(D236="S. acutus",D236="S. californicus",D236="S. tabernaemontani"),G236=0),E236*[1]Sheet1!$D$7+[1]Sheet1!$L$7,IF(AND(OR(D236="S. acutus",D236="S. tabernaemontani"),G236&gt;0),E236*[1]Sheet1!$D$8+N236*[1]Sheet1!$E$8,IF(AND(D236="S. californicus",G236&gt;0),E236*[1]Sheet1!$D$9+N236*[1]Sheet1!$E$9,IF(D236="S.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latifolia"),E236&gt;0),F236*[1]Sheet1!$C$4+E236*[1]Sheet1!$D$4+H236*[1]Sheet1!$J$4+I236*[1]Sheet1!$K$4+[1]Sheet1!$L$4,IF(AND(OR(D236="T. domingensis",D236="T. latifolia"),J236&gt;0),J236*[1]Sheet1!$G$5+K236*[1]Sheet1!$H$5+L236*[1]Sheet1!$I$5+[1]Sheet1!$L$5,0)))))))</f>
        <v>13.426388000000003</v>
      </c>
    </row>
    <row r="237" spans="1:15">
      <c r="A237" s="2">
        <v>40731</v>
      </c>
      <c r="B237" s="3" t="s">
        <v>30</v>
      </c>
      <c r="C237">
        <v>30</v>
      </c>
      <c r="D237" s="6" t="s">
        <v>12</v>
      </c>
      <c r="E237">
        <v>263</v>
      </c>
      <c r="F237">
        <v>1.89</v>
      </c>
      <c r="G237">
        <v>0</v>
      </c>
      <c r="M237" t="s">
        <v>49</v>
      </c>
      <c r="N237">
        <f t="shared" si="5"/>
        <v>245.95044725474997</v>
      </c>
      <c r="O237">
        <f>IF(AND(OR(D237="S. acutus",D237="S. californicus",D237="S. tabernaemontani"),G237=0),E237*[1]Sheet1!$D$7+[1]Sheet1!$L$7,IF(AND(OR(D237="S. acutus",D237="S. tabernaemontani"),G237&gt;0),E237*[1]Sheet1!$D$8+N237*[1]Sheet1!$E$8,IF(AND(D237="S. californicus",G237&gt;0),E237*[1]Sheet1!$D$9+N237*[1]Sheet1!$E$9,IF(D237="S.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latifolia"),E237&gt;0),F237*[1]Sheet1!$C$4+E237*[1]Sheet1!$D$4+H237*[1]Sheet1!$J$4+I237*[1]Sheet1!$K$4+[1]Sheet1!$L$4,IF(AND(OR(D237="T. domingensis",D237="T. latifolia"),J237&gt;0),J237*[1]Sheet1!$G$5+K237*[1]Sheet1!$H$5+L237*[1]Sheet1!$I$5+[1]Sheet1!$L$5,0)))))))</f>
        <v>13.847018000000002</v>
      </c>
    </row>
    <row r="238" spans="1:15">
      <c r="A238" s="2">
        <v>40731</v>
      </c>
      <c r="B238" s="3" t="s">
        <v>30</v>
      </c>
      <c r="C238">
        <v>30</v>
      </c>
      <c r="D238" s="6" t="s">
        <v>12</v>
      </c>
      <c r="E238">
        <v>265</v>
      </c>
      <c r="F238">
        <v>1.8</v>
      </c>
      <c r="G238">
        <v>0</v>
      </c>
      <c r="M238" t="s">
        <v>49</v>
      </c>
      <c r="N238">
        <f t="shared" si="5"/>
        <v>224.7807645</v>
      </c>
      <c r="O238">
        <f>IF(AND(OR(D238="S. acutus",D238="S. californicus",D238="S. tabernaemontani"),G238=0),E238*[1]Sheet1!$D$7+[1]Sheet1!$L$7,IF(AND(OR(D238="S. acutus",D238="S. tabernaemontani"),G238&gt;0),E238*[1]Sheet1!$D$8+N238*[1]Sheet1!$E$8,IF(AND(D238="S. californicus",G238&gt;0),E238*[1]Sheet1!$D$9+N238*[1]Sheet1!$E$9,IF(D238="S.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latifolia"),E238&gt;0),F238*[1]Sheet1!$C$4+E238*[1]Sheet1!$D$4+H238*[1]Sheet1!$J$4+I238*[1]Sheet1!$K$4+[1]Sheet1!$L$4,IF(AND(OR(D238="T. domingensis",D238="T. latifolia"),J238&gt;0),J238*[1]Sheet1!$G$5+K238*[1]Sheet1!$H$5+L238*[1]Sheet1!$I$5+[1]Sheet1!$L$5,0)))))))</f>
        <v>13.987228000000002</v>
      </c>
    </row>
    <row r="239" spans="1:15">
      <c r="A239" s="2">
        <v>40731</v>
      </c>
      <c r="B239" s="3" t="s">
        <v>30</v>
      </c>
      <c r="C239">
        <v>30</v>
      </c>
      <c r="D239" s="6" t="s">
        <v>12</v>
      </c>
      <c r="E239">
        <v>273</v>
      </c>
      <c r="F239">
        <v>1.03</v>
      </c>
      <c r="G239">
        <v>1</v>
      </c>
      <c r="M239" t="s">
        <v>49</v>
      </c>
      <c r="N239">
        <f t="shared" si="5"/>
        <v>75.823766905249997</v>
      </c>
      <c r="O239">
        <f>IF(AND(OR(D239="S. acutus",D239="S. californicus",D239="S. tabernaemontani"),G239=0),E239*[1]Sheet1!$D$7+[1]Sheet1!$L$7,IF(AND(OR(D239="S. acutus",D239="S. tabernaemontani"),G239&gt;0),E239*[1]Sheet1!$D$8+N239*[1]Sheet1!$E$8,IF(AND(D239="S. californicus",G239&gt;0),E239*[1]Sheet1!$D$9+N239*[1]Sheet1!$E$9,IF(D239="S.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latifolia"),E239&gt;0),F239*[1]Sheet1!$C$4+E239*[1]Sheet1!$D$4+H239*[1]Sheet1!$J$4+I239*[1]Sheet1!$K$4+[1]Sheet1!$L$4,IF(AND(OR(D239="T. domingensis",D239="T. latifolia"),J239&gt;0),J239*[1]Sheet1!$G$5+K239*[1]Sheet1!$H$5+L239*[1]Sheet1!$I$5+[1]Sheet1!$L$5,0)))))))</f>
        <v>12.954031835739265</v>
      </c>
    </row>
    <row r="240" spans="1:15">
      <c r="A240" s="2">
        <v>40731</v>
      </c>
      <c r="B240" s="3" t="s">
        <v>30</v>
      </c>
      <c r="C240">
        <v>30</v>
      </c>
      <c r="D240" s="6" t="s">
        <v>12</v>
      </c>
      <c r="E240">
        <v>287</v>
      </c>
      <c r="F240">
        <v>1.1299999999999999</v>
      </c>
      <c r="G240">
        <v>13</v>
      </c>
      <c r="M240" t="s">
        <v>49</v>
      </c>
      <c r="N240">
        <f t="shared" si="5"/>
        <v>95.941619148083291</v>
      </c>
      <c r="O240">
        <f>IF(AND(OR(D240="S. acutus",D240="S. californicus",D240="S. tabernaemontani"),G240=0),E240*[1]Sheet1!$D$7+[1]Sheet1!$L$7,IF(AND(OR(D240="S. acutus",D240="S. tabernaemontani"),G240&gt;0),E240*[1]Sheet1!$D$8+N240*[1]Sheet1!$E$8,IF(AND(D240="S. californicus",G240&gt;0),E240*[1]Sheet1!$D$9+N240*[1]Sheet1!$E$9,IF(D240="S.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latifolia"),E240&gt;0),F240*[1]Sheet1!$C$4+E240*[1]Sheet1!$D$4+H240*[1]Sheet1!$J$4+I240*[1]Sheet1!$K$4+[1]Sheet1!$L$4,IF(AND(OR(D240="T. domingensis",D240="T. latifolia"),J240&gt;0),J240*[1]Sheet1!$G$5+K240*[1]Sheet1!$H$5+L240*[1]Sheet1!$I$5+[1]Sheet1!$L$5,0)))))))</f>
        <v>14.140944184025516</v>
      </c>
    </row>
    <row r="241" spans="1:15">
      <c r="A241" s="2">
        <v>40731</v>
      </c>
      <c r="B241" s="3" t="s">
        <v>30</v>
      </c>
      <c r="C241">
        <v>30</v>
      </c>
      <c r="D241" s="6" t="s">
        <v>12</v>
      </c>
      <c r="E241">
        <v>330</v>
      </c>
      <c r="F241">
        <v>1.23</v>
      </c>
      <c r="G241">
        <v>0</v>
      </c>
      <c r="M241" t="s">
        <v>49</v>
      </c>
      <c r="N241">
        <f t="shared" si="5"/>
        <v>130.70506655249997</v>
      </c>
      <c r="O241">
        <f>IF(AND(OR(D241="S. acutus",D241="S. californicus",D241="S. tabernaemontani"),G241=0),E241*[1]Sheet1!$D$7+[1]Sheet1!$L$7,IF(AND(OR(D241="S. acutus",D241="S. tabernaemontani"),G241&gt;0),E241*[1]Sheet1!$D$8+N241*[1]Sheet1!$E$8,IF(AND(D241="S. californicus",G241&gt;0),E241*[1]Sheet1!$D$9+N241*[1]Sheet1!$E$9,IF(D241="S.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latifolia"),E241&gt;0),F241*[1]Sheet1!$C$4+E241*[1]Sheet1!$D$4+H241*[1]Sheet1!$J$4+I241*[1]Sheet1!$K$4+[1]Sheet1!$L$4,IF(AND(OR(D241="T. domingensis",D241="T. latifolia"),J241&gt;0),J241*[1]Sheet1!$G$5+K241*[1]Sheet1!$H$5+L241*[1]Sheet1!$I$5+[1]Sheet1!$L$5,0)))))))</f>
        <v>18.544053000000002</v>
      </c>
    </row>
    <row r="242" spans="1:15">
      <c r="A242" s="2">
        <v>40731</v>
      </c>
      <c r="B242" s="3" t="s">
        <v>30</v>
      </c>
      <c r="C242">
        <v>30</v>
      </c>
      <c r="D242" s="6" t="s">
        <v>12</v>
      </c>
      <c r="E242">
        <v>367</v>
      </c>
      <c r="F242">
        <v>1.76</v>
      </c>
      <c r="G242">
        <v>12</v>
      </c>
      <c r="M242" t="s">
        <v>49</v>
      </c>
      <c r="N242">
        <f t="shared" si="5"/>
        <v>297.61831921066664</v>
      </c>
      <c r="O242">
        <f>IF(AND(OR(D242="S. acutus",D242="S. californicus",D242="S. tabernaemontani"),G242=0),E242*[1]Sheet1!$D$7+[1]Sheet1!$L$7,IF(AND(OR(D242="S. acutus",D242="S. tabernaemontani"),G242&gt;0),E242*[1]Sheet1!$D$8+N242*[1]Sheet1!$E$8,IF(AND(D242="S. californicus",G242&gt;0),E242*[1]Sheet1!$D$9+N242*[1]Sheet1!$E$9,IF(D242="S.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latifolia"),E242&gt;0),F242*[1]Sheet1!$C$4+E242*[1]Sheet1!$D$4+H242*[1]Sheet1!$J$4+I242*[1]Sheet1!$K$4+[1]Sheet1!$L$4,IF(AND(OR(D242="T. domingensis",D242="T. latifolia"),J242&gt;0),J242*[1]Sheet1!$G$5+K242*[1]Sheet1!$H$5+L242*[1]Sheet1!$I$5+[1]Sheet1!$L$5,0)))))))</f>
        <v>23.715683435070755</v>
      </c>
    </row>
    <row r="243" spans="1:15">
      <c r="A243" s="2">
        <v>40731</v>
      </c>
      <c r="B243" s="3" t="s">
        <v>30</v>
      </c>
      <c r="C243">
        <v>30</v>
      </c>
      <c r="D243" s="6" t="s">
        <v>12</v>
      </c>
      <c r="E243">
        <v>370</v>
      </c>
      <c r="F243">
        <v>1.1499999999999999</v>
      </c>
      <c r="G243">
        <v>19</v>
      </c>
      <c r="M243" t="s">
        <v>49</v>
      </c>
      <c r="N243">
        <f t="shared" si="5"/>
        <v>128.10487722916662</v>
      </c>
      <c r="O243">
        <f>IF(AND(OR(D243="S. acutus",D243="S. californicus",D243="S. tabernaemontani"),G243=0),E243*[1]Sheet1!$D$7+[1]Sheet1!$L$7,IF(AND(OR(D243="S. acutus",D243="S. tabernaemontani"),G243&gt;0),E243*[1]Sheet1!$D$8+N243*[1]Sheet1!$E$8,IF(AND(D243="S. californicus",G243&gt;0),E243*[1]Sheet1!$D$9+N243*[1]Sheet1!$E$9,IF(D243="S.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latifolia"),E243&gt;0),F243*[1]Sheet1!$C$4+E243*[1]Sheet1!$D$4+H243*[1]Sheet1!$J$4+I243*[1]Sheet1!$K$4+[1]Sheet1!$L$4,IF(AND(OR(D243="T. domingensis",D243="T. latifolia"),J243&gt;0),J243*[1]Sheet1!$G$5+K243*[1]Sheet1!$H$5+L243*[1]Sheet1!$I$5+[1]Sheet1!$L$5,0)))))))</f>
        <v>18.372719341168672</v>
      </c>
    </row>
    <row r="244" spans="1:15">
      <c r="A244" s="2">
        <v>40731</v>
      </c>
      <c r="B244" s="3" t="s">
        <v>30</v>
      </c>
      <c r="C244">
        <v>30</v>
      </c>
      <c r="D244" s="6" t="s">
        <v>29</v>
      </c>
      <c r="E244">
        <v>42</v>
      </c>
      <c r="F244">
        <v>0.39</v>
      </c>
      <c r="G244">
        <v>0</v>
      </c>
      <c r="M244" t="s">
        <v>49</v>
      </c>
      <c r="O244">
        <f>IF(AND(OR(D244="S. acutus",D244="S. californicus",D244="S. tabernaemontani"),G244=0),E244*[1]Sheet1!$D$7+[1]Sheet1!$L$7,IF(AND(OR(D244="S. acutus",D244="S. tabernaemontani"),G244&gt;0),E244*[1]Sheet1!$D$8+N244*[1]Sheet1!$E$8,IF(AND(D244="S. californicus",G244&gt;0),E244*[1]Sheet1!$D$9+N244*[1]Sheet1!$E$9,IF(D244="S.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latifolia"),E244&gt;0),F244*[1]Sheet1!$C$4+E244*[1]Sheet1!$D$4+H244*[1]Sheet1!$J$4+I244*[1]Sheet1!$K$4+[1]Sheet1!$L$4,IF(AND(OR(D244="T. domingensis",D244="T. latifolia"),J244&gt;0),J244*[1]Sheet1!$G$5+K244*[1]Sheet1!$H$5+L244*[1]Sheet1!$I$5+[1]Sheet1!$L$5,0)))))))</f>
        <v>-0.25387212899999989</v>
      </c>
    </row>
    <row r="245" spans="1:15">
      <c r="A245" s="2">
        <v>40731</v>
      </c>
      <c r="B245" s="3" t="s">
        <v>30</v>
      </c>
      <c r="C245">
        <v>30</v>
      </c>
      <c r="D245" s="6" t="s">
        <v>29</v>
      </c>
      <c r="E245">
        <f>45</f>
        <v>45</v>
      </c>
      <c r="F245">
        <v>0.69</v>
      </c>
      <c r="G245">
        <v>0</v>
      </c>
      <c r="M245" t="s">
        <v>49</v>
      </c>
      <c r="O245">
        <f>IF(AND(OR(D245="S. acutus",D245="S. californicus",D245="S. tabernaemontani"),G245=0),E245*[1]Sheet1!$D$7+[1]Sheet1!$L$7,IF(AND(OR(D245="S. acutus",D245="S. tabernaemontani"),G245&gt;0),E245*[1]Sheet1!$D$8+N245*[1]Sheet1!$E$8,IF(AND(D245="S. californicus",G245&gt;0),E245*[1]Sheet1!$D$9+N245*[1]Sheet1!$E$9,IF(D245="S.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latifolia"),E245&gt;0),F245*[1]Sheet1!$C$4+E245*[1]Sheet1!$D$4+H245*[1]Sheet1!$J$4+I245*[1]Sheet1!$K$4+[1]Sheet1!$L$4,IF(AND(OR(D245="T. domingensis",D245="T. latifolia"),J245&gt;0),J245*[1]Sheet1!$G$5+K245*[1]Sheet1!$H$5+L245*[1]Sheet1!$I$5+[1]Sheet1!$L$5,0)))))))</f>
        <v>0.85892264099999949</v>
      </c>
    </row>
    <row r="246" spans="1:15">
      <c r="A246" s="2">
        <v>40731</v>
      </c>
      <c r="B246" s="3" t="s">
        <v>30</v>
      </c>
      <c r="C246">
        <v>30</v>
      </c>
      <c r="D246" s="6" t="s">
        <v>29</v>
      </c>
      <c r="E246">
        <v>66</v>
      </c>
      <c r="F246">
        <v>0.38</v>
      </c>
      <c r="G246">
        <v>0</v>
      </c>
      <c r="M246" t="s">
        <v>49</v>
      </c>
      <c r="O246">
        <f>IF(AND(OR(D246="S. acutus",D246="S. californicus",D246="S. tabernaemontani"),G246=0),E246*[1]Sheet1!$D$7+[1]Sheet1!$L$7,IF(AND(OR(D246="S. acutus",D246="S. tabernaemontani"),G246&gt;0),E246*[1]Sheet1!$D$8+N246*[1]Sheet1!$E$8,IF(AND(D246="S. californicus",G246&gt;0),E246*[1]Sheet1!$D$9+N246*[1]Sheet1!$E$9,IF(D246="S.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latifolia"),E246&gt;0),F246*[1]Sheet1!$C$4+E246*[1]Sheet1!$D$4+H246*[1]Sheet1!$J$4+I246*[1]Sheet1!$K$4+[1]Sheet1!$L$4,IF(AND(OR(D246="T. domingensis",D246="T. latifolia"),J246&gt;0),J246*[1]Sheet1!$G$5+K246*[1]Sheet1!$H$5+L246*[1]Sheet1!$I$5+[1]Sheet1!$L$5,0)))))))</f>
        <v>8.6939581999999849E-2</v>
      </c>
    </row>
    <row r="247" spans="1:15">
      <c r="A247" s="2">
        <v>40731</v>
      </c>
      <c r="B247" s="3" t="s">
        <v>30</v>
      </c>
      <c r="C247">
        <v>30</v>
      </c>
      <c r="D247" s="6" t="s">
        <v>29</v>
      </c>
      <c r="E247">
        <v>80</v>
      </c>
      <c r="F247">
        <v>0.56000000000000005</v>
      </c>
      <c r="G247">
        <v>0</v>
      </c>
      <c r="M247" t="s">
        <v>49</v>
      </c>
      <c r="O247">
        <f>IF(AND(OR(D247="S. acutus",D247="S. californicus",D247="S. tabernaemontani"),G247=0),E247*[1]Sheet1!$D$7+[1]Sheet1!$L$7,IF(AND(OR(D247="S. acutus",D247="S. tabernaemontani"),G247&gt;0),E247*[1]Sheet1!$D$8+N247*[1]Sheet1!$E$8,IF(AND(D247="S. californicus",G247&gt;0),E247*[1]Sheet1!$D$9+N247*[1]Sheet1!$E$9,IF(D247="S.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latifolia"),E247&gt;0),F247*[1]Sheet1!$C$4+E247*[1]Sheet1!$D$4+H247*[1]Sheet1!$J$4+I247*[1]Sheet1!$K$4+[1]Sheet1!$L$4,IF(AND(OR(D247="T. domingensis",D247="T. latifolia"),J247&gt;0),J247*[1]Sheet1!$G$5+K247*[1]Sheet1!$H$5+L247*[1]Sheet1!$I$5+[1]Sheet1!$L$5,0)))))))</f>
        <v>0.9459209839999998</v>
      </c>
    </row>
    <row r="248" spans="1:15">
      <c r="A248" s="2">
        <v>40731</v>
      </c>
      <c r="B248" s="3" t="s">
        <v>30</v>
      </c>
      <c r="C248">
        <v>30</v>
      </c>
      <c r="D248" s="6" t="s">
        <v>29</v>
      </c>
      <c r="E248">
        <v>109</v>
      </c>
      <c r="F248">
        <v>0.62</v>
      </c>
      <c r="G248">
        <v>0</v>
      </c>
      <c r="M248" t="s">
        <v>49</v>
      </c>
      <c r="O248">
        <f>IF(AND(OR(D248="S. acutus",D248="S. californicus",D248="S. tabernaemontani"),G248=0),E248*[1]Sheet1!$D$7+[1]Sheet1!$L$7,IF(AND(OR(D248="S. acutus",D248="S. tabernaemontani"),G248&gt;0),E248*[1]Sheet1!$D$8+N248*[1]Sheet1!$E$8,IF(AND(D248="S. californicus",G248&gt;0),E248*[1]Sheet1!$D$9+N248*[1]Sheet1!$E$9,IF(D248="S.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latifolia"),E248&gt;0),F248*[1]Sheet1!$C$4+E248*[1]Sheet1!$D$4+H248*[1]Sheet1!$J$4+I248*[1]Sheet1!$K$4+[1]Sheet1!$L$4,IF(AND(OR(D248="T. domingensis",D248="T. latifolia"),J248&gt;0),J248*[1]Sheet1!$G$5+K248*[1]Sheet1!$H$5+L248*[1]Sheet1!$I$5+[1]Sheet1!$L$5,0)))))))</f>
        <v>1.6138118179999998</v>
      </c>
    </row>
    <row r="249" spans="1:15">
      <c r="A249" s="2">
        <v>40731</v>
      </c>
      <c r="B249" s="3" t="s">
        <v>30</v>
      </c>
      <c r="C249">
        <v>30</v>
      </c>
      <c r="D249" s="6" t="s">
        <v>29</v>
      </c>
      <c r="E249">
        <v>115</v>
      </c>
      <c r="F249">
        <v>0.52</v>
      </c>
      <c r="G249">
        <v>0</v>
      </c>
      <c r="M249" t="s">
        <v>49</v>
      </c>
      <c r="O249">
        <f>IF(AND(OR(D249="S. acutus",D249="S. californicus",D249="S. tabernaemontani"),G249=0),E249*[1]Sheet1!$D$7+[1]Sheet1!$L$7,IF(AND(OR(D249="S. acutus",D249="S. tabernaemontani"),G249&gt;0),E249*[1]Sheet1!$D$8+N249*[1]Sheet1!$E$8,IF(AND(D249="S. californicus",G249&gt;0),E249*[1]Sheet1!$D$9+N249*[1]Sheet1!$E$9,IF(D249="S.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latifolia"),E249&gt;0),F249*[1]Sheet1!$C$4+E249*[1]Sheet1!$D$4+H249*[1]Sheet1!$J$4+I249*[1]Sheet1!$K$4+[1]Sheet1!$L$4,IF(AND(OR(D249="T. domingensis",D249="T. latifolia"),J249&gt;0),J249*[1]Sheet1!$G$5+K249*[1]Sheet1!$H$5+L249*[1]Sheet1!$I$5+[1]Sheet1!$L$5,0)))))))</f>
        <v>1.3526451279999998</v>
      </c>
    </row>
    <row r="250" spans="1:15">
      <c r="A250" s="2">
        <v>40731</v>
      </c>
      <c r="B250" s="3" t="s">
        <v>30</v>
      </c>
      <c r="C250">
        <v>30</v>
      </c>
      <c r="D250" s="6" t="s">
        <v>29</v>
      </c>
      <c r="E250">
        <v>118</v>
      </c>
      <c r="F250">
        <v>0.38</v>
      </c>
      <c r="G250">
        <v>0</v>
      </c>
      <c r="M250" t="s">
        <v>49</v>
      </c>
      <c r="O250">
        <f>IF(AND(OR(D250="S. acutus",D250="S. californicus",D250="S. tabernaemontani"),G250=0),E250*[1]Sheet1!$D$7+[1]Sheet1!$L$7,IF(AND(OR(D250="S. acutus",D250="S. tabernaemontani"),G250&gt;0),E250*[1]Sheet1!$D$8+N250*[1]Sheet1!$E$8,IF(AND(D250="S. californicus",G250&gt;0),E250*[1]Sheet1!$D$9+N250*[1]Sheet1!$E$9,IF(D250="S.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latifolia"),E250&gt;0),F250*[1]Sheet1!$C$4+E250*[1]Sheet1!$D$4+H250*[1]Sheet1!$J$4+I250*[1]Sheet1!$K$4+[1]Sheet1!$L$4,IF(AND(OR(D250="T. domingensis",D250="T. latifolia"),J250&gt;0),J250*[1]Sheet1!$G$5+K250*[1]Sheet1!$H$5+L250*[1]Sheet1!$I$5+[1]Sheet1!$L$5,0)))))))</f>
        <v>0.90233598199999987</v>
      </c>
    </row>
    <row r="251" spans="1:15">
      <c r="A251" s="2">
        <v>40731</v>
      </c>
      <c r="B251" s="3" t="s">
        <v>30</v>
      </c>
      <c r="C251">
        <v>30</v>
      </c>
      <c r="D251" s="6" t="s">
        <v>29</v>
      </c>
      <c r="E251">
        <v>121</v>
      </c>
      <c r="F251">
        <v>0.79</v>
      </c>
      <c r="G251">
        <v>0</v>
      </c>
      <c r="M251" t="s">
        <v>49</v>
      </c>
      <c r="O251">
        <f>IF(AND(OR(D251="S. acutus",D251="S. californicus",D251="S. tabernaemontani"),G251=0),E251*[1]Sheet1!$D$7+[1]Sheet1!$L$7,IF(AND(OR(D251="S. acutus",D251="S. tabernaemontani"),G251&gt;0),E251*[1]Sheet1!$D$8+N251*[1]Sheet1!$E$8,IF(AND(D251="S. californicus",G251&gt;0),E251*[1]Sheet1!$D$9+N251*[1]Sheet1!$E$9,IF(D251="S.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latifolia"),E251&gt;0),F251*[1]Sheet1!$C$4+E251*[1]Sheet1!$D$4+H251*[1]Sheet1!$J$4+I251*[1]Sheet1!$K$4+[1]Sheet1!$L$4,IF(AND(OR(D251="T. domingensis",D251="T. latifolia"),J251&gt;0),J251*[1]Sheet1!$G$5+K251*[1]Sheet1!$H$5+L251*[1]Sheet1!$I$5+[1]Sheet1!$L$5,0)))))))</f>
        <v>2.4059067309999995</v>
      </c>
    </row>
    <row r="252" spans="1:15">
      <c r="A252" s="2">
        <v>40731</v>
      </c>
      <c r="B252" s="3" t="s">
        <v>30</v>
      </c>
      <c r="C252">
        <v>30</v>
      </c>
      <c r="D252" s="6" t="s">
        <v>29</v>
      </c>
      <c r="E252">
        <v>135</v>
      </c>
      <c r="F252">
        <v>0.35</v>
      </c>
      <c r="G252">
        <v>0</v>
      </c>
      <c r="M252" t="s">
        <v>49</v>
      </c>
      <c r="O252">
        <f>IF(AND(OR(D252="S. acutus",D252="S. californicus",D252="S. tabernaemontani"),G252=0),E252*[1]Sheet1!$D$7+[1]Sheet1!$L$7,IF(AND(OR(D252="S. acutus",D252="S. tabernaemontani"),G252&gt;0),E252*[1]Sheet1!$D$8+N252*[1]Sheet1!$E$8,IF(AND(D252="S. californicus",G252&gt;0),E252*[1]Sheet1!$D$9+N252*[1]Sheet1!$E$9,IF(D252="S.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latifolia"),E252&gt;0),F252*[1]Sheet1!$C$4+E252*[1]Sheet1!$D$4+H252*[1]Sheet1!$J$4+I252*[1]Sheet1!$K$4+[1]Sheet1!$L$4,IF(AND(OR(D252="T. domingensis",D252="T. latifolia"),J252&gt;0),J252*[1]Sheet1!$G$5+K252*[1]Sheet1!$H$5+L252*[1]Sheet1!$I$5+[1]Sheet1!$L$5,0)))))))</f>
        <v>1.0623326149999994</v>
      </c>
    </row>
    <row r="253" spans="1:15">
      <c r="A253" s="2">
        <v>40731</v>
      </c>
      <c r="B253" s="3" t="s">
        <v>30</v>
      </c>
      <c r="C253">
        <v>30</v>
      </c>
      <c r="D253" s="6" t="s">
        <v>29</v>
      </c>
      <c r="E253">
        <v>136</v>
      </c>
      <c r="F253">
        <v>0.4</v>
      </c>
      <c r="G253">
        <v>0</v>
      </c>
      <c r="M253" t="s">
        <v>49</v>
      </c>
      <c r="O253">
        <f>IF(AND(OR(D253="S. acutus",D253="S. californicus",D253="S. tabernaemontani"),G253=0),E253*[1]Sheet1!$D$7+[1]Sheet1!$L$7,IF(AND(OR(D253="S. acutus",D253="S. tabernaemontani"),G253&gt;0),E253*[1]Sheet1!$D$8+N253*[1]Sheet1!$E$8,IF(AND(D253="S. californicus",G253&gt;0),E253*[1]Sheet1!$D$9+N253*[1]Sheet1!$E$9,IF(D253="S.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latifolia"),E253&gt;0),F253*[1]Sheet1!$C$4+E253*[1]Sheet1!$D$4+H253*[1]Sheet1!$J$4+I253*[1]Sheet1!$K$4+[1]Sheet1!$L$4,IF(AND(OR(D253="T. domingensis",D253="T. latifolia"),J253&gt;0),J253*[1]Sheet1!$G$5+K253*[1]Sheet1!$H$5+L253*[1]Sheet1!$I$5+[1]Sheet1!$L$5,0)))))))</f>
        <v>1.2556387599999996</v>
      </c>
    </row>
    <row r="254" spans="1:15">
      <c r="A254" s="2">
        <v>40731</v>
      </c>
      <c r="B254" s="3" t="s">
        <v>30</v>
      </c>
      <c r="C254">
        <v>30</v>
      </c>
      <c r="D254" s="6" t="s">
        <v>29</v>
      </c>
      <c r="E254">
        <v>141</v>
      </c>
      <c r="F254">
        <v>0.42</v>
      </c>
      <c r="G254">
        <v>0</v>
      </c>
      <c r="M254" t="s">
        <v>49</v>
      </c>
      <c r="O254">
        <f>IF(AND(OR(D254="S. acutus",D254="S. californicus",D254="S. tabernaemontani"),G254=0),E254*[1]Sheet1!$D$7+[1]Sheet1!$L$7,IF(AND(OR(D254="S. acutus",D254="S. tabernaemontani"),G254&gt;0),E254*[1]Sheet1!$D$8+N254*[1]Sheet1!$E$8,IF(AND(D254="S. californicus",G254&gt;0),E254*[1]Sheet1!$D$9+N254*[1]Sheet1!$E$9,IF(D254="S.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latifolia"),E254&gt;0),F254*[1]Sheet1!$C$4+E254*[1]Sheet1!$D$4+H254*[1]Sheet1!$J$4+I254*[1]Sheet1!$K$4+[1]Sheet1!$L$4,IF(AND(OR(D254="T. domingensis",D254="T. latifolia"),J254&gt;0),J254*[1]Sheet1!$G$5+K254*[1]Sheet1!$H$5+L254*[1]Sheet1!$I$5+[1]Sheet1!$L$5,0)))))))</f>
        <v>1.4050924379999992</v>
      </c>
    </row>
    <row r="255" spans="1:15">
      <c r="A255" s="2">
        <v>40731</v>
      </c>
      <c r="B255" s="3" t="s">
        <v>30</v>
      </c>
      <c r="C255">
        <v>30</v>
      </c>
      <c r="D255" s="6" t="s">
        <v>29</v>
      </c>
      <c r="E255">
        <v>143</v>
      </c>
      <c r="F255">
        <v>0.42</v>
      </c>
      <c r="G255">
        <v>0</v>
      </c>
      <c r="M255" t="s">
        <v>49</v>
      </c>
      <c r="O255">
        <f>IF(AND(OR(D255="S. acutus",D255="S. californicus",D255="S. tabernaemontani"),G255=0),E255*[1]Sheet1!$D$7+[1]Sheet1!$L$7,IF(AND(OR(D255="S. acutus",D255="S. tabernaemontani"),G255&gt;0),E255*[1]Sheet1!$D$8+N255*[1]Sheet1!$E$8,IF(AND(D255="S. californicus",G255&gt;0),E255*[1]Sheet1!$D$9+N255*[1]Sheet1!$E$9,IF(D255="S.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latifolia"),E255&gt;0),F255*[1]Sheet1!$C$4+E255*[1]Sheet1!$D$4+H255*[1]Sheet1!$J$4+I255*[1]Sheet1!$K$4+[1]Sheet1!$L$4,IF(AND(OR(D255="T. domingensis",D255="T. latifolia"),J255&gt;0),J255*[1]Sheet1!$G$5+K255*[1]Sheet1!$H$5+L255*[1]Sheet1!$I$5+[1]Sheet1!$L$5,0)))))))</f>
        <v>1.4364538379999998</v>
      </c>
    </row>
    <row r="256" spans="1:15">
      <c r="A256" s="2">
        <v>40731</v>
      </c>
      <c r="B256" s="3" t="s">
        <v>30</v>
      </c>
      <c r="C256">
        <v>30</v>
      </c>
      <c r="D256" s="6" t="s">
        <v>29</v>
      </c>
      <c r="E256">
        <v>147</v>
      </c>
      <c r="F256">
        <v>0.42</v>
      </c>
      <c r="G256">
        <v>0</v>
      </c>
      <c r="M256" t="s">
        <v>49</v>
      </c>
      <c r="O256">
        <f>IF(AND(OR(D256="S. acutus",D256="S. californicus",D256="S. tabernaemontani"),G256=0),E256*[1]Sheet1!$D$7+[1]Sheet1!$L$7,IF(AND(OR(D256="S. acutus",D256="S. tabernaemontani"),G256&gt;0),E256*[1]Sheet1!$D$8+N256*[1]Sheet1!$E$8,IF(AND(D256="S. californicus",G256&gt;0),E256*[1]Sheet1!$D$9+N256*[1]Sheet1!$E$9,IF(D256="S.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latifolia"),E256&gt;0),F256*[1]Sheet1!$C$4+E256*[1]Sheet1!$D$4+H256*[1]Sheet1!$J$4+I256*[1]Sheet1!$K$4+[1]Sheet1!$L$4,IF(AND(OR(D256="T. domingensis",D256="T. latifolia"),J256&gt;0),J256*[1]Sheet1!$G$5+K256*[1]Sheet1!$H$5+L256*[1]Sheet1!$I$5+[1]Sheet1!$L$5,0)))))))</f>
        <v>1.4991766379999993</v>
      </c>
    </row>
    <row r="257" spans="1:15">
      <c r="A257" s="2">
        <v>40731</v>
      </c>
      <c r="B257" s="3" t="s">
        <v>30</v>
      </c>
      <c r="C257">
        <v>30</v>
      </c>
      <c r="D257" s="6" t="s">
        <v>29</v>
      </c>
      <c r="E257">
        <v>148</v>
      </c>
      <c r="F257">
        <v>0.56000000000000005</v>
      </c>
      <c r="G257">
        <v>0</v>
      </c>
      <c r="M257" t="s">
        <v>49</v>
      </c>
      <c r="O257">
        <f>IF(AND(OR(D257="S. acutus",D257="S. californicus",D257="S. tabernaemontani"),G257=0),E257*[1]Sheet1!$D$7+[1]Sheet1!$L$7,IF(AND(OR(D257="S. acutus",D257="S. tabernaemontani"),G257&gt;0),E257*[1]Sheet1!$D$8+N257*[1]Sheet1!$E$8,IF(AND(D257="S. californicus",G257&gt;0),E257*[1]Sheet1!$D$9+N257*[1]Sheet1!$E$9,IF(D257="S.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latifolia"),E257&gt;0),F257*[1]Sheet1!$C$4+E257*[1]Sheet1!$D$4+H257*[1]Sheet1!$J$4+I257*[1]Sheet1!$K$4+[1]Sheet1!$L$4,IF(AND(OR(D257="T. domingensis",D257="T. latifolia"),J257&gt;0),J257*[1]Sheet1!$G$5+K257*[1]Sheet1!$H$5+L257*[1]Sheet1!$I$5+[1]Sheet1!$L$5,0)))))))</f>
        <v>2.0122085840000001</v>
      </c>
    </row>
    <row r="258" spans="1:15">
      <c r="A258" s="2">
        <v>40731</v>
      </c>
      <c r="B258" s="3" t="s">
        <v>30</v>
      </c>
      <c r="C258">
        <v>30</v>
      </c>
      <c r="D258" s="6" t="s">
        <v>29</v>
      </c>
      <c r="E258">
        <v>150</v>
      </c>
      <c r="F258">
        <v>0.42</v>
      </c>
      <c r="G258">
        <v>0</v>
      </c>
      <c r="M258" t="s">
        <v>49</v>
      </c>
      <c r="O258">
        <f>IF(AND(OR(D258="S. acutus",D258="S. californicus",D258="S. tabernaemontani"),G258=0),E258*[1]Sheet1!$D$7+[1]Sheet1!$L$7,IF(AND(OR(D258="S. acutus",D258="S. tabernaemontani"),G258&gt;0),E258*[1]Sheet1!$D$8+N258*[1]Sheet1!$E$8,IF(AND(D258="S. californicus",G258&gt;0),E258*[1]Sheet1!$D$9+N258*[1]Sheet1!$E$9,IF(D258="S.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latifolia"),E258&gt;0),F258*[1]Sheet1!$C$4+E258*[1]Sheet1!$D$4+H258*[1]Sheet1!$J$4+I258*[1]Sheet1!$K$4+[1]Sheet1!$L$4,IF(AND(OR(D258="T. domingensis",D258="T. latifolia"),J258&gt;0),J258*[1]Sheet1!$G$5+K258*[1]Sheet1!$H$5+L258*[1]Sheet1!$I$5+[1]Sheet1!$L$5,0)))))))</f>
        <v>1.5462187379999999</v>
      </c>
    </row>
    <row r="259" spans="1:15">
      <c r="A259" s="2">
        <v>40731</v>
      </c>
      <c r="B259" s="3" t="s">
        <v>30</v>
      </c>
      <c r="C259">
        <v>30</v>
      </c>
      <c r="D259" s="6" t="s">
        <v>29</v>
      </c>
      <c r="E259">
        <v>151</v>
      </c>
      <c r="F259">
        <v>0.43</v>
      </c>
      <c r="G259">
        <v>0</v>
      </c>
      <c r="M259" t="s">
        <v>49</v>
      </c>
      <c r="O259">
        <f>IF(AND(OR(D259="S. acutus",D259="S. californicus",D259="S. tabernaemontani"),G259=0),E259*[1]Sheet1!$D$7+[1]Sheet1!$L$7,IF(AND(OR(D259="S. acutus",D259="S. tabernaemontani"),G259&gt;0),E259*[1]Sheet1!$D$8+N259*[1]Sheet1!$E$8,IF(AND(D259="S. californicus",G259&gt;0),E259*[1]Sheet1!$D$9+N259*[1]Sheet1!$E$9,IF(D259="S.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latifolia"),E259&gt;0),F259*[1]Sheet1!$C$4+E259*[1]Sheet1!$D$4+H259*[1]Sheet1!$J$4+I259*[1]Sheet1!$K$4+[1]Sheet1!$L$4,IF(AND(OR(D259="T. domingensis",D259="T. latifolia"),J259&gt;0),J259*[1]Sheet1!$G$5+K259*[1]Sheet1!$H$5+L259*[1]Sheet1!$I$5+[1]Sheet1!$L$5,0)))))))</f>
        <v>1.5974245269999998</v>
      </c>
    </row>
    <row r="260" spans="1:15">
      <c r="A260" s="2">
        <v>40731</v>
      </c>
      <c r="B260" s="3" t="s">
        <v>30</v>
      </c>
      <c r="C260">
        <v>30</v>
      </c>
      <c r="D260" s="6" t="s">
        <v>29</v>
      </c>
      <c r="E260">
        <v>151</v>
      </c>
      <c r="F260">
        <v>0.71</v>
      </c>
      <c r="G260">
        <v>0</v>
      </c>
      <c r="M260" t="s">
        <v>49</v>
      </c>
      <c r="O260">
        <f>IF(AND(OR(D260="S. acutus",D260="S. californicus",D260="S. tabernaemontani"),G260=0),E260*[1]Sheet1!$D$7+[1]Sheet1!$L$7,IF(AND(OR(D260="S. acutus",D260="S. tabernaemontani"),G260&gt;0),E260*[1]Sheet1!$D$8+N260*[1]Sheet1!$E$8,IF(AND(D260="S. californicus",G260&gt;0),E260*[1]Sheet1!$D$9+N260*[1]Sheet1!$E$9,IF(D260="S.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latifolia"),E260&gt;0),F260*[1]Sheet1!$C$4+E260*[1]Sheet1!$D$4+H260*[1]Sheet1!$J$4+I260*[1]Sheet1!$K$4+[1]Sheet1!$L$4,IF(AND(OR(D260="T. domingensis",D260="T. latifolia"),J260&gt;0),J260*[1]Sheet1!$G$5+K260*[1]Sheet1!$H$5+L260*[1]Sheet1!$I$5+[1]Sheet1!$L$5,0)))))))</f>
        <v>2.5921270189999999</v>
      </c>
    </row>
    <row r="261" spans="1:15">
      <c r="A261" s="2">
        <v>40731</v>
      </c>
      <c r="B261" s="3" t="s">
        <v>30</v>
      </c>
      <c r="C261">
        <v>30</v>
      </c>
      <c r="D261" s="6" t="s">
        <v>29</v>
      </c>
      <c r="E261">
        <v>152</v>
      </c>
      <c r="F261">
        <v>0.61</v>
      </c>
      <c r="G261">
        <v>0</v>
      </c>
      <c r="M261" t="s">
        <v>49</v>
      </c>
      <c r="O261">
        <f>IF(AND(OR(D261="S. acutus",D261="S. californicus",D261="S. tabernaemontani"),G261=0),E261*[1]Sheet1!$D$7+[1]Sheet1!$L$7,IF(AND(OR(D261="S. acutus",D261="S. tabernaemontani"),G261&gt;0),E261*[1]Sheet1!$D$8+N261*[1]Sheet1!$E$8,IF(AND(D261="S. californicus",G261&gt;0),E261*[1]Sheet1!$D$9+N261*[1]Sheet1!$E$9,IF(D261="S.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latifolia"),E261&gt;0),F261*[1]Sheet1!$C$4+E261*[1]Sheet1!$D$4+H261*[1]Sheet1!$J$4+I261*[1]Sheet1!$K$4+[1]Sheet1!$L$4,IF(AND(OR(D261="T. domingensis",D261="T. latifolia"),J261&gt;0),J261*[1]Sheet1!$G$5+K261*[1]Sheet1!$H$5+L261*[1]Sheet1!$I$5+[1]Sheet1!$L$5,0)))))))</f>
        <v>2.252556829</v>
      </c>
    </row>
    <row r="262" spans="1:15">
      <c r="A262" s="2">
        <v>40731</v>
      </c>
      <c r="B262" s="3" t="s">
        <v>30</v>
      </c>
      <c r="C262">
        <v>30</v>
      </c>
      <c r="D262" s="6" t="s">
        <v>29</v>
      </c>
      <c r="E262">
        <v>156</v>
      </c>
      <c r="F262">
        <v>0.32</v>
      </c>
      <c r="G262">
        <v>0</v>
      </c>
      <c r="M262" t="s">
        <v>49</v>
      </c>
      <c r="O262">
        <f>IF(AND(OR(D262="S. acutus",D262="S. californicus",D262="S. tabernaemontani"),G262=0),E262*[1]Sheet1!$D$7+[1]Sheet1!$L$7,IF(AND(OR(D262="S. acutus",D262="S. tabernaemontani"),G262&gt;0),E262*[1]Sheet1!$D$8+N262*[1]Sheet1!$E$8,IF(AND(D262="S. californicus",G262&gt;0),E262*[1]Sheet1!$D$9+N262*[1]Sheet1!$E$9,IF(D262="S.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latifolia"),E262&gt;0),F262*[1]Sheet1!$C$4+E262*[1]Sheet1!$D$4+H262*[1]Sheet1!$J$4+I262*[1]Sheet1!$K$4+[1]Sheet1!$L$4,IF(AND(OR(D262="T. domingensis",D262="T. latifolia"),J262&gt;0),J262*[1]Sheet1!$G$5+K262*[1]Sheet1!$H$5+L262*[1]Sheet1!$I$5+[1]Sheet1!$L$5,0)))))))</f>
        <v>1.2850520479999994</v>
      </c>
    </row>
    <row r="263" spans="1:15">
      <c r="A263" s="2">
        <v>40731</v>
      </c>
      <c r="B263" s="3" t="s">
        <v>30</v>
      </c>
      <c r="C263">
        <v>30</v>
      </c>
      <c r="D263" s="6" t="s">
        <v>29</v>
      </c>
      <c r="E263">
        <v>158</v>
      </c>
      <c r="F263">
        <v>0.54</v>
      </c>
      <c r="G263">
        <v>0</v>
      </c>
      <c r="M263" t="s">
        <v>49</v>
      </c>
      <c r="O263">
        <f>IF(AND(OR(D263="S. acutus",D263="S. californicus",D263="S. tabernaemontani"),G263=0),E263*[1]Sheet1!$D$7+[1]Sheet1!$L$7,IF(AND(OR(D263="S. acutus",D263="S. tabernaemontani"),G263&gt;0),E263*[1]Sheet1!$D$8+N263*[1]Sheet1!$E$8,IF(AND(D263="S. californicus",G263&gt;0),E263*[1]Sheet1!$D$9+N263*[1]Sheet1!$E$9,IF(D263="S.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latifolia"),E263&gt;0),F263*[1]Sheet1!$C$4+E263*[1]Sheet1!$D$4+H263*[1]Sheet1!$J$4+I263*[1]Sheet1!$K$4+[1]Sheet1!$L$4,IF(AND(OR(D263="T. domingensis",D263="T. latifolia"),J263&gt;0),J263*[1]Sheet1!$G$5+K263*[1]Sheet1!$H$5+L263*[1]Sheet1!$I$5+[1]Sheet1!$L$5,0)))))))</f>
        <v>2.0979654059999997</v>
      </c>
    </row>
    <row r="264" spans="1:15">
      <c r="A264" s="2">
        <v>40731</v>
      </c>
      <c r="B264" s="3" t="s">
        <v>30</v>
      </c>
      <c r="C264">
        <v>30</v>
      </c>
      <c r="D264" s="6" t="s">
        <v>29</v>
      </c>
      <c r="E264">
        <v>162</v>
      </c>
      <c r="F264">
        <v>0.42</v>
      </c>
      <c r="G264">
        <v>0</v>
      </c>
      <c r="M264" t="s">
        <v>49</v>
      </c>
      <c r="O264">
        <f>IF(AND(OR(D264="S. acutus",D264="S. californicus",D264="S. tabernaemontani"),G264=0),E264*[1]Sheet1!$D$7+[1]Sheet1!$L$7,IF(AND(OR(D264="S. acutus",D264="S. tabernaemontani"),G264&gt;0),E264*[1]Sheet1!$D$8+N264*[1]Sheet1!$E$8,IF(AND(D264="S. californicus",G264&gt;0),E264*[1]Sheet1!$D$9+N264*[1]Sheet1!$E$9,IF(D264="S.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latifolia"),E264&gt;0),F264*[1]Sheet1!$C$4+E264*[1]Sheet1!$D$4+H264*[1]Sheet1!$J$4+I264*[1]Sheet1!$K$4+[1]Sheet1!$L$4,IF(AND(OR(D264="T. domingensis",D264="T. latifolia"),J264&gt;0),J264*[1]Sheet1!$G$5+K264*[1]Sheet1!$H$5+L264*[1]Sheet1!$I$5+[1]Sheet1!$L$5,0)))))))</f>
        <v>1.7343871379999993</v>
      </c>
    </row>
    <row r="265" spans="1:15">
      <c r="A265" s="2">
        <v>40731</v>
      </c>
      <c r="B265" s="3" t="s">
        <v>30</v>
      </c>
      <c r="C265">
        <v>30</v>
      </c>
      <c r="D265" s="6" t="s">
        <v>29</v>
      </c>
      <c r="E265">
        <v>167</v>
      </c>
      <c r="F265">
        <v>0.52</v>
      </c>
      <c r="G265">
        <v>0</v>
      </c>
      <c r="M265" t="s">
        <v>49</v>
      </c>
      <c r="O265">
        <f>IF(AND(OR(D265="S. acutus",D265="S. californicus",D265="S. tabernaemontani"),G265=0),E265*[1]Sheet1!$D$7+[1]Sheet1!$L$7,IF(AND(OR(D265="S. acutus",D265="S. tabernaemontani"),G265&gt;0),E265*[1]Sheet1!$D$8+N265*[1]Sheet1!$E$8,IF(AND(D265="S. californicus",G265&gt;0),E265*[1]Sheet1!$D$9+N265*[1]Sheet1!$E$9,IF(D265="S.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latifolia"),E265&gt;0),F265*[1]Sheet1!$C$4+E265*[1]Sheet1!$D$4+H265*[1]Sheet1!$J$4+I265*[1]Sheet1!$K$4+[1]Sheet1!$L$4,IF(AND(OR(D265="T. domingensis",D265="T. latifolia"),J265&gt;0),J265*[1]Sheet1!$G$5+K265*[1]Sheet1!$H$5+L265*[1]Sheet1!$I$5+[1]Sheet1!$L$5,0)))))))</f>
        <v>2.1680415279999994</v>
      </c>
    </row>
    <row r="266" spans="1:15">
      <c r="A266" s="2">
        <v>40731</v>
      </c>
      <c r="B266" s="3" t="s">
        <v>30</v>
      </c>
      <c r="C266">
        <v>30</v>
      </c>
      <c r="D266" s="6" t="s">
        <v>29</v>
      </c>
      <c r="E266">
        <v>175</v>
      </c>
      <c r="F266">
        <v>0.67</v>
      </c>
      <c r="G266">
        <v>0</v>
      </c>
      <c r="M266" t="s">
        <v>49</v>
      </c>
      <c r="O266">
        <f>IF(AND(OR(D266="S. acutus",D266="S. californicus",D266="S. tabernaemontani"),G266=0),E266*[1]Sheet1!$D$7+[1]Sheet1!$L$7,IF(AND(OR(D266="S. acutus",D266="S. tabernaemontani"),G266&gt;0),E266*[1]Sheet1!$D$8+N266*[1]Sheet1!$E$8,IF(AND(D266="S. californicus",G266&gt;0),E266*[1]Sheet1!$D$9+N266*[1]Sheet1!$E$9,IF(D266="S.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latifolia"),E266&gt;0),F266*[1]Sheet1!$C$4+E266*[1]Sheet1!$D$4+H266*[1]Sheet1!$J$4+I266*[1]Sheet1!$K$4+[1]Sheet1!$L$4,IF(AND(OR(D266="T. domingensis",D266="T. latifolia"),J266&gt;0),J266*[1]Sheet1!$G$5+K266*[1]Sheet1!$H$5+L266*[1]Sheet1!$I$5+[1]Sheet1!$L$5,0)))))))</f>
        <v>2.8263634629999994</v>
      </c>
    </row>
    <row r="267" spans="1:15">
      <c r="A267" s="2">
        <v>40731</v>
      </c>
      <c r="B267" s="3" t="s">
        <v>30</v>
      </c>
      <c r="C267">
        <v>30</v>
      </c>
      <c r="D267" s="6" t="s">
        <v>29</v>
      </c>
      <c r="E267">
        <v>177</v>
      </c>
      <c r="F267">
        <v>0.39</v>
      </c>
      <c r="G267">
        <v>0</v>
      </c>
      <c r="M267" t="s">
        <v>49</v>
      </c>
      <c r="O267">
        <f>IF(AND(OR(D267="S. acutus",D267="S. californicus",D267="S. tabernaemontani"),G267=0),E267*[1]Sheet1!$D$7+[1]Sheet1!$L$7,IF(AND(OR(D267="S. acutus",D267="S. tabernaemontani"),G267&gt;0),E267*[1]Sheet1!$D$8+N267*[1]Sheet1!$E$8,IF(AND(D267="S. californicus",G267&gt;0),E267*[1]Sheet1!$D$9+N267*[1]Sheet1!$E$9,IF(D267="S.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latifolia"),E267&gt;0),F267*[1]Sheet1!$C$4+E267*[1]Sheet1!$D$4+H267*[1]Sheet1!$J$4+I267*[1]Sheet1!$K$4+[1]Sheet1!$L$4,IF(AND(OR(D267="T. domingensis",D267="T. latifolia"),J267&gt;0),J267*[1]Sheet1!$G$5+K267*[1]Sheet1!$H$5+L267*[1]Sheet1!$I$5+[1]Sheet1!$L$5,0)))))))</f>
        <v>1.863022371</v>
      </c>
    </row>
    <row r="268" spans="1:15">
      <c r="A268" s="2">
        <v>40731</v>
      </c>
      <c r="B268" s="3" t="s">
        <v>30</v>
      </c>
      <c r="C268">
        <v>30</v>
      </c>
      <c r="D268" s="6" t="s">
        <v>29</v>
      </c>
      <c r="E268">
        <v>177</v>
      </c>
      <c r="F268">
        <v>0.54</v>
      </c>
      <c r="G268">
        <v>0</v>
      </c>
      <c r="M268" t="s">
        <v>49</v>
      </c>
      <c r="O268">
        <f>IF(AND(OR(D268="S. acutus",D268="S. californicus",D268="S. tabernaemontani"),G268=0),E268*[1]Sheet1!$D$7+[1]Sheet1!$L$7,IF(AND(OR(D268="S. acutus",D268="S. tabernaemontani"),G268&gt;0),E268*[1]Sheet1!$D$8+N268*[1]Sheet1!$E$8,IF(AND(D268="S. californicus",G268&gt;0),E268*[1]Sheet1!$D$9+N268*[1]Sheet1!$E$9,IF(D268="S.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latifolia"),E268&gt;0),F268*[1]Sheet1!$C$4+E268*[1]Sheet1!$D$4+H268*[1]Sheet1!$J$4+I268*[1]Sheet1!$K$4+[1]Sheet1!$L$4,IF(AND(OR(D268="T. domingensis",D268="T. latifolia"),J268&gt;0),J268*[1]Sheet1!$G$5+K268*[1]Sheet1!$H$5+L268*[1]Sheet1!$I$5+[1]Sheet1!$L$5,0)))))))</f>
        <v>2.3958987059999992</v>
      </c>
    </row>
    <row r="269" spans="1:15">
      <c r="A269" s="2">
        <v>40731</v>
      </c>
      <c r="B269" s="3" t="s">
        <v>30</v>
      </c>
      <c r="C269">
        <v>30</v>
      </c>
      <c r="D269" s="6" t="s">
        <v>29</v>
      </c>
      <c r="E269">
        <v>182</v>
      </c>
      <c r="F269">
        <v>0.3</v>
      </c>
      <c r="G269">
        <v>1</v>
      </c>
      <c r="M269" t="s">
        <v>49</v>
      </c>
      <c r="O269">
        <f>IF(AND(OR(D269="S. acutus",D269="S. californicus",D269="S. tabernaemontani"),G269=0),E269*[1]Sheet1!$D$7+[1]Sheet1!$L$7,IF(AND(OR(D269="S. acutus",D269="S. tabernaemontani"),G269&gt;0),E269*[1]Sheet1!$D$8+N269*[1]Sheet1!$E$8,IF(AND(D269="S. californicus",G269&gt;0),E269*[1]Sheet1!$D$9+N269*[1]Sheet1!$E$9,IF(D269="S.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latifolia"),E269&gt;0),F269*[1]Sheet1!$C$4+E269*[1]Sheet1!$D$4+H269*[1]Sheet1!$J$4+I269*[1]Sheet1!$K$4+[1]Sheet1!$L$4,IF(AND(OR(D269="T. domingensis",D269="T. latifolia"),J269&gt;0),J269*[1]Sheet1!$G$5+K269*[1]Sheet1!$H$5+L269*[1]Sheet1!$I$5+[1]Sheet1!$L$5,0)))))))</f>
        <v>1.6217000699999997</v>
      </c>
    </row>
    <row r="270" spans="1:15">
      <c r="A270" s="2">
        <v>40731</v>
      </c>
      <c r="B270" s="3" t="s">
        <v>30</v>
      </c>
      <c r="C270">
        <v>30</v>
      </c>
      <c r="D270" s="6" t="s">
        <v>29</v>
      </c>
      <c r="E270">
        <v>188</v>
      </c>
      <c r="F270">
        <v>0.57999999999999996</v>
      </c>
      <c r="G270">
        <v>0</v>
      </c>
      <c r="M270" t="s">
        <v>49</v>
      </c>
      <c r="O270">
        <f>IF(AND(OR(D270="S. acutus",D270="S. californicus",D270="S. tabernaemontani"),G270=0),E270*[1]Sheet1!$D$7+[1]Sheet1!$L$7,IF(AND(OR(D270="S. acutus",D270="S. tabernaemontani"),G270&gt;0),E270*[1]Sheet1!$D$8+N270*[1]Sheet1!$E$8,IF(AND(D270="S. californicus",G270&gt;0),E270*[1]Sheet1!$D$9+N270*[1]Sheet1!$E$9,IF(D270="S.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latifolia"),E270&gt;0),F270*[1]Sheet1!$C$4+E270*[1]Sheet1!$D$4+H270*[1]Sheet1!$J$4+I270*[1]Sheet1!$K$4+[1]Sheet1!$L$4,IF(AND(OR(D270="T. domingensis",D270="T. latifolia"),J270&gt;0),J270*[1]Sheet1!$G$5+K270*[1]Sheet1!$H$5+L270*[1]Sheet1!$I$5+[1]Sheet1!$L$5,0)))))))</f>
        <v>2.7104867619999991</v>
      </c>
    </row>
    <row r="271" spans="1:15">
      <c r="A271" s="2">
        <v>40731</v>
      </c>
      <c r="B271" s="3" t="s">
        <v>30</v>
      </c>
      <c r="C271">
        <v>30</v>
      </c>
      <c r="D271" s="6" t="s">
        <v>29</v>
      </c>
      <c r="E271">
        <v>189</v>
      </c>
      <c r="F271">
        <v>0.67</v>
      </c>
      <c r="G271">
        <v>0</v>
      </c>
      <c r="M271" t="s">
        <v>49</v>
      </c>
      <c r="O271">
        <f>IF(AND(OR(D271="S. acutus",D271="S. californicus",D271="S. tabernaemontani"),G271=0),E271*[1]Sheet1!$D$7+[1]Sheet1!$L$7,IF(AND(OR(D271="S. acutus",D271="S. tabernaemontani"),G271&gt;0),E271*[1]Sheet1!$D$8+N271*[1]Sheet1!$E$8,IF(AND(D271="S. californicus",G271&gt;0),E271*[1]Sheet1!$D$9+N271*[1]Sheet1!$E$9,IF(D271="S.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latifolia"),E271&gt;0),F271*[1]Sheet1!$C$4+E271*[1]Sheet1!$D$4+H271*[1]Sheet1!$J$4+I271*[1]Sheet1!$K$4+[1]Sheet1!$L$4,IF(AND(OR(D271="T. domingensis",D271="T. latifolia"),J271&gt;0),J271*[1]Sheet1!$G$5+K271*[1]Sheet1!$H$5+L271*[1]Sheet1!$I$5+[1]Sheet1!$L$5,0)))))))</f>
        <v>3.0458932629999995</v>
      </c>
    </row>
    <row r="272" spans="1:15">
      <c r="A272" s="2">
        <v>40731</v>
      </c>
      <c r="B272" s="3" t="s">
        <v>30</v>
      </c>
      <c r="C272">
        <v>30</v>
      </c>
      <c r="D272" s="6" t="s">
        <v>29</v>
      </c>
      <c r="E272">
        <v>191</v>
      </c>
      <c r="F272">
        <v>0.4</v>
      </c>
      <c r="G272">
        <v>0</v>
      </c>
      <c r="M272" t="s">
        <v>49</v>
      </c>
      <c r="O272">
        <f>IF(AND(OR(D272="S. acutus",D272="S. californicus",D272="S. tabernaemontani"),G272=0),E272*[1]Sheet1!$D$7+[1]Sheet1!$L$7,IF(AND(OR(D272="S. acutus",D272="S. tabernaemontani"),G272&gt;0),E272*[1]Sheet1!$D$8+N272*[1]Sheet1!$E$8,IF(AND(D272="S. californicus",G272&gt;0),E272*[1]Sheet1!$D$9+N272*[1]Sheet1!$E$9,IF(D272="S.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latifolia"),E272&gt;0),F272*[1]Sheet1!$C$4+E272*[1]Sheet1!$D$4+H272*[1]Sheet1!$J$4+I272*[1]Sheet1!$K$4+[1]Sheet1!$L$4,IF(AND(OR(D272="T. domingensis",D272="T. latifolia"),J272&gt;0),J272*[1]Sheet1!$G$5+K272*[1]Sheet1!$H$5+L272*[1]Sheet1!$I$5+[1]Sheet1!$L$5,0)))))))</f>
        <v>2.1180772600000002</v>
      </c>
    </row>
    <row r="273" spans="1:15">
      <c r="A273" s="2">
        <v>40731</v>
      </c>
      <c r="B273" s="3" t="s">
        <v>30</v>
      </c>
      <c r="C273">
        <v>30</v>
      </c>
      <c r="D273" s="6" t="s">
        <v>29</v>
      </c>
      <c r="E273">
        <v>192</v>
      </c>
      <c r="F273">
        <v>0.6</v>
      </c>
      <c r="G273">
        <v>0</v>
      </c>
      <c r="M273" t="s">
        <v>49</v>
      </c>
      <c r="O273">
        <f>IF(AND(OR(D273="S. acutus",D273="S. californicus",D273="S. tabernaemontani"),G273=0),E273*[1]Sheet1!$D$7+[1]Sheet1!$L$7,IF(AND(OR(D273="S. acutus",D273="S. tabernaemontani"),G273&gt;0),E273*[1]Sheet1!$D$8+N273*[1]Sheet1!$E$8,IF(AND(D273="S. californicus",G273&gt;0),E273*[1]Sheet1!$D$9+N273*[1]Sheet1!$E$9,IF(D273="S.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latifolia"),E273&gt;0),F273*[1]Sheet1!$C$4+E273*[1]Sheet1!$D$4+H273*[1]Sheet1!$J$4+I273*[1]Sheet1!$K$4+[1]Sheet1!$L$4,IF(AND(OR(D273="T. domingensis",D273="T. latifolia"),J273&gt;0),J273*[1]Sheet1!$G$5+K273*[1]Sheet1!$H$5+L273*[1]Sheet1!$I$5+[1]Sheet1!$L$5,0)))))))</f>
        <v>2.8442597399999996</v>
      </c>
    </row>
    <row r="274" spans="1:15">
      <c r="A274" s="2">
        <v>40731</v>
      </c>
      <c r="B274" s="3" t="s">
        <v>30</v>
      </c>
      <c r="C274">
        <v>30</v>
      </c>
      <c r="D274" s="6" t="s">
        <v>29</v>
      </c>
      <c r="E274">
        <v>200</v>
      </c>
      <c r="F274">
        <v>0.77</v>
      </c>
      <c r="G274">
        <v>0</v>
      </c>
      <c r="M274" t="s">
        <v>49</v>
      </c>
      <c r="O274">
        <f>IF(AND(OR(D274="S. acutus",D274="S. californicus",D274="S. tabernaemontani"),G274=0),E274*[1]Sheet1!$D$7+[1]Sheet1!$L$7,IF(AND(OR(D274="S. acutus",D274="S. tabernaemontani"),G274&gt;0),E274*[1]Sheet1!$D$8+N274*[1]Sheet1!$E$8,IF(AND(D274="S. californicus",G274&gt;0),E274*[1]Sheet1!$D$9+N274*[1]Sheet1!$E$9,IF(D274="S.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latifolia"),E274&gt;0),F274*[1]Sheet1!$C$4+E274*[1]Sheet1!$D$4+H274*[1]Sheet1!$J$4+I274*[1]Sheet1!$K$4+[1]Sheet1!$L$4,IF(AND(OR(D274="T. domingensis",D274="T. latifolia"),J274&gt;0),J274*[1]Sheet1!$G$5+K274*[1]Sheet1!$H$5+L274*[1]Sheet1!$I$5+[1]Sheet1!$L$5,0)))))))</f>
        <v>3.5736318529999997</v>
      </c>
    </row>
    <row r="275" spans="1:15">
      <c r="A275" s="2">
        <v>40731</v>
      </c>
      <c r="B275" s="3" t="s">
        <v>30</v>
      </c>
      <c r="C275">
        <v>30</v>
      </c>
      <c r="D275" s="6" t="s">
        <v>29</v>
      </c>
      <c r="E275">
        <v>218</v>
      </c>
      <c r="F275">
        <v>0.42</v>
      </c>
      <c r="G275">
        <v>0</v>
      </c>
      <c r="M275" t="s">
        <v>49</v>
      </c>
      <c r="O275">
        <f>IF(AND(OR(D275="S. acutus",D275="S. californicus",D275="S. tabernaemontani"),G275=0),E275*[1]Sheet1!$D$7+[1]Sheet1!$L$7,IF(AND(OR(D275="S. acutus",D275="S. tabernaemontani"),G275&gt;0),E275*[1]Sheet1!$D$8+N275*[1]Sheet1!$E$8,IF(AND(D275="S. californicus",G275&gt;0),E275*[1]Sheet1!$D$9+N275*[1]Sheet1!$E$9,IF(D275="S.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latifolia"),E275&gt;0),F275*[1]Sheet1!$C$4+E275*[1]Sheet1!$D$4+H275*[1]Sheet1!$J$4+I275*[1]Sheet1!$K$4+[1]Sheet1!$L$4,IF(AND(OR(D275="T. domingensis",D275="T. latifolia"),J275&gt;0),J275*[1]Sheet1!$G$5+K275*[1]Sheet1!$H$5+L275*[1]Sheet1!$I$5+[1]Sheet1!$L$5,0)))))))</f>
        <v>2.6125063379999998</v>
      </c>
    </row>
    <row r="276" spans="1:15">
      <c r="A276" s="2">
        <v>40731</v>
      </c>
      <c r="B276" s="3" t="s">
        <v>30</v>
      </c>
      <c r="C276">
        <v>30</v>
      </c>
      <c r="D276" s="6" t="s">
        <v>29</v>
      </c>
      <c r="E276">
        <v>220</v>
      </c>
      <c r="F276">
        <v>0.67</v>
      </c>
      <c r="G276">
        <v>0</v>
      </c>
      <c r="M276" t="s">
        <v>49</v>
      </c>
      <c r="O276">
        <f>IF(AND(OR(D276="S. acutus",D276="S. californicus",D276="S. tabernaemontani"),G276=0),E276*[1]Sheet1!$D$7+[1]Sheet1!$L$7,IF(AND(OR(D276="S. acutus",D276="S. tabernaemontani"),G276&gt;0),E276*[1]Sheet1!$D$8+N276*[1]Sheet1!$E$8,IF(AND(D276="S. californicus",G276&gt;0),E276*[1]Sheet1!$D$9+N276*[1]Sheet1!$E$9,IF(D276="S.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latifolia"),E276&gt;0),F276*[1]Sheet1!$C$4+E276*[1]Sheet1!$D$4+H276*[1]Sheet1!$J$4+I276*[1]Sheet1!$K$4+[1]Sheet1!$L$4,IF(AND(OR(D276="T. domingensis",D276="T. latifolia"),J276&gt;0),J276*[1]Sheet1!$G$5+K276*[1]Sheet1!$H$5+L276*[1]Sheet1!$I$5+[1]Sheet1!$L$5,0)))))))</f>
        <v>3.5319949629999994</v>
      </c>
    </row>
    <row r="277" spans="1:15">
      <c r="A277" s="2">
        <v>40731</v>
      </c>
      <c r="B277" s="3" t="s">
        <v>30</v>
      </c>
      <c r="C277">
        <v>30</v>
      </c>
      <c r="D277" s="6" t="s">
        <v>29</v>
      </c>
      <c r="E277">
        <v>225</v>
      </c>
      <c r="F277">
        <v>0.46</v>
      </c>
      <c r="G277">
        <v>0</v>
      </c>
      <c r="M277" t="s">
        <v>49</v>
      </c>
      <c r="O277">
        <f>IF(AND(OR(D277="S. acutus",D277="S. californicus",D277="S. tabernaemontani"),G277=0),E277*[1]Sheet1!$D$7+[1]Sheet1!$L$7,IF(AND(OR(D277="S. acutus",D277="S. tabernaemontani"),G277&gt;0),E277*[1]Sheet1!$D$8+N277*[1]Sheet1!$E$8,IF(AND(D277="S. californicus",G277&gt;0),E277*[1]Sheet1!$D$9+N277*[1]Sheet1!$E$9,IF(D277="S.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latifolia"),E277&gt;0),F277*[1]Sheet1!$C$4+E277*[1]Sheet1!$D$4+H277*[1]Sheet1!$J$4+I277*[1]Sheet1!$K$4+[1]Sheet1!$L$4,IF(AND(OR(D277="T. domingensis",D277="T. latifolia"),J277&gt;0),J277*[1]Sheet1!$G$5+K277*[1]Sheet1!$H$5+L277*[1]Sheet1!$I$5+[1]Sheet1!$L$5,0)))))))</f>
        <v>2.8643715940000001</v>
      </c>
    </row>
    <row r="278" spans="1:15">
      <c r="A278" s="2">
        <v>40731</v>
      </c>
      <c r="B278" s="3" t="s">
        <v>30</v>
      </c>
      <c r="C278">
        <v>30</v>
      </c>
      <c r="D278" s="6" t="s">
        <v>29</v>
      </c>
      <c r="E278">
        <v>228</v>
      </c>
      <c r="F278">
        <v>0.52</v>
      </c>
      <c r="G278">
        <v>0</v>
      </c>
      <c r="M278" t="s">
        <v>49</v>
      </c>
      <c r="O278">
        <f>IF(AND(OR(D278="S. acutus",D278="S. californicus",D278="S. tabernaemontani"),G278=0),E278*[1]Sheet1!$D$7+[1]Sheet1!$L$7,IF(AND(OR(D278="S. acutus",D278="S. tabernaemontani"),G278&gt;0),E278*[1]Sheet1!$D$8+N278*[1]Sheet1!$E$8,IF(AND(D278="S. californicus",G278&gt;0),E278*[1]Sheet1!$D$9+N278*[1]Sheet1!$E$9,IF(D278="S.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latifolia"),E278&gt;0),F278*[1]Sheet1!$C$4+E278*[1]Sheet1!$D$4+H278*[1]Sheet1!$J$4+I278*[1]Sheet1!$K$4+[1]Sheet1!$L$4,IF(AND(OR(D278="T. domingensis",D278="T. latifolia"),J278&gt;0),J278*[1]Sheet1!$G$5+K278*[1]Sheet1!$H$5+L278*[1]Sheet1!$I$5+[1]Sheet1!$L$5,0)))))))</f>
        <v>3.1245642280000001</v>
      </c>
    </row>
    <row r="279" spans="1:15">
      <c r="A279" s="2">
        <v>40731</v>
      </c>
      <c r="B279" s="3" t="s">
        <v>30</v>
      </c>
      <c r="C279">
        <v>30</v>
      </c>
      <c r="D279" s="6" t="s">
        <v>29</v>
      </c>
      <c r="E279">
        <v>231</v>
      </c>
      <c r="F279">
        <v>0.52</v>
      </c>
      <c r="G279">
        <v>0</v>
      </c>
      <c r="M279" t="s">
        <v>49</v>
      </c>
      <c r="O279">
        <f>IF(AND(OR(D279="S. acutus",D279="S. californicus",D279="S. tabernaemontani"),G279=0),E279*[1]Sheet1!$D$7+[1]Sheet1!$L$7,IF(AND(OR(D279="S. acutus",D279="S. tabernaemontani"),G279&gt;0),E279*[1]Sheet1!$D$8+N279*[1]Sheet1!$E$8,IF(AND(D279="S. californicus",G279&gt;0),E279*[1]Sheet1!$D$9+N279*[1]Sheet1!$E$9,IF(D279="S.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latifolia"),E279&gt;0),F279*[1]Sheet1!$C$4+E279*[1]Sheet1!$D$4+H279*[1]Sheet1!$J$4+I279*[1]Sheet1!$K$4+[1]Sheet1!$L$4,IF(AND(OR(D279="T. domingensis",D279="T. latifolia"),J279&gt;0),J279*[1]Sheet1!$G$5+K279*[1]Sheet1!$H$5+L279*[1]Sheet1!$I$5+[1]Sheet1!$L$5,0)))))))</f>
        <v>3.1716063279999998</v>
      </c>
    </row>
    <row r="280" spans="1:15">
      <c r="A280" s="2">
        <v>40731</v>
      </c>
      <c r="B280" s="3" t="s">
        <v>30</v>
      </c>
      <c r="C280">
        <v>30</v>
      </c>
      <c r="D280" s="6" t="s">
        <v>29</v>
      </c>
      <c r="E280">
        <v>233</v>
      </c>
      <c r="F280">
        <v>0.52</v>
      </c>
      <c r="G280">
        <v>5</v>
      </c>
      <c r="M280" t="s">
        <v>49</v>
      </c>
      <c r="O280">
        <f>IF(AND(OR(D280="S. acutus",D280="S. californicus",D280="S. tabernaemontani"),G280=0),E280*[1]Sheet1!$D$7+[1]Sheet1!$L$7,IF(AND(OR(D280="S. acutus",D280="S. tabernaemontani"),G280&gt;0),E280*[1]Sheet1!$D$8+N280*[1]Sheet1!$E$8,IF(AND(D280="S. californicus",G280&gt;0),E280*[1]Sheet1!$D$9+N280*[1]Sheet1!$E$9,IF(D280="S.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latifolia"),E280&gt;0),F280*[1]Sheet1!$C$4+E280*[1]Sheet1!$D$4+H280*[1]Sheet1!$J$4+I280*[1]Sheet1!$K$4+[1]Sheet1!$L$4,IF(AND(OR(D280="T. domingensis",D280="T. latifolia"),J280&gt;0),J280*[1]Sheet1!$G$5+K280*[1]Sheet1!$H$5+L280*[1]Sheet1!$I$5+[1]Sheet1!$L$5,0)))))))</f>
        <v>3.2029677279999995</v>
      </c>
    </row>
    <row r="281" spans="1:15">
      <c r="A281" s="2">
        <v>40731</v>
      </c>
      <c r="B281" s="3" t="s">
        <v>30</v>
      </c>
      <c r="C281">
        <v>30</v>
      </c>
      <c r="D281" s="6" t="s">
        <v>29</v>
      </c>
      <c r="E281">
        <v>239</v>
      </c>
      <c r="F281">
        <v>0.57999999999999996</v>
      </c>
      <c r="G281">
        <v>0</v>
      </c>
      <c r="M281" t="s">
        <v>49</v>
      </c>
      <c r="O281">
        <f>IF(AND(OR(D281="S. acutus",D281="S. californicus",D281="S. tabernaemontani"),G281=0),E281*[1]Sheet1!$D$7+[1]Sheet1!$L$7,IF(AND(OR(D281="S. acutus",D281="S. tabernaemontani"),G281&gt;0),E281*[1]Sheet1!$D$8+N281*[1]Sheet1!$E$8,IF(AND(D281="S. californicus",G281&gt;0),E281*[1]Sheet1!$D$9+N281*[1]Sheet1!$E$9,IF(D281="S.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latifolia"),E281&gt;0),F281*[1]Sheet1!$C$4+E281*[1]Sheet1!$D$4+H281*[1]Sheet1!$J$4+I281*[1]Sheet1!$K$4+[1]Sheet1!$L$4,IF(AND(OR(D281="T. domingensis",D281="T. latifolia"),J281&gt;0),J281*[1]Sheet1!$G$5+K281*[1]Sheet1!$H$5+L281*[1]Sheet1!$I$5+[1]Sheet1!$L$5,0)))))))</f>
        <v>3.5102024619999992</v>
      </c>
    </row>
    <row r="282" spans="1:15">
      <c r="A282" s="2">
        <v>40731</v>
      </c>
      <c r="B282" s="3" t="s">
        <v>30</v>
      </c>
      <c r="C282">
        <v>30</v>
      </c>
      <c r="D282" s="6" t="s">
        <v>29</v>
      </c>
      <c r="E282">
        <v>277</v>
      </c>
      <c r="F282">
        <v>0.72</v>
      </c>
      <c r="G282">
        <v>0</v>
      </c>
      <c r="M282" t="s">
        <v>49</v>
      </c>
      <c r="O282">
        <f>IF(AND(OR(D282="S. acutus",D282="S. californicus",D282="S. tabernaemontani"),G282=0),E282*[1]Sheet1!$D$7+[1]Sheet1!$L$7,IF(AND(OR(D282="S. acutus",D282="S. tabernaemontani"),G282&gt;0),E282*[1]Sheet1!$D$8+N282*[1]Sheet1!$E$8,IF(AND(D282="S. californicus",G282&gt;0),E282*[1]Sheet1!$D$9+N282*[1]Sheet1!$E$9,IF(D282="S.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latifolia"),E282&gt;0),F282*[1]Sheet1!$C$4+E282*[1]Sheet1!$D$4+H282*[1]Sheet1!$J$4+I282*[1]Sheet1!$K$4+[1]Sheet1!$L$4,IF(AND(OR(D282="T. domingensis",D282="T. latifolia"),J282&gt;0),J282*[1]Sheet1!$G$5+K282*[1]Sheet1!$H$5+L282*[1]Sheet1!$I$5+[1]Sheet1!$L$5,0)))))))</f>
        <v>4.6034203079999987</v>
      </c>
    </row>
    <row r="283" spans="1:15">
      <c r="A283" s="2">
        <v>40731</v>
      </c>
      <c r="B283" s="3" t="s">
        <v>30</v>
      </c>
      <c r="C283">
        <v>30</v>
      </c>
      <c r="D283" s="6" t="s">
        <v>29</v>
      </c>
      <c r="E283">
        <v>280</v>
      </c>
      <c r="F283">
        <v>0.62</v>
      </c>
      <c r="G283">
        <v>0</v>
      </c>
      <c r="M283" t="s">
        <v>49</v>
      </c>
      <c r="O283">
        <f>IF(AND(OR(D283="S. acutus",D283="S. californicus",D283="S. tabernaemontani"),G283=0),E283*[1]Sheet1!$D$7+[1]Sheet1!$L$7,IF(AND(OR(D283="S. acutus",D283="S. tabernaemontani"),G283&gt;0),E283*[1]Sheet1!$D$8+N283*[1]Sheet1!$E$8,IF(AND(D283="S. californicus",G283&gt;0),E283*[1]Sheet1!$D$9+N283*[1]Sheet1!$E$9,IF(D283="S.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latifolia"),E283&gt;0),F283*[1]Sheet1!$C$4+E283*[1]Sheet1!$D$4+H283*[1]Sheet1!$J$4+I283*[1]Sheet1!$K$4+[1]Sheet1!$L$4,IF(AND(OR(D283="T. domingensis",D283="T. latifolia"),J283&gt;0),J283*[1]Sheet1!$G$5+K283*[1]Sheet1!$H$5+L283*[1]Sheet1!$I$5+[1]Sheet1!$L$5,0)))))))</f>
        <v>4.2952115179999986</v>
      </c>
    </row>
    <row r="284" spans="1:15">
      <c r="A284" s="2">
        <v>40731</v>
      </c>
      <c r="B284" s="3" t="s">
        <v>30</v>
      </c>
      <c r="C284">
        <v>30</v>
      </c>
      <c r="D284" s="6" t="s">
        <v>19</v>
      </c>
      <c r="E284">
        <v>292</v>
      </c>
      <c r="F284">
        <v>2.94</v>
      </c>
      <c r="H284">
        <v>19</v>
      </c>
      <c r="I284">
        <v>0.9</v>
      </c>
      <c r="M284" t="s">
        <v>49</v>
      </c>
      <c r="O284">
        <f>IF(AND(OR(D284="S. acutus",D284="S. californicus",D284="S. tabernaemontani"),G284=0),E284*[1]Sheet1!$D$7+[1]Sheet1!$L$7,IF(AND(OR(D284="S. acutus",D284="S. tabernaemontani"),G284&gt;0),E284*[1]Sheet1!$D$8+N284*[1]Sheet1!$E$8,IF(AND(D284="S. californicus",G284&gt;0),E284*[1]Sheet1!$D$9+N284*[1]Sheet1!$E$9,IF(D284="S.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latifolia"),E284&gt;0),F284*[1]Sheet1!$C$4+E284*[1]Sheet1!$D$4+H284*[1]Sheet1!$J$4+I284*[1]Sheet1!$K$4+[1]Sheet1!$L$4,IF(AND(OR(D284="T. domingensis",D284="T. latifolia"),J284&gt;0),J284*[1]Sheet1!$G$5+K284*[1]Sheet1!$H$5+L284*[1]Sheet1!$I$5+[1]Sheet1!$L$5,0)))))))</f>
        <v>80.581235379999981</v>
      </c>
    </row>
    <row r="285" spans="1:15">
      <c r="A285" s="2">
        <v>40731</v>
      </c>
      <c r="B285" s="3" t="s">
        <v>30</v>
      </c>
      <c r="C285">
        <v>30</v>
      </c>
      <c r="D285" s="6" t="s">
        <v>19</v>
      </c>
      <c r="E285">
        <v>305</v>
      </c>
      <c r="F285">
        <v>2.58</v>
      </c>
      <c r="H285">
        <v>34</v>
      </c>
      <c r="I285">
        <v>2.2000000000000002</v>
      </c>
      <c r="M285" t="s">
        <v>49</v>
      </c>
      <c r="O285">
        <f>IF(AND(OR(D285="S. acutus",D285="S. californicus",D285="S. tabernaemontani"),G285=0),E285*[1]Sheet1!$D$7+[1]Sheet1!$L$7,IF(AND(OR(D285="S. acutus",D285="S. tabernaemontani"),G285&gt;0),E285*[1]Sheet1!$D$8+N285*[1]Sheet1!$E$8,IF(AND(D285="S. californicus",G285&gt;0),E285*[1]Sheet1!$D$9+N285*[1]Sheet1!$E$9,IF(D285="S.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latifolia"),E285&gt;0),F285*[1]Sheet1!$C$4+E285*[1]Sheet1!$D$4+H285*[1]Sheet1!$J$4+I285*[1]Sheet1!$K$4+[1]Sheet1!$L$4,IF(AND(OR(D285="T. domingensis",D285="T. latifolia"),J285&gt;0),J285*[1]Sheet1!$G$5+K285*[1]Sheet1!$H$5+L285*[1]Sheet1!$I$5+[1]Sheet1!$L$5,0)))))))</f>
        <v>114.26866725999997</v>
      </c>
    </row>
    <row r="286" spans="1:15">
      <c r="A286" s="2">
        <v>40731</v>
      </c>
      <c r="B286" s="3" t="s">
        <v>30</v>
      </c>
      <c r="C286">
        <v>30</v>
      </c>
      <c r="D286" s="6" t="s">
        <v>19</v>
      </c>
      <c r="E286">
        <v>321</v>
      </c>
      <c r="F286">
        <v>2.46</v>
      </c>
      <c r="H286">
        <v>33</v>
      </c>
      <c r="I286">
        <v>2.4</v>
      </c>
      <c r="M286" t="s">
        <v>49</v>
      </c>
      <c r="O286">
        <f>IF(AND(OR(D286="S. acutus",D286="S. californicus",D286="S. tabernaemontani"),G286=0),E286*[1]Sheet1!$D$7+[1]Sheet1!$L$7,IF(AND(OR(D286="S. acutus",D286="S. tabernaemontani"),G286&gt;0),E286*[1]Sheet1!$D$8+N286*[1]Sheet1!$E$8,IF(AND(D286="S. californicus",G286&gt;0),E286*[1]Sheet1!$D$9+N286*[1]Sheet1!$E$9,IF(D286="S.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latifolia"),E286&gt;0),F286*[1]Sheet1!$C$4+E286*[1]Sheet1!$D$4+H286*[1]Sheet1!$J$4+I286*[1]Sheet1!$K$4+[1]Sheet1!$L$4,IF(AND(OR(D286="T. domingensis",D286="T. latifolia"),J286&gt;0),J286*[1]Sheet1!$G$5+K286*[1]Sheet1!$H$5+L286*[1]Sheet1!$I$5+[1]Sheet1!$L$5,0)))))))</f>
        <v>119.38415182</v>
      </c>
    </row>
    <row r="287" spans="1:15">
      <c r="A287" s="2">
        <v>40731</v>
      </c>
      <c r="B287" s="3" t="s">
        <v>30</v>
      </c>
      <c r="C287">
        <v>30</v>
      </c>
      <c r="D287" s="6" t="s">
        <v>19</v>
      </c>
      <c r="E287">
        <v>339</v>
      </c>
      <c r="F287">
        <v>3.01</v>
      </c>
      <c r="H287">
        <v>32</v>
      </c>
      <c r="I287">
        <v>2.6</v>
      </c>
      <c r="M287" t="s">
        <v>49</v>
      </c>
      <c r="O287">
        <f>IF(AND(OR(D287="S. acutus",D287="S. californicus",D287="S. tabernaemontani"),G287=0),E287*[1]Sheet1!$D$7+[1]Sheet1!$L$7,IF(AND(OR(D287="S. acutus",D287="S. tabernaemontani"),G287&gt;0),E287*[1]Sheet1!$D$8+N287*[1]Sheet1!$E$8,IF(AND(D287="S. californicus",G287&gt;0),E287*[1]Sheet1!$D$9+N287*[1]Sheet1!$E$9,IF(D287="S.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latifolia"),E287&gt;0),F287*[1]Sheet1!$C$4+E287*[1]Sheet1!$D$4+H287*[1]Sheet1!$J$4+I287*[1]Sheet1!$K$4+[1]Sheet1!$L$4,IF(AND(OR(D287="T. domingensis",D287="T. latifolia"),J287&gt;0),J287*[1]Sheet1!$G$5+K287*[1]Sheet1!$H$5+L287*[1]Sheet1!$I$5+[1]Sheet1!$L$5,0)))))))</f>
        <v>138.01362617000001</v>
      </c>
    </row>
    <row r="288" spans="1:15">
      <c r="A288" s="2">
        <v>40731</v>
      </c>
      <c r="B288" s="3" t="s">
        <v>30</v>
      </c>
      <c r="C288">
        <v>30</v>
      </c>
      <c r="D288" s="6" t="s">
        <v>19</v>
      </c>
      <c r="E288">
        <v>342</v>
      </c>
      <c r="F288">
        <v>2.86</v>
      </c>
      <c r="H288">
        <v>32</v>
      </c>
      <c r="I288">
        <v>2.1</v>
      </c>
      <c r="M288" t="s">
        <v>49</v>
      </c>
      <c r="O288">
        <f>IF(AND(OR(D288="S. acutus",D288="S. californicus",D288="S. tabernaemontani"),G288=0),E288*[1]Sheet1!$D$7+[1]Sheet1!$L$7,IF(AND(OR(D288="S. acutus",D288="S. tabernaemontani"),G288&gt;0),E288*[1]Sheet1!$D$8+N288*[1]Sheet1!$E$8,IF(AND(D288="S. californicus",G288&gt;0),E288*[1]Sheet1!$D$9+N288*[1]Sheet1!$E$9,IF(D288="S.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latifolia"),E288&gt;0),F288*[1]Sheet1!$C$4+E288*[1]Sheet1!$D$4+H288*[1]Sheet1!$J$4+I288*[1]Sheet1!$K$4+[1]Sheet1!$L$4,IF(AND(OR(D288="T. domingensis",D288="T. latifolia"),J288&gt;0),J288*[1]Sheet1!$G$5+K288*[1]Sheet1!$H$5+L288*[1]Sheet1!$I$5+[1]Sheet1!$L$5,0)))))))</f>
        <v>127.29802222000001</v>
      </c>
    </row>
    <row r="289" spans="1:15">
      <c r="A289" s="2">
        <v>40731</v>
      </c>
      <c r="B289" s="3" t="s">
        <v>30</v>
      </c>
      <c r="C289">
        <v>30</v>
      </c>
      <c r="D289" s="6" t="s">
        <v>19</v>
      </c>
      <c r="F289">
        <v>3.42</v>
      </c>
      <c r="J289">
        <f>225+254+281+334+352+382+410</f>
        <v>2238</v>
      </c>
      <c r="K289">
        <v>7</v>
      </c>
      <c r="L289">
        <v>410</v>
      </c>
      <c r="M289" t="s">
        <v>49</v>
      </c>
      <c r="O289">
        <f>IF(AND(OR(D289="S. acutus",D289="S. californicus",D289="S. tabernaemontani"),G289=0),E289*[1]Sheet1!$D$7+[1]Sheet1!$L$7,IF(AND(OR(D289="S. acutus",D289="S. tabernaemontani"),G289&gt;0),E289*[1]Sheet1!$D$8+N289*[1]Sheet1!$E$8,IF(AND(D289="S. californicus",G289&gt;0),E289*[1]Sheet1!$D$9+N289*[1]Sheet1!$E$9,IF(D289="S.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latifolia"),E289&gt;0),F289*[1]Sheet1!$C$4+E289*[1]Sheet1!$D$4+H289*[1]Sheet1!$J$4+I289*[1]Sheet1!$K$4+[1]Sheet1!$L$4,IF(AND(OR(D289="T. domingensis",D289="T. latifolia"),J289&gt;0),J289*[1]Sheet1!$G$5+K289*[1]Sheet1!$H$5+L289*[1]Sheet1!$I$5+[1]Sheet1!$L$5,0)))))))</f>
        <v>70.193752999999987</v>
      </c>
    </row>
    <row r="290" spans="1:15">
      <c r="A290" s="2">
        <v>40745</v>
      </c>
      <c r="B290" t="s">
        <v>47</v>
      </c>
      <c r="C290">
        <v>4</v>
      </c>
      <c r="D290" s="6" t="s">
        <v>12</v>
      </c>
      <c r="E290">
        <v>255</v>
      </c>
      <c r="F290">
        <v>1.61</v>
      </c>
      <c r="G290">
        <v>8</v>
      </c>
      <c r="N290">
        <f>(1/3)*(3.14159)*((F290/2)^2)*E290</f>
        <v>173.04545307875</v>
      </c>
      <c r="O290">
        <f>IF(AND(OR(D290="S. acutus",D290="S. californicus",D290="S. tabernaemontani"),G290=0),E290*[1]Sheet1!$D$7+[1]Sheet1!$L$7,IF(AND(OR(D290="S. acutus",D290="S. tabernaemontani"),G290&gt;0),E290*[1]Sheet1!$D$8+N290*[1]Sheet1!$E$8,IF(AND(D290="S. californicus",G290&gt;0),E290*[1]Sheet1!$D$9+N290*[1]Sheet1!$E$9,IF(D290="S.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latifolia"),E290&gt;0),F290*[1]Sheet1!$C$4+E290*[1]Sheet1!$D$4+H290*[1]Sheet1!$J$4+I290*[1]Sheet1!$K$4+[1]Sheet1!$L$4,IF(AND(OR(D290="T. domingensis",D290="T. latifolia"),J290&gt;0),J290*[1]Sheet1!$G$5+K290*[1]Sheet1!$H$5+L290*[1]Sheet1!$I$5+[1]Sheet1!$L$5,0)))))))</f>
        <v>15.39152983004352</v>
      </c>
    </row>
    <row r="291" spans="1:15">
      <c r="A291" s="2">
        <v>40745</v>
      </c>
      <c r="B291" t="s">
        <v>47</v>
      </c>
      <c r="C291">
        <v>4</v>
      </c>
      <c r="D291" s="6" t="s">
        <v>16</v>
      </c>
      <c r="E291">
        <v>47</v>
      </c>
      <c r="F291">
        <v>0.88</v>
      </c>
      <c r="G291">
        <v>0</v>
      </c>
      <c r="N291">
        <f t="shared" ref="N291:N328" si="6">((1/3)*(3.14159)*((F291/2)^2)*E291)</f>
        <v>9.5286519093333322</v>
      </c>
      <c r="O291">
        <f>IF(AND(OR(D291="S. acutus",D291="S. californicus",D291="S. tabernaemontani"),G291=0),E291*[1]Sheet1!$D$7+[1]Sheet1!$L$7,IF(AND(OR(D291="S. acutus",D291="S. tabernaemontani"),G291&gt;0),E291*[1]Sheet1!$D$8+N291*[1]Sheet1!$E$8,IF(AND(D291="S. californicus",G291&gt;0),E291*[1]Sheet1!$D$9+N291*[1]Sheet1!$E$9,IF(D291="S.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latifolia"),E291&gt;0),F291*[1]Sheet1!$C$4+E291*[1]Sheet1!$D$4+H291*[1]Sheet1!$J$4+I291*[1]Sheet1!$K$4+[1]Sheet1!$L$4,IF(AND(OR(D291="T. domingensis",D291="T. latifolia"),J291&gt;0),J291*[1]Sheet1!$G$5+K291*[1]Sheet1!$H$5+L291*[1]Sheet1!$I$5+[1]Sheet1!$L$5,0)))))))</f>
        <v>-1.2956619999999996</v>
      </c>
    </row>
    <row r="292" spans="1:15">
      <c r="A292" s="2">
        <v>40745</v>
      </c>
      <c r="B292" t="s">
        <v>47</v>
      </c>
      <c r="C292">
        <v>4</v>
      </c>
      <c r="D292" s="6" t="s">
        <v>16</v>
      </c>
      <c r="E292">
        <v>68</v>
      </c>
      <c r="F292">
        <v>0.91</v>
      </c>
      <c r="G292">
        <v>0</v>
      </c>
      <c r="N292">
        <f t="shared" si="6"/>
        <v>14.742120514333333</v>
      </c>
      <c r="O292">
        <f>IF(AND(OR(D292="S. acutus",D292="S. californicus",D292="S. tabernaemontani"),G292=0),E292*[1]Sheet1!$D$7+[1]Sheet1!$L$7,IF(AND(OR(D292="S. acutus",D292="S. tabernaemontani"),G292&gt;0),E292*[1]Sheet1!$D$8+N292*[1]Sheet1!$E$8,IF(AND(D292="S. californicus",G292&gt;0),E292*[1]Sheet1!$D$9+N292*[1]Sheet1!$E$9,IF(D292="S.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latifolia"),E292&gt;0),F292*[1]Sheet1!$C$4+E292*[1]Sheet1!$D$4+H292*[1]Sheet1!$J$4+I292*[1]Sheet1!$K$4+[1]Sheet1!$L$4,IF(AND(OR(D292="T. domingensis",D292="T. latifolia"),J292&gt;0),J292*[1]Sheet1!$G$5+K292*[1]Sheet1!$H$5+L292*[1]Sheet1!$I$5+[1]Sheet1!$L$5,0)))))))</f>
        <v>0.17654300000000056</v>
      </c>
    </row>
    <row r="293" spans="1:15">
      <c r="A293" s="2">
        <v>40745</v>
      </c>
      <c r="B293" t="s">
        <v>47</v>
      </c>
      <c r="C293">
        <v>4</v>
      </c>
      <c r="D293" s="6" t="s">
        <v>16</v>
      </c>
      <c r="E293">
        <v>108</v>
      </c>
      <c r="F293">
        <v>0.97</v>
      </c>
      <c r="G293">
        <v>0</v>
      </c>
      <c r="N293">
        <f t="shared" si="6"/>
        <v>26.603298278999997</v>
      </c>
      <c r="O293">
        <f>IF(AND(OR(D293="S. acutus",D293="S. californicus",D293="S. tabernaemontani"),G293=0),E293*[1]Sheet1!$D$7+[1]Sheet1!$L$7,IF(AND(OR(D293="S. acutus",D293="S. tabernaemontani"),G293&gt;0),E293*[1]Sheet1!$D$8+N293*[1]Sheet1!$E$8,IF(AND(D293="S. californicus",G293&gt;0),E293*[1]Sheet1!$D$9+N293*[1]Sheet1!$E$9,IF(D293="S.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latifolia"),E293&gt;0),F293*[1]Sheet1!$C$4+E293*[1]Sheet1!$D$4+H293*[1]Sheet1!$J$4+I293*[1]Sheet1!$K$4+[1]Sheet1!$L$4,IF(AND(OR(D293="T. domingensis",D293="T. latifolia"),J293&gt;0),J293*[1]Sheet1!$G$5+K293*[1]Sheet1!$H$5+L293*[1]Sheet1!$I$5+[1]Sheet1!$L$5,0)))))))</f>
        <v>2.9807430000000004</v>
      </c>
    </row>
    <row r="294" spans="1:15">
      <c r="A294" s="2">
        <v>40745</v>
      </c>
      <c r="B294" t="s">
        <v>47</v>
      </c>
      <c r="C294">
        <v>4</v>
      </c>
      <c r="D294" s="6" t="s">
        <v>16</v>
      </c>
      <c r="E294">
        <v>115</v>
      </c>
      <c r="F294">
        <v>1.1100000000000001</v>
      </c>
      <c r="G294">
        <v>0</v>
      </c>
      <c r="N294">
        <f t="shared" si="6"/>
        <v>37.094716623750003</v>
      </c>
      <c r="O294">
        <f>IF(AND(OR(D294="S. acutus",D294="S. californicus",D294="S. tabernaemontani"),G294=0),E294*[1]Sheet1!$D$7+[1]Sheet1!$L$7,IF(AND(OR(D294="S. acutus",D294="S. tabernaemontani"),G294&gt;0),E294*[1]Sheet1!$D$8+N294*[1]Sheet1!$E$8,IF(AND(D294="S. californicus",G294&gt;0),E294*[1]Sheet1!$D$9+N294*[1]Sheet1!$E$9,IF(D294="S.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latifolia"),E294&gt;0),F294*[1]Sheet1!$C$4+E294*[1]Sheet1!$D$4+H294*[1]Sheet1!$J$4+I294*[1]Sheet1!$K$4+[1]Sheet1!$L$4,IF(AND(OR(D294="T. domingensis",D294="T. latifolia"),J294&gt;0),J294*[1]Sheet1!$G$5+K294*[1]Sheet1!$H$5+L294*[1]Sheet1!$I$5+[1]Sheet1!$L$5,0)))))))</f>
        <v>3.4714780000000003</v>
      </c>
    </row>
    <row r="295" spans="1:15">
      <c r="A295" s="2">
        <v>40745</v>
      </c>
      <c r="B295" t="s">
        <v>47</v>
      </c>
      <c r="C295">
        <v>4</v>
      </c>
      <c r="D295" s="6" t="s">
        <v>16</v>
      </c>
      <c r="E295">
        <v>137</v>
      </c>
      <c r="F295">
        <v>1.26</v>
      </c>
      <c r="G295">
        <v>4</v>
      </c>
      <c r="N295">
        <f t="shared" si="6"/>
        <v>56.941632908999999</v>
      </c>
      <c r="O295">
        <f>IF(AND(OR(D295="S. acutus",D295="S. californicus",D295="S. tabernaemontani"),G295=0),E295*[1]Sheet1!$D$7+[1]Sheet1!$L$7,IF(AND(OR(D295="S. acutus",D295="S. tabernaemontani"),G295&gt;0),E295*[1]Sheet1!$D$8+N295*[1]Sheet1!$E$8,IF(AND(D295="S. californicus",G295&gt;0),E295*[1]Sheet1!$D$9+N295*[1]Sheet1!$E$9,IF(D295="S.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latifolia"),E295&gt;0),F295*[1]Sheet1!$C$4+E295*[1]Sheet1!$D$4+H295*[1]Sheet1!$J$4+I295*[1]Sheet1!$K$4+[1]Sheet1!$L$4,IF(AND(OR(D295="T. domingensis",D295="T. latifolia"),J295&gt;0),J295*[1]Sheet1!$G$5+K295*[1]Sheet1!$H$5+L295*[1]Sheet1!$I$5+[1]Sheet1!$L$5,0)))))))</f>
        <v>7.1090445271394174</v>
      </c>
    </row>
    <row r="296" spans="1:15">
      <c r="A296" s="2">
        <v>40745</v>
      </c>
      <c r="B296" t="s">
        <v>47</v>
      </c>
      <c r="C296">
        <v>4</v>
      </c>
      <c r="D296" s="6" t="s">
        <v>16</v>
      </c>
      <c r="E296">
        <v>151</v>
      </c>
      <c r="F296">
        <v>1.4</v>
      </c>
      <c r="G296">
        <v>0</v>
      </c>
      <c r="N296">
        <f t="shared" si="6"/>
        <v>77.482081366666648</v>
      </c>
      <c r="O296">
        <f>IF(AND(OR(D296="S. acutus",D296="S. californicus",D296="S. tabernaemontani"),G296=0),E296*[1]Sheet1!$D$7+[1]Sheet1!$L$7,IF(AND(OR(D296="S. acutus",D296="S. tabernaemontani"),G296&gt;0),E296*[1]Sheet1!$D$8+N296*[1]Sheet1!$E$8,IF(AND(D296="S. californicus",G296&gt;0),E296*[1]Sheet1!$D$9+N296*[1]Sheet1!$E$9,IF(D296="S.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latifolia"),E296&gt;0),F296*[1]Sheet1!$C$4+E296*[1]Sheet1!$D$4+H296*[1]Sheet1!$J$4+I296*[1]Sheet1!$K$4+[1]Sheet1!$L$4,IF(AND(OR(D296="T. domingensis",D296="T. latifolia"),J296&gt;0),J296*[1]Sheet1!$G$5+K296*[1]Sheet1!$H$5+L296*[1]Sheet1!$I$5+[1]Sheet1!$L$5,0)))))))</f>
        <v>5.9952580000000006</v>
      </c>
    </row>
    <row r="297" spans="1:15">
      <c r="A297" s="2">
        <v>40745</v>
      </c>
      <c r="B297" t="s">
        <v>47</v>
      </c>
      <c r="C297">
        <v>4</v>
      </c>
      <c r="D297" s="6" t="s">
        <v>16</v>
      </c>
      <c r="E297">
        <v>173</v>
      </c>
      <c r="F297">
        <v>2.2999999999999998</v>
      </c>
      <c r="G297">
        <v>0</v>
      </c>
      <c r="N297">
        <f t="shared" si="6"/>
        <v>239.59074335833327</v>
      </c>
      <c r="O297">
        <f>IF(AND(OR(D297="S. acutus",D297="S. californicus",D297="S. tabernaemontani"),G297=0),E297*[1]Sheet1!$D$7+[1]Sheet1!$L$7,IF(AND(OR(D297="S. acutus",D297="S. tabernaemontani"),G297&gt;0),E297*[1]Sheet1!$D$8+N297*[1]Sheet1!$E$8,IF(AND(D297="S. californicus",G297&gt;0),E297*[1]Sheet1!$D$9+N297*[1]Sheet1!$E$9,IF(D297="S.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latifolia"),E297&gt;0),F297*[1]Sheet1!$C$4+E297*[1]Sheet1!$D$4+H297*[1]Sheet1!$J$4+I297*[1]Sheet1!$K$4+[1]Sheet1!$L$4,IF(AND(OR(D297="T. domingensis",D297="T. latifolia"),J297&gt;0),J297*[1]Sheet1!$G$5+K297*[1]Sheet1!$H$5+L297*[1]Sheet1!$I$5+[1]Sheet1!$L$5,0)))))))</f>
        <v>7.5375680000000012</v>
      </c>
    </row>
    <row r="298" spans="1:15">
      <c r="A298" s="2">
        <v>40745</v>
      </c>
      <c r="B298" t="s">
        <v>47</v>
      </c>
      <c r="C298">
        <v>4</v>
      </c>
      <c r="D298" s="6" t="s">
        <v>16</v>
      </c>
      <c r="E298">
        <v>236</v>
      </c>
      <c r="F298">
        <v>1.2</v>
      </c>
      <c r="G298">
        <v>0</v>
      </c>
      <c r="N298">
        <f t="shared" si="6"/>
        <v>88.969828799999988</v>
      </c>
      <c r="O298">
        <f>IF(AND(OR(D298="S. acutus",D298="S. californicus",D298="S. tabernaemontani"),G298=0),E298*[1]Sheet1!$D$7+[1]Sheet1!$L$7,IF(AND(OR(D298="S. acutus",D298="S. tabernaemontani"),G298&gt;0),E298*[1]Sheet1!$D$8+N298*[1]Sheet1!$E$8,IF(AND(D298="S. californicus",G298&gt;0),E298*[1]Sheet1!$D$9+N298*[1]Sheet1!$E$9,IF(D298="S.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latifolia"),E298&gt;0),F298*[1]Sheet1!$C$4+E298*[1]Sheet1!$D$4+H298*[1]Sheet1!$J$4+I298*[1]Sheet1!$K$4+[1]Sheet1!$L$4,IF(AND(OR(D298="T. domingensis",D298="T. latifolia"),J298&gt;0),J298*[1]Sheet1!$G$5+K298*[1]Sheet1!$H$5+L298*[1]Sheet1!$I$5+[1]Sheet1!$L$5,0)))))))</f>
        <v>11.954183</v>
      </c>
    </row>
    <row r="299" spans="1:15">
      <c r="A299" s="2">
        <v>40745</v>
      </c>
      <c r="B299" t="s">
        <v>47</v>
      </c>
      <c r="C299">
        <v>4</v>
      </c>
      <c r="D299" s="6" t="s">
        <v>16</v>
      </c>
      <c r="E299">
        <v>249</v>
      </c>
      <c r="F299">
        <v>1.3</v>
      </c>
      <c r="G299">
        <v>0</v>
      </c>
      <c r="N299">
        <f t="shared" si="6"/>
        <v>110.16770732499999</v>
      </c>
      <c r="O299">
        <f>IF(AND(OR(D299="S. acutus",D299="S. californicus",D299="S. tabernaemontani"),G299=0),E299*[1]Sheet1!$D$7+[1]Sheet1!$L$7,IF(AND(OR(D299="S. acutus",D299="S. tabernaemontani"),G299&gt;0),E299*[1]Sheet1!$D$8+N299*[1]Sheet1!$E$8,IF(AND(D299="S. californicus",G299&gt;0),E299*[1]Sheet1!$D$9+N299*[1]Sheet1!$E$9,IF(D299="S.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latifolia"),E299&gt;0),F299*[1]Sheet1!$C$4+E299*[1]Sheet1!$D$4+H299*[1]Sheet1!$J$4+I299*[1]Sheet1!$K$4+[1]Sheet1!$L$4,IF(AND(OR(D299="T. domingensis",D299="T. latifolia"),J299&gt;0),J299*[1]Sheet1!$G$5+K299*[1]Sheet1!$H$5+L299*[1]Sheet1!$I$5+[1]Sheet1!$L$5,0)))))))</f>
        <v>12.865548</v>
      </c>
    </row>
    <row r="300" spans="1:15">
      <c r="A300" s="2">
        <v>40745</v>
      </c>
      <c r="B300" t="s">
        <v>47</v>
      </c>
      <c r="C300">
        <v>4</v>
      </c>
      <c r="D300" s="6" t="s">
        <v>16</v>
      </c>
      <c r="E300">
        <v>268</v>
      </c>
      <c r="F300">
        <v>1.33</v>
      </c>
      <c r="G300">
        <v>2</v>
      </c>
      <c r="N300">
        <f t="shared" si="6"/>
        <v>124.10987430566666</v>
      </c>
      <c r="O300">
        <f>IF(AND(OR(D300="S. acutus",D300="S. californicus",D300="S. tabernaemontani"),G300=0),E300*[1]Sheet1!$D$7+[1]Sheet1!$L$7,IF(AND(OR(D300="S. acutus",D300="S. tabernaemontani"),G300&gt;0),E300*[1]Sheet1!$D$8+N300*[1]Sheet1!$E$8,IF(AND(D300="S. californicus",G300&gt;0),E300*[1]Sheet1!$D$9+N300*[1]Sheet1!$E$9,IF(D300="S.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latifolia"),E300&gt;0),F300*[1]Sheet1!$C$4+E300*[1]Sheet1!$D$4+H300*[1]Sheet1!$J$4+I300*[1]Sheet1!$K$4+[1]Sheet1!$L$4,IF(AND(OR(D300="T. domingensis",D300="T. latifolia"),J300&gt;0),J300*[1]Sheet1!$G$5+K300*[1]Sheet1!$H$5+L300*[1]Sheet1!$I$5+[1]Sheet1!$L$5,0)))))))</f>
        <v>14.316352451529342</v>
      </c>
    </row>
    <row r="301" spans="1:15">
      <c r="A301" s="2">
        <v>40745</v>
      </c>
      <c r="B301" t="s">
        <v>47</v>
      </c>
      <c r="C301">
        <v>4</v>
      </c>
      <c r="D301" s="6" t="s">
        <v>16</v>
      </c>
      <c r="E301">
        <v>273</v>
      </c>
      <c r="F301">
        <v>1.67</v>
      </c>
      <c r="G301">
        <v>0</v>
      </c>
      <c r="N301">
        <f t="shared" si="6"/>
        <v>199.32595298524998</v>
      </c>
      <c r="O301">
        <f>IF(AND(OR(D301="S. acutus",D301="S. californicus",D301="S. tabernaemontani"),G301=0),E301*[1]Sheet1!$D$7+[1]Sheet1!$L$7,IF(AND(OR(D301="S. acutus",D301="S. tabernaemontani"),G301&gt;0),E301*[1]Sheet1!$D$8+N301*[1]Sheet1!$E$8,IF(AND(D301="S. californicus",G301&gt;0),E301*[1]Sheet1!$D$9+N301*[1]Sheet1!$E$9,IF(D301="S.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latifolia"),E301&gt;0),F301*[1]Sheet1!$C$4+E301*[1]Sheet1!$D$4+H301*[1]Sheet1!$J$4+I301*[1]Sheet1!$K$4+[1]Sheet1!$L$4,IF(AND(OR(D301="T. domingensis",D301="T. latifolia"),J301&gt;0),J301*[1]Sheet1!$G$5+K301*[1]Sheet1!$H$5+L301*[1]Sheet1!$I$5+[1]Sheet1!$L$5,0)))))))</f>
        <v>14.548068000000001</v>
      </c>
    </row>
    <row r="302" spans="1:15">
      <c r="A302" s="2">
        <v>40745</v>
      </c>
      <c r="B302" t="s">
        <v>47</v>
      </c>
      <c r="C302">
        <v>4</v>
      </c>
      <c r="D302" s="6" t="s">
        <v>16</v>
      </c>
      <c r="E302">
        <v>275</v>
      </c>
      <c r="F302">
        <v>2.48</v>
      </c>
      <c r="G302">
        <v>0</v>
      </c>
      <c r="N302">
        <f t="shared" si="6"/>
        <v>442.79663853333329</v>
      </c>
      <c r="O302">
        <f>IF(AND(OR(D302="S. acutus",D302="S. californicus",D302="S. tabernaemontani"),G302=0),E302*[1]Sheet1!$D$7+[1]Sheet1!$L$7,IF(AND(OR(D302="S. acutus",D302="S. tabernaemontani"),G302&gt;0),E302*[1]Sheet1!$D$8+N302*[1]Sheet1!$E$8,IF(AND(D302="S. californicus",G302&gt;0),E302*[1]Sheet1!$D$9+N302*[1]Sheet1!$E$9,IF(D302="S.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latifolia"),E302&gt;0),F302*[1]Sheet1!$C$4+E302*[1]Sheet1!$D$4+H302*[1]Sheet1!$J$4+I302*[1]Sheet1!$K$4+[1]Sheet1!$L$4,IF(AND(OR(D302="T. domingensis",D302="T. latifolia"),J302&gt;0),J302*[1]Sheet1!$G$5+K302*[1]Sheet1!$H$5+L302*[1]Sheet1!$I$5+[1]Sheet1!$L$5,0)))))))</f>
        <v>14.688278</v>
      </c>
    </row>
    <row r="303" spans="1:15">
      <c r="A303" s="2">
        <v>40745</v>
      </c>
      <c r="B303" t="s">
        <v>47</v>
      </c>
      <c r="C303">
        <v>4</v>
      </c>
      <c r="D303" s="6" t="s">
        <v>16</v>
      </c>
      <c r="E303">
        <v>288</v>
      </c>
      <c r="F303">
        <v>1.68</v>
      </c>
      <c r="G303">
        <v>0</v>
      </c>
      <c r="N303">
        <f t="shared" si="6"/>
        <v>212.80376678399995</v>
      </c>
      <c r="O303">
        <f>IF(AND(OR(D303="S. acutus",D303="S. californicus",D303="S. tabernaemontani"),G303=0),E303*[1]Sheet1!$D$7+[1]Sheet1!$L$7,IF(AND(OR(D303="S. acutus",D303="S. tabernaemontani"),G303&gt;0),E303*[1]Sheet1!$D$8+N303*[1]Sheet1!$E$8,IF(AND(D303="S. californicus",G303&gt;0),E303*[1]Sheet1!$D$9+N303*[1]Sheet1!$E$9,IF(D303="S.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latifolia"),E303&gt;0),F303*[1]Sheet1!$C$4+E303*[1]Sheet1!$D$4+H303*[1]Sheet1!$J$4+I303*[1]Sheet1!$K$4+[1]Sheet1!$L$4,IF(AND(OR(D303="T. domingensis",D303="T. latifolia"),J303&gt;0),J303*[1]Sheet1!$G$5+K303*[1]Sheet1!$H$5+L303*[1]Sheet1!$I$5+[1]Sheet1!$L$5,0)))))))</f>
        <v>15.599643</v>
      </c>
    </row>
    <row r="304" spans="1:15">
      <c r="A304" s="2">
        <v>40745</v>
      </c>
      <c r="B304" t="s">
        <v>47</v>
      </c>
      <c r="C304">
        <v>4</v>
      </c>
      <c r="D304" s="6" t="s">
        <v>16</v>
      </c>
      <c r="E304">
        <v>290</v>
      </c>
      <c r="F304">
        <v>1.37</v>
      </c>
      <c r="G304">
        <v>0</v>
      </c>
      <c r="N304">
        <f t="shared" si="6"/>
        <v>142.49754821583335</v>
      </c>
      <c r="O304">
        <f>IF(AND(OR(D304="S. acutus",D304="S. californicus",D304="S. tabernaemontani"),G304=0),E304*[1]Sheet1!$D$7+[1]Sheet1!$L$7,IF(AND(OR(D304="S. acutus",D304="S. tabernaemontani"),G304&gt;0),E304*[1]Sheet1!$D$8+N304*[1]Sheet1!$E$8,IF(AND(D304="S. californicus",G304&gt;0),E304*[1]Sheet1!$D$9+N304*[1]Sheet1!$E$9,IF(D304="S.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latifolia"),E304&gt;0),F304*[1]Sheet1!$C$4+E304*[1]Sheet1!$D$4+H304*[1]Sheet1!$J$4+I304*[1]Sheet1!$K$4+[1]Sheet1!$L$4,IF(AND(OR(D304="T. domingensis",D304="T. latifolia"),J304&gt;0),J304*[1]Sheet1!$G$5+K304*[1]Sheet1!$H$5+L304*[1]Sheet1!$I$5+[1]Sheet1!$L$5,0)))))))</f>
        <v>15.739853</v>
      </c>
    </row>
    <row r="305" spans="1:15">
      <c r="A305" s="2">
        <v>40745</v>
      </c>
      <c r="B305" t="s">
        <v>47</v>
      </c>
      <c r="C305">
        <v>4</v>
      </c>
      <c r="D305" s="6" t="s">
        <v>16</v>
      </c>
      <c r="E305">
        <v>290</v>
      </c>
      <c r="F305">
        <v>2.1</v>
      </c>
      <c r="G305">
        <v>3</v>
      </c>
      <c r="N305">
        <f t="shared" si="6"/>
        <v>334.81495424999997</v>
      </c>
      <c r="O305">
        <f>IF(AND(OR(D305="S. acutus",D305="S. californicus",D305="S. tabernaemontani"),G305=0),E305*[1]Sheet1!$D$7+[1]Sheet1!$L$7,IF(AND(OR(D305="S. acutus",D305="S. tabernaemontani"),G305&gt;0),E305*[1]Sheet1!$D$8+N305*[1]Sheet1!$E$8,IF(AND(D305="S. californicus",G305&gt;0),E305*[1]Sheet1!$D$9+N305*[1]Sheet1!$E$9,IF(D305="S.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latifolia"),E305&gt;0),F305*[1]Sheet1!$C$4+E305*[1]Sheet1!$D$4+H305*[1]Sheet1!$J$4+I305*[1]Sheet1!$K$4+[1]Sheet1!$L$4,IF(AND(OR(D305="T. domingensis",D305="T. latifolia"),J305&gt;0),J305*[1]Sheet1!$G$5+K305*[1]Sheet1!$H$5+L305*[1]Sheet1!$I$5+[1]Sheet1!$L$5,0)))))))</f>
        <v>21.948401860308824</v>
      </c>
    </row>
    <row r="306" spans="1:15">
      <c r="A306" s="2">
        <v>40745</v>
      </c>
      <c r="B306" t="s">
        <v>47</v>
      </c>
      <c r="C306">
        <v>4</v>
      </c>
      <c r="D306" s="6" t="s">
        <v>16</v>
      </c>
      <c r="E306">
        <v>291</v>
      </c>
      <c r="F306">
        <v>1.7</v>
      </c>
      <c r="G306">
        <v>5</v>
      </c>
      <c r="N306">
        <f t="shared" si="6"/>
        <v>220.17048117499994</v>
      </c>
      <c r="O306">
        <f>IF(AND(OR(D306="S. acutus",D306="S. californicus",D306="S. tabernaemontani"),G306=0),E306*[1]Sheet1!$D$7+[1]Sheet1!$L$7,IF(AND(OR(D306="S. acutus",D306="S. tabernaemontani"),G306&gt;0),E306*[1]Sheet1!$D$8+N306*[1]Sheet1!$E$8,IF(AND(D306="S. californicus",G306&gt;0),E306*[1]Sheet1!$D$9+N306*[1]Sheet1!$E$9,IF(D306="S.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latifolia"),E306&gt;0),F306*[1]Sheet1!$C$4+E306*[1]Sheet1!$D$4+H306*[1]Sheet1!$J$4+I306*[1]Sheet1!$K$4+[1]Sheet1!$L$4,IF(AND(OR(D306="T. domingensis",D306="T. latifolia"),J306&gt;0),J306*[1]Sheet1!$G$5+K306*[1]Sheet1!$H$5+L306*[1]Sheet1!$I$5+[1]Sheet1!$L$5,0)))))))</f>
        <v>18.295253747268056</v>
      </c>
    </row>
    <row r="307" spans="1:15">
      <c r="A307" s="2">
        <v>40745</v>
      </c>
      <c r="B307" t="s">
        <v>47</v>
      </c>
      <c r="C307">
        <v>4</v>
      </c>
      <c r="D307" s="6" t="s">
        <v>16</v>
      </c>
      <c r="E307">
        <v>299</v>
      </c>
      <c r="F307">
        <v>1.85</v>
      </c>
      <c r="G307">
        <v>0</v>
      </c>
      <c r="N307">
        <f t="shared" si="6"/>
        <v>267.90628672708334</v>
      </c>
      <c r="O307">
        <f>IF(AND(OR(D307="S. acutus",D307="S. californicus",D307="S. tabernaemontani"),G307=0),E307*[1]Sheet1!$D$7+[1]Sheet1!$L$7,IF(AND(OR(D307="S. acutus",D307="S. tabernaemontani"),G307&gt;0),E307*[1]Sheet1!$D$8+N307*[1]Sheet1!$E$8,IF(AND(D307="S. californicus",G307&gt;0),E307*[1]Sheet1!$D$9+N307*[1]Sheet1!$E$9,IF(D307="S.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latifolia"),E307&gt;0),F307*[1]Sheet1!$C$4+E307*[1]Sheet1!$D$4+H307*[1]Sheet1!$J$4+I307*[1]Sheet1!$K$4+[1]Sheet1!$L$4,IF(AND(OR(D307="T. domingensis",D307="T. latifolia"),J307&gt;0),J307*[1]Sheet1!$G$5+K307*[1]Sheet1!$H$5+L307*[1]Sheet1!$I$5+[1]Sheet1!$L$5,0)))))))</f>
        <v>16.370798000000001</v>
      </c>
    </row>
    <row r="308" spans="1:15">
      <c r="A308" s="2">
        <v>40745</v>
      </c>
      <c r="B308" t="s">
        <v>47</v>
      </c>
      <c r="C308">
        <v>4</v>
      </c>
      <c r="D308" s="6" t="s">
        <v>16</v>
      </c>
      <c r="E308">
        <v>301</v>
      </c>
      <c r="F308">
        <v>2.04</v>
      </c>
      <c r="G308">
        <v>0</v>
      </c>
      <c r="N308">
        <f t="shared" si="6"/>
        <v>327.94052701199996</v>
      </c>
      <c r="O308">
        <f>IF(AND(OR(D308="S. acutus",D308="S. californicus",D308="S. tabernaemontani"),G308=0),E308*[1]Sheet1!$D$7+[1]Sheet1!$L$7,IF(AND(OR(D308="S. acutus",D308="S. tabernaemontani"),G308&gt;0),E308*[1]Sheet1!$D$8+N308*[1]Sheet1!$E$8,IF(AND(D308="S. californicus",G308&gt;0),E308*[1]Sheet1!$D$9+N308*[1]Sheet1!$E$9,IF(D308="S.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latifolia"),E308&gt;0),F308*[1]Sheet1!$C$4+E308*[1]Sheet1!$D$4+H308*[1]Sheet1!$J$4+I308*[1]Sheet1!$K$4+[1]Sheet1!$L$4,IF(AND(OR(D308="T. domingensis",D308="T. latifolia"),J308&gt;0),J308*[1]Sheet1!$G$5+K308*[1]Sheet1!$H$5+L308*[1]Sheet1!$I$5+[1]Sheet1!$L$5,0)))))))</f>
        <v>16.511008</v>
      </c>
    </row>
    <row r="309" spans="1:15">
      <c r="A309" s="2">
        <v>40745</v>
      </c>
      <c r="B309" t="s">
        <v>47</v>
      </c>
      <c r="C309">
        <v>4</v>
      </c>
      <c r="D309" s="6" t="s">
        <v>16</v>
      </c>
      <c r="E309">
        <v>306</v>
      </c>
      <c r="F309">
        <v>1.73</v>
      </c>
      <c r="G309">
        <v>12</v>
      </c>
      <c r="N309">
        <f t="shared" si="6"/>
        <v>239.7628501305</v>
      </c>
      <c r="O309">
        <f>IF(AND(OR(D309="S. acutus",D309="S. californicus",D309="S. tabernaemontani"),G309=0),E309*[1]Sheet1!$D$7+[1]Sheet1!$L$7,IF(AND(OR(D309="S. acutus",D309="S. tabernaemontani"),G309&gt;0),E309*[1]Sheet1!$D$8+N309*[1]Sheet1!$E$8,IF(AND(D309="S. californicus",G309&gt;0),E309*[1]Sheet1!$D$9+N309*[1]Sheet1!$E$9,IF(D309="S.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latifolia"),E309&gt;0),F309*[1]Sheet1!$C$4+E309*[1]Sheet1!$D$4+H309*[1]Sheet1!$J$4+I309*[1]Sheet1!$K$4+[1]Sheet1!$L$4,IF(AND(OR(D309="T. domingensis",D309="T. latifolia"),J309&gt;0),J309*[1]Sheet1!$G$5+K309*[1]Sheet1!$H$5+L309*[1]Sheet1!$I$5+[1]Sheet1!$L$5,0)))))))</f>
        <v>19.503752160767217</v>
      </c>
    </row>
    <row r="310" spans="1:15">
      <c r="A310" s="2">
        <v>40745</v>
      </c>
      <c r="B310" t="s">
        <v>47</v>
      </c>
      <c r="C310">
        <v>4</v>
      </c>
      <c r="D310" s="6" t="s">
        <v>16</v>
      </c>
      <c r="E310">
        <v>314</v>
      </c>
      <c r="F310">
        <v>1.46</v>
      </c>
      <c r="G310">
        <v>0</v>
      </c>
      <c r="N310">
        <f t="shared" si="6"/>
        <v>175.22804655133331</v>
      </c>
      <c r="O310">
        <f>IF(AND(OR(D310="S. acutus",D310="S. californicus",D310="S. tabernaemontani"),G310=0),E310*[1]Sheet1!$D$7+[1]Sheet1!$L$7,IF(AND(OR(D310="S. acutus",D310="S. tabernaemontani"),G310&gt;0),E310*[1]Sheet1!$D$8+N310*[1]Sheet1!$E$8,IF(AND(D310="S. californicus",G310&gt;0),E310*[1]Sheet1!$D$9+N310*[1]Sheet1!$E$9,IF(D310="S.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latifolia"),E310&gt;0),F310*[1]Sheet1!$C$4+E310*[1]Sheet1!$D$4+H310*[1]Sheet1!$J$4+I310*[1]Sheet1!$K$4+[1]Sheet1!$L$4,IF(AND(OR(D310="T. domingensis",D310="T. latifolia"),J310&gt;0),J310*[1]Sheet1!$G$5+K310*[1]Sheet1!$H$5+L310*[1]Sheet1!$I$5+[1]Sheet1!$L$5,0)))))))</f>
        <v>17.422373</v>
      </c>
    </row>
    <row r="311" spans="1:15">
      <c r="A311" s="2">
        <v>40745</v>
      </c>
      <c r="B311" t="s">
        <v>47</v>
      </c>
      <c r="C311">
        <v>4</v>
      </c>
      <c r="D311" s="6" t="s">
        <v>16</v>
      </c>
      <c r="E311">
        <v>315</v>
      </c>
      <c r="F311">
        <v>2.5299999999999998</v>
      </c>
      <c r="G311">
        <v>0</v>
      </c>
      <c r="N311">
        <f t="shared" si="6"/>
        <v>527.86134006374982</v>
      </c>
      <c r="O311">
        <f>IF(AND(OR(D311="S. acutus",D311="S. californicus",D311="S. tabernaemontani"),G311=0),E311*[1]Sheet1!$D$7+[1]Sheet1!$L$7,IF(AND(OR(D311="S. acutus",D311="S. tabernaemontani"),G311&gt;0),E311*[1]Sheet1!$D$8+N311*[1]Sheet1!$E$8,IF(AND(D311="S. californicus",G311&gt;0),E311*[1]Sheet1!$D$9+N311*[1]Sheet1!$E$9,IF(D311="S.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latifolia"),E311&gt;0),F311*[1]Sheet1!$C$4+E311*[1]Sheet1!$D$4+H311*[1]Sheet1!$J$4+I311*[1]Sheet1!$K$4+[1]Sheet1!$L$4,IF(AND(OR(D311="T. domingensis",D311="T. latifolia"),J311&gt;0),J311*[1]Sheet1!$G$5+K311*[1]Sheet1!$H$5+L311*[1]Sheet1!$I$5+[1]Sheet1!$L$5,0)))))))</f>
        <v>17.492478000000002</v>
      </c>
    </row>
    <row r="312" spans="1:15">
      <c r="A312" s="2">
        <v>40745</v>
      </c>
      <c r="B312" t="s">
        <v>47</v>
      </c>
      <c r="C312">
        <v>4</v>
      </c>
      <c r="D312" s="6" t="s">
        <v>16</v>
      </c>
      <c r="E312">
        <v>317</v>
      </c>
      <c r="F312">
        <v>2.25</v>
      </c>
      <c r="G312">
        <v>7</v>
      </c>
      <c r="N312">
        <f t="shared" si="6"/>
        <v>420.13857515624994</v>
      </c>
      <c r="O312">
        <f>IF(AND(OR(D312="S. acutus",D312="S. californicus",D312="S. tabernaemontani"),G312=0),E312*[1]Sheet1!$D$7+[1]Sheet1!$L$7,IF(AND(OR(D312="S. acutus",D312="S. tabernaemontani"),G312&gt;0),E312*[1]Sheet1!$D$8+N312*[1]Sheet1!$E$8,IF(AND(D312="S. californicus",G312&gt;0),E312*[1]Sheet1!$D$9+N312*[1]Sheet1!$E$9,IF(D312="S.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latifolia"),E312&gt;0),F312*[1]Sheet1!$C$4+E312*[1]Sheet1!$D$4+H312*[1]Sheet1!$J$4+I312*[1]Sheet1!$K$4+[1]Sheet1!$L$4,IF(AND(OR(D312="T. domingensis",D312="T. latifolia"),J312&gt;0),J312*[1]Sheet1!$G$5+K312*[1]Sheet1!$H$5+L312*[1]Sheet1!$I$5+[1]Sheet1!$L$5,0)))))))</f>
        <v>25.735590944748889</v>
      </c>
    </row>
    <row r="313" spans="1:15">
      <c r="A313" s="2">
        <v>40745</v>
      </c>
      <c r="B313" t="s">
        <v>47</v>
      </c>
      <c r="C313">
        <v>4</v>
      </c>
      <c r="D313" s="6" t="s">
        <v>16</v>
      </c>
      <c r="E313">
        <v>320</v>
      </c>
      <c r="F313">
        <v>1.6</v>
      </c>
      <c r="G313">
        <v>0</v>
      </c>
      <c r="N313">
        <f t="shared" si="6"/>
        <v>214.46587733333334</v>
      </c>
      <c r="O313">
        <f>IF(AND(OR(D313="S. acutus",D313="S. californicus",D313="S. tabernaemontani"),G313=0),E313*[1]Sheet1!$D$7+[1]Sheet1!$L$7,IF(AND(OR(D313="S. acutus",D313="S. tabernaemontani"),G313&gt;0),E313*[1]Sheet1!$D$8+N313*[1]Sheet1!$E$8,IF(AND(D313="S. californicus",G313&gt;0),E313*[1]Sheet1!$D$9+N313*[1]Sheet1!$E$9,IF(D313="S.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latifolia"),E313&gt;0),F313*[1]Sheet1!$C$4+E313*[1]Sheet1!$D$4+H313*[1]Sheet1!$J$4+I313*[1]Sheet1!$K$4+[1]Sheet1!$L$4,IF(AND(OR(D313="T. domingensis",D313="T. latifolia"),J313&gt;0),J313*[1]Sheet1!$G$5+K313*[1]Sheet1!$H$5+L313*[1]Sheet1!$I$5+[1]Sheet1!$L$5,0)))))))</f>
        <v>17.843003</v>
      </c>
    </row>
    <row r="314" spans="1:15">
      <c r="A314" s="2">
        <v>40745</v>
      </c>
      <c r="B314" t="s">
        <v>47</v>
      </c>
      <c r="C314">
        <v>4</v>
      </c>
      <c r="D314" s="6" t="s">
        <v>16</v>
      </c>
      <c r="E314">
        <v>326</v>
      </c>
      <c r="F314">
        <v>2.52</v>
      </c>
      <c r="G314">
        <v>0</v>
      </c>
      <c r="N314">
        <f t="shared" si="6"/>
        <v>541.984593528</v>
      </c>
      <c r="O314">
        <f>IF(AND(OR(D314="S. acutus",D314="S. californicus",D314="S. tabernaemontani"),G314=0),E314*[1]Sheet1!$D$7+[1]Sheet1!$L$7,IF(AND(OR(D314="S. acutus",D314="S. tabernaemontani"),G314&gt;0),E314*[1]Sheet1!$D$8+N314*[1]Sheet1!$E$8,IF(AND(D314="S. californicus",G314&gt;0),E314*[1]Sheet1!$D$9+N314*[1]Sheet1!$E$9,IF(D314="S.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latifolia"),E314&gt;0),F314*[1]Sheet1!$C$4+E314*[1]Sheet1!$D$4+H314*[1]Sheet1!$J$4+I314*[1]Sheet1!$K$4+[1]Sheet1!$L$4,IF(AND(OR(D314="T. domingensis",D314="T. latifolia"),J314&gt;0),J314*[1]Sheet1!$G$5+K314*[1]Sheet1!$H$5+L314*[1]Sheet1!$I$5+[1]Sheet1!$L$5,0)))))))</f>
        <v>18.263633000000002</v>
      </c>
    </row>
    <row r="315" spans="1:15">
      <c r="A315" s="2">
        <v>40745</v>
      </c>
      <c r="B315" t="s">
        <v>47</v>
      </c>
      <c r="C315">
        <v>4</v>
      </c>
      <c r="D315" s="6" t="s">
        <v>16</v>
      </c>
      <c r="E315">
        <v>338</v>
      </c>
      <c r="F315">
        <v>1.94</v>
      </c>
      <c r="G315">
        <v>14</v>
      </c>
      <c r="N315">
        <f t="shared" si="6"/>
        <v>333.0338821593333</v>
      </c>
      <c r="O315">
        <f>IF(AND(OR(D315="S. acutus",D315="S. californicus",D315="S. tabernaemontani"),G315=0),E315*[1]Sheet1!$D$7+[1]Sheet1!$L$7,IF(AND(OR(D315="S. acutus",D315="S. tabernaemontani"),G315&gt;0),E315*[1]Sheet1!$D$8+N315*[1]Sheet1!$E$8,IF(AND(D315="S. californicus",G315&gt;0),E315*[1]Sheet1!$D$9+N315*[1]Sheet1!$E$9,IF(D315="S.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latifolia"),E315&gt;0),F315*[1]Sheet1!$C$4+E315*[1]Sheet1!$D$4+H315*[1]Sheet1!$J$4+I315*[1]Sheet1!$K$4+[1]Sheet1!$L$4,IF(AND(OR(D315="T. domingensis",D315="T. latifolia"),J315&gt;0),J315*[1]Sheet1!$G$5+K315*[1]Sheet1!$H$5+L315*[1]Sheet1!$I$5+[1]Sheet1!$L$5,0)))))))</f>
        <v>23.739390536024477</v>
      </c>
    </row>
    <row r="316" spans="1:15">
      <c r="A316" s="2">
        <v>40745</v>
      </c>
      <c r="B316" t="s">
        <v>47</v>
      </c>
      <c r="C316">
        <v>4</v>
      </c>
      <c r="D316" s="6" t="s">
        <v>16</v>
      </c>
      <c r="E316">
        <v>345</v>
      </c>
      <c r="F316">
        <v>2.27</v>
      </c>
      <c r="G316">
        <v>0</v>
      </c>
      <c r="N316">
        <f t="shared" si="6"/>
        <v>465.41359944124991</v>
      </c>
      <c r="O316">
        <f>IF(AND(OR(D316="S. acutus",D316="S. californicus",D316="S. tabernaemontani"),G316=0),E316*[1]Sheet1!$D$7+[1]Sheet1!$L$7,IF(AND(OR(D316="S. acutus",D316="S. tabernaemontani"),G316&gt;0),E316*[1]Sheet1!$D$8+N316*[1]Sheet1!$E$8,IF(AND(D316="S. californicus",G316&gt;0),E316*[1]Sheet1!$D$9+N316*[1]Sheet1!$E$9,IF(D316="S.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latifolia"),E316&gt;0),F316*[1]Sheet1!$C$4+E316*[1]Sheet1!$D$4+H316*[1]Sheet1!$J$4+I316*[1]Sheet1!$K$4+[1]Sheet1!$L$4,IF(AND(OR(D316="T. domingensis",D316="T. latifolia"),J316&gt;0),J316*[1]Sheet1!$G$5+K316*[1]Sheet1!$H$5+L316*[1]Sheet1!$I$5+[1]Sheet1!$L$5,0)))))))</f>
        <v>19.595628000000001</v>
      </c>
    </row>
    <row r="317" spans="1:15">
      <c r="A317" s="2">
        <v>40745</v>
      </c>
      <c r="B317" t="s">
        <v>47</v>
      </c>
      <c r="C317">
        <v>4</v>
      </c>
      <c r="D317" s="6" t="s">
        <v>16</v>
      </c>
      <c r="E317">
        <v>347</v>
      </c>
      <c r="F317">
        <v>1.76</v>
      </c>
      <c r="G317">
        <v>6</v>
      </c>
      <c r="N317">
        <f t="shared" si="6"/>
        <v>281.39933723733327</v>
      </c>
      <c r="O317">
        <f>IF(AND(OR(D317="S. acutus",D317="S. californicus",D317="S. tabernaemontani"),G317=0),E317*[1]Sheet1!$D$7+[1]Sheet1!$L$7,IF(AND(OR(D317="S. acutus",D317="S. tabernaemontani"),G317&gt;0),E317*[1]Sheet1!$D$8+N317*[1]Sheet1!$E$8,IF(AND(D317="S. californicus",G317&gt;0),E317*[1]Sheet1!$D$9+N317*[1]Sheet1!$E$9,IF(D317="S.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latifolia"),E317&gt;0),F317*[1]Sheet1!$C$4+E317*[1]Sheet1!$D$4+H317*[1]Sheet1!$J$4+I317*[1]Sheet1!$K$4+[1]Sheet1!$L$4,IF(AND(OR(D317="T. domingensis",D317="T. latifolia"),J317&gt;0),J317*[1]Sheet1!$G$5+K317*[1]Sheet1!$H$5+L317*[1]Sheet1!$I$5+[1]Sheet1!$L$5,0)))))))</f>
        <v>22.423275618445643</v>
      </c>
    </row>
    <row r="318" spans="1:15">
      <c r="A318" s="2">
        <v>40745</v>
      </c>
      <c r="B318" t="s">
        <v>47</v>
      </c>
      <c r="C318">
        <v>4</v>
      </c>
      <c r="D318" s="6" t="s">
        <v>16</v>
      </c>
      <c r="E318">
        <v>351</v>
      </c>
      <c r="F318">
        <v>1.05</v>
      </c>
      <c r="G318">
        <v>0</v>
      </c>
      <c r="N318">
        <f t="shared" si="6"/>
        <v>101.31038701874999</v>
      </c>
      <c r="O318">
        <f>IF(AND(OR(D318="S. acutus",D318="S. californicus",D318="S. tabernaemontani"),G318=0),E318*[1]Sheet1!$D$7+[1]Sheet1!$L$7,IF(AND(OR(D318="S. acutus",D318="S. tabernaemontani"),G318&gt;0),E318*[1]Sheet1!$D$8+N318*[1]Sheet1!$E$8,IF(AND(D318="S. californicus",G318&gt;0),E318*[1]Sheet1!$D$9+N318*[1]Sheet1!$E$9,IF(D318="S.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latifolia"),E318&gt;0),F318*[1]Sheet1!$C$4+E318*[1]Sheet1!$D$4+H318*[1]Sheet1!$J$4+I318*[1]Sheet1!$K$4+[1]Sheet1!$L$4,IF(AND(OR(D318="T. domingensis",D318="T. latifolia"),J318&gt;0),J318*[1]Sheet1!$G$5+K318*[1]Sheet1!$H$5+L318*[1]Sheet1!$I$5+[1]Sheet1!$L$5,0)))))))</f>
        <v>20.016258000000001</v>
      </c>
    </row>
    <row r="319" spans="1:15">
      <c r="A319" s="2">
        <v>40745</v>
      </c>
      <c r="B319" t="s">
        <v>47</v>
      </c>
      <c r="C319">
        <v>4</v>
      </c>
      <c r="D319" s="6" t="s">
        <v>16</v>
      </c>
      <c r="E319">
        <v>352</v>
      </c>
      <c r="F319">
        <v>1.44</v>
      </c>
      <c r="G319">
        <v>2</v>
      </c>
      <c r="N319">
        <f t="shared" si="6"/>
        <v>191.08909670399996</v>
      </c>
      <c r="O319">
        <f>IF(AND(OR(D319="S. acutus",D319="S. californicus",D319="S. tabernaemontani"),G319=0),E319*[1]Sheet1!$D$7+[1]Sheet1!$L$7,IF(AND(OR(D319="S. acutus",D319="S. tabernaemontani"),G319&gt;0),E319*[1]Sheet1!$D$8+N319*[1]Sheet1!$E$8,IF(AND(D319="S. californicus",G319&gt;0),E319*[1]Sheet1!$D$9+N319*[1]Sheet1!$E$9,IF(D319="S.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latifolia"),E319&gt;0),F319*[1]Sheet1!$C$4+E319*[1]Sheet1!$D$4+H319*[1]Sheet1!$J$4+I319*[1]Sheet1!$K$4+[1]Sheet1!$L$4,IF(AND(OR(D319="T. domingensis",D319="T. latifolia"),J319&gt;0),J319*[1]Sheet1!$G$5+K319*[1]Sheet1!$H$5+L319*[1]Sheet1!$I$5+[1]Sheet1!$L$5,0)))))))</f>
        <v>19.707740094055833</v>
      </c>
    </row>
    <row r="320" spans="1:15">
      <c r="A320" s="2">
        <v>40745</v>
      </c>
      <c r="B320" t="s">
        <v>47</v>
      </c>
      <c r="C320">
        <v>4</v>
      </c>
      <c r="D320" s="6" t="s">
        <v>16</v>
      </c>
      <c r="E320">
        <v>352</v>
      </c>
      <c r="F320">
        <v>1.84</v>
      </c>
      <c r="G320">
        <v>0</v>
      </c>
      <c r="N320">
        <f t="shared" si="6"/>
        <v>311.99423505066665</v>
      </c>
      <c r="O320">
        <f>IF(AND(OR(D320="S. acutus",D320="S. californicus",D320="S. tabernaemontani"),G320=0),E320*[1]Sheet1!$D$7+[1]Sheet1!$L$7,IF(AND(OR(D320="S. acutus",D320="S. tabernaemontani"),G320&gt;0),E320*[1]Sheet1!$D$8+N320*[1]Sheet1!$E$8,IF(AND(D320="S. californicus",G320&gt;0),E320*[1]Sheet1!$D$9+N320*[1]Sheet1!$E$9,IF(D320="S.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latifolia"),E320&gt;0),F320*[1]Sheet1!$C$4+E320*[1]Sheet1!$D$4+H320*[1]Sheet1!$J$4+I320*[1]Sheet1!$K$4+[1]Sheet1!$L$4,IF(AND(OR(D320="T. domingensis",D320="T. latifolia"),J320&gt;0),J320*[1]Sheet1!$G$5+K320*[1]Sheet1!$H$5+L320*[1]Sheet1!$I$5+[1]Sheet1!$L$5,0)))))))</f>
        <v>20.086363000000002</v>
      </c>
    </row>
    <row r="321" spans="1:15">
      <c r="A321" s="2">
        <v>40745</v>
      </c>
      <c r="B321" t="s">
        <v>47</v>
      </c>
      <c r="C321">
        <v>4</v>
      </c>
      <c r="D321" s="6" t="s">
        <v>16</v>
      </c>
      <c r="E321">
        <v>361</v>
      </c>
      <c r="F321">
        <v>2.1800000000000002</v>
      </c>
      <c r="G321">
        <v>10</v>
      </c>
      <c r="N321">
        <f t="shared" si="6"/>
        <v>449.14694383966673</v>
      </c>
      <c r="O321">
        <f>IF(AND(OR(D321="S. acutus",D321="S. californicus",D321="S. tabernaemontani"),G321=0),E321*[1]Sheet1!$D$7+[1]Sheet1!$L$7,IF(AND(OR(D321="S. acutus",D321="S. tabernaemontani"),G321&gt;0),E321*[1]Sheet1!$D$8+N321*[1]Sheet1!$E$8,IF(AND(D321="S. californicus",G321&gt;0),E321*[1]Sheet1!$D$9+N321*[1]Sheet1!$E$9,IF(D321="S.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latifolia"),E321&gt;0),F321*[1]Sheet1!$C$4+E321*[1]Sheet1!$D$4+H321*[1]Sheet1!$J$4+I321*[1]Sheet1!$K$4+[1]Sheet1!$L$4,IF(AND(OR(D321="T. domingensis",D321="T. latifolia"),J321&gt;0),J321*[1]Sheet1!$G$5+K321*[1]Sheet1!$H$5+L321*[1]Sheet1!$I$5+[1]Sheet1!$L$5,0)))))))</f>
        <v>28.363998923886726</v>
      </c>
    </row>
    <row r="322" spans="1:15">
      <c r="A322" s="2">
        <v>40745</v>
      </c>
      <c r="B322" t="s">
        <v>47</v>
      </c>
      <c r="C322">
        <v>4</v>
      </c>
      <c r="D322" s="6" t="s">
        <v>16</v>
      </c>
      <c r="E322">
        <v>362</v>
      </c>
      <c r="F322">
        <v>2.37</v>
      </c>
      <c r="G322">
        <v>0</v>
      </c>
      <c r="N322">
        <f t="shared" si="6"/>
        <v>532.32090560849997</v>
      </c>
      <c r="O322">
        <f>IF(AND(OR(D322="S. acutus",D322="S. californicus",D322="S. tabernaemontani"),G322=0),E322*[1]Sheet1!$D$7+[1]Sheet1!$L$7,IF(AND(OR(D322="S. acutus",D322="S. tabernaemontani"),G322&gt;0),E322*[1]Sheet1!$D$8+N322*[1]Sheet1!$E$8,IF(AND(D322="S. californicus",G322&gt;0),E322*[1]Sheet1!$D$9+N322*[1]Sheet1!$E$9,IF(D322="S.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latifolia"),E322&gt;0),F322*[1]Sheet1!$C$4+E322*[1]Sheet1!$D$4+H322*[1]Sheet1!$J$4+I322*[1]Sheet1!$K$4+[1]Sheet1!$L$4,IF(AND(OR(D322="T. domingensis",D322="T. latifolia"),J322&gt;0),J322*[1]Sheet1!$G$5+K322*[1]Sheet1!$H$5+L322*[1]Sheet1!$I$5+[1]Sheet1!$L$5,0)))))))</f>
        <v>20.787413000000001</v>
      </c>
    </row>
    <row r="323" spans="1:15">
      <c r="A323" s="2">
        <v>40745</v>
      </c>
      <c r="B323" t="s">
        <v>47</v>
      </c>
      <c r="C323">
        <v>4</v>
      </c>
      <c r="D323" s="6" t="s">
        <v>16</v>
      </c>
      <c r="E323">
        <v>365</v>
      </c>
      <c r="F323">
        <v>1.33</v>
      </c>
      <c r="G323">
        <v>3</v>
      </c>
      <c r="N323">
        <f t="shared" si="6"/>
        <v>169.03023925958334</v>
      </c>
      <c r="O323">
        <f>IF(AND(OR(D323="S. acutus",D323="S. californicus",D323="S. tabernaemontani"),G323=0),E323*[1]Sheet1!$D$7+[1]Sheet1!$L$7,IF(AND(OR(D323="S. acutus",D323="S. tabernaemontani"),G323&gt;0),E323*[1]Sheet1!$D$8+N323*[1]Sheet1!$E$8,IF(AND(D323="S. californicus",G323&gt;0),E323*[1]Sheet1!$D$9+N323*[1]Sheet1!$E$9,IF(D323="S.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latifolia"),E323&gt;0),F323*[1]Sheet1!$C$4+E323*[1]Sheet1!$D$4+H323*[1]Sheet1!$J$4+I323*[1]Sheet1!$K$4+[1]Sheet1!$L$4,IF(AND(OR(D323="T. domingensis",D323="T. latifolia"),J323&gt;0),J323*[1]Sheet1!$G$5+K323*[1]Sheet1!$H$5+L323*[1]Sheet1!$I$5+[1]Sheet1!$L$5,0)))))))</f>
        <v>19.498017331373919</v>
      </c>
    </row>
    <row r="324" spans="1:15">
      <c r="A324" s="2">
        <v>40745</v>
      </c>
      <c r="B324" t="s">
        <v>47</v>
      </c>
      <c r="C324">
        <v>4</v>
      </c>
      <c r="D324" s="6" t="s">
        <v>16</v>
      </c>
      <c r="E324">
        <v>365</v>
      </c>
      <c r="F324">
        <v>2</v>
      </c>
      <c r="G324">
        <v>24</v>
      </c>
      <c r="N324">
        <f t="shared" si="6"/>
        <v>382.22678333333329</v>
      </c>
      <c r="O324">
        <f>IF(AND(OR(D324="S. acutus",D324="S. californicus",D324="S. tabernaemontani"),G324=0),E324*[1]Sheet1!$D$7+[1]Sheet1!$L$7,IF(AND(OR(D324="S. acutus",D324="S. tabernaemontani"),G324&gt;0),E324*[1]Sheet1!$D$8+N324*[1]Sheet1!$E$8,IF(AND(D324="S. californicus",G324&gt;0),E324*[1]Sheet1!$D$9+N324*[1]Sheet1!$E$9,IF(D324="S.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latifolia"),E324&gt;0),F324*[1]Sheet1!$C$4+E324*[1]Sheet1!$D$4+H324*[1]Sheet1!$J$4+I324*[1]Sheet1!$K$4+[1]Sheet1!$L$4,IF(AND(OR(D324="T. domingensis",D324="T. latifolia"),J324&gt;0),J324*[1]Sheet1!$G$5+K324*[1]Sheet1!$H$5+L324*[1]Sheet1!$I$5+[1]Sheet1!$L$5,0)))))))</f>
        <v>26.363137927438331</v>
      </c>
    </row>
    <row r="325" spans="1:15">
      <c r="A325" s="2">
        <v>40745</v>
      </c>
      <c r="B325" t="s">
        <v>47</v>
      </c>
      <c r="C325">
        <v>4</v>
      </c>
      <c r="D325" s="6" t="s">
        <v>16</v>
      </c>
      <c r="E325">
        <v>366</v>
      </c>
      <c r="F325">
        <v>1.56</v>
      </c>
      <c r="G325">
        <v>0</v>
      </c>
      <c r="N325">
        <f t="shared" si="6"/>
        <v>233.18388943199997</v>
      </c>
      <c r="O325">
        <f>IF(AND(OR(D325="S. acutus",D325="S. californicus",D325="S. tabernaemontani"),G325=0),E325*[1]Sheet1!$D$7+[1]Sheet1!$L$7,IF(AND(OR(D325="S. acutus",D325="S. tabernaemontani"),G325&gt;0),E325*[1]Sheet1!$D$8+N325*[1]Sheet1!$E$8,IF(AND(D325="S. californicus",G325&gt;0),E325*[1]Sheet1!$D$9+N325*[1]Sheet1!$E$9,IF(D325="S.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latifolia"),E325&gt;0),F325*[1]Sheet1!$C$4+E325*[1]Sheet1!$D$4+H325*[1]Sheet1!$J$4+I325*[1]Sheet1!$K$4+[1]Sheet1!$L$4,IF(AND(OR(D325="T. domingensis",D325="T. latifolia"),J325&gt;0),J325*[1]Sheet1!$G$5+K325*[1]Sheet1!$H$5+L325*[1]Sheet1!$I$5+[1]Sheet1!$L$5,0)))))))</f>
        <v>21.067833</v>
      </c>
    </row>
    <row r="326" spans="1:15">
      <c r="A326" s="2">
        <v>40745</v>
      </c>
      <c r="B326" t="s">
        <v>47</v>
      </c>
      <c r="C326">
        <v>4</v>
      </c>
      <c r="D326" s="6" t="s">
        <v>16</v>
      </c>
      <c r="E326">
        <v>370</v>
      </c>
      <c r="F326">
        <v>1.89</v>
      </c>
      <c r="G326">
        <v>0</v>
      </c>
      <c r="N326">
        <f t="shared" si="6"/>
        <v>346.01393720249996</v>
      </c>
      <c r="O326">
        <f>IF(AND(OR(D326="S. acutus",D326="S. californicus",D326="S. tabernaemontani"),G326=0),E326*[1]Sheet1!$D$7+[1]Sheet1!$L$7,IF(AND(OR(D326="S. acutus",D326="S. tabernaemontani"),G326&gt;0),E326*[1]Sheet1!$D$8+N326*[1]Sheet1!$E$8,IF(AND(D326="S. californicus",G326&gt;0),E326*[1]Sheet1!$D$9+N326*[1]Sheet1!$E$9,IF(D326="S.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latifolia"),E326&gt;0),F326*[1]Sheet1!$C$4+E326*[1]Sheet1!$D$4+H326*[1]Sheet1!$J$4+I326*[1]Sheet1!$K$4+[1]Sheet1!$L$4,IF(AND(OR(D326="T. domingensis",D326="T. latifolia"),J326&gt;0),J326*[1]Sheet1!$G$5+K326*[1]Sheet1!$H$5+L326*[1]Sheet1!$I$5+[1]Sheet1!$L$5,0)))))))</f>
        <v>21.348253</v>
      </c>
    </row>
    <row r="327" spans="1:15">
      <c r="A327" s="2">
        <v>40745</v>
      </c>
      <c r="B327" t="s">
        <v>47</v>
      </c>
      <c r="C327">
        <v>4</v>
      </c>
      <c r="D327" s="6" t="s">
        <v>16</v>
      </c>
      <c r="E327">
        <v>375</v>
      </c>
      <c r="F327">
        <v>2.14</v>
      </c>
      <c r="G327">
        <v>7</v>
      </c>
      <c r="N327">
        <f t="shared" si="6"/>
        <v>449.60079887499995</v>
      </c>
      <c r="O327">
        <f>IF(AND(OR(D327="S. acutus",D327="S. californicus",D327="S. tabernaemontani"),G327=0),E327*[1]Sheet1!$D$7+[1]Sheet1!$L$7,IF(AND(OR(D327="S. acutus",D327="S. tabernaemontani"),G327&gt;0),E327*[1]Sheet1!$D$8+N327*[1]Sheet1!$E$8,IF(AND(D327="S. californicus",G327&gt;0),E327*[1]Sheet1!$D$9+N327*[1]Sheet1!$E$9,IF(D327="S.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latifolia"),E327&gt;0),F327*[1]Sheet1!$C$4+E327*[1]Sheet1!$D$4+H327*[1]Sheet1!$J$4+I327*[1]Sheet1!$K$4+[1]Sheet1!$L$4,IF(AND(OR(D327="T. domingensis",D327="T. latifolia"),J327&gt;0),J327*[1]Sheet1!$G$5+K327*[1]Sheet1!$H$5+L327*[1]Sheet1!$I$5+[1]Sheet1!$L$5,0)))))))</f>
        <v>28.917712864493986</v>
      </c>
    </row>
    <row r="328" spans="1:15">
      <c r="A328" s="2">
        <v>40745</v>
      </c>
      <c r="B328" t="s">
        <v>47</v>
      </c>
      <c r="C328">
        <v>4</v>
      </c>
      <c r="D328" s="6" t="s">
        <v>16</v>
      </c>
      <c r="E328">
        <v>381</v>
      </c>
      <c r="F328">
        <v>2.0099999999999998</v>
      </c>
      <c r="G328">
        <v>0</v>
      </c>
      <c r="N328">
        <f t="shared" si="6"/>
        <v>402.98172384824989</v>
      </c>
      <c r="O328">
        <f>IF(AND(OR(D328="S. acutus",D328="S. californicus",D328="S. tabernaemontani"),G328=0),E328*[1]Sheet1!$D$7+[1]Sheet1!$L$7,IF(AND(OR(D328="S. acutus",D328="S. tabernaemontani"),G328&gt;0),E328*[1]Sheet1!$D$8+N328*[1]Sheet1!$E$8,IF(AND(D328="S. californicus",G328&gt;0),E328*[1]Sheet1!$D$9+N328*[1]Sheet1!$E$9,IF(D328="S.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latifolia"),E328&gt;0),F328*[1]Sheet1!$C$4+E328*[1]Sheet1!$D$4+H328*[1]Sheet1!$J$4+I328*[1]Sheet1!$K$4+[1]Sheet1!$L$4,IF(AND(OR(D328="T. domingensis",D328="T. latifolia"),J328&gt;0),J328*[1]Sheet1!$G$5+K328*[1]Sheet1!$H$5+L328*[1]Sheet1!$I$5+[1]Sheet1!$L$5,0)))))))</f>
        <v>22.119408</v>
      </c>
    </row>
    <row r="329" spans="1:15">
      <c r="A329" s="2">
        <v>40745</v>
      </c>
      <c r="B329" t="s">
        <v>47</v>
      </c>
      <c r="C329">
        <v>4</v>
      </c>
      <c r="D329" s="6" t="s">
        <v>19</v>
      </c>
      <c r="E329">
        <v>328</v>
      </c>
      <c r="F329">
        <v>2.31</v>
      </c>
      <c r="H329">
        <v>30</v>
      </c>
      <c r="I329">
        <v>1.2</v>
      </c>
      <c r="O329">
        <f>IF(AND(OR(D329="S. acutus",D329="S. californicus",D329="S. tabernaemontani"),G329=0),E329*[1]Sheet1!$D$7+[1]Sheet1!$L$7,IF(AND(OR(D329="S. acutus",D329="S. tabernaemontani"),G329&gt;0),E329*[1]Sheet1!$D$8+N329*[1]Sheet1!$E$8,IF(AND(D329="S. californicus",G329&gt;0),E329*[1]Sheet1!$D$9+N329*[1]Sheet1!$E$9,IF(D329="S.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latifolia"),E329&gt;0),F329*[1]Sheet1!$C$4+E329*[1]Sheet1!$D$4+H329*[1]Sheet1!$J$4+I329*[1]Sheet1!$K$4+[1]Sheet1!$L$4,IF(AND(OR(D329="T. domingensis",D329="T. latifolia"),J329&gt;0),J329*[1]Sheet1!$G$5+K329*[1]Sheet1!$H$5+L329*[1]Sheet1!$I$5+[1]Sheet1!$L$5,0)))))))</f>
        <v>94.860492469999997</v>
      </c>
    </row>
    <row r="330" spans="1:15">
      <c r="A330" s="2">
        <v>40745</v>
      </c>
      <c r="B330" t="s">
        <v>47</v>
      </c>
      <c r="C330">
        <v>4</v>
      </c>
      <c r="D330" s="6" t="s">
        <v>19</v>
      </c>
      <c r="E330">
        <v>335</v>
      </c>
      <c r="F330">
        <v>2.57</v>
      </c>
      <c r="H330">
        <v>35</v>
      </c>
      <c r="I330">
        <v>2.1</v>
      </c>
      <c r="O330">
        <f>IF(AND(OR(D330="S. acutus",D330="S. californicus",D330="S. tabernaemontani"),G330=0),E330*[1]Sheet1!$D$7+[1]Sheet1!$L$7,IF(AND(OR(D330="S. acutus",D330="S. tabernaemontani"),G330&gt;0),E330*[1]Sheet1!$D$8+N330*[1]Sheet1!$E$8,IF(AND(D330="S. californicus",G330&gt;0),E330*[1]Sheet1!$D$9+N330*[1]Sheet1!$E$9,IF(D330="S.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latifolia"),E330&gt;0),F330*[1]Sheet1!$C$4+E330*[1]Sheet1!$D$4+H330*[1]Sheet1!$J$4+I330*[1]Sheet1!$K$4+[1]Sheet1!$L$4,IF(AND(OR(D330="T. domingensis",D330="T. latifolia"),J330&gt;0),J330*[1]Sheet1!$G$5+K330*[1]Sheet1!$H$5+L330*[1]Sheet1!$I$5+[1]Sheet1!$L$5,0)))))))</f>
        <v>122.37522448999999</v>
      </c>
    </row>
    <row r="331" spans="1:15">
      <c r="A331" s="2">
        <v>40745</v>
      </c>
      <c r="B331" t="s">
        <v>47</v>
      </c>
      <c r="C331">
        <v>4</v>
      </c>
      <c r="D331" s="6" t="s">
        <v>19</v>
      </c>
      <c r="E331">
        <v>340</v>
      </c>
      <c r="F331">
        <v>2.7</v>
      </c>
      <c r="H331">
        <v>28</v>
      </c>
      <c r="I331">
        <v>2</v>
      </c>
      <c r="O331">
        <f>IF(AND(OR(D331="S. acutus",D331="S. californicus",D331="S. tabernaemontani"),G331=0),E331*[1]Sheet1!$D$7+[1]Sheet1!$L$7,IF(AND(OR(D331="S. acutus",D331="S. tabernaemontani"),G331&gt;0),E331*[1]Sheet1!$D$8+N331*[1]Sheet1!$E$8,IF(AND(D331="S. californicus",G331&gt;0),E331*[1]Sheet1!$D$9+N331*[1]Sheet1!$E$9,IF(D331="S.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latifolia"),E331&gt;0),F331*[1]Sheet1!$C$4+E331*[1]Sheet1!$D$4+H331*[1]Sheet1!$J$4+I331*[1]Sheet1!$K$4+[1]Sheet1!$L$4,IF(AND(OR(D331="T. domingensis",D331="T. latifolia"),J331&gt;0),J331*[1]Sheet1!$G$5+K331*[1]Sheet1!$H$5+L331*[1]Sheet1!$I$5+[1]Sheet1!$L$5,0)))))))</f>
        <v>118.13972150000001</v>
      </c>
    </row>
    <row r="332" spans="1:15">
      <c r="A332" s="2">
        <v>40745</v>
      </c>
      <c r="B332" t="s">
        <v>47</v>
      </c>
      <c r="C332">
        <v>4</v>
      </c>
      <c r="D332" s="6" t="s">
        <v>19</v>
      </c>
      <c r="E332">
        <v>375</v>
      </c>
      <c r="F332">
        <v>3.52</v>
      </c>
      <c r="H332">
        <v>52</v>
      </c>
      <c r="I332">
        <v>2.6</v>
      </c>
      <c r="O332">
        <f>IF(AND(OR(D332="S. acutus",D332="S. californicus",D332="S. tabernaemontani"),G332=0),E332*[1]Sheet1!$D$7+[1]Sheet1!$L$7,IF(AND(OR(D332="S. acutus",D332="S. tabernaemontani"),G332&gt;0),E332*[1]Sheet1!$D$8+N332*[1]Sheet1!$E$8,IF(AND(D332="S. californicus",G332&gt;0),E332*[1]Sheet1!$D$9+N332*[1]Sheet1!$E$9,IF(D332="S.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latifolia"),E332&gt;0),F332*[1]Sheet1!$C$4+E332*[1]Sheet1!$D$4+H332*[1]Sheet1!$J$4+I332*[1]Sheet1!$K$4+[1]Sheet1!$L$4,IF(AND(OR(D332="T. domingensis",D332="T. latifolia"),J332&gt;0),J332*[1]Sheet1!$G$5+K332*[1]Sheet1!$H$5+L332*[1]Sheet1!$I$5+[1]Sheet1!$L$5,0)))))))</f>
        <v>177.38204003999999</v>
      </c>
    </row>
    <row r="333" spans="1:15">
      <c r="A333" s="2">
        <v>40745</v>
      </c>
      <c r="B333" t="s">
        <v>47</v>
      </c>
      <c r="C333">
        <v>4</v>
      </c>
      <c r="D333" s="6" t="s">
        <v>19</v>
      </c>
      <c r="F333">
        <v>1.38</v>
      </c>
      <c r="J333">
        <f>221+288+236+303+363+305</f>
        <v>1716</v>
      </c>
      <c r="K333">
        <v>6</v>
      </c>
      <c r="L333">
        <v>363</v>
      </c>
      <c r="O333">
        <f>IF(AND(OR(D333="S. acutus",D333="S. californicus",D333="S. tabernaemontani"),G333=0),E333*[1]Sheet1!$D$7+[1]Sheet1!$L$7,IF(AND(OR(D333="S. acutus",D333="S. tabernaemontani"),G333&gt;0),E333*[1]Sheet1!$D$8+N333*[1]Sheet1!$E$8,IF(AND(D333="S. californicus",G333&gt;0),E333*[1]Sheet1!$D$9+N333*[1]Sheet1!$E$9,IF(D333="S.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latifolia"),E333&gt;0),F333*[1]Sheet1!$C$4+E333*[1]Sheet1!$D$4+H333*[1]Sheet1!$J$4+I333*[1]Sheet1!$K$4+[1]Sheet1!$L$4,IF(AND(OR(D333="T. domingensis",D333="T. latifolia"),J333&gt;0),J333*[1]Sheet1!$G$5+K333*[1]Sheet1!$H$5+L333*[1]Sheet1!$I$5+[1]Sheet1!$L$5,0)))))))</f>
        <v>42.434510999999993</v>
      </c>
    </row>
    <row r="334" spans="1:15">
      <c r="A334" s="2">
        <v>40745</v>
      </c>
      <c r="B334" t="s">
        <v>47</v>
      </c>
      <c r="C334">
        <v>5</v>
      </c>
      <c r="D334" s="6" t="s">
        <v>42</v>
      </c>
      <c r="E334" s="15">
        <v>198</v>
      </c>
      <c r="F334">
        <v>1.1499999999999999</v>
      </c>
      <c r="G334">
        <v>5</v>
      </c>
      <c r="N334">
        <f>((1/3)*(3.14159)*((F334/2)^2)*E334)</f>
        <v>68.553420787499988</v>
      </c>
      <c r="O334">
        <f>IF(AND(OR(D334="S. acutus",D334="S. californicus",D334="S. tabernaemontani"),G334=0),E334*[1]Sheet1!$D$7+[1]Sheet1!$L$7,IF(AND(OR(D334="S. acutus",D334="S. tabernaemontani"),G334&gt;0),E334*[1]Sheet1!$D$8+N334*[1]Sheet1!$E$8,IF(AND(D334="S. californicus",G334&gt;0),E334*[1]Sheet1!$D$9+N334*[1]Sheet1!$E$9,IF(D334="S.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latifolia"),E334&gt;0),F334*[1]Sheet1!$C$4+E334*[1]Sheet1!$D$4+H334*[1]Sheet1!$J$4+I334*[1]Sheet1!$K$4+[1]Sheet1!$L$4,IF(AND(OR(D334="T. domingensis",D334="T. latifolia"),J334&gt;0),J334*[1]Sheet1!$G$5+K334*[1]Sheet1!$H$5+L334*[1]Sheet1!$I$5+[1]Sheet1!$L$5,0)))))))</f>
        <v>8.8034827904982755</v>
      </c>
    </row>
    <row r="335" spans="1:15">
      <c r="A335" s="2">
        <v>40745</v>
      </c>
      <c r="B335" t="s">
        <v>47</v>
      </c>
      <c r="C335">
        <v>5</v>
      </c>
      <c r="D335" s="6" t="s">
        <v>42</v>
      </c>
      <c r="E335" s="15">
        <v>240</v>
      </c>
      <c r="F335">
        <v>1.5</v>
      </c>
      <c r="G335">
        <v>15</v>
      </c>
      <c r="N335">
        <f t="shared" ref="N335:N374" si="7">((1/3)*(3.14159)*((F335/2)^2)*E335)</f>
        <v>141.37154999999998</v>
      </c>
      <c r="O335">
        <f>IF(AND(OR(D335="S. acutus",D335="S. californicus",D335="S. tabernaemontani"),G335=0),E335*[1]Sheet1!$D$7+[1]Sheet1!$L$7,IF(AND(OR(D335="S. acutus",D335="S. tabernaemontani"),G335&gt;0),E335*[1]Sheet1!$D$8+N335*[1]Sheet1!$E$8,IF(AND(D335="S. californicus",G335&gt;0),E335*[1]Sheet1!$D$9+N335*[1]Sheet1!$E$9,IF(D335="S.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latifolia"),E335&gt;0),F335*[1]Sheet1!$C$4+E335*[1]Sheet1!$D$4+H335*[1]Sheet1!$J$4+I335*[1]Sheet1!$K$4+[1]Sheet1!$L$4,IF(AND(OR(D335="T. domingensis",D335="T. latifolia"),J335&gt;0),J335*[1]Sheet1!$G$5+K335*[1]Sheet1!$H$5+L335*[1]Sheet1!$I$5+[1]Sheet1!$L$5,0)))))))</f>
        <v>14.0319267747</v>
      </c>
    </row>
    <row r="336" spans="1:15">
      <c r="A336" s="2">
        <v>40745</v>
      </c>
      <c r="B336" t="s">
        <v>47</v>
      </c>
      <c r="C336">
        <v>5</v>
      </c>
      <c r="D336" s="6" t="s">
        <v>42</v>
      </c>
      <c r="E336" s="15">
        <v>262</v>
      </c>
      <c r="F336">
        <v>1.5</v>
      </c>
      <c r="G336">
        <v>53</v>
      </c>
      <c r="N336">
        <f t="shared" si="7"/>
        <v>154.33060874999998</v>
      </c>
      <c r="O336">
        <f>IF(AND(OR(D336="S. acutus",D336="S. californicus",D336="S. tabernaemontani"),G336=0),E336*[1]Sheet1!$D$7+[1]Sheet1!$L$7,IF(AND(OR(D336="S. acutus",D336="S. tabernaemontani"),G336&gt;0),E336*[1]Sheet1!$D$8+N336*[1]Sheet1!$E$8,IF(AND(D336="S. californicus",G336&gt;0),E336*[1]Sheet1!$D$9+N336*[1]Sheet1!$E$9,IF(D336="S.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latifolia"),E336&gt;0),F336*[1]Sheet1!$C$4+E336*[1]Sheet1!$D$4+H336*[1]Sheet1!$J$4+I336*[1]Sheet1!$K$4+[1]Sheet1!$L$4,IF(AND(OR(D336="T. domingensis",D336="T. latifolia"),J336&gt;0),J336*[1]Sheet1!$G$5+K336*[1]Sheet1!$H$5+L336*[1]Sheet1!$I$5+[1]Sheet1!$L$5,0)))))))</f>
        <v>15.3181867290475</v>
      </c>
    </row>
    <row r="337" spans="1:15">
      <c r="A337" s="2">
        <v>40745</v>
      </c>
      <c r="B337" t="s">
        <v>47</v>
      </c>
      <c r="C337">
        <v>5</v>
      </c>
      <c r="D337" s="6" t="s">
        <v>16</v>
      </c>
      <c r="E337">
        <v>126</v>
      </c>
      <c r="F337">
        <v>1.2</v>
      </c>
      <c r="G337">
        <v>0</v>
      </c>
      <c r="N337">
        <f t="shared" si="7"/>
        <v>47.500840799999992</v>
      </c>
      <c r="O337">
        <f>IF(AND(OR(D337="S. acutus",D337="S. californicus",D337="S. tabernaemontani"),G337=0),E337*[1]Sheet1!$D$7+[1]Sheet1!$L$7,IF(AND(OR(D337="S. acutus",D337="S. tabernaemontani"),G337&gt;0),E337*[1]Sheet1!$D$8+N337*[1]Sheet1!$E$8,IF(AND(D337="S. californicus",G337&gt;0),E337*[1]Sheet1!$D$9+N337*[1]Sheet1!$E$9,IF(D337="S.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latifolia"),E337&gt;0),F337*[1]Sheet1!$C$4+E337*[1]Sheet1!$D$4+H337*[1]Sheet1!$J$4+I337*[1]Sheet1!$K$4+[1]Sheet1!$L$4,IF(AND(OR(D337="T. domingensis",D337="T. latifolia"),J337&gt;0),J337*[1]Sheet1!$G$5+K337*[1]Sheet1!$H$5+L337*[1]Sheet1!$I$5+[1]Sheet1!$L$5,0)))))))</f>
        <v>4.2426330000000005</v>
      </c>
    </row>
    <row r="338" spans="1:15">
      <c r="A338" s="2">
        <v>40745</v>
      </c>
      <c r="B338" t="s">
        <v>47</v>
      </c>
      <c r="C338">
        <v>5</v>
      </c>
      <c r="D338" s="6" t="s">
        <v>16</v>
      </c>
      <c r="E338">
        <v>171</v>
      </c>
      <c r="F338">
        <v>0.82</v>
      </c>
      <c r="G338">
        <v>0</v>
      </c>
      <c r="N338">
        <f t="shared" si="7"/>
        <v>30.101772902999993</v>
      </c>
      <c r="O338">
        <f>IF(AND(OR(D338="S. acutus",D338="S. californicus",D338="S. tabernaemontani"),G338=0),E338*[1]Sheet1!$D$7+[1]Sheet1!$L$7,IF(AND(OR(D338="S. acutus",D338="S. tabernaemontani"),G338&gt;0),E338*[1]Sheet1!$D$8+N338*[1]Sheet1!$E$8,IF(AND(D338="S. californicus",G338&gt;0),E338*[1]Sheet1!$D$9+N338*[1]Sheet1!$E$9,IF(D338="S.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latifolia"),E338&gt;0),F338*[1]Sheet1!$C$4+E338*[1]Sheet1!$D$4+H338*[1]Sheet1!$J$4+I338*[1]Sheet1!$K$4+[1]Sheet1!$L$4,IF(AND(OR(D338="T. domingensis",D338="T. latifolia"),J338&gt;0),J338*[1]Sheet1!$G$5+K338*[1]Sheet1!$H$5+L338*[1]Sheet1!$I$5+[1]Sheet1!$L$5,0)))))))</f>
        <v>7.3973579999999997</v>
      </c>
    </row>
    <row r="339" spans="1:15">
      <c r="A339" s="2">
        <v>40745</v>
      </c>
      <c r="B339" t="s">
        <v>47</v>
      </c>
      <c r="C339">
        <v>5</v>
      </c>
      <c r="D339" s="6" t="s">
        <v>16</v>
      </c>
      <c r="E339">
        <v>218</v>
      </c>
      <c r="F339">
        <v>0.96</v>
      </c>
      <c r="G339">
        <v>12</v>
      </c>
      <c r="N339">
        <f t="shared" si="7"/>
        <v>52.597756415999989</v>
      </c>
      <c r="O339">
        <f>IF(AND(OR(D339="S. acutus",D339="S. californicus",D339="S. tabernaemontani"),G339=0),E339*[1]Sheet1!$D$7+[1]Sheet1!$L$7,IF(AND(OR(D339="S. acutus",D339="S. tabernaemontani"),G339&gt;0),E339*[1]Sheet1!$D$8+N339*[1]Sheet1!$E$8,IF(AND(D339="S. californicus",G339&gt;0),E339*[1]Sheet1!$D$9+N339*[1]Sheet1!$E$9,IF(D339="S.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latifolia"),E339&gt;0),F339*[1]Sheet1!$C$4+E339*[1]Sheet1!$D$4+H339*[1]Sheet1!$J$4+I339*[1]Sheet1!$K$4+[1]Sheet1!$L$4,IF(AND(OR(D339="T. domingensis",D339="T. latifolia"),J339&gt;0),J339*[1]Sheet1!$G$5+K339*[1]Sheet1!$H$5+L339*[1]Sheet1!$I$5+[1]Sheet1!$L$5,0)))))))</f>
        <v>10.088242894575973</v>
      </c>
    </row>
    <row r="340" spans="1:15">
      <c r="A340" s="2">
        <v>40745</v>
      </c>
      <c r="B340" t="s">
        <v>47</v>
      </c>
      <c r="C340">
        <v>5</v>
      </c>
      <c r="D340" s="6" t="s">
        <v>16</v>
      </c>
      <c r="E340">
        <v>221</v>
      </c>
      <c r="F340">
        <v>1.4</v>
      </c>
      <c r="G340">
        <v>0</v>
      </c>
      <c r="N340">
        <f t="shared" si="7"/>
        <v>113.4009270333333</v>
      </c>
      <c r="O340">
        <f>IF(AND(OR(D340="S. acutus",D340="S. californicus",D340="S. tabernaemontani"),G340=0),E340*[1]Sheet1!$D$7+[1]Sheet1!$L$7,IF(AND(OR(D340="S. acutus",D340="S. tabernaemontani"),G340&gt;0),E340*[1]Sheet1!$D$8+N340*[1]Sheet1!$E$8,IF(AND(D340="S. californicus",G340&gt;0),E340*[1]Sheet1!$D$9+N340*[1]Sheet1!$E$9,IF(D340="S.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latifolia"),E340&gt;0),F340*[1]Sheet1!$C$4+E340*[1]Sheet1!$D$4+H340*[1]Sheet1!$J$4+I340*[1]Sheet1!$K$4+[1]Sheet1!$L$4,IF(AND(OR(D340="T. domingensis",D340="T. latifolia"),J340&gt;0),J340*[1]Sheet1!$G$5+K340*[1]Sheet1!$H$5+L340*[1]Sheet1!$I$5+[1]Sheet1!$L$5,0)))))))</f>
        <v>10.902608000000001</v>
      </c>
    </row>
    <row r="341" spans="1:15">
      <c r="A341" s="2">
        <v>40745</v>
      </c>
      <c r="B341" t="s">
        <v>47</v>
      </c>
      <c r="C341">
        <v>5</v>
      </c>
      <c r="D341" s="6" t="s">
        <v>16</v>
      </c>
      <c r="E341">
        <v>221</v>
      </c>
      <c r="F341">
        <v>0.98</v>
      </c>
      <c r="G341">
        <v>7</v>
      </c>
      <c r="N341">
        <f t="shared" si="7"/>
        <v>55.566454246333322</v>
      </c>
      <c r="O341">
        <f>IF(AND(OR(D341="S. acutus",D341="S. californicus",D341="S. tabernaemontani"),G341=0),E341*[1]Sheet1!$D$7+[1]Sheet1!$L$7,IF(AND(OR(D341="S. acutus",D341="S. tabernaemontani"),G341&gt;0),E341*[1]Sheet1!$D$8+N341*[1]Sheet1!$E$8,IF(AND(D341="S. californicus",G341&gt;0),E341*[1]Sheet1!$D$9+N341*[1]Sheet1!$E$9,IF(D341="S.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latifolia"),E341&gt;0),F341*[1]Sheet1!$C$4+E341*[1]Sheet1!$D$4+H341*[1]Sheet1!$J$4+I341*[1]Sheet1!$K$4+[1]Sheet1!$L$4,IF(AND(OR(D341="T. domingensis",D341="T. latifolia"),J341&gt;0),J341*[1]Sheet1!$G$5+K341*[1]Sheet1!$H$5+L341*[1]Sheet1!$I$5+[1]Sheet1!$L$5,0)))))))</f>
        <v>10.299358936540756</v>
      </c>
    </row>
    <row r="342" spans="1:15">
      <c r="A342" s="2">
        <v>40745</v>
      </c>
      <c r="B342" t="s">
        <v>47</v>
      </c>
      <c r="C342">
        <v>5</v>
      </c>
      <c r="D342" s="6" t="s">
        <v>16</v>
      </c>
      <c r="E342">
        <v>230</v>
      </c>
      <c r="F342">
        <v>1.07</v>
      </c>
      <c r="G342">
        <v>0</v>
      </c>
      <c r="N342">
        <f t="shared" si="7"/>
        <v>68.938789160833323</v>
      </c>
      <c r="O342">
        <f>IF(AND(OR(D342="S. acutus",D342="S. californicus",D342="S. tabernaemontani"),G342=0),E342*[1]Sheet1!$D$7+[1]Sheet1!$L$7,IF(AND(OR(D342="S. acutus",D342="S. tabernaemontani"),G342&gt;0),E342*[1]Sheet1!$D$8+N342*[1]Sheet1!$E$8,IF(AND(D342="S. californicus",G342&gt;0),E342*[1]Sheet1!$D$9+N342*[1]Sheet1!$E$9,IF(D342="S.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latifolia"),E342&gt;0),F342*[1]Sheet1!$C$4+E342*[1]Sheet1!$D$4+H342*[1]Sheet1!$J$4+I342*[1]Sheet1!$K$4+[1]Sheet1!$L$4,IF(AND(OR(D342="T. domingensis",D342="T. latifolia"),J342&gt;0),J342*[1]Sheet1!$G$5+K342*[1]Sheet1!$H$5+L342*[1]Sheet1!$I$5+[1]Sheet1!$L$5,0)))))))</f>
        <v>11.533553000000001</v>
      </c>
    </row>
    <row r="343" spans="1:15">
      <c r="A343" s="2">
        <v>40745</v>
      </c>
      <c r="B343" t="s">
        <v>47</v>
      </c>
      <c r="C343">
        <v>5</v>
      </c>
      <c r="D343" s="6" t="s">
        <v>16</v>
      </c>
      <c r="E343">
        <v>235</v>
      </c>
      <c r="F343">
        <v>1.27</v>
      </c>
      <c r="G343">
        <v>8</v>
      </c>
      <c r="N343">
        <f t="shared" si="7"/>
        <v>99.230130840416663</v>
      </c>
      <c r="O343">
        <f>IF(AND(OR(D343="S. acutus",D343="S. californicus",D343="S. tabernaemontani"),G343=0),E343*[1]Sheet1!$D$7+[1]Sheet1!$L$7,IF(AND(OR(D343="S. acutus",D343="S. tabernaemontani"),G343&gt;0),E343*[1]Sheet1!$D$8+N343*[1]Sheet1!$E$8,IF(AND(D343="S. californicus",G343&gt;0),E343*[1]Sheet1!$D$9+N343*[1]Sheet1!$E$9,IF(D343="S.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latifolia"),E343&gt;0),F343*[1]Sheet1!$C$4+E343*[1]Sheet1!$D$4+H343*[1]Sheet1!$J$4+I343*[1]Sheet1!$K$4+[1]Sheet1!$L$4,IF(AND(OR(D343="T. domingensis",D343="T. latifolia"),J343&gt;0),J343*[1]Sheet1!$G$5+K343*[1]Sheet1!$H$5+L343*[1]Sheet1!$I$5+[1]Sheet1!$L$5,0)))))))</f>
        <v>12.244468020179173</v>
      </c>
    </row>
    <row r="344" spans="1:15">
      <c r="A344" s="2">
        <v>40745</v>
      </c>
      <c r="B344" t="s">
        <v>47</v>
      </c>
      <c r="C344">
        <v>5</v>
      </c>
      <c r="D344" s="6" t="s">
        <v>16</v>
      </c>
      <c r="E344">
        <v>237</v>
      </c>
      <c r="F344">
        <v>1</v>
      </c>
      <c r="G344">
        <v>0</v>
      </c>
      <c r="N344">
        <f t="shared" si="7"/>
        <v>62.046402499999992</v>
      </c>
      <c r="O344">
        <f>IF(AND(OR(D344="S. acutus",D344="S. californicus",D344="S. tabernaemontani"),G344=0),E344*[1]Sheet1!$D$7+[1]Sheet1!$L$7,IF(AND(OR(D344="S. acutus",D344="S. tabernaemontani"),G344&gt;0),E344*[1]Sheet1!$D$8+N344*[1]Sheet1!$E$8,IF(AND(D344="S. californicus",G344&gt;0),E344*[1]Sheet1!$D$9+N344*[1]Sheet1!$E$9,IF(D344="S.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latifolia"),E344&gt;0),F344*[1]Sheet1!$C$4+E344*[1]Sheet1!$D$4+H344*[1]Sheet1!$J$4+I344*[1]Sheet1!$K$4+[1]Sheet1!$L$4,IF(AND(OR(D344="T. domingensis",D344="T. latifolia"),J344&gt;0),J344*[1]Sheet1!$G$5+K344*[1]Sheet1!$H$5+L344*[1]Sheet1!$I$5+[1]Sheet1!$L$5,0)))))))</f>
        <v>12.024288000000002</v>
      </c>
    </row>
    <row r="345" spans="1:15">
      <c r="A345" s="2">
        <v>40745</v>
      </c>
      <c r="B345" t="s">
        <v>47</v>
      </c>
      <c r="C345">
        <v>5</v>
      </c>
      <c r="D345" s="6" t="s">
        <v>16</v>
      </c>
      <c r="E345">
        <v>256</v>
      </c>
      <c r="F345">
        <v>1.1299999999999999</v>
      </c>
      <c r="G345">
        <v>0</v>
      </c>
      <c r="N345">
        <f t="shared" si="7"/>
        <v>85.578587114666632</v>
      </c>
      <c r="O345">
        <f>IF(AND(OR(D345="S. acutus",D345="S. californicus",D345="S. tabernaemontani"),G345=0),E345*[1]Sheet1!$D$7+[1]Sheet1!$L$7,IF(AND(OR(D345="S. acutus",D345="S. tabernaemontani"),G345&gt;0),E345*[1]Sheet1!$D$8+N345*[1]Sheet1!$E$8,IF(AND(D345="S. californicus",G345&gt;0),E345*[1]Sheet1!$D$9+N345*[1]Sheet1!$E$9,IF(D345="S.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latifolia"),E345&gt;0),F345*[1]Sheet1!$C$4+E345*[1]Sheet1!$D$4+H345*[1]Sheet1!$J$4+I345*[1]Sheet1!$K$4+[1]Sheet1!$L$4,IF(AND(OR(D345="T. domingensis",D345="T. latifolia"),J345&gt;0),J345*[1]Sheet1!$G$5+K345*[1]Sheet1!$H$5+L345*[1]Sheet1!$I$5+[1]Sheet1!$L$5,0)))))))</f>
        <v>13.356283000000001</v>
      </c>
    </row>
    <row r="346" spans="1:15">
      <c r="A346" s="2">
        <v>40745</v>
      </c>
      <c r="B346" t="s">
        <v>47</v>
      </c>
      <c r="C346">
        <v>5</v>
      </c>
      <c r="D346" s="6" t="s">
        <v>16</v>
      </c>
      <c r="E346">
        <v>258</v>
      </c>
      <c r="F346">
        <v>1.45</v>
      </c>
      <c r="G346">
        <v>29</v>
      </c>
      <c r="N346">
        <f t="shared" si="7"/>
        <v>142.0116489625</v>
      </c>
      <c r="O346">
        <f>IF(AND(OR(D346="S. acutus",D346="S. californicus",D346="S. tabernaemontani"),G346=0),E346*[1]Sheet1!$D$7+[1]Sheet1!$L$7,IF(AND(OR(D346="S. acutus",D346="S. tabernaemontani"),G346&gt;0),E346*[1]Sheet1!$D$8+N346*[1]Sheet1!$E$8,IF(AND(D346="S. californicus",G346&gt;0),E346*[1]Sheet1!$D$9+N346*[1]Sheet1!$E$9,IF(D346="S.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latifolia"),E346&gt;0),F346*[1]Sheet1!$C$4+E346*[1]Sheet1!$D$4+H346*[1]Sheet1!$J$4+I346*[1]Sheet1!$K$4+[1]Sheet1!$L$4,IF(AND(OR(D346="T. domingensis",D346="T. latifolia"),J346&gt;0),J346*[1]Sheet1!$G$5+K346*[1]Sheet1!$H$5+L346*[1]Sheet1!$I$5+[1]Sheet1!$L$5,0)))))))</f>
        <v>14.507734707076567</v>
      </c>
    </row>
    <row r="347" spans="1:15">
      <c r="A347" s="2">
        <v>40745</v>
      </c>
      <c r="B347" t="s">
        <v>47</v>
      </c>
      <c r="C347">
        <v>5</v>
      </c>
      <c r="D347" s="6" t="s">
        <v>16</v>
      </c>
      <c r="E347">
        <v>274</v>
      </c>
      <c r="F347">
        <v>1.23</v>
      </c>
      <c r="G347">
        <v>0</v>
      </c>
      <c r="N347">
        <f t="shared" si="7"/>
        <v>108.52481283449998</v>
      </c>
      <c r="O347">
        <f>IF(AND(OR(D347="S. acutus",D347="S. californicus",D347="S. tabernaemontani"),G347=0),E347*[1]Sheet1!$D$7+[1]Sheet1!$L$7,IF(AND(OR(D347="S. acutus",D347="S. tabernaemontani"),G347&gt;0),E347*[1]Sheet1!$D$8+N347*[1]Sheet1!$E$8,IF(AND(D347="S. californicus",G347&gt;0),E347*[1]Sheet1!$D$9+N347*[1]Sheet1!$E$9,IF(D347="S.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latifolia"),E347&gt;0),F347*[1]Sheet1!$C$4+E347*[1]Sheet1!$D$4+H347*[1]Sheet1!$J$4+I347*[1]Sheet1!$K$4+[1]Sheet1!$L$4,IF(AND(OR(D347="T. domingensis",D347="T. latifolia"),J347&gt;0),J347*[1]Sheet1!$G$5+K347*[1]Sheet1!$H$5+L347*[1]Sheet1!$I$5+[1]Sheet1!$L$5,0)))))))</f>
        <v>14.618173000000002</v>
      </c>
    </row>
    <row r="348" spans="1:15">
      <c r="A348" s="2">
        <v>40745</v>
      </c>
      <c r="B348" t="s">
        <v>47</v>
      </c>
      <c r="C348">
        <v>5</v>
      </c>
      <c r="D348" s="6" t="s">
        <v>16</v>
      </c>
      <c r="E348">
        <v>274</v>
      </c>
      <c r="F348">
        <v>1.45</v>
      </c>
      <c r="G348">
        <v>0</v>
      </c>
      <c r="N348">
        <f t="shared" si="7"/>
        <v>150.81857292916666</v>
      </c>
      <c r="O348">
        <f>IF(AND(OR(D348="S. acutus",D348="S. californicus",D348="S. tabernaemontani"),G348=0),E348*[1]Sheet1!$D$7+[1]Sheet1!$L$7,IF(AND(OR(D348="S. acutus",D348="S. tabernaemontani"),G348&gt;0),E348*[1]Sheet1!$D$8+N348*[1]Sheet1!$E$8,IF(AND(D348="S. californicus",G348&gt;0),E348*[1]Sheet1!$D$9+N348*[1]Sheet1!$E$9,IF(D348="S.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latifolia"),E348&gt;0),F348*[1]Sheet1!$C$4+E348*[1]Sheet1!$D$4+H348*[1]Sheet1!$J$4+I348*[1]Sheet1!$K$4+[1]Sheet1!$L$4,IF(AND(OR(D348="T. domingensis",D348="T. latifolia"),J348&gt;0),J348*[1]Sheet1!$G$5+K348*[1]Sheet1!$H$5+L348*[1]Sheet1!$I$5+[1]Sheet1!$L$5,0)))))))</f>
        <v>14.618173000000002</v>
      </c>
    </row>
    <row r="349" spans="1:15">
      <c r="A349" s="2">
        <v>40745</v>
      </c>
      <c r="B349" t="s">
        <v>47</v>
      </c>
      <c r="C349">
        <v>5</v>
      </c>
      <c r="D349" s="6" t="s">
        <v>16</v>
      </c>
      <c r="E349">
        <v>280</v>
      </c>
      <c r="F349">
        <v>1.47</v>
      </c>
      <c r="G349">
        <v>7</v>
      </c>
      <c r="N349">
        <f t="shared" si="7"/>
        <v>158.40210938999996</v>
      </c>
      <c r="O349">
        <f>IF(AND(OR(D349="S. acutus",D349="S. californicus",D349="S. tabernaemontani"),G349=0),E349*[1]Sheet1!$D$7+[1]Sheet1!$L$7,IF(AND(OR(D349="S. acutus",D349="S. tabernaemontani"),G349&gt;0),E349*[1]Sheet1!$D$8+N349*[1]Sheet1!$E$8,IF(AND(D349="S. californicus",G349&gt;0),E349*[1]Sheet1!$D$9+N349*[1]Sheet1!$E$9,IF(D349="S.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latifolia"),E349&gt;0),F349*[1]Sheet1!$C$4+E349*[1]Sheet1!$D$4+H349*[1]Sheet1!$J$4+I349*[1]Sheet1!$K$4+[1]Sheet1!$L$4,IF(AND(OR(D349="T. domingensis",D349="T. latifolia"),J349&gt;0),J349*[1]Sheet1!$G$5+K349*[1]Sheet1!$H$5+L349*[1]Sheet1!$I$5+[1]Sheet1!$L$5,0)))))))</f>
        <v>15.882678484256449</v>
      </c>
    </row>
    <row r="350" spans="1:15">
      <c r="A350" s="2">
        <v>40745</v>
      </c>
      <c r="B350" t="s">
        <v>47</v>
      </c>
      <c r="C350">
        <v>5</v>
      </c>
      <c r="D350" s="6" t="s">
        <v>16</v>
      </c>
      <c r="E350">
        <v>282</v>
      </c>
      <c r="F350">
        <v>1.75</v>
      </c>
      <c r="G350">
        <v>0</v>
      </c>
      <c r="N350">
        <f t="shared" si="7"/>
        <v>226.09630531249999</v>
      </c>
      <c r="O350">
        <f>IF(AND(OR(D350="S. acutus",D350="S. californicus",D350="S. tabernaemontani"),G350=0),E350*[1]Sheet1!$D$7+[1]Sheet1!$L$7,IF(AND(OR(D350="S. acutus",D350="S. tabernaemontani"),G350&gt;0),E350*[1]Sheet1!$D$8+N350*[1]Sheet1!$E$8,IF(AND(D350="S. californicus",G350&gt;0),E350*[1]Sheet1!$D$9+N350*[1]Sheet1!$E$9,IF(D350="S.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latifolia"),E350&gt;0),F350*[1]Sheet1!$C$4+E350*[1]Sheet1!$D$4+H350*[1]Sheet1!$J$4+I350*[1]Sheet1!$K$4+[1]Sheet1!$L$4,IF(AND(OR(D350="T. domingensis",D350="T. latifolia"),J350&gt;0),J350*[1]Sheet1!$G$5+K350*[1]Sheet1!$H$5+L350*[1]Sheet1!$I$5+[1]Sheet1!$L$5,0)))))))</f>
        <v>15.179013000000001</v>
      </c>
    </row>
    <row r="351" spans="1:15">
      <c r="A351" s="2">
        <v>40745</v>
      </c>
      <c r="B351" t="s">
        <v>47</v>
      </c>
      <c r="C351">
        <v>5</v>
      </c>
      <c r="D351" s="6" t="s">
        <v>16</v>
      </c>
      <c r="E351">
        <v>284</v>
      </c>
      <c r="F351">
        <v>2.23</v>
      </c>
      <c r="G351">
        <v>0</v>
      </c>
      <c r="N351">
        <f t="shared" si="7"/>
        <v>369.73990556033328</v>
      </c>
      <c r="O351">
        <f>IF(AND(OR(D351="S. acutus",D351="S. californicus",D351="S. tabernaemontani"),G351=0),E351*[1]Sheet1!$D$7+[1]Sheet1!$L$7,IF(AND(OR(D351="S. acutus",D351="S. tabernaemontani"),G351&gt;0),E351*[1]Sheet1!$D$8+N351*[1]Sheet1!$E$8,IF(AND(D351="S. californicus",G351&gt;0),E351*[1]Sheet1!$D$9+N351*[1]Sheet1!$E$9,IF(D351="S.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latifolia"),E351&gt;0),F351*[1]Sheet1!$C$4+E351*[1]Sheet1!$D$4+H351*[1]Sheet1!$J$4+I351*[1]Sheet1!$K$4+[1]Sheet1!$L$4,IF(AND(OR(D351="T. domingensis",D351="T. latifolia"),J351&gt;0),J351*[1]Sheet1!$G$5+K351*[1]Sheet1!$H$5+L351*[1]Sheet1!$I$5+[1]Sheet1!$L$5,0)))))))</f>
        <v>15.319223000000001</v>
      </c>
    </row>
    <row r="352" spans="1:15">
      <c r="A352" s="2">
        <v>40745</v>
      </c>
      <c r="B352" t="s">
        <v>47</v>
      </c>
      <c r="C352">
        <v>5</v>
      </c>
      <c r="D352" s="6" t="s">
        <v>16</v>
      </c>
      <c r="E352">
        <v>285</v>
      </c>
      <c r="F352">
        <v>1.26</v>
      </c>
      <c r="G352">
        <v>0</v>
      </c>
      <c r="N352">
        <f t="shared" si="7"/>
        <v>118.455221745</v>
      </c>
      <c r="O352">
        <f>IF(AND(OR(D352="S. acutus",D352="S. californicus",D352="S. tabernaemontani"),G352=0),E352*[1]Sheet1!$D$7+[1]Sheet1!$L$7,IF(AND(OR(D352="S. acutus",D352="S. tabernaemontani"),G352&gt;0),E352*[1]Sheet1!$D$8+N352*[1]Sheet1!$E$8,IF(AND(D352="S. californicus",G352&gt;0),E352*[1]Sheet1!$D$9+N352*[1]Sheet1!$E$9,IF(D352="S.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latifolia"),E352&gt;0),F352*[1]Sheet1!$C$4+E352*[1]Sheet1!$D$4+H352*[1]Sheet1!$J$4+I352*[1]Sheet1!$K$4+[1]Sheet1!$L$4,IF(AND(OR(D352="T. domingensis",D352="T. latifolia"),J352&gt;0),J352*[1]Sheet1!$G$5+K352*[1]Sheet1!$H$5+L352*[1]Sheet1!$I$5+[1]Sheet1!$L$5,0)))))))</f>
        <v>15.389328000000003</v>
      </c>
    </row>
    <row r="353" spans="1:15">
      <c r="A353" s="2">
        <v>40745</v>
      </c>
      <c r="B353" t="s">
        <v>47</v>
      </c>
      <c r="C353">
        <v>5</v>
      </c>
      <c r="D353" s="6" t="s">
        <v>16</v>
      </c>
      <c r="E353">
        <v>286</v>
      </c>
      <c r="F353">
        <v>1.5</v>
      </c>
      <c r="G353">
        <v>14</v>
      </c>
      <c r="N353">
        <f t="shared" si="7"/>
        <v>168.46776374999999</v>
      </c>
      <c r="O353">
        <f>IF(AND(OR(D353="S. acutus",D353="S. californicus",D353="S. tabernaemontani"),G353=0),E353*[1]Sheet1!$D$7+[1]Sheet1!$L$7,IF(AND(OR(D353="S. acutus",D353="S. tabernaemontani"),G353&gt;0),E353*[1]Sheet1!$D$8+N353*[1]Sheet1!$E$8,IF(AND(D353="S. californicus",G353&gt;0),E353*[1]Sheet1!$D$9+N353*[1]Sheet1!$E$9,IF(D353="S.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latifolia"),E353&gt;0),F353*[1]Sheet1!$C$4+E353*[1]Sheet1!$D$4+H353*[1]Sheet1!$J$4+I353*[1]Sheet1!$K$4+[1]Sheet1!$L$4,IF(AND(OR(D353="T. domingensis",D353="T. latifolia"),J353&gt;0),J353*[1]Sheet1!$G$5+K353*[1]Sheet1!$H$5+L353*[1]Sheet1!$I$5+[1]Sheet1!$L$5,0)))))))</f>
        <v>16.437844213737375</v>
      </c>
    </row>
    <row r="354" spans="1:15">
      <c r="A354" s="2">
        <v>40745</v>
      </c>
      <c r="B354" t="s">
        <v>47</v>
      </c>
      <c r="C354">
        <v>5</v>
      </c>
      <c r="D354" s="6" t="s">
        <v>16</v>
      </c>
      <c r="E354">
        <v>288</v>
      </c>
      <c r="F354">
        <v>1.8</v>
      </c>
      <c r="G354">
        <v>26</v>
      </c>
      <c r="N354">
        <f t="shared" si="7"/>
        <v>244.29003839999999</v>
      </c>
      <c r="O354">
        <f>IF(AND(OR(D354="S. acutus",D354="S. californicus",D354="S. tabernaemontani"),G354=0),E354*[1]Sheet1!$D$7+[1]Sheet1!$L$7,IF(AND(OR(D354="S. acutus",D354="S. tabernaemontani"),G354&gt;0),E354*[1]Sheet1!$D$8+N354*[1]Sheet1!$E$8,IF(AND(D354="S. californicus",G354&gt;0),E354*[1]Sheet1!$D$9+N354*[1]Sheet1!$E$9,IF(D354="S.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latifolia"),E354&gt;0),F354*[1]Sheet1!$C$4+E354*[1]Sheet1!$D$4+H354*[1]Sheet1!$J$4+I354*[1]Sheet1!$K$4+[1]Sheet1!$L$4,IF(AND(OR(D354="T. domingensis",D354="T. latifolia"),J354&gt;0),J354*[1]Sheet1!$G$5+K354*[1]Sheet1!$H$5+L354*[1]Sheet1!$I$5+[1]Sheet1!$L$5,0)))))))</f>
        <v>18.956403897514562</v>
      </c>
    </row>
    <row r="355" spans="1:15">
      <c r="A355" s="2">
        <v>40745</v>
      </c>
      <c r="B355" t="s">
        <v>47</v>
      </c>
      <c r="C355">
        <v>5</v>
      </c>
      <c r="D355" s="6" t="s">
        <v>16</v>
      </c>
      <c r="E355">
        <v>289</v>
      </c>
      <c r="F355">
        <v>1.36</v>
      </c>
      <c r="G355">
        <v>9</v>
      </c>
      <c r="N355">
        <f t="shared" si="7"/>
        <v>139.94066047466666</v>
      </c>
      <c r="O355">
        <f>IF(AND(OR(D355="S. acutus",D355="S. californicus",D355="S. tabernaemontani"),G355=0),E355*[1]Sheet1!$D$7+[1]Sheet1!$L$7,IF(AND(OR(D355="S. acutus",D355="S. tabernaemontani"),G355&gt;0),E355*[1]Sheet1!$D$8+N355*[1]Sheet1!$E$8,IF(AND(D355="S. californicus",G355&gt;0),E355*[1]Sheet1!$D$9+N355*[1]Sheet1!$E$9,IF(D355="S.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latifolia"),E355&gt;0),F355*[1]Sheet1!$C$4+E355*[1]Sheet1!$D$4+H355*[1]Sheet1!$J$4+I355*[1]Sheet1!$K$4+[1]Sheet1!$L$4,IF(AND(OR(D355="T. domingensis",D355="T. latifolia"),J355&gt;0),J355*[1]Sheet1!$G$5+K355*[1]Sheet1!$H$5+L355*[1]Sheet1!$I$5+[1]Sheet1!$L$5,0)))))))</f>
        <v>15.634767113878695</v>
      </c>
    </row>
    <row r="356" spans="1:15">
      <c r="A356" s="2">
        <v>40745</v>
      </c>
      <c r="B356" t="s">
        <v>47</v>
      </c>
      <c r="C356">
        <v>5</v>
      </c>
      <c r="D356" s="6" t="s">
        <v>16</v>
      </c>
      <c r="E356">
        <v>295</v>
      </c>
      <c r="F356">
        <v>1.64</v>
      </c>
      <c r="G356">
        <v>3</v>
      </c>
      <c r="N356">
        <f t="shared" si="7"/>
        <v>207.71983640666662</v>
      </c>
      <c r="O356">
        <f>IF(AND(OR(D356="S. acutus",D356="S. californicus",D356="S. tabernaemontani"),G356=0),E356*[1]Sheet1!$D$7+[1]Sheet1!$L$7,IF(AND(OR(D356="S. acutus",D356="S. tabernaemontani"),G356&gt;0),E356*[1]Sheet1!$D$8+N356*[1]Sheet1!$E$8,IF(AND(D356="S. californicus",G356&gt;0),E356*[1]Sheet1!$D$9+N356*[1]Sheet1!$E$9,IF(D356="S.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latifolia"),E356&gt;0),F356*[1]Sheet1!$C$4+E356*[1]Sheet1!$D$4+H356*[1]Sheet1!$J$4+I356*[1]Sheet1!$K$4+[1]Sheet1!$L$4,IF(AND(OR(D356="T. domingensis",D356="T. latifolia"),J356&gt;0),J356*[1]Sheet1!$G$5+K356*[1]Sheet1!$H$5+L356*[1]Sheet1!$I$5+[1]Sheet1!$L$5,0)))))))</f>
        <v>18.04836018014743</v>
      </c>
    </row>
    <row r="357" spans="1:15">
      <c r="A357" s="2">
        <v>40745</v>
      </c>
      <c r="B357" t="s">
        <v>47</v>
      </c>
      <c r="C357">
        <v>5</v>
      </c>
      <c r="D357" s="6" t="s">
        <v>16</v>
      </c>
      <c r="E357">
        <v>296</v>
      </c>
      <c r="F357">
        <v>1.76</v>
      </c>
      <c r="G357">
        <v>0</v>
      </c>
      <c r="N357">
        <f t="shared" si="7"/>
        <v>240.04093320533329</v>
      </c>
      <c r="O357">
        <f>IF(AND(OR(D357="S. acutus",D357="S. californicus",D357="S. tabernaemontani"),G357=0),E357*[1]Sheet1!$D$7+[1]Sheet1!$L$7,IF(AND(OR(D357="S. acutus",D357="S. tabernaemontani"),G357&gt;0),E357*[1]Sheet1!$D$8+N357*[1]Sheet1!$E$8,IF(AND(D357="S. californicus",G357&gt;0),E357*[1]Sheet1!$D$9+N357*[1]Sheet1!$E$9,IF(D357="S.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latifolia"),E357&gt;0),F357*[1]Sheet1!$C$4+E357*[1]Sheet1!$D$4+H357*[1]Sheet1!$J$4+I357*[1]Sheet1!$K$4+[1]Sheet1!$L$4,IF(AND(OR(D357="T. domingensis",D357="T. latifolia"),J357&gt;0),J357*[1]Sheet1!$G$5+K357*[1]Sheet1!$H$5+L357*[1]Sheet1!$I$5+[1]Sheet1!$L$5,0)))))))</f>
        <v>16.160483000000003</v>
      </c>
    </row>
    <row r="358" spans="1:15">
      <c r="A358" s="2">
        <v>40745</v>
      </c>
      <c r="B358" t="s">
        <v>47</v>
      </c>
      <c r="C358">
        <v>5</v>
      </c>
      <c r="D358" s="6" t="s">
        <v>16</v>
      </c>
      <c r="E358">
        <v>298</v>
      </c>
      <c r="F358">
        <v>2</v>
      </c>
      <c r="G358">
        <v>0</v>
      </c>
      <c r="N358">
        <f t="shared" si="7"/>
        <v>312.06460666666663</v>
      </c>
      <c r="O358">
        <f>IF(AND(OR(D358="S. acutus",D358="S. californicus",D358="S. tabernaemontani"),G358=0),E358*[1]Sheet1!$D$7+[1]Sheet1!$L$7,IF(AND(OR(D358="S. acutus",D358="S. tabernaemontani"),G358&gt;0),E358*[1]Sheet1!$D$8+N358*[1]Sheet1!$E$8,IF(AND(D358="S. californicus",G358&gt;0),E358*[1]Sheet1!$D$9+N358*[1]Sheet1!$E$9,IF(D358="S.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latifolia"),E358&gt;0),F358*[1]Sheet1!$C$4+E358*[1]Sheet1!$D$4+H358*[1]Sheet1!$J$4+I358*[1]Sheet1!$K$4+[1]Sheet1!$L$4,IF(AND(OR(D358="T. domingensis",D358="T. latifolia"),J358&gt;0),J358*[1]Sheet1!$G$5+K358*[1]Sheet1!$H$5+L358*[1]Sheet1!$I$5+[1]Sheet1!$L$5,0)))))))</f>
        <v>16.300693000000003</v>
      </c>
    </row>
    <row r="359" spans="1:15">
      <c r="A359" s="2">
        <v>40745</v>
      </c>
      <c r="B359" t="s">
        <v>47</v>
      </c>
      <c r="C359">
        <v>5</v>
      </c>
      <c r="D359" s="6" t="s">
        <v>16</v>
      </c>
      <c r="E359">
        <v>298</v>
      </c>
      <c r="F359">
        <v>2.2999999999999998</v>
      </c>
      <c r="G359">
        <v>0</v>
      </c>
      <c r="N359">
        <f t="shared" si="7"/>
        <v>412.70544231666656</v>
      </c>
      <c r="O359">
        <f>IF(AND(OR(D359="S. acutus",D359="S. californicus",D359="S. tabernaemontani"),G359=0),E359*[1]Sheet1!$D$7+[1]Sheet1!$L$7,IF(AND(OR(D359="S. acutus",D359="S. tabernaemontani"),G359&gt;0),E359*[1]Sheet1!$D$8+N359*[1]Sheet1!$E$8,IF(AND(D359="S. californicus",G359&gt;0),E359*[1]Sheet1!$D$9+N359*[1]Sheet1!$E$9,IF(D359="S.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latifolia"),E359&gt;0),F359*[1]Sheet1!$C$4+E359*[1]Sheet1!$D$4+H359*[1]Sheet1!$J$4+I359*[1]Sheet1!$K$4+[1]Sheet1!$L$4,IF(AND(OR(D359="T. domingensis",D359="T. latifolia"),J359&gt;0),J359*[1]Sheet1!$G$5+K359*[1]Sheet1!$H$5+L359*[1]Sheet1!$I$5+[1]Sheet1!$L$5,0)))))))</f>
        <v>16.300693000000003</v>
      </c>
    </row>
    <row r="360" spans="1:15">
      <c r="A360" s="2">
        <v>40745</v>
      </c>
      <c r="B360" t="s">
        <v>47</v>
      </c>
      <c r="C360">
        <v>5</v>
      </c>
      <c r="D360" s="6" t="s">
        <v>16</v>
      </c>
      <c r="E360">
        <v>307</v>
      </c>
      <c r="F360">
        <v>1.55</v>
      </c>
      <c r="G360">
        <v>14</v>
      </c>
      <c r="N360">
        <f t="shared" si="7"/>
        <v>193.09455686041667</v>
      </c>
      <c r="O360">
        <f>IF(AND(OR(D360="S. acutus",D360="S. californicus",D360="S. tabernaemontani"),G360=0),E360*[1]Sheet1!$D$7+[1]Sheet1!$L$7,IF(AND(OR(D360="S. acutus",D360="S. tabernaemontani"),G360&gt;0),E360*[1]Sheet1!$D$8+N360*[1]Sheet1!$E$8,IF(AND(D360="S. californicus",G360&gt;0),E360*[1]Sheet1!$D$9+N360*[1]Sheet1!$E$9,IF(D360="S.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latifolia"),E360&gt;0),F360*[1]Sheet1!$C$4+E360*[1]Sheet1!$D$4+H360*[1]Sheet1!$J$4+I360*[1]Sheet1!$K$4+[1]Sheet1!$L$4,IF(AND(OR(D360="T. domingensis",D360="T. latifolia"),J360&gt;0),J360*[1]Sheet1!$G$5+K360*[1]Sheet1!$H$5+L360*[1]Sheet1!$I$5+[1]Sheet1!$L$5,0)))))))</f>
        <v>18.039498216006592</v>
      </c>
    </row>
    <row r="361" spans="1:15">
      <c r="A361" s="2">
        <v>40745</v>
      </c>
      <c r="B361" t="s">
        <v>47</v>
      </c>
      <c r="C361">
        <v>5</v>
      </c>
      <c r="D361" s="6" t="s">
        <v>16</v>
      </c>
      <c r="E361">
        <v>307</v>
      </c>
      <c r="F361">
        <v>2.2999999999999998</v>
      </c>
      <c r="G361">
        <v>10</v>
      </c>
      <c r="N361">
        <f t="shared" si="7"/>
        <v>425.16970064166657</v>
      </c>
      <c r="O361">
        <f>IF(AND(OR(D361="S. acutus",D361="S. californicus",D361="S. tabernaemontani"),G361=0),E361*[1]Sheet1!$D$7+[1]Sheet1!$L$7,IF(AND(OR(D361="S. acutus",D361="S. tabernaemontani"),G361&gt;0),E361*[1]Sheet1!$D$8+N361*[1]Sheet1!$E$8,IF(AND(D361="S. californicus",G361&gt;0),E361*[1]Sheet1!$D$9+N361*[1]Sheet1!$E$9,IF(D361="S.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latifolia"),E361&gt;0),F361*[1]Sheet1!$C$4+E361*[1]Sheet1!$D$4+H361*[1]Sheet1!$J$4+I361*[1]Sheet1!$K$4+[1]Sheet1!$L$4,IF(AND(OR(D361="T. domingensis",D361="T. latifolia"),J361&gt;0),J361*[1]Sheet1!$G$5+K361*[1]Sheet1!$H$5+L361*[1]Sheet1!$I$5+[1]Sheet1!$L$5,0)))))))</f>
        <v>25.512526713392241</v>
      </c>
    </row>
    <row r="362" spans="1:15">
      <c r="A362" s="2">
        <v>40745</v>
      </c>
      <c r="B362" t="s">
        <v>47</v>
      </c>
      <c r="C362">
        <v>5</v>
      </c>
      <c r="D362" s="6" t="s">
        <v>16</v>
      </c>
      <c r="E362">
        <v>308</v>
      </c>
      <c r="F362">
        <v>1.38</v>
      </c>
      <c r="G362">
        <v>0</v>
      </c>
      <c r="N362">
        <f t="shared" si="7"/>
        <v>153.55966256399995</v>
      </c>
      <c r="O362">
        <f>IF(AND(OR(D362="S. acutus",D362="S. californicus",D362="S. tabernaemontani"),G362=0),E362*[1]Sheet1!$D$7+[1]Sheet1!$L$7,IF(AND(OR(D362="S. acutus",D362="S. tabernaemontani"),G362&gt;0),E362*[1]Sheet1!$D$8+N362*[1]Sheet1!$E$8,IF(AND(D362="S. californicus",G362&gt;0),E362*[1]Sheet1!$D$9+N362*[1]Sheet1!$E$9,IF(D362="S.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latifolia"),E362&gt;0),F362*[1]Sheet1!$C$4+E362*[1]Sheet1!$D$4+H362*[1]Sheet1!$J$4+I362*[1]Sheet1!$K$4+[1]Sheet1!$L$4,IF(AND(OR(D362="T. domingensis",D362="T. latifolia"),J362&gt;0),J362*[1]Sheet1!$G$5+K362*[1]Sheet1!$H$5+L362*[1]Sheet1!$I$5+[1]Sheet1!$L$5,0)))))))</f>
        <v>17.001743000000001</v>
      </c>
    </row>
    <row r="363" spans="1:15">
      <c r="A363" s="2">
        <v>40745</v>
      </c>
      <c r="B363" t="s">
        <v>47</v>
      </c>
      <c r="C363">
        <v>5</v>
      </c>
      <c r="D363" s="6" t="s">
        <v>16</v>
      </c>
      <c r="E363">
        <v>309</v>
      </c>
      <c r="F363">
        <v>2.1</v>
      </c>
      <c r="G363">
        <v>27</v>
      </c>
      <c r="N363">
        <f t="shared" si="7"/>
        <v>356.75110642499999</v>
      </c>
      <c r="O363">
        <f>IF(AND(OR(D363="S. acutus",D363="S. californicus",D363="S. tabernaemontani"),G363=0),E363*[1]Sheet1!$D$7+[1]Sheet1!$L$7,IF(AND(OR(D363="S. acutus",D363="S. tabernaemontani"),G363&gt;0),E363*[1]Sheet1!$D$8+N363*[1]Sheet1!$E$8,IF(AND(D363="S. californicus",G363&gt;0),E363*[1]Sheet1!$D$9+N363*[1]Sheet1!$E$9,IF(D363="S.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latifolia"),E363&gt;0),F363*[1]Sheet1!$C$4+E363*[1]Sheet1!$D$4+H363*[1]Sheet1!$J$4+I363*[1]Sheet1!$K$4+[1]Sheet1!$L$4,IF(AND(OR(D363="T. domingensis",D363="T. latifolia"),J363&gt;0),J363*[1]Sheet1!$G$5+K363*[1]Sheet1!$H$5+L363*[1]Sheet1!$I$5+[1]Sheet1!$L$5,0)))))))</f>
        <v>23.386400602880784</v>
      </c>
    </row>
    <row r="364" spans="1:15">
      <c r="A364" s="2">
        <v>40745</v>
      </c>
      <c r="B364" t="s">
        <v>47</v>
      </c>
      <c r="C364">
        <v>5</v>
      </c>
      <c r="D364" s="6" t="s">
        <v>16</v>
      </c>
      <c r="E364">
        <v>311</v>
      </c>
      <c r="F364">
        <v>1.66</v>
      </c>
      <c r="G364">
        <v>13</v>
      </c>
      <c r="N364">
        <f t="shared" si="7"/>
        <v>224.35968672033329</v>
      </c>
      <c r="O364">
        <f>IF(AND(OR(D364="S. acutus",D364="S. californicus",D364="S. tabernaemontani"),G364=0),E364*[1]Sheet1!$D$7+[1]Sheet1!$L$7,IF(AND(OR(D364="S. acutus",D364="S. tabernaemontani"),G364&gt;0),E364*[1]Sheet1!$D$8+N364*[1]Sheet1!$E$8,IF(AND(D364="S. californicus",G364&gt;0),E364*[1]Sheet1!$D$9+N364*[1]Sheet1!$E$9,IF(D364="S.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latifolia"),E364&gt;0),F364*[1]Sheet1!$C$4+E364*[1]Sheet1!$D$4+H364*[1]Sheet1!$J$4+I364*[1]Sheet1!$K$4+[1]Sheet1!$L$4,IF(AND(OR(D364="T. domingensis",D364="T. latifolia"),J364&gt;0),J364*[1]Sheet1!$G$5+K364*[1]Sheet1!$H$5+L364*[1]Sheet1!$I$5+[1]Sheet1!$L$5,0)))))))</f>
        <v>19.20029193611278</v>
      </c>
    </row>
    <row r="365" spans="1:15">
      <c r="A365" s="2">
        <v>40745</v>
      </c>
      <c r="B365" t="s">
        <v>47</v>
      </c>
      <c r="C365">
        <v>5</v>
      </c>
      <c r="D365" s="6" t="s">
        <v>16</v>
      </c>
      <c r="E365">
        <v>315</v>
      </c>
      <c r="F365">
        <v>2.0499999999999998</v>
      </c>
      <c r="G365">
        <v>0</v>
      </c>
      <c r="N365">
        <f t="shared" si="7"/>
        <v>346.56646434374994</v>
      </c>
      <c r="O365">
        <f>IF(AND(OR(D365="S. acutus",D365="S. californicus",D365="S. tabernaemontani"),G365=0),E365*[1]Sheet1!$D$7+[1]Sheet1!$L$7,IF(AND(OR(D365="S. acutus",D365="S. tabernaemontani"),G365&gt;0),E365*[1]Sheet1!$D$8+N365*[1]Sheet1!$E$8,IF(AND(D365="S. californicus",G365&gt;0),E365*[1]Sheet1!$D$9+N365*[1]Sheet1!$E$9,IF(D365="S.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latifolia"),E365&gt;0),F365*[1]Sheet1!$C$4+E365*[1]Sheet1!$D$4+H365*[1]Sheet1!$J$4+I365*[1]Sheet1!$K$4+[1]Sheet1!$L$4,IF(AND(OR(D365="T. domingensis",D365="T. latifolia"),J365&gt;0),J365*[1]Sheet1!$G$5+K365*[1]Sheet1!$H$5+L365*[1]Sheet1!$I$5+[1]Sheet1!$L$5,0)))))))</f>
        <v>17.492478000000002</v>
      </c>
    </row>
    <row r="366" spans="1:15">
      <c r="A366" s="2">
        <v>40745</v>
      </c>
      <c r="B366" t="s">
        <v>47</v>
      </c>
      <c r="C366">
        <v>5</v>
      </c>
      <c r="D366" s="6" t="s">
        <v>16</v>
      </c>
      <c r="E366">
        <v>318</v>
      </c>
      <c r="F366">
        <v>2.76</v>
      </c>
      <c r="G366">
        <v>0</v>
      </c>
      <c r="N366">
        <f t="shared" si="7"/>
        <v>634.18146357599983</v>
      </c>
      <c r="O366">
        <f>IF(AND(OR(D366="S. acutus",D366="S. californicus",D366="S. tabernaemontani"),G366=0),E366*[1]Sheet1!$D$7+[1]Sheet1!$L$7,IF(AND(OR(D366="S. acutus",D366="S. tabernaemontani"),G366&gt;0),E366*[1]Sheet1!$D$8+N366*[1]Sheet1!$E$8,IF(AND(D366="S. californicus",G366&gt;0),E366*[1]Sheet1!$D$9+N366*[1]Sheet1!$E$9,IF(D366="S.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latifolia"),E366&gt;0),F366*[1]Sheet1!$C$4+E366*[1]Sheet1!$D$4+H366*[1]Sheet1!$J$4+I366*[1]Sheet1!$K$4+[1]Sheet1!$L$4,IF(AND(OR(D366="T. domingensis",D366="T. latifolia"),J366&gt;0),J366*[1]Sheet1!$G$5+K366*[1]Sheet1!$H$5+L366*[1]Sheet1!$I$5+[1]Sheet1!$L$5,0)))))))</f>
        <v>17.702793</v>
      </c>
    </row>
    <row r="367" spans="1:15">
      <c r="A367" s="2">
        <v>40745</v>
      </c>
      <c r="B367" t="s">
        <v>47</v>
      </c>
      <c r="C367">
        <v>5</v>
      </c>
      <c r="D367" s="6" t="s">
        <v>16</v>
      </c>
      <c r="E367">
        <v>324</v>
      </c>
      <c r="F367">
        <v>1.65</v>
      </c>
      <c r="G367">
        <v>0</v>
      </c>
      <c r="N367">
        <f t="shared" si="7"/>
        <v>230.93042692499995</v>
      </c>
      <c r="O367">
        <f>IF(AND(OR(D367="S. acutus",D367="S. californicus",D367="S. tabernaemontani"),G367=0),E367*[1]Sheet1!$D$7+[1]Sheet1!$L$7,IF(AND(OR(D367="S. acutus",D367="S. tabernaemontani"),G367&gt;0),E367*[1]Sheet1!$D$8+N367*[1]Sheet1!$E$8,IF(AND(D367="S. californicus",G367&gt;0),E367*[1]Sheet1!$D$9+N367*[1]Sheet1!$E$9,IF(D367="S.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latifolia"),E367&gt;0),F367*[1]Sheet1!$C$4+E367*[1]Sheet1!$D$4+H367*[1]Sheet1!$J$4+I367*[1]Sheet1!$K$4+[1]Sheet1!$L$4,IF(AND(OR(D367="T. domingensis",D367="T. latifolia"),J367&gt;0),J367*[1]Sheet1!$G$5+K367*[1]Sheet1!$H$5+L367*[1]Sheet1!$I$5+[1]Sheet1!$L$5,0)))))))</f>
        <v>18.123423000000003</v>
      </c>
    </row>
    <row r="368" spans="1:15">
      <c r="A368" s="2">
        <v>40745</v>
      </c>
      <c r="B368" t="s">
        <v>47</v>
      </c>
      <c r="C368">
        <v>5</v>
      </c>
      <c r="D368" s="6" t="s">
        <v>16</v>
      </c>
      <c r="E368">
        <v>328</v>
      </c>
      <c r="F368">
        <v>3.5</v>
      </c>
      <c r="G368">
        <v>6</v>
      </c>
      <c r="N368">
        <f t="shared" si="7"/>
        <v>1051.9090516666665</v>
      </c>
      <c r="O368">
        <f>IF(AND(OR(D368="S. acutus",D368="S. californicus",D368="S. tabernaemontani"),G368=0),E368*[1]Sheet1!$D$7+[1]Sheet1!$L$7,IF(AND(OR(D368="S. acutus",D368="S. tabernaemontani"),G368&gt;0),E368*[1]Sheet1!$D$8+N368*[1]Sheet1!$E$8,IF(AND(D368="S. californicus",G368&gt;0),E368*[1]Sheet1!$D$9+N368*[1]Sheet1!$E$9,IF(D368="S.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latifolia"),E368&gt;0),F368*[1]Sheet1!$C$4+E368*[1]Sheet1!$D$4+H368*[1]Sheet1!$J$4+I368*[1]Sheet1!$K$4+[1]Sheet1!$L$4,IF(AND(OR(D368="T. domingensis",D368="T. latifolia"),J368&gt;0),J368*[1]Sheet1!$G$5+K368*[1]Sheet1!$H$5+L368*[1]Sheet1!$I$5+[1]Sheet1!$L$5,0)))))))</f>
        <v>46.502746981813161</v>
      </c>
    </row>
    <row r="369" spans="1:15">
      <c r="A369" s="2">
        <v>40745</v>
      </c>
      <c r="B369" t="s">
        <v>47</v>
      </c>
      <c r="C369">
        <v>5</v>
      </c>
      <c r="D369" s="6" t="s">
        <v>16</v>
      </c>
      <c r="E369">
        <v>330</v>
      </c>
      <c r="F369">
        <v>1.84</v>
      </c>
      <c r="G369">
        <v>0</v>
      </c>
      <c r="N369">
        <f t="shared" si="7"/>
        <v>292.49459536000001</v>
      </c>
      <c r="O369">
        <f>IF(AND(OR(D369="S. acutus",D369="S. californicus",D369="S. tabernaemontani"),G369=0),E369*[1]Sheet1!$D$7+[1]Sheet1!$L$7,IF(AND(OR(D369="S. acutus",D369="S. tabernaemontani"),G369&gt;0),E369*[1]Sheet1!$D$8+N369*[1]Sheet1!$E$8,IF(AND(D369="S. californicus",G369&gt;0),E369*[1]Sheet1!$D$9+N369*[1]Sheet1!$E$9,IF(D369="S.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latifolia"),E369&gt;0),F369*[1]Sheet1!$C$4+E369*[1]Sheet1!$D$4+H369*[1]Sheet1!$J$4+I369*[1]Sheet1!$K$4+[1]Sheet1!$L$4,IF(AND(OR(D369="T. domingensis",D369="T. latifolia"),J369&gt;0),J369*[1]Sheet1!$G$5+K369*[1]Sheet1!$H$5+L369*[1]Sheet1!$I$5+[1]Sheet1!$L$5,0)))))))</f>
        <v>18.544053000000002</v>
      </c>
    </row>
    <row r="370" spans="1:15">
      <c r="A370" s="2">
        <v>40745</v>
      </c>
      <c r="B370" t="s">
        <v>47</v>
      </c>
      <c r="C370">
        <v>5</v>
      </c>
      <c r="D370" s="6" t="s">
        <v>16</v>
      </c>
      <c r="E370">
        <v>331</v>
      </c>
      <c r="F370">
        <v>1.93</v>
      </c>
      <c r="G370">
        <v>15</v>
      </c>
      <c r="N370">
        <f t="shared" si="7"/>
        <v>322.78316196841661</v>
      </c>
      <c r="O370">
        <f>IF(AND(OR(D370="S. acutus",D370="S. californicus",D370="S. tabernaemontani"),G370=0),E370*[1]Sheet1!$D$7+[1]Sheet1!$L$7,IF(AND(OR(D370="S. acutus",D370="S. tabernaemontani"),G370&gt;0),E370*[1]Sheet1!$D$8+N370*[1]Sheet1!$E$8,IF(AND(D370="S. californicus",G370&gt;0),E370*[1]Sheet1!$D$9+N370*[1]Sheet1!$E$9,IF(D370="S.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latifolia"),E370&gt;0),F370*[1]Sheet1!$C$4+E370*[1]Sheet1!$D$4+H370*[1]Sheet1!$J$4+I370*[1]Sheet1!$K$4+[1]Sheet1!$L$4,IF(AND(OR(D370="T. domingensis",D370="T. latifolia"),J370&gt;0),J370*[1]Sheet1!$G$5+K370*[1]Sheet1!$H$5+L370*[1]Sheet1!$I$5+[1]Sheet1!$L$5,0)))))))</f>
        <v>23.139758420228787</v>
      </c>
    </row>
    <row r="371" spans="1:15">
      <c r="A371" s="2">
        <v>40745</v>
      </c>
      <c r="B371" t="s">
        <v>47</v>
      </c>
      <c r="C371">
        <v>5</v>
      </c>
      <c r="D371" s="6" t="s">
        <v>16</v>
      </c>
      <c r="E371">
        <v>337</v>
      </c>
      <c r="F371">
        <v>2.25</v>
      </c>
      <c r="G371">
        <v>30</v>
      </c>
      <c r="N371">
        <f t="shared" si="7"/>
        <v>446.64574078124991</v>
      </c>
      <c r="O371">
        <f>IF(AND(OR(D371="S. acutus",D371="S. californicus",D371="S. tabernaemontani"),G371=0),E371*[1]Sheet1!$D$7+[1]Sheet1!$L$7,IF(AND(OR(D371="S. acutus",D371="S. tabernaemontani"),G371&gt;0),E371*[1]Sheet1!$D$8+N371*[1]Sheet1!$E$8,IF(AND(D371="S. californicus",G371&gt;0),E371*[1]Sheet1!$D$9+N371*[1]Sheet1!$E$9,IF(D371="S.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latifolia"),E371&gt;0),F371*[1]Sheet1!$C$4+E371*[1]Sheet1!$D$4+H371*[1]Sheet1!$J$4+I371*[1]Sheet1!$K$4+[1]Sheet1!$L$4,IF(AND(OR(D371="T. domingensis",D371="T. latifolia"),J371&gt;0),J371*[1]Sheet1!$G$5+K371*[1]Sheet1!$H$5+L371*[1]Sheet1!$I$5+[1]Sheet1!$L$5,0)))))))</f>
        <v>27.359287534322952</v>
      </c>
    </row>
    <row r="372" spans="1:15">
      <c r="A372" s="2">
        <v>40745</v>
      </c>
      <c r="B372" t="s">
        <v>47</v>
      </c>
      <c r="C372">
        <v>5</v>
      </c>
      <c r="D372" s="6" t="s">
        <v>16</v>
      </c>
      <c r="E372">
        <v>339</v>
      </c>
      <c r="F372">
        <v>1.65</v>
      </c>
      <c r="G372">
        <v>0</v>
      </c>
      <c r="N372">
        <f t="shared" si="7"/>
        <v>241.62165039374995</v>
      </c>
      <c r="O372">
        <f>IF(AND(OR(D372="S. acutus",D372="S. californicus",D372="S. tabernaemontani"),G372=0),E372*[1]Sheet1!$D$7+[1]Sheet1!$L$7,IF(AND(OR(D372="S. acutus",D372="S. tabernaemontani"),G372&gt;0),E372*[1]Sheet1!$D$8+N372*[1]Sheet1!$E$8,IF(AND(D372="S. californicus",G372&gt;0),E372*[1]Sheet1!$D$9+N372*[1]Sheet1!$E$9,IF(D372="S.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latifolia"),E372&gt;0),F372*[1]Sheet1!$C$4+E372*[1]Sheet1!$D$4+H372*[1]Sheet1!$J$4+I372*[1]Sheet1!$K$4+[1]Sheet1!$L$4,IF(AND(OR(D372="T. domingensis",D372="T. latifolia"),J372&gt;0),J372*[1]Sheet1!$G$5+K372*[1]Sheet1!$H$5+L372*[1]Sheet1!$I$5+[1]Sheet1!$L$5,0)))))))</f>
        <v>19.174998000000002</v>
      </c>
    </row>
    <row r="373" spans="1:15">
      <c r="A373" s="2">
        <v>40745</v>
      </c>
      <c r="B373" t="s">
        <v>47</v>
      </c>
      <c r="C373">
        <v>5</v>
      </c>
      <c r="D373" s="6" t="s">
        <v>16</v>
      </c>
      <c r="E373">
        <v>342</v>
      </c>
      <c r="F373">
        <v>2.0299999999999998</v>
      </c>
      <c r="G373">
        <v>12</v>
      </c>
      <c r="N373">
        <f t="shared" si="7"/>
        <v>368.96607958349989</v>
      </c>
      <c r="O373">
        <f>IF(AND(OR(D373="S. acutus",D373="S. californicus",D373="S. tabernaemontani"),G373=0),E373*[1]Sheet1!$D$7+[1]Sheet1!$L$7,IF(AND(OR(D373="S. acutus",D373="S. tabernaemontani"),G373&gt;0),E373*[1]Sheet1!$D$8+N373*[1]Sheet1!$E$8,IF(AND(D373="S. californicus",G373&gt;0),E373*[1]Sheet1!$D$9+N373*[1]Sheet1!$E$9,IF(D373="S.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latifolia"),E373&gt;0),F373*[1]Sheet1!$C$4+E373*[1]Sheet1!$D$4+H373*[1]Sheet1!$J$4+I373*[1]Sheet1!$K$4+[1]Sheet1!$L$4,IF(AND(OR(D373="T. domingensis",D373="T. latifolia"),J373&gt;0),J373*[1]Sheet1!$G$5+K373*[1]Sheet1!$H$5+L373*[1]Sheet1!$I$5+[1]Sheet1!$L$5,0)))))))</f>
        <v>25.050468032060323</v>
      </c>
    </row>
    <row r="374" spans="1:15">
      <c r="A374" s="2">
        <v>40745</v>
      </c>
      <c r="B374" t="s">
        <v>47</v>
      </c>
      <c r="C374">
        <v>5</v>
      </c>
      <c r="D374" s="6" t="s">
        <v>16</v>
      </c>
      <c r="E374">
        <v>345</v>
      </c>
      <c r="F374">
        <v>1.94</v>
      </c>
      <c r="G374">
        <v>18</v>
      </c>
      <c r="N374">
        <f t="shared" si="7"/>
        <v>339.93103356499995</v>
      </c>
      <c r="O374">
        <f>IF(AND(OR(D374="S. acutus",D374="S. californicus",D374="S. tabernaemontani"),G374=0),E374*[1]Sheet1!$D$7+[1]Sheet1!$L$7,IF(AND(OR(D374="S. acutus",D374="S. tabernaemontani"),G374&gt;0),E374*[1]Sheet1!$D$8+N374*[1]Sheet1!$E$8,IF(AND(D374="S. californicus",G374&gt;0),E374*[1]Sheet1!$D$9+N374*[1]Sheet1!$E$9,IF(D374="S.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latifolia"),E374&gt;0),F374*[1]Sheet1!$C$4+E374*[1]Sheet1!$D$4+H374*[1]Sheet1!$J$4+I374*[1]Sheet1!$K$4+[1]Sheet1!$L$4,IF(AND(OR(D374="T. domingensis",D374="T. latifolia"),J374&gt;0),J374*[1]Sheet1!$G$5+K374*[1]Sheet1!$H$5+L374*[1]Sheet1!$I$5+[1]Sheet1!$L$5,0)))))))</f>
        <v>24.231034718723208</v>
      </c>
    </row>
    <row r="375" spans="1:15">
      <c r="A375" s="2">
        <v>40745</v>
      </c>
      <c r="B375" t="s">
        <v>47</v>
      </c>
      <c r="C375">
        <v>5</v>
      </c>
      <c r="D375" s="6" t="s">
        <v>13</v>
      </c>
      <c r="E375">
        <v>297</v>
      </c>
      <c r="F375">
        <v>1.72</v>
      </c>
      <c r="H375">
        <v>25</v>
      </c>
      <c r="I375">
        <v>1.7</v>
      </c>
      <c r="O375">
        <f>IF(AND(OR(D375="S. acutus",D375="S. californicus",D375="S. tabernaemontani"),G375=0),E375*[1]Sheet1!$D$7+[1]Sheet1!$L$7,IF(AND(OR(D375="S. acutus",D375="S. tabernaemontani"),G375&gt;0),E375*[1]Sheet1!$D$8+N375*[1]Sheet1!$E$8,IF(AND(D375="S. californicus",G375&gt;0),E375*[1]Sheet1!$D$9+N375*[1]Sheet1!$E$9,IF(D375="S.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latifolia"),E375&gt;0),F375*[1]Sheet1!$C$4+E375*[1]Sheet1!$D$4+H375*[1]Sheet1!$J$4+I375*[1]Sheet1!$K$4+[1]Sheet1!$L$4,IF(AND(OR(D375="T. domingensis",D375="T. latifolia"),J375&gt;0),J375*[1]Sheet1!$G$5+K375*[1]Sheet1!$H$5+L375*[1]Sheet1!$I$5+[1]Sheet1!$L$5,0)))))))</f>
        <v>78.161595239999997</v>
      </c>
    </row>
    <row r="376" spans="1:15">
      <c r="A376" s="2">
        <v>40745</v>
      </c>
      <c r="B376" t="s">
        <v>47</v>
      </c>
      <c r="C376">
        <v>19</v>
      </c>
      <c r="D376" s="6" t="s">
        <v>29</v>
      </c>
      <c r="E376">
        <v>31</v>
      </c>
      <c r="F376">
        <v>0.75</v>
      </c>
      <c r="G376">
        <v>0</v>
      </c>
      <c r="O376">
        <f>IF(AND(OR(D376="S. acutus",D376="S. californicus",D376="S. tabernaemontani"),G376=0),E376*[1]Sheet1!$D$7+[1]Sheet1!$L$7,IF(AND(OR(D376="S. acutus",D376="S. tabernaemontani"),G376&gt;0),E376*[1]Sheet1!$D$8+N376*[1]Sheet1!$E$8,IF(AND(D376="S. californicus",G376&gt;0),E376*[1]Sheet1!$D$9+N376*[1]Sheet1!$E$9,IF(D376="S.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latifolia"),E376&gt;0),F376*[1]Sheet1!$C$4+E376*[1]Sheet1!$D$4+H376*[1]Sheet1!$J$4+I376*[1]Sheet1!$K$4+[1]Sheet1!$L$4,IF(AND(OR(D376="T. domingensis",D376="T. latifolia"),J376&gt;0),J376*[1]Sheet1!$G$5+K376*[1]Sheet1!$H$5+L376*[1]Sheet1!$I$5+[1]Sheet1!$L$5,0)))))))</f>
        <v>0.85254337499999977</v>
      </c>
    </row>
    <row r="377" spans="1:15">
      <c r="A377" s="2">
        <v>40745</v>
      </c>
      <c r="B377" t="s">
        <v>47</v>
      </c>
      <c r="C377">
        <v>19</v>
      </c>
      <c r="D377" s="6" t="s">
        <v>29</v>
      </c>
      <c r="E377">
        <v>36</v>
      </c>
      <c r="F377">
        <v>0.9</v>
      </c>
      <c r="G377">
        <v>0</v>
      </c>
      <c r="O377">
        <f>IF(AND(OR(D377="S. acutus",D377="S. californicus",D377="S. tabernaemontani"),G377=0),E377*[1]Sheet1!$D$7+[1]Sheet1!$L$7,IF(AND(OR(D377="S. acutus",D377="S. tabernaemontani"),G377&gt;0),E377*[1]Sheet1!$D$8+N377*[1]Sheet1!$E$8,IF(AND(D377="S. californicus",G377&gt;0),E377*[1]Sheet1!$D$9+N377*[1]Sheet1!$E$9,IF(D377="S.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latifolia"),E377&gt;0),F377*[1]Sheet1!$C$4+E377*[1]Sheet1!$D$4+H377*[1]Sheet1!$J$4+I377*[1]Sheet1!$K$4+[1]Sheet1!$L$4,IF(AND(OR(D377="T. domingensis",D377="T. latifolia"),J377&gt;0),J377*[1]Sheet1!$G$5+K377*[1]Sheet1!$H$5+L377*[1]Sheet1!$I$5+[1]Sheet1!$L$5,0)))))))</f>
        <v>1.4638232099999997</v>
      </c>
    </row>
    <row r="378" spans="1:15">
      <c r="A378" s="2">
        <v>40745</v>
      </c>
      <c r="B378" t="s">
        <v>47</v>
      </c>
      <c r="C378">
        <v>19</v>
      </c>
      <c r="D378" s="6" t="s">
        <v>29</v>
      </c>
      <c r="E378">
        <v>45</v>
      </c>
      <c r="F378">
        <v>1</v>
      </c>
      <c r="G378">
        <v>0</v>
      </c>
      <c r="O378">
        <f>IF(AND(OR(D378="S. acutus",D378="S. californicus",D378="S. tabernaemontani"),G378=0),E378*[1]Sheet1!$D$7+[1]Sheet1!$L$7,IF(AND(OR(D378="S. acutus",D378="S. tabernaemontani"),G378&gt;0),E378*[1]Sheet1!$D$8+N378*[1]Sheet1!$E$8,IF(AND(D378="S. californicus",G378&gt;0),E378*[1]Sheet1!$D$9+N378*[1]Sheet1!$E$9,IF(D378="S.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latifolia"),E378&gt;0),F378*[1]Sheet1!$C$4+E378*[1]Sheet1!$D$4+H378*[1]Sheet1!$J$4+I378*[1]Sheet1!$K$4+[1]Sheet1!$L$4,IF(AND(OR(D378="T. domingensis",D378="T. latifolia"),J378&gt;0),J378*[1]Sheet1!$G$5+K378*[1]Sheet1!$H$5+L378*[1]Sheet1!$I$5+[1]Sheet1!$L$5,0)))))))</f>
        <v>1.9602004000000002</v>
      </c>
    </row>
    <row r="379" spans="1:15">
      <c r="A379" s="2">
        <v>40745</v>
      </c>
      <c r="B379" t="s">
        <v>47</v>
      </c>
      <c r="C379">
        <v>19</v>
      </c>
      <c r="D379" s="6" t="s">
        <v>29</v>
      </c>
      <c r="E379">
        <v>52</v>
      </c>
      <c r="F379">
        <v>1.06</v>
      </c>
      <c r="G379">
        <v>0</v>
      </c>
      <c r="O379">
        <f>IF(AND(OR(D379="S. acutus",D379="S. californicus",D379="S. tabernaemontani"),G379=0),E379*[1]Sheet1!$D$7+[1]Sheet1!$L$7,IF(AND(OR(D379="S. acutus",D379="S. tabernaemontani"),G379&gt;0),E379*[1]Sheet1!$D$8+N379*[1]Sheet1!$E$8,IF(AND(D379="S. californicus",G379&gt;0),E379*[1]Sheet1!$D$9+N379*[1]Sheet1!$E$9,IF(D379="S.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latifolia"),E379&gt;0),F379*[1]Sheet1!$C$4+E379*[1]Sheet1!$D$4+H379*[1]Sheet1!$J$4+I379*[1]Sheet1!$K$4+[1]Sheet1!$L$4,IF(AND(OR(D379="T. domingensis",D379="T. latifolia"),J379&gt;0),J379*[1]Sheet1!$G$5+K379*[1]Sheet1!$H$5+L379*[1]Sheet1!$I$5+[1]Sheet1!$L$5,0)))))))</f>
        <v>2.2831158339999997</v>
      </c>
    </row>
    <row r="380" spans="1:15">
      <c r="A380" s="2">
        <v>40745</v>
      </c>
      <c r="B380" t="s">
        <v>47</v>
      </c>
      <c r="C380">
        <v>19</v>
      </c>
      <c r="D380" s="6" t="s">
        <v>29</v>
      </c>
      <c r="E380">
        <v>63</v>
      </c>
      <c r="F380">
        <v>0.64</v>
      </c>
      <c r="G380">
        <v>0</v>
      </c>
      <c r="O380">
        <f>IF(AND(OR(D380="S. acutus",D380="S. californicus",D380="S. tabernaemontani"),G380=0),E380*[1]Sheet1!$D$7+[1]Sheet1!$L$7,IF(AND(OR(D380="S. acutus",D380="S. tabernaemontani"),G380&gt;0),E380*[1]Sheet1!$D$8+N380*[1]Sheet1!$E$8,IF(AND(D380="S. californicus",G380&gt;0),E380*[1]Sheet1!$D$9+N380*[1]Sheet1!$E$9,IF(D380="S.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latifolia"),E380&gt;0),F380*[1]Sheet1!$C$4+E380*[1]Sheet1!$D$4+H380*[1]Sheet1!$J$4+I380*[1]Sheet1!$K$4+[1]Sheet1!$L$4,IF(AND(OR(D380="T. domingensis",D380="T. latifolia"),J380&gt;0),J380*[1]Sheet1!$G$5+K380*[1]Sheet1!$H$5+L380*[1]Sheet1!$I$5+[1]Sheet1!$L$5,0)))))))</f>
        <v>0.96354979600000012</v>
      </c>
    </row>
    <row r="381" spans="1:15">
      <c r="A381" s="2">
        <v>40745</v>
      </c>
      <c r="B381" t="s">
        <v>47</v>
      </c>
      <c r="C381">
        <v>19</v>
      </c>
      <c r="D381" s="6" t="s">
        <v>29</v>
      </c>
      <c r="E381">
        <v>132</v>
      </c>
      <c r="F381">
        <v>1.35</v>
      </c>
      <c r="G381">
        <v>0</v>
      </c>
      <c r="O381">
        <f>IF(AND(OR(D381="S. acutus",D381="S. californicus",D381="S. tabernaemontani"),G381=0),E381*[1]Sheet1!$D$7+[1]Sheet1!$L$7,IF(AND(OR(D381="S. acutus",D381="S. tabernaemontani"),G381&gt;0),E381*[1]Sheet1!$D$8+N381*[1]Sheet1!$E$8,IF(AND(D381="S. californicus",G381&gt;0),E381*[1]Sheet1!$D$9+N381*[1]Sheet1!$E$9,IF(D381="S.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latifolia"),E381&gt;0),F381*[1]Sheet1!$C$4+E381*[1]Sheet1!$D$4+H381*[1]Sheet1!$J$4+I381*[1]Sheet1!$K$4+[1]Sheet1!$L$4,IF(AND(OR(D381="T. domingensis",D381="T. latifolia"),J381&gt;0),J381*[1]Sheet1!$G$5+K381*[1]Sheet1!$H$5+L381*[1]Sheet1!$I$5+[1]Sheet1!$L$5,0)))))))</f>
        <v>4.5677994149999996</v>
      </c>
    </row>
    <row r="382" spans="1:15">
      <c r="A382" s="2">
        <v>40745</v>
      </c>
      <c r="B382" t="s">
        <v>47</v>
      </c>
      <c r="C382">
        <v>19</v>
      </c>
      <c r="D382" s="6" t="s">
        <v>29</v>
      </c>
      <c r="E382">
        <v>137</v>
      </c>
      <c r="F382">
        <v>0.4</v>
      </c>
      <c r="G382">
        <v>1</v>
      </c>
      <c r="O382">
        <f>IF(AND(OR(D382="S. acutus",D382="S. californicus",D382="S. tabernaemontani"),G382=0),E382*[1]Sheet1!$D$7+[1]Sheet1!$L$7,IF(AND(OR(D382="S. acutus",D382="S. tabernaemontani"),G382&gt;0),E382*[1]Sheet1!$D$8+N382*[1]Sheet1!$E$8,IF(AND(D382="S. californicus",G382&gt;0),E382*[1]Sheet1!$D$9+N382*[1]Sheet1!$E$9,IF(D382="S.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latifolia"),E382&gt;0),F382*[1]Sheet1!$C$4+E382*[1]Sheet1!$D$4+H382*[1]Sheet1!$J$4+I382*[1]Sheet1!$K$4+[1]Sheet1!$L$4,IF(AND(OR(D382="T. domingensis",D382="T. latifolia"),J382&gt;0),J382*[1]Sheet1!$G$5+K382*[1]Sheet1!$H$5+L382*[1]Sheet1!$I$5+[1]Sheet1!$L$5,0)))))))</f>
        <v>1.2713194599999995</v>
      </c>
    </row>
    <row r="383" spans="1:15">
      <c r="A383" s="2">
        <v>40745</v>
      </c>
      <c r="B383" t="s">
        <v>47</v>
      </c>
      <c r="C383">
        <v>19</v>
      </c>
      <c r="D383" s="6" t="s">
        <v>29</v>
      </c>
      <c r="E383">
        <v>137</v>
      </c>
      <c r="F383">
        <v>0.76</v>
      </c>
      <c r="G383">
        <v>0</v>
      </c>
      <c r="O383">
        <f>IF(AND(OR(D383="S. acutus",D383="S. californicus",D383="S. tabernaemontani"),G383=0),E383*[1]Sheet1!$D$7+[1]Sheet1!$L$7,IF(AND(OR(D383="S. acutus",D383="S. tabernaemontani"),G383&gt;0),E383*[1]Sheet1!$D$8+N383*[1]Sheet1!$E$8,IF(AND(D383="S. californicus",G383&gt;0),E383*[1]Sheet1!$D$9+N383*[1]Sheet1!$E$9,IF(D383="S.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latifolia"),E383&gt;0),F383*[1]Sheet1!$C$4+E383*[1]Sheet1!$D$4+H383*[1]Sheet1!$J$4+I383*[1]Sheet1!$K$4+[1]Sheet1!$L$4,IF(AND(OR(D383="T. domingensis",D383="T. latifolia"),J383&gt;0),J383*[1]Sheet1!$G$5+K383*[1]Sheet1!$H$5+L383*[1]Sheet1!$I$5+[1]Sheet1!$L$5,0)))))))</f>
        <v>2.5502226640000001</v>
      </c>
    </row>
    <row r="384" spans="1:15">
      <c r="A384" s="2">
        <v>40745</v>
      </c>
      <c r="B384" t="s">
        <v>47</v>
      </c>
      <c r="C384">
        <v>19</v>
      </c>
      <c r="D384" s="6" t="s">
        <v>29</v>
      </c>
      <c r="E384">
        <v>138</v>
      </c>
      <c r="F384">
        <v>1.25</v>
      </c>
      <c r="G384">
        <v>0</v>
      </c>
      <c r="O384">
        <f>IF(AND(OR(D384="S. acutus",D384="S. californicus",D384="S. tabernaemontani"),G384=0),E384*[1]Sheet1!$D$7+[1]Sheet1!$L$7,IF(AND(OR(D384="S. acutus",D384="S. tabernaemontani"),G384&gt;0),E384*[1]Sheet1!$D$8+N384*[1]Sheet1!$E$8,IF(AND(D384="S. californicus",G384&gt;0),E384*[1]Sheet1!$D$9+N384*[1]Sheet1!$E$9,IF(D384="S.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latifolia"),E384&gt;0),F384*[1]Sheet1!$C$4+E384*[1]Sheet1!$D$4+H384*[1]Sheet1!$J$4+I384*[1]Sheet1!$K$4+[1]Sheet1!$L$4,IF(AND(OR(D384="T. domingensis",D384="T. latifolia"),J384&gt;0),J384*[1]Sheet1!$G$5+K384*[1]Sheet1!$H$5+L384*[1]Sheet1!$I$5+[1]Sheet1!$L$5,0)))))))</f>
        <v>4.3066327250000001</v>
      </c>
    </row>
    <row r="385" spans="1:15">
      <c r="A385" s="2">
        <v>40745</v>
      </c>
      <c r="B385" t="s">
        <v>47</v>
      </c>
      <c r="C385">
        <v>19</v>
      </c>
      <c r="D385" s="6" t="s">
        <v>29</v>
      </c>
      <c r="E385">
        <v>151</v>
      </c>
      <c r="F385">
        <v>0.5</v>
      </c>
      <c r="G385">
        <v>2</v>
      </c>
      <c r="O385">
        <f>IF(AND(OR(D385="S. acutus",D385="S. californicus",D385="S. tabernaemontani"),G385=0),E385*[1]Sheet1!$D$7+[1]Sheet1!$L$7,IF(AND(OR(D385="S. acutus",D385="S. tabernaemontani"),G385&gt;0),E385*[1]Sheet1!$D$8+N385*[1]Sheet1!$E$8,IF(AND(D385="S. californicus",G385&gt;0),E385*[1]Sheet1!$D$9+N385*[1]Sheet1!$E$9,IF(D385="S.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latifolia"),E385&gt;0),F385*[1]Sheet1!$C$4+E385*[1]Sheet1!$D$4+H385*[1]Sheet1!$J$4+I385*[1]Sheet1!$K$4+[1]Sheet1!$L$4,IF(AND(OR(D385="T. domingensis",D385="T. latifolia"),J385&gt;0),J385*[1]Sheet1!$G$5+K385*[1]Sheet1!$H$5+L385*[1]Sheet1!$I$5+[1]Sheet1!$L$5,0)))))))</f>
        <v>1.8461001499999994</v>
      </c>
    </row>
    <row r="386" spans="1:15">
      <c r="A386" s="2">
        <v>40745</v>
      </c>
      <c r="B386" t="s">
        <v>47</v>
      </c>
      <c r="C386">
        <v>19</v>
      </c>
      <c r="D386" s="6" t="s">
        <v>29</v>
      </c>
      <c r="E386">
        <v>165</v>
      </c>
      <c r="F386">
        <v>1.1000000000000001</v>
      </c>
      <c r="G386">
        <v>0</v>
      </c>
      <c r="O386">
        <f>IF(AND(OR(D386="S. acutus",D386="S. californicus",D386="S. tabernaemontani"),G386=0),E386*[1]Sheet1!$D$7+[1]Sheet1!$L$7,IF(AND(OR(D386="S. acutus",D386="S. tabernaemontani"),G386&gt;0),E386*[1]Sheet1!$D$8+N386*[1]Sheet1!$E$8,IF(AND(D386="S. californicus",G386&gt;0),E386*[1]Sheet1!$D$9+N386*[1]Sheet1!$E$9,IF(D386="S.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latifolia"),E386&gt;0),F386*[1]Sheet1!$C$4+E386*[1]Sheet1!$D$4+H386*[1]Sheet1!$J$4+I386*[1]Sheet1!$K$4+[1]Sheet1!$L$4,IF(AND(OR(D386="T. domingensis",D386="T. latifolia"),J386&gt;0),J386*[1]Sheet1!$G$5+K386*[1]Sheet1!$H$5+L386*[1]Sheet1!$I$5+[1]Sheet1!$L$5,0)))))))</f>
        <v>4.1971352900000003</v>
      </c>
    </row>
    <row r="387" spans="1:15">
      <c r="A387" s="2">
        <v>40745</v>
      </c>
      <c r="B387" t="s">
        <v>47</v>
      </c>
      <c r="C387">
        <v>19</v>
      </c>
      <c r="D387" s="6" t="s">
        <v>29</v>
      </c>
      <c r="E387">
        <v>168</v>
      </c>
      <c r="F387">
        <v>1.02</v>
      </c>
      <c r="G387">
        <v>5</v>
      </c>
      <c r="O387">
        <f>IF(AND(OR(D387="S. acutus",D387="S. californicus",D387="S. tabernaemontani"),G387=0),E387*[1]Sheet1!$D$7+[1]Sheet1!$L$7,IF(AND(OR(D387="S. acutus",D387="S. tabernaemontani"),G387&gt;0),E387*[1]Sheet1!$D$8+N387*[1]Sheet1!$E$8,IF(AND(D387="S. californicus",G387&gt;0),E387*[1]Sheet1!$D$9+N387*[1]Sheet1!$E$9,IF(D387="S.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latifolia"),E387&gt;0),F387*[1]Sheet1!$C$4+E387*[1]Sheet1!$D$4+H387*[1]Sheet1!$J$4+I387*[1]Sheet1!$K$4+[1]Sheet1!$L$4,IF(AND(OR(D387="T. domingensis",D387="T. latifolia"),J387&gt;0),J387*[1]Sheet1!$G$5+K387*[1]Sheet1!$H$5+L387*[1]Sheet1!$I$5+[1]Sheet1!$L$5,0)))))))</f>
        <v>3.9599766779999999</v>
      </c>
    </row>
    <row r="388" spans="1:15">
      <c r="A388" s="2">
        <v>40745</v>
      </c>
      <c r="B388" t="s">
        <v>47</v>
      </c>
      <c r="C388">
        <v>19</v>
      </c>
      <c r="D388" s="6" t="s">
        <v>29</v>
      </c>
      <c r="E388">
        <v>190</v>
      </c>
      <c r="F388">
        <v>1.3</v>
      </c>
      <c r="G388">
        <v>0</v>
      </c>
      <c r="O388">
        <f>IF(AND(OR(D388="S. acutus",D388="S. californicus",D388="S. tabernaemontani"),G388=0),E388*[1]Sheet1!$D$7+[1]Sheet1!$L$7,IF(AND(OR(D388="S. acutus",D388="S. tabernaemontani"),G388&gt;0),E388*[1]Sheet1!$D$8+N388*[1]Sheet1!$E$8,IF(AND(D388="S. californicus",G388&gt;0),E388*[1]Sheet1!$D$9+N388*[1]Sheet1!$E$9,IF(D388="S.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latifolia"),E388&gt;0),F388*[1]Sheet1!$C$4+E388*[1]Sheet1!$D$4+H388*[1]Sheet1!$J$4+I388*[1]Sheet1!$K$4+[1]Sheet1!$L$4,IF(AND(OR(D388="T. domingensis",D388="T. latifolia"),J388&gt;0),J388*[1]Sheet1!$G$5+K388*[1]Sheet1!$H$5+L388*[1]Sheet1!$I$5+[1]Sheet1!$L$5,0)))))))</f>
        <v>5.2996545699999995</v>
      </c>
    </row>
    <row r="389" spans="1:15">
      <c r="A389" s="2">
        <v>40745</v>
      </c>
      <c r="B389" t="s">
        <v>47</v>
      </c>
      <c r="C389">
        <v>19</v>
      </c>
      <c r="D389" s="6" t="s">
        <v>29</v>
      </c>
      <c r="E389">
        <v>205</v>
      </c>
      <c r="F389">
        <v>1.3</v>
      </c>
      <c r="G389">
        <v>0</v>
      </c>
      <c r="O389">
        <f>IF(AND(OR(D389="S. acutus",D389="S. californicus",D389="S. tabernaemontani"),G389=0),E389*[1]Sheet1!$D$7+[1]Sheet1!$L$7,IF(AND(OR(D389="S. acutus",D389="S. tabernaemontani"),G389&gt;0),E389*[1]Sheet1!$D$8+N389*[1]Sheet1!$E$8,IF(AND(D389="S. californicus",G389&gt;0),E389*[1]Sheet1!$D$9+N389*[1]Sheet1!$E$9,IF(D389="S.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latifolia"),E389&gt;0),F389*[1]Sheet1!$C$4+E389*[1]Sheet1!$D$4+H389*[1]Sheet1!$J$4+I389*[1]Sheet1!$K$4+[1]Sheet1!$L$4,IF(AND(OR(D389="T. domingensis",D389="T. latifolia"),J389&gt;0),J389*[1]Sheet1!$G$5+K389*[1]Sheet1!$H$5+L389*[1]Sheet1!$I$5+[1]Sheet1!$L$5,0)))))))</f>
        <v>5.5348650699999986</v>
      </c>
    </row>
    <row r="390" spans="1:15">
      <c r="A390" s="2">
        <v>40745</v>
      </c>
      <c r="B390" t="s">
        <v>47</v>
      </c>
      <c r="C390">
        <v>19</v>
      </c>
      <c r="D390" s="6" t="s">
        <v>29</v>
      </c>
      <c r="E390">
        <v>209</v>
      </c>
      <c r="F390">
        <v>0.54</v>
      </c>
      <c r="G390">
        <v>2</v>
      </c>
      <c r="O390">
        <f>IF(AND(OR(D390="S. acutus",D390="S. californicus",D390="S. tabernaemontani"),G390=0),E390*[1]Sheet1!$D$7+[1]Sheet1!$L$7,IF(AND(OR(D390="S. acutus",D390="S. tabernaemontani"),G390&gt;0),E390*[1]Sheet1!$D$8+N390*[1]Sheet1!$E$8,IF(AND(D390="S. californicus",G390&gt;0),E390*[1]Sheet1!$D$9+N390*[1]Sheet1!$E$9,IF(D390="S.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latifolia"),E390&gt;0),F390*[1]Sheet1!$C$4+E390*[1]Sheet1!$D$4+H390*[1]Sheet1!$J$4+I390*[1]Sheet1!$K$4+[1]Sheet1!$L$4,IF(AND(OR(D390="T. domingensis",D390="T. latifolia"),J390&gt;0),J390*[1]Sheet1!$G$5+K390*[1]Sheet1!$H$5+L390*[1]Sheet1!$I$5+[1]Sheet1!$L$5,0)))))))</f>
        <v>2.8976811059999998</v>
      </c>
    </row>
    <row r="391" spans="1:15">
      <c r="A391" s="2">
        <v>40745</v>
      </c>
      <c r="B391" t="s">
        <v>47</v>
      </c>
      <c r="C391">
        <v>19</v>
      </c>
      <c r="D391" s="6" t="s">
        <v>29</v>
      </c>
      <c r="E391">
        <v>210</v>
      </c>
      <c r="F391">
        <v>0.55000000000000004</v>
      </c>
      <c r="G391">
        <v>0</v>
      </c>
      <c r="O391">
        <f>IF(AND(OR(D391="S. acutus",D391="S. californicus",D391="S. tabernaemontani"),G391=0),E391*[1]Sheet1!$D$7+[1]Sheet1!$L$7,IF(AND(OR(D391="S. acutus",D391="S. tabernaemontani"),G391&gt;0),E391*[1]Sheet1!$D$8+N391*[1]Sheet1!$E$8,IF(AND(D391="S. californicus",G391&gt;0),E391*[1]Sheet1!$D$9+N391*[1]Sheet1!$E$9,IF(D391="S.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latifolia"),E391&gt;0),F391*[1]Sheet1!$C$4+E391*[1]Sheet1!$D$4+H391*[1]Sheet1!$J$4+I391*[1]Sheet1!$K$4+[1]Sheet1!$L$4,IF(AND(OR(D391="T. domingensis",D391="T. latifolia"),J391&gt;0),J391*[1]Sheet1!$G$5+K391*[1]Sheet1!$H$5+L391*[1]Sheet1!$I$5+[1]Sheet1!$L$5,0)))))))</f>
        <v>2.9488868949999998</v>
      </c>
    </row>
    <row r="392" spans="1:15">
      <c r="A392" s="2">
        <v>40745</v>
      </c>
      <c r="B392" t="s">
        <v>47</v>
      </c>
      <c r="C392">
        <v>19</v>
      </c>
      <c r="D392" s="6" t="s">
        <v>29</v>
      </c>
      <c r="E392">
        <v>210</v>
      </c>
      <c r="F392">
        <v>0.76</v>
      </c>
      <c r="G392">
        <v>4</v>
      </c>
      <c r="O392">
        <f>IF(AND(OR(D392="S. acutus",D392="S. californicus",D392="S. tabernaemontani"),G392=0),E392*[1]Sheet1!$D$7+[1]Sheet1!$L$7,IF(AND(OR(D392="S. acutus",D392="S. tabernaemontani"),G392&gt;0),E392*[1]Sheet1!$D$8+N392*[1]Sheet1!$E$8,IF(AND(D392="S. californicus",G392&gt;0),E392*[1]Sheet1!$D$9+N392*[1]Sheet1!$E$9,IF(D392="S.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latifolia"),E392&gt;0),F392*[1]Sheet1!$C$4+E392*[1]Sheet1!$D$4+H392*[1]Sheet1!$J$4+I392*[1]Sheet1!$K$4+[1]Sheet1!$L$4,IF(AND(OR(D392="T. domingensis",D392="T. latifolia"),J392&gt;0),J392*[1]Sheet1!$G$5+K392*[1]Sheet1!$H$5+L392*[1]Sheet1!$I$5+[1]Sheet1!$L$5,0)))))))</f>
        <v>3.6949137639999994</v>
      </c>
    </row>
    <row r="393" spans="1:15">
      <c r="A393" s="2">
        <v>40745</v>
      </c>
      <c r="B393" t="s">
        <v>47</v>
      </c>
      <c r="C393">
        <v>19</v>
      </c>
      <c r="D393" s="6" t="s">
        <v>29</v>
      </c>
      <c r="E393">
        <v>214</v>
      </c>
      <c r="F393">
        <v>0.46</v>
      </c>
      <c r="G393">
        <v>1</v>
      </c>
      <c r="O393">
        <f>IF(AND(OR(D393="S. acutus",D393="S. californicus",D393="S. tabernaemontani"),G393=0),E393*[1]Sheet1!$D$7+[1]Sheet1!$L$7,IF(AND(OR(D393="S. acutus",D393="S. tabernaemontani"),G393&gt;0),E393*[1]Sheet1!$D$8+N393*[1]Sheet1!$E$8,IF(AND(D393="S. californicus",G393&gt;0),E393*[1]Sheet1!$D$9+N393*[1]Sheet1!$E$9,IF(D393="S.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latifolia"),E393&gt;0),F393*[1]Sheet1!$C$4+E393*[1]Sheet1!$D$4+H393*[1]Sheet1!$J$4+I393*[1]Sheet1!$K$4+[1]Sheet1!$L$4,IF(AND(OR(D393="T. domingensis",D393="T. latifolia"),J393&gt;0),J393*[1]Sheet1!$G$5+K393*[1]Sheet1!$H$5+L393*[1]Sheet1!$I$5+[1]Sheet1!$L$5,0)))))))</f>
        <v>2.6918838939999996</v>
      </c>
    </row>
    <row r="394" spans="1:15">
      <c r="A394" s="2">
        <v>40745</v>
      </c>
      <c r="B394" t="s">
        <v>47</v>
      </c>
      <c r="C394">
        <v>19</v>
      </c>
      <c r="D394" s="6" t="s">
        <v>29</v>
      </c>
      <c r="E394">
        <v>216</v>
      </c>
      <c r="F394">
        <v>1</v>
      </c>
      <c r="G394">
        <v>0</v>
      </c>
      <c r="O394">
        <f>IF(AND(OR(D394="S. acutus",D394="S. californicus",D394="S. tabernaemontani"),G394=0),E394*[1]Sheet1!$D$7+[1]Sheet1!$L$7,IF(AND(OR(D394="S. acutus",D394="S. tabernaemontani"),G394&gt;0),E394*[1]Sheet1!$D$8+N394*[1]Sheet1!$E$8,IF(AND(D394="S. californicus",G394&gt;0),E394*[1]Sheet1!$D$9+N394*[1]Sheet1!$E$9,IF(D394="S.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latifolia"),E394&gt;0),F394*[1]Sheet1!$C$4+E394*[1]Sheet1!$D$4+H394*[1]Sheet1!$J$4+I394*[1]Sheet1!$K$4+[1]Sheet1!$L$4,IF(AND(OR(D394="T. domingensis",D394="T. latifolia"),J394&gt;0),J394*[1]Sheet1!$G$5+K394*[1]Sheet1!$H$5+L394*[1]Sheet1!$I$5+[1]Sheet1!$L$5,0)))))))</f>
        <v>4.6416000999999998</v>
      </c>
    </row>
    <row r="395" spans="1:15">
      <c r="A395" s="2">
        <v>40745</v>
      </c>
      <c r="B395" t="s">
        <v>47</v>
      </c>
      <c r="C395">
        <v>19</v>
      </c>
      <c r="D395" s="6" t="s">
        <v>29</v>
      </c>
      <c r="E395">
        <v>232</v>
      </c>
      <c r="F395">
        <v>0.6</v>
      </c>
      <c r="G395">
        <v>4</v>
      </c>
      <c r="O395">
        <f>IF(AND(OR(D395="S. acutus",D395="S. californicus",D395="S. tabernaemontani"),G395=0),E395*[1]Sheet1!$D$7+[1]Sheet1!$L$7,IF(AND(OR(D395="S. acutus",D395="S. tabernaemontani"),G395&gt;0),E395*[1]Sheet1!$D$8+N395*[1]Sheet1!$E$8,IF(AND(D395="S. californicus",G395&gt;0),E395*[1]Sheet1!$D$9+N395*[1]Sheet1!$E$9,IF(D395="S.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latifolia"),E395&gt;0),F395*[1]Sheet1!$C$4+E395*[1]Sheet1!$D$4+H395*[1]Sheet1!$J$4+I395*[1]Sheet1!$K$4+[1]Sheet1!$L$4,IF(AND(OR(D395="T. domingensis",D395="T. latifolia"),J395&gt;0),J395*[1]Sheet1!$G$5+K395*[1]Sheet1!$H$5+L395*[1]Sheet1!$I$5+[1]Sheet1!$L$5,0)))))))</f>
        <v>3.4714877399999993</v>
      </c>
    </row>
    <row r="396" spans="1:15">
      <c r="A396" s="2">
        <v>40745</v>
      </c>
      <c r="B396" t="s">
        <v>47</v>
      </c>
      <c r="C396">
        <v>19</v>
      </c>
      <c r="D396" s="6" t="s">
        <v>29</v>
      </c>
      <c r="E396">
        <v>236</v>
      </c>
      <c r="F396">
        <v>0.5</v>
      </c>
      <c r="G396">
        <v>6</v>
      </c>
      <c r="O396">
        <f>IF(AND(OR(D396="S. acutus",D396="S. californicus",D396="S. tabernaemontani"),G396=0),E396*[1]Sheet1!$D$7+[1]Sheet1!$L$7,IF(AND(OR(D396="S. acutus",D396="S. tabernaemontani"),G396&gt;0),E396*[1]Sheet1!$D$8+N396*[1]Sheet1!$E$8,IF(AND(D396="S. californicus",G396&gt;0),E396*[1]Sheet1!$D$9+N396*[1]Sheet1!$E$9,IF(D396="S.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latifolia"),E396&gt;0),F396*[1]Sheet1!$C$4+E396*[1]Sheet1!$D$4+H396*[1]Sheet1!$J$4+I396*[1]Sheet1!$K$4+[1]Sheet1!$L$4,IF(AND(OR(D396="T. domingensis",D396="T. latifolia"),J396&gt;0),J396*[1]Sheet1!$G$5+K396*[1]Sheet1!$H$5+L396*[1]Sheet1!$I$5+[1]Sheet1!$L$5,0)))))))</f>
        <v>3.1789596499999999</v>
      </c>
    </row>
    <row r="397" spans="1:15">
      <c r="A397" s="2">
        <v>40745</v>
      </c>
      <c r="B397" t="s">
        <v>47</v>
      </c>
      <c r="C397">
        <v>19</v>
      </c>
      <c r="D397" s="6" t="s">
        <v>29</v>
      </c>
      <c r="E397">
        <v>247</v>
      </c>
      <c r="F397">
        <v>0.54</v>
      </c>
      <c r="G397">
        <v>6</v>
      </c>
      <c r="O397">
        <f>IF(AND(OR(D397="S. acutus",D397="S. californicus",D397="S. tabernaemontani"),G397=0),E397*[1]Sheet1!$D$7+[1]Sheet1!$L$7,IF(AND(OR(D397="S. acutus",D397="S. tabernaemontani"),G397&gt;0),E397*[1]Sheet1!$D$8+N397*[1]Sheet1!$E$8,IF(AND(D397="S. californicus",G397&gt;0),E397*[1]Sheet1!$D$9+N397*[1]Sheet1!$E$9,IF(D397="S.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latifolia"),E397&gt;0),F397*[1]Sheet1!$C$4+E397*[1]Sheet1!$D$4+H397*[1]Sheet1!$J$4+I397*[1]Sheet1!$K$4+[1]Sheet1!$L$4,IF(AND(OR(D397="T. domingensis",D397="T. latifolia"),J397&gt;0),J397*[1]Sheet1!$G$5+K397*[1]Sheet1!$H$5+L397*[1]Sheet1!$I$5+[1]Sheet1!$L$5,0)))))))</f>
        <v>3.4935477059999998</v>
      </c>
    </row>
    <row r="398" spans="1:15">
      <c r="A398" s="2">
        <v>40745</v>
      </c>
      <c r="B398" t="s">
        <v>47</v>
      </c>
      <c r="C398">
        <v>19</v>
      </c>
      <c r="D398" s="6" t="s">
        <v>29</v>
      </c>
      <c r="E398">
        <v>251</v>
      </c>
      <c r="F398">
        <v>0.65</v>
      </c>
      <c r="G398">
        <v>7</v>
      </c>
      <c r="O398">
        <f>IF(AND(OR(D398="S. acutus",D398="S. californicus",D398="S. tabernaemontani"),G398=0),E398*[1]Sheet1!$D$7+[1]Sheet1!$L$7,IF(AND(OR(D398="S. acutus",D398="S. tabernaemontani"),G398&gt;0),E398*[1]Sheet1!$D$8+N398*[1]Sheet1!$E$8,IF(AND(D398="S. californicus",G398&gt;0),E398*[1]Sheet1!$D$9+N398*[1]Sheet1!$E$9,IF(D398="S.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latifolia"),E398&gt;0),F398*[1]Sheet1!$C$4+E398*[1]Sheet1!$D$4+H398*[1]Sheet1!$J$4+I398*[1]Sheet1!$K$4+[1]Sheet1!$L$4,IF(AND(OR(D398="T. domingensis",D398="T. latifolia"),J398&gt;0),J398*[1]Sheet1!$G$5+K398*[1]Sheet1!$H$5+L398*[1]Sheet1!$I$5+[1]Sheet1!$L$5,0)))))))</f>
        <v>3.947046485</v>
      </c>
    </row>
    <row r="399" spans="1:15">
      <c r="A399" s="2">
        <v>40745</v>
      </c>
      <c r="B399" t="s">
        <v>47</v>
      </c>
      <c r="C399">
        <v>19</v>
      </c>
      <c r="D399" s="6" t="s">
        <v>29</v>
      </c>
      <c r="E399">
        <v>267</v>
      </c>
      <c r="F399">
        <v>0.73</v>
      </c>
      <c r="G399">
        <v>4</v>
      </c>
      <c r="O399">
        <f>IF(AND(OR(D399="S. acutus",D399="S. californicus",D399="S. tabernaemontani"),G399=0),E399*[1]Sheet1!$D$7+[1]Sheet1!$L$7,IF(AND(OR(D399="S. acutus",D399="S. tabernaemontani"),G399&gt;0),E399*[1]Sheet1!$D$8+N399*[1]Sheet1!$E$8,IF(AND(D399="S. californicus",G399&gt;0),E399*[1]Sheet1!$D$9+N399*[1]Sheet1!$E$9,IF(D399="S.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latifolia"),E399&gt;0),F399*[1]Sheet1!$C$4+E399*[1]Sheet1!$D$4+H399*[1]Sheet1!$J$4+I399*[1]Sheet1!$K$4+[1]Sheet1!$L$4,IF(AND(OR(D399="T. domingensis",D399="T. latifolia"),J399&gt;0),J399*[1]Sheet1!$G$5+K399*[1]Sheet1!$H$5+L399*[1]Sheet1!$I$5+[1]Sheet1!$L$5,0)))))))</f>
        <v>4.4821383969999982</v>
      </c>
    </row>
    <row r="400" spans="1:15">
      <c r="A400" s="2">
        <v>40745</v>
      </c>
      <c r="B400" t="s">
        <v>47</v>
      </c>
      <c r="C400">
        <v>19</v>
      </c>
      <c r="D400" s="6" t="s">
        <v>29</v>
      </c>
      <c r="E400">
        <v>267</v>
      </c>
      <c r="F400">
        <v>0.88</v>
      </c>
      <c r="G400">
        <v>0</v>
      </c>
      <c r="O400">
        <f>IF(AND(OR(D400="S. acutus",D400="S. californicus",D400="S. tabernaemontani"),G400=0),E400*[1]Sheet1!$D$7+[1]Sheet1!$L$7,IF(AND(OR(D400="S. acutus",D400="S. tabernaemontani"),G400&gt;0),E400*[1]Sheet1!$D$8+N400*[1]Sheet1!$E$8,IF(AND(D400="S. californicus",G400&gt;0),E400*[1]Sheet1!$D$9+N400*[1]Sheet1!$E$9,IF(D400="S.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latifolia"),E400&gt;0),F400*[1]Sheet1!$C$4+E400*[1]Sheet1!$D$4+H400*[1]Sheet1!$J$4+I400*[1]Sheet1!$K$4+[1]Sheet1!$L$4,IF(AND(OR(D400="T. domingensis",D400="T. latifolia"),J400&gt;0),J400*[1]Sheet1!$G$5+K400*[1]Sheet1!$H$5+L400*[1]Sheet1!$I$5+[1]Sheet1!$L$5,0)))))))</f>
        <v>5.0150147319999991</v>
      </c>
    </row>
    <row r="401" spans="1:15">
      <c r="A401" s="2">
        <v>40745</v>
      </c>
      <c r="B401" t="s">
        <v>47</v>
      </c>
      <c r="C401">
        <v>19</v>
      </c>
      <c r="D401" s="6" t="s">
        <v>29</v>
      </c>
      <c r="E401">
        <v>277</v>
      </c>
      <c r="F401">
        <v>1.1000000000000001</v>
      </c>
      <c r="G401">
        <v>0</v>
      </c>
      <c r="O401">
        <f>IF(AND(OR(D401="S. acutus",D401="S. californicus",D401="S. tabernaemontani"),G401=0),E401*[1]Sheet1!$D$7+[1]Sheet1!$L$7,IF(AND(OR(D401="S. acutus",D401="S. tabernaemontani"),G401&gt;0),E401*[1]Sheet1!$D$8+N401*[1]Sheet1!$E$8,IF(AND(D401="S. californicus",G401&gt;0),E401*[1]Sheet1!$D$9+N401*[1]Sheet1!$E$9,IF(D401="S.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latifolia"),E401&gt;0),F401*[1]Sheet1!$C$4+E401*[1]Sheet1!$D$4+H401*[1]Sheet1!$J$4+I401*[1]Sheet1!$K$4+[1]Sheet1!$L$4,IF(AND(OR(D401="T. domingensis",D401="T. latifolia"),J401&gt;0),J401*[1]Sheet1!$G$5+K401*[1]Sheet1!$H$5+L401*[1]Sheet1!$I$5+[1]Sheet1!$L$5,0)))))))</f>
        <v>5.9533736899999994</v>
      </c>
    </row>
    <row r="402" spans="1:15">
      <c r="A402" s="2">
        <v>40745</v>
      </c>
      <c r="B402" t="s">
        <v>47</v>
      </c>
      <c r="C402">
        <v>19</v>
      </c>
      <c r="D402" s="6" t="s">
        <v>29</v>
      </c>
      <c r="E402">
        <v>282</v>
      </c>
      <c r="F402">
        <v>1.1299999999999999</v>
      </c>
      <c r="G402">
        <v>0</v>
      </c>
      <c r="O402">
        <f>IF(AND(OR(D402="S. acutus",D402="S. californicus",D402="S. tabernaemontani"),G402=0),E402*[1]Sheet1!$D$7+[1]Sheet1!$L$7,IF(AND(OR(D402="S. acutus",D402="S. tabernaemontani"),G402&gt;0),E402*[1]Sheet1!$D$8+N402*[1]Sheet1!$E$8,IF(AND(D402="S. californicus",G402&gt;0),E402*[1]Sheet1!$D$9+N402*[1]Sheet1!$E$9,IF(D402="S.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latifolia"),E402&gt;0),F402*[1]Sheet1!$C$4+E402*[1]Sheet1!$D$4+H402*[1]Sheet1!$J$4+I402*[1]Sheet1!$K$4+[1]Sheet1!$L$4,IF(AND(OR(D402="T. domingensis",D402="T. latifolia"),J402&gt;0),J402*[1]Sheet1!$G$5+K402*[1]Sheet1!$H$5+L402*[1]Sheet1!$I$5+[1]Sheet1!$L$5,0)))))))</f>
        <v>6.1383524569999981</v>
      </c>
    </row>
    <row r="403" spans="1:15">
      <c r="A403" s="2">
        <v>40745</v>
      </c>
      <c r="B403" t="s">
        <v>47</v>
      </c>
      <c r="C403">
        <v>19</v>
      </c>
      <c r="D403" s="6" t="s">
        <v>13</v>
      </c>
      <c r="E403">
        <v>281</v>
      </c>
      <c r="F403">
        <v>3.95</v>
      </c>
      <c r="H403">
        <v>32</v>
      </c>
      <c r="I403">
        <v>2</v>
      </c>
      <c r="O403">
        <f>IF(AND(OR(D403="S. acutus",D403="S. californicus",D403="S. tabernaemontani"),G403=0),E403*[1]Sheet1!$D$7+[1]Sheet1!$L$7,IF(AND(OR(D403="S. acutus",D403="S. tabernaemontani"),G403&gt;0),E403*[1]Sheet1!$D$8+N403*[1]Sheet1!$E$8,IF(AND(D403="S. californicus",G403&gt;0),E403*[1]Sheet1!$D$9+N403*[1]Sheet1!$E$9,IF(D403="S.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latifolia"),E403&gt;0),F403*[1]Sheet1!$C$4+E403*[1]Sheet1!$D$4+H403*[1]Sheet1!$J$4+I403*[1]Sheet1!$K$4+[1]Sheet1!$L$4,IF(AND(OR(D403="T. domingensis",D403="T. latifolia"),J403&gt;0),J403*[1]Sheet1!$G$5+K403*[1]Sheet1!$H$5+L403*[1]Sheet1!$I$5+[1]Sheet1!$L$5,0)))))))</f>
        <v>128.01021375000005</v>
      </c>
    </row>
    <row r="404" spans="1:15">
      <c r="A404" s="2">
        <v>40745</v>
      </c>
      <c r="B404" t="s">
        <v>47</v>
      </c>
      <c r="C404">
        <v>19</v>
      </c>
      <c r="D404" s="6" t="s">
        <v>13</v>
      </c>
      <c r="E404">
        <v>295</v>
      </c>
      <c r="F404">
        <v>2.9</v>
      </c>
      <c r="H404">
        <v>25</v>
      </c>
      <c r="I404">
        <v>2</v>
      </c>
      <c r="O404">
        <f>IF(AND(OR(D404="S. acutus",D404="S. californicus",D404="S. tabernaemontani"),G404=0),E404*[1]Sheet1!$D$7+[1]Sheet1!$L$7,IF(AND(OR(D404="S. acutus",D404="S. tabernaemontani"),G404&gt;0),E404*[1]Sheet1!$D$8+N404*[1]Sheet1!$E$8,IF(AND(D404="S. californicus",G404&gt;0),E404*[1]Sheet1!$D$9+N404*[1]Sheet1!$E$9,IF(D404="S.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latifolia"),E404&gt;0),F404*[1]Sheet1!$C$4+E404*[1]Sheet1!$D$4+H404*[1]Sheet1!$J$4+I404*[1]Sheet1!$K$4+[1]Sheet1!$L$4,IF(AND(OR(D404="T. domingensis",D404="T. latifolia"),J404&gt;0),J404*[1]Sheet1!$G$5+K404*[1]Sheet1!$H$5+L404*[1]Sheet1!$I$5+[1]Sheet1!$L$5,0)))))))</f>
        <v>105.52686929999999</v>
      </c>
    </row>
    <row r="405" spans="1:15">
      <c r="A405" s="2">
        <v>40745</v>
      </c>
      <c r="B405" t="s">
        <v>47</v>
      </c>
      <c r="C405">
        <v>19</v>
      </c>
      <c r="D405" s="6" t="s">
        <v>13</v>
      </c>
      <c r="E405">
        <v>308</v>
      </c>
      <c r="F405">
        <v>1.83</v>
      </c>
      <c r="H405">
        <v>28</v>
      </c>
      <c r="I405">
        <v>2</v>
      </c>
      <c r="O405">
        <f>IF(AND(OR(D405="S. acutus",D405="S. californicus",D405="S. tabernaemontani"),G405=0),E405*[1]Sheet1!$D$7+[1]Sheet1!$L$7,IF(AND(OR(D405="S. acutus",D405="S. tabernaemontani"),G405&gt;0),E405*[1]Sheet1!$D$8+N405*[1]Sheet1!$E$8,IF(AND(D405="S. californicus",G405&gt;0),E405*[1]Sheet1!$D$9+N405*[1]Sheet1!$E$9,IF(D405="S.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latifolia"),E405&gt;0),F405*[1]Sheet1!$C$4+E405*[1]Sheet1!$D$4+H405*[1]Sheet1!$J$4+I405*[1]Sheet1!$K$4+[1]Sheet1!$L$4,IF(AND(OR(D405="T. domingensis",D405="T. latifolia"),J405&gt;0),J405*[1]Sheet1!$G$5+K405*[1]Sheet1!$H$5+L405*[1]Sheet1!$I$5+[1]Sheet1!$L$5,0)))))))</f>
        <v>91.656602309999982</v>
      </c>
    </row>
    <row r="406" spans="1:15">
      <c r="A406" s="2">
        <v>40745</v>
      </c>
      <c r="B406" t="s">
        <v>47</v>
      </c>
      <c r="C406">
        <v>19</v>
      </c>
      <c r="D406" s="6" t="s">
        <v>13</v>
      </c>
      <c r="E406">
        <v>313</v>
      </c>
      <c r="F406">
        <v>2.9</v>
      </c>
      <c r="H406">
        <v>29</v>
      </c>
      <c r="I406">
        <v>2.2000000000000002</v>
      </c>
      <c r="O406">
        <f>IF(AND(OR(D406="S. acutus",D406="S. californicus",D406="S. tabernaemontani"),G406=0),E406*[1]Sheet1!$D$7+[1]Sheet1!$L$7,IF(AND(OR(D406="S. acutus",D406="S. tabernaemontani"),G406&gt;0),E406*[1]Sheet1!$D$8+N406*[1]Sheet1!$E$8,IF(AND(D406="S. californicus",G406&gt;0),E406*[1]Sheet1!$D$9+N406*[1]Sheet1!$E$9,IF(D406="S.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latifolia"),E406&gt;0),F406*[1]Sheet1!$C$4+E406*[1]Sheet1!$D$4+H406*[1]Sheet1!$J$4+I406*[1]Sheet1!$K$4+[1]Sheet1!$L$4,IF(AND(OR(D406="T. domingensis",D406="T. latifolia"),J406&gt;0),J406*[1]Sheet1!$G$5+K406*[1]Sheet1!$H$5+L406*[1]Sheet1!$I$5+[1]Sheet1!$L$5,0)))))))</f>
        <v>118.21279530000004</v>
      </c>
    </row>
    <row r="407" spans="1:15">
      <c r="A407" s="2">
        <v>40745</v>
      </c>
      <c r="B407" t="s">
        <v>47</v>
      </c>
      <c r="C407">
        <v>19</v>
      </c>
      <c r="D407" s="6" t="s">
        <v>13</v>
      </c>
      <c r="E407">
        <v>330</v>
      </c>
      <c r="F407">
        <v>2.84</v>
      </c>
      <c r="H407">
        <v>34</v>
      </c>
      <c r="I407">
        <v>2</v>
      </c>
      <c r="O407">
        <f>IF(AND(OR(D407="S. acutus",D407="S. californicus",D407="S. tabernaemontani"),G407=0),E407*[1]Sheet1!$D$7+[1]Sheet1!$L$7,IF(AND(OR(D407="S. acutus",D407="S. tabernaemontani"),G407&gt;0),E407*[1]Sheet1!$D$8+N407*[1]Sheet1!$E$8,IF(AND(D407="S. californicus",G407&gt;0),E407*[1]Sheet1!$D$9+N407*[1]Sheet1!$E$9,IF(D407="S.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latifolia"),E407&gt;0),F407*[1]Sheet1!$C$4+E407*[1]Sheet1!$D$4+H407*[1]Sheet1!$J$4+I407*[1]Sheet1!$K$4+[1]Sheet1!$L$4,IF(AND(OR(D407="T. domingensis",D407="T. latifolia"),J407&gt;0),J407*[1]Sheet1!$G$5+K407*[1]Sheet1!$H$5+L407*[1]Sheet1!$I$5+[1]Sheet1!$L$5,0)))))))</f>
        <v>123.37903507999999</v>
      </c>
    </row>
    <row r="408" spans="1:15">
      <c r="A408" s="2">
        <v>40745</v>
      </c>
      <c r="B408" t="s">
        <v>47</v>
      </c>
      <c r="C408">
        <v>19</v>
      </c>
      <c r="D408" s="6" t="s">
        <v>13</v>
      </c>
      <c r="F408">
        <v>1.83</v>
      </c>
      <c r="J408">
        <f>195+247+253+300+307+318</f>
        <v>1620</v>
      </c>
      <c r="K408">
        <v>6</v>
      </c>
      <c r="L408">
        <v>318</v>
      </c>
      <c r="O408">
        <f>IF(AND(OR(D408="S. acutus",D408="S. californicus",D408="S. tabernaemontani"),G408=0),E408*[1]Sheet1!$D$7+[1]Sheet1!$L$7,IF(AND(OR(D408="S. acutus",D408="S. tabernaemontani"),G408&gt;0),E408*[1]Sheet1!$D$8+N408*[1]Sheet1!$E$8,IF(AND(D408="S. californicus",G408&gt;0),E408*[1]Sheet1!$D$9+N408*[1]Sheet1!$E$9,IF(D408="S.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latifolia"),E408&gt;0),F408*[1]Sheet1!$C$4+E408*[1]Sheet1!$D$4+H408*[1]Sheet1!$J$4+I408*[1]Sheet1!$K$4+[1]Sheet1!$L$4,IF(AND(OR(D408="T. domingensis",D408="T. latifolia"),J408&gt;0),J408*[1]Sheet1!$G$5+K408*[1]Sheet1!$H$5+L408*[1]Sheet1!$I$5+[1]Sheet1!$L$5,0)))))))</f>
        <v>46.990056000000017</v>
      </c>
    </row>
    <row r="409" spans="1:15">
      <c r="A409" s="2">
        <v>40745</v>
      </c>
      <c r="B409" t="s">
        <v>47</v>
      </c>
      <c r="C409">
        <v>55</v>
      </c>
      <c r="D409" s="6" t="s">
        <v>12</v>
      </c>
      <c r="E409">
        <v>222</v>
      </c>
      <c r="F409">
        <v>3.25</v>
      </c>
      <c r="G409">
        <v>0</v>
      </c>
      <c r="N409">
        <f>(1/3)*(3.14159)*((F409/2)^2)*E409</f>
        <v>613.88632093749993</v>
      </c>
      <c r="O409">
        <f>IF(AND(OR(D409="S. acutus",D409="S. californicus",D409="S. tabernaemontani"),G409=0),E409*[1]Sheet1!$D$7+[1]Sheet1!$L$7,IF(AND(OR(D409="S. acutus",D409="S. tabernaemontani"),G409&gt;0),E409*[1]Sheet1!$D$8+N409*[1]Sheet1!$E$8,IF(AND(D409="S. californicus",G409&gt;0),E409*[1]Sheet1!$D$9+N409*[1]Sheet1!$E$9,IF(D409="S.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latifolia"),E409&gt;0),F409*[1]Sheet1!$C$4+E409*[1]Sheet1!$D$4+H409*[1]Sheet1!$J$4+I409*[1]Sheet1!$K$4+[1]Sheet1!$L$4,IF(AND(OR(D409="T. domingensis",D409="T. latifolia"),J409&gt;0),J409*[1]Sheet1!$G$5+K409*[1]Sheet1!$H$5+L409*[1]Sheet1!$I$5+[1]Sheet1!$L$5,0)))))))</f>
        <v>10.972712999999999</v>
      </c>
    </row>
    <row r="410" spans="1:15">
      <c r="A410" s="2">
        <v>40745</v>
      </c>
      <c r="B410" t="s">
        <v>47</v>
      </c>
      <c r="C410">
        <v>55</v>
      </c>
      <c r="D410" s="6" t="s">
        <v>12</v>
      </c>
      <c r="E410">
        <v>288</v>
      </c>
      <c r="F410">
        <v>1.35</v>
      </c>
      <c r="G410">
        <v>0</v>
      </c>
      <c r="M410" t="s">
        <v>48</v>
      </c>
      <c r="N410">
        <f>(1/3)*(3.14159)*((F410/2)^2)*E410</f>
        <v>137.4131466</v>
      </c>
      <c r="O410">
        <f>IF(AND(OR(D410="S. acutus",D410="S. californicus",D410="S. tabernaemontani"),G410=0),E410*[1]Sheet1!$D$7+[1]Sheet1!$L$7,IF(AND(OR(D410="S. acutus",D410="S. tabernaemontani"),G410&gt;0),E410*[1]Sheet1!$D$8+N410*[1]Sheet1!$E$8,IF(AND(D410="S. californicus",G410&gt;0),E410*[1]Sheet1!$D$9+N410*[1]Sheet1!$E$9,IF(D410="S.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latifolia"),E410&gt;0),F410*[1]Sheet1!$C$4+E410*[1]Sheet1!$D$4+H410*[1]Sheet1!$J$4+I410*[1]Sheet1!$K$4+[1]Sheet1!$L$4,IF(AND(OR(D410="T. domingensis",D410="T. latifolia"),J410&gt;0),J410*[1]Sheet1!$G$5+K410*[1]Sheet1!$H$5+L410*[1]Sheet1!$I$5+[1]Sheet1!$L$5,0)))))))</f>
        <v>15.599643</v>
      </c>
    </row>
    <row r="411" spans="1:15">
      <c r="A411" s="2">
        <v>40745</v>
      </c>
      <c r="B411" t="s">
        <v>47</v>
      </c>
      <c r="C411">
        <v>55</v>
      </c>
      <c r="D411" s="6" t="s">
        <v>12</v>
      </c>
      <c r="E411">
        <v>338</v>
      </c>
      <c r="F411">
        <v>1.2</v>
      </c>
      <c r="G411">
        <v>0</v>
      </c>
      <c r="N411">
        <f>(1/3)*(3.14159)*((F411/2)^2)*E411</f>
        <v>127.42289039999999</v>
      </c>
      <c r="O411">
        <f>IF(AND(OR(D411="S. acutus",D411="S. californicus",D411="S. tabernaemontani"),G411=0),E411*[1]Sheet1!$D$7+[1]Sheet1!$L$7,IF(AND(OR(D411="S. acutus",D411="S. tabernaemontani"),G411&gt;0),E411*[1]Sheet1!$D$8+N411*[1]Sheet1!$E$8,IF(AND(D411="S. californicus",G411&gt;0),E411*[1]Sheet1!$D$9+N411*[1]Sheet1!$E$9,IF(D411="S.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latifolia"),E411&gt;0),F411*[1]Sheet1!$C$4+E411*[1]Sheet1!$D$4+H411*[1]Sheet1!$J$4+I411*[1]Sheet1!$K$4+[1]Sheet1!$L$4,IF(AND(OR(D411="T. domingensis",D411="T. latifolia"),J411&gt;0),J411*[1]Sheet1!$G$5+K411*[1]Sheet1!$H$5+L411*[1]Sheet1!$I$5+[1]Sheet1!$L$5,0)))))))</f>
        <v>19.104893000000001</v>
      </c>
    </row>
    <row r="412" spans="1:15">
      <c r="A412" s="2">
        <v>40745</v>
      </c>
      <c r="B412" t="s">
        <v>47</v>
      </c>
      <c r="C412">
        <v>55</v>
      </c>
      <c r="D412" s="6" t="s">
        <v>16</v>
      </c>
      <c r="E412">
        <v>157</v>
      </c>
      <c r="F412">
        <v>1.2</v>
      </c>
      <c r="G412">
        <v>6</v>
      </c>
      <c r="N412">
        <f>((1/3)*(3.14159)*((F412/2)^2)*E412)</f>
        <v>59.187555599999996</v>
      </c>
      <c r="O412">
        <f>IF(AND(OR(D412="S. acutus",D412="S. californicus",D412="S. tabernaemontani"),G412=0),E412*[1]Sheet1!$D$7+[1]Sheet1!$L$7,IF(AND(OR(D412="S. acutus",D412="S. tabernaemontani"),G412&gt;0),E412*[1]Sheet1!$D$8+N412*[1]Sheet1!$E$8,IF(AND(D412="S. californicus",G412&gt;0),E412*[1]Sheet1!$D$9+N412*[1]Sheet1!$E$9,IF(D412="S.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latifolia"),E412&gt;0),F412*[1]Sheet1!$C$4+E412*[1]Sheet1!$D$4+H412*[1]Sheet1!$J$4+I412*[1]Sheet1!$K$4+[1]Sheet1!$L$4,IF(AND(OR(D412="T. domingensis",D412="T. latifolia"),J412&gt;0),J412*[1]Sheet1!$G$5+K412*[1]Sheet1!$H$5+L412*[1]Sheet1!$I$5+[1]Sheet1!$L$5,0)))))))</f>
        <v>7.9515072591200404</v>
      </c>
    </row>
    <row r="413" spans="1:15">
      <c r="A413" s="2">
        <v>40745</v>
      </c>
      <c r="B413" t="s">
        <v>47</v>
      </c>
      <c r="C413">
        <v>55</v>
      </c>
      <c r="D413" s="6" t="s">
        <v>13</v>
      </c>
      <c r="F413">
        <v>1.5</v>
      </c>
      <c r="J413">
        <f>122+123+155+233+285</f>
        <v>918</v>
      </c>
      <c r="K413">
        <v>5</v>
      </c>
      <c r="L413">
        <v>285</v>
      </c>
      <c r="O413">
        <f>IF(AND(OR(D413="S. acutus",D413="S. californicus",D413="S. tabernaemontani"),G413=0),E413*[1]Sheet1!$D$7+[1]Sheet1!$L$7,IF(AND(OR(D413="S. acutus",D413="S. tabernaemontani"),G413&gt;0),E413*[1]Sheet1!$D$8+N413*[1]Sheet1!$E$8,IF(AND(D413="S. californicus",G413&gt;0),E413*[1]Sheet1!$D$9+N413*[1]Sheet1!$E$9,IF(D413="S.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latifolia"),E413&gt;0),F413*[1]Sheet1!$C$4+E413*[1]Sheet1!$D$4+H413*[1]Sheet1!$J$4+I413*[1]Sheet1!$K$4+[1]Sheet1!$L$4,IF(AND(OR(D413="T. domingensis",D413="T. latifolia"),J413&gt;0),J413*[1]Sheet1!$G$5+K413*[1]Sheet1!$H$5+L413*[1]Sheet1!$I$5+[1]Sheet1!$L$5,0)))))))</f>
        <v>-1.8625159999999852</v>
      </c>
    </row>
    <row r="414" spans="1:15">
      <c r="A414" s="2">
        <v>40745</v>
      </c>
      <c r="B414" t="s">
        <v>47</v>
      </c>
      <c r="C414">
        <v>55</v>
      </c>
      <c r="D414" s="6" t="s">
        <v>13</v>
      </c>
      <c r="F414">
        <v>2.4900000000000002</v>
      </c>
      <c r="J414">
        <f>148+223+282+295+309</f>
        <v>1257</v>
      </c>
      <c r="K414">
        <v>5</v>
      </c>
      <c r="L414">
        <v>309</v>
      </c>
      <c r="O414">
        <f>IF(AND(OR(D414="S. acutus",D414="S. californicus",D414="S. tabernaemontani"),G414=0),E414*[1]Sheet1!$D$7+[1]Sheet1!$L$7,IF(AND(OR(D414="S. acutus",D414="S. tabernaemontani"),G414&gt;0),E414*[1]Sheet1!$D$8+N414*[1]Sheet1!$E$8,IF(AND(D414="S. californicus",G414&gt;0),E414*[1]Sheet1!$D$9+N414*[1]Sheet1!$E$9,IF(D414="S.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latifolia"),E414&gt;0),F414*[1]Sheet1!$C$4+E414*[1]Sheet1!$D$4+H414*[1]Sheet1!$J$4+I414*[1]Sheet1!$K$4+[1]Sheet1!$L$4,IF(AND(OR(D414="T. domingensis",D414="T. latifolia"),J414&gt;0),J414*[1]Sheet1!$G$5+K414*[1]Sheet1!$H$5+L414*[1]Sheet1!$I$5+[1]Sheet1!$L$5,0)))))))</f>
        <v>22.690548999999997</v>
      </c>
    </row>
    <row r="415" spans="1:15">
      <c r="A415" s="2">
        <v>40745</v>
      </c>
      <c r="B415" t="s">
        <v>47</v>
      </c>
      <c r="C415">
        <v>55</v>
      </c>
      <c r="D415" s="6" t="s">
        <v>19</v>
      </c>
      <c r="F415">
        <v>4.5999999999999996</v>
      </c>
      <c r="J415">
        <f>151+235+307+339+322+347</f>
        <v>1701</v>
      </c>
      <c r="K415">
        <v>6</v>
      </c>
      <c r="L415">
        <v>347</v>
      </c>
      <c r="O415">
        <f>IF(AND(OR(D415="S. acutus",D415="S. californicus",D415="S. tabernaemontani"),G415=0),E415*[1]Sheet1!$D$7+[1]Sheet1!$L$7,IF(AND(OR(D415="S. acutus",D415="S. tabernaemontani"),G415&gt;0),E415*[1]Sheet1!$D$8+N415*[1]Sheet1!$E$8,IF(AND(D415="S. californicus",G415&gt;0),E415*[1]Sheet1!$D$9+N415*[1]Sheet1!$E$9,IF(D415="S.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latifolia"),E415&gt;0),F415*[1]Sheet1!$C$4+E415*[1]Sheet1!$D$4+H415*[1]Sheet1!$J$4+I415*[1]Sheet1!$K$4+[1]Sheet1!$L$4,IF(AND(OR(D415="T. domingensis",D415="T. latifolia"),J415&gt;0),J415*[1]Sheet1!$G$5+K415*[1]Sheet1!$H$5+L415*[1]Sheet1!$I$5+[1]Sheet1!$L$5,0)))))))</f>
        <v>45.848106000000008</v>
      </c>
    </row>
    <row r="416" spans="1:15">
      <c r="A416" s="2">
        <v>40745</v>
      </c>
      <c r="B416" t="s">
        <v>47</v>
      </c>
      <c r="C416">
        <v>55</v>
      </c>
      <c r="D416" s="6" t="s">
        <v>19</v>
      </c>
      <c r="F416">
        <v>7.1</v>
      </c>
      <c r="J416">
        <f>160+256+256+320+349+360+335+354</f>
        <v>2390</v>
      </c>
      <c r="K416">
        <v>8</v>
      </c>
      <c r="L416">
        <v>360</v>
      </c>
      <c r="O416">
        <f>IF(AND(OR(D416="S. acutus",D416="S. californicus",D416="S. tabernaemontani"),G416=0),E416*[1]Sheet1!$D$7+[1]Sheet1!$L$7,IF(AND(OR(D416="S. acutus",D416="S. tabernaemontani"),G416&gt;0),E416*[1]Sheet1!$D$8+N416*[1]Sheet1!$E$8,IF(AND(D416="S. californicus",G416&gt;0),E416*[1]Sheet1!$D$9+N416*[1]Sheet1!$E$9,IF(D416="S.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latifolia"),E416&gt;0),F416*[1]Sheet1!$C$4+E416*[1]Sheet1!$D$4+H416*[1]Sheet1!$J$4+I416*[1]Sheet1!$K$4+[1]Sheet1!$L$4,IF(AND(OR(D416="T. domingensis",D416="T. latifolia"),J416&gt;0),J416*[1]Sheet1!$G$5+K416*[1]Sheet1!$H$5+L416*[1]Sheet1!$I$5+[1]Sheet1!$L$5,0)))))))</f>
        <v>92.484410000000025</v>
      </c>
    </row>
    <row r="417" spans="1:15">
      <c r="A417" s="2">
        <v>40745</v>
      </c>
      <c r="B417" t="s">
        <v>47</v>
      </c>
      <c r="C417">
        <v>58</v>
      </c>
      <c r="D417" s="6" t="s">
        <v>19</v>
      </c>
      <c r="F417">
        <v>0.85</v>
      </c>
      <c r="J417">
        <f>109+117</f>
        <v>226</v>
      </c>
      <c r="K417">
        <v>2</v>
      </c>
      <c r="L417">
        <v>117</v>
      </c>
      <c r="O417">
        <f>IF(AND(OR(D417="S. acutus",D417="S. californicus",D417="S. tabernaemontani"),G417=0),E417*[1]Sheet1!$D$7+[1]Sheet1!$L$7,IF(AND(OR(D417="S. acutus",D417="S. tabernaemontani"),G417&gt;0),E417*[1]Sheet1!$D$8+N417*[1]Sheet1!$E$8,IF(AND(D417="S. californicus",G417&gt;0),E417*[1]Sheet1!$D$9+N417*[1]Sheet1!$E$9,IF(D417="S.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latifolia"),E417&gt;0),F417*[1]Sheet1!$C$4+E417*[1]Sheet1!$D$4+H417*[1]Sheet1!$J$4+I417*[1]Sheet1!$K$4+[1]Sheet1!$L$4,IF(AND(OR(D417="T. domingensis",D417="T. latifolia"),J417&gt;0),J417*[1]Sheet1!$G$5+K417*[1]Sheet1!$H$5+L417*[1]Sheet1!$I$5+[1]Sheet1!$L$5,0)))))))</f>
        <v>4.9352429999999998</v>
      </c>
    </row>
    <row r="418" spans="1:15">
      <c r="A418" s="2">
        <v>40745</v>
      </c>
      <c r="B418" t="s">
        <v>47</v>
      </c>
      <c r="C418">
        <v>58</v>
      </c>
      <c r="D418" s="6" t="s">
        <v>19</v>
      </c>
      <c r="F418">
        <v>2</v>
      </c>
      <c r="J418">
        <f>134+160+182+198</f>
        <v>674</v>
      </c>
      <c r="K418">
        <v>4</v>
      </c>
      <c r="L418">
        <v>198</v>
      </c>
      <c r="O418">
        <f>IF(AND(OR(D418="S. acutus",D418="S. californicus",D418="S. tabernaemontani"),G418=0),E418*[1]Sheet1!$D$7+[1]Sheet1!$L$7,IF(AND(OR(D418="S. acutus",D418="S. tabernaemontani"),G418&gt;0),E418*[1]Sheet1!$D$8+N418*[1]Sheet1!$E$8,IF(AND(D418="S. californicus",G418&gt;0),E418*[1]Sheet1!$D$9+N418*[1]Sheet1!$E$9,IF(D418="S.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latifolia"),E418&gt;0),F418*[1]Sheet1!$C$4+E418*[1]Sheet1!$D$4+H418*[1]Sheet1!$J$4+I418*[1]Sheet1!$K$4+[1]Sheet1!$L$4,IF(AND(OR(D418="T. domingensis",D418="T. latifolia"),J418&gt;0),J418*[1]Sheet1!$G$5+K418*[1]Sheet1!$H$5+L418*[1]Sheet1!$I$5+[1]Sheet1!$L$5,0)))))))</f>
        <v>8.4919320000000056</v>
      </c>
    </row>
    <row r="419" spans="1:15">
      <c r="A419" s="2">
        <v>40745</v>
      </c>
      <c r="B419" t="s">
        <v>47</v>
      </c>
      <c r="C419">
        <v>58</v>
      </c>
      <c r="D419" s="6" t="s">
        <v>19</v>
      </c>
      <c r="F419">
        <v>2.1</v>
      </c>
      <c r="J419">
        <f>111+130+152+183+194</f>
        <v>770</v>
      </c>
      <c r="K419">
        <v>5</v>
      </c>
      <c r="L419">
        <v>194</v>
      </c>
      <c r="O419">
        <f>IF(AND(OR(D419="S. acutus",D419="S. californicus",D419="S. tabernaemontani"),G419=0),E419*[1]Sheet1!$D$7+[1]Sheet1!$L$7,IF(AND(OR(D419="S. acutus",D419="S. tabernaemontani"),G419&gt;0),E419*[1]Sheet1!$D$8+N419*[1]Sheet1!$E$8,IF(AND(D419="S. californicus",G419&gt;0),E419*[1]Sheet1!$D$9+N419*[1]Sheet1!$E$9,IF(D419="S.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latifolia"),E419&gt;0),F419*[1]Sheet1!$C$4+E419*[1]Sheet1!$D$4+H419*[1]Sheet1!$J$4+I419*[1]Sheet1!$K$4+[1]Sheet1!$L$4,IF(AND(OR(D419="T. domingensis",D419="T. latifolia"),J419&gt;0),J419*[1]Sheet1!$G$5+K419*[1]Sheet1!$H$5+L419*[1]Sheet1!$I$5+[1]Sheet1!$L$5,0)))))))</f>
        <v>11.675038999999998</v>
      </c>
    </row>
    <row r="420" spans="1:15">
      <c r="A420" s="2">
        <v>40745</v>
      </c>
      <c r="B420" t="s">
        <v>47</v>
      </c>
      <c r="C420">
        <v>58</v>
      </c>
      <c r="D420" s="6" t="s">
        <v>19</v>
      </c>
      <c r="F420">
        <v>5.8</v>
      </c>
      <c r="J420">
        <f>194+160+260+268+258+296+304</f>
        <v>1740</v>
      </c>
      <c r="K420">
        <v>7</v>
      </c>
      <c r="L420">
        <v>304</v>
      </c>
      <c r="O420">
        <f>IF(AND(OR(D420="S. acutus",D420="S. californicus",D420="S. tabernaemontani"),G420=0),E420*[1]Sheet1!$D$7+[1]Sheet1!$L$7,IF(AND(OR(D420="S. acutus",D420="S. tabernaemontani"),G420&gt;0),E420*[1]Sheet1!$D$8+N420*[1]Sheet1!$E$8,IF(AND(D420="S. californicus",G420&gt;0),E420*[1]Sheet1!$D$9+N420*[1]Sheet1!$E$9,IF(D420="S.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latifolia"),E420&gt;0),F420*[1]Sheet1!$C$4+E420*[1]Sheet1!$D$4+H420*[1]Sheet1!$J$4+I420*[1]Sheet1!$K$4+[1]Sheet1!$L$4,IF(AND(OR(D420="T. domingensis",D420="T. latifolia"),J420&gt;0),J420*[1]Sheet1!$G$5+K420*[1]Sheet1!$H$5+L420*[1]Sheet1!$I$5+[1]Sheet1!$L$5,0)))))))</f>
        <v>55.435733000000006</v>
      </c>
    </row>
    <row r="421" spans="1:15">
      <c r="A421" s="2">
        <v>40745</v>
      </c>
      <c r="B421" t="s">
        <v>47</v>
      </c>
      <c r="C421">
        <v>58</v>
      </c>
      <c r="D421" s="6" t="s">
        <v>19</v>
      </c>
      <c r="F421">
        <v>5.2</v>
      </c>
      <c r="J421">
        <f>218+234+274+292+278+310+310+234</f>
        <v>2150</v>
      </c>
      <c r="K421">
        <v>8</v>
      </c>
      <c r="L421">
        <v>310</v>
      </c>
      <c r="O421">
        <f>IF(AND(OR(D421="S. acutus",D421="S. californicus",D421="S. tabernaemontani"),G421=0),E421*[1]Sheet1!$D$7+[1]Sheet1!$L$7,IF(AND(OR(D421="S. acutus",D421="S. tabernaemontani"),G421&gt;0),E421*[1]Sheet1!$D$8+N421*[1]Sheet1!$E$8,IF(AND(D421="S. californicus",G421&gt;0),E421*[1]Sheet1!$D$9+N421*[1]Sheet1!$E$9,IF(D421="S.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latifolia"),E421&gt;0),F421*[1]Sheet1!$C$4+E421*[1]Sheet1!$D$4+H421*[1]Sheet1!$J$4+I421*[1]Sheet1!$K$4+[1]Sheet1!$L$4,IF(AND(OR(D421="T. domingensis",D421="T. latifolia"),J421&gt;0),J421*[1]Sheet1!$G$5+K421*[1]Sheet1!$H$5+L421*[1]Sheet1!$I$5+[1]Sheet1!$L$5,0)))))))</f>
        <v>85.04546000000002</v>
      </c>
    </row>
    <row r="422" spans="1:15">
      <c r="A422" s="2">
        <v>40745</v>
      </c>
      <c r="B422" t="s">
        <v>47</v>
      </c>
      <c r="C422">
        <v>58</v>
      </c>
      <c r="D422" s="6" t="s">
        <v>19</v>
      </c>
      <c r="F422">
        <v>4.9000000000000004</v>
      </c>
      <c r="J422">
        <f>160+224+282+300+336+338+343+344</f>
        <v>2327</v>
      </c>
      <c r="K422">
        <v>8</v>
      </c>
      <c r="L422">
        <v>344</v>
      </c>
      <c r="O422">
        <f>IF(AND(OR(D422="S. acutus",D422="S. californicus",D422="S. tabernaemontani"),G422=0),E422*[1]Sheet1!$D$7+[1]Sheet1!$L$7,IF(AND(OR(D422="S. acutus",D422="S. tabernaemontani"),G422&gt;0),E422*[1]Sheet1!$D$8+N422*[1]Sheet1!$E$8,IF(AND(D422="S. californicus",G422&gt;0),E422*[1]Sheet1!$D$9+N422*[1]Sheet1!$E$9,IF(D422="S.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latifolia"),E422&gt;0),F422*[1]Sheet1!$C$4+E422*[1]Sheet1!$D$4+H422*[1]Sheet1!$J$4+I422*[1]Sheet1!$K$4+[1]Sheet1!$L$4,IF(AND(OR(D422="T. domingensis",D422="T. latifolia"),J422&gt;0),J422*[1]Sheet1!$G$5+K422*[1]Sheet1!$H$5+L422*[1]Sheet1!$I$5+[1]Sheet1!$L$5,0)))))))</f>
        <v>91.397765000000021</v>
      </c>
    </row>
    <row r="423" spans="1:15">
      <c r="A423" s="2">
        <v>40745</v>
      </c>
      <c r="B423" t="s">
        <v>47</v>
      </c>
      <c r="C423">
        <v>58</v>
      </c>
      <c r="D423" s="6" t="s">
        <v>19</v>
      </c>
      <c r="F423">
        <v>7.4</v>
      </c>
      <c r="J423">
        <f>170+251+284+330+365+344+362+368</f>
        <v>2474</v>
      </c>
      <c r="K423">
        <v>8</v>
      </c>
      <c r="L423">
        <v>368</v>
      </c>
      <c r="O423">
        <f>IF(AND(OR(D423="S. acutus",D423="S. californicus",D423="S. tabernaemontani"),G423=0),E423*[1]Sheet1!$D$7+[1]Sheet1!$L$7,IF(AND(OR(D423="S. acutus",D423="S. tabernaemontani"),G423&gt;0),E423*[1]Sheet1!$D$8+N423*[1]Sheet1!$E$8,IF(AND(D423="S. californicus",G423&gt;0),E423*[1]Sheet1!$D$9+N423*[1]Sheet1!$E$9,IF(D423="S.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latifolia"),E423&gt;0),F423*[1]Sheet1!$C$4+E423*[1]Sheet1!$D$4+H423*[1]Sheet1!$J$4+I423*[1]Sheet1!$K$4+[1]Sheet1!$L$4,IF(AND(OR(D423="T. domingensis",D423="T. latifolia"),J423&gt;0),J423*[1]Sheet1!$G$5+K423*[1]Sheet1!$H$5+L423*[1]Sheet1!$I$5+[1]Sheet1!$L$5,0)))))))</f>
        <v>97.949870000000004</v>
      </c>
    </row>
    <row r="424" spans="1:15">
      <c r="A424" s="2">
        <v>40745</v>
      </c>
      <c r="B424" t="s">
        <v>47</v>
      </c>
      <c r="C424">
        <v>58</v>
      </c>
      <c r="D424" s="6" t="s">
        <v>19</v>
      </c>
      <c r="F424">
        <v>9.1</v>
      </c>
      <c r="J424">
        <f>180+238+252+311+364+363+364+356+354</f>
        <v>2782</v>
      </c>
      <c r="K424">
        <v>9</v>
      </c>
      <c r="L424">
        <v>364</v>
      </c>
      <c r="O424">
        <f>IF(AND(OR(D424="S. acutus",D424="S. californicus",D424="S. tabernaemontani"),G424=0),E424*[1]Sheet1!$D$7+[1]Sheet1!$L$7,IF(AND(OR(D424="S. acutus",D424="S. tabernaemontani"),G424&gt;0),E424*[1]Sheet1!$D$8+N424*[1]Sheet1!$E$8,IF(AND(D424="S. californicus",G424&gt;0),E424*[1]Sheet1!$D$9+N424*[1]Sheet1!$E$9,IF(D424="S.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latifolia"),E424&gt;0),F424*[1]Sheet1!$C$4+E424*[1]Sheet1!$D$4+H424*[1]Sheet1!$J$4+I424*[1]Sheet1!$K$4+[1]Sheet1!$L$4,IF(AND(OR(D424="T. domingensis",D424="T. latifolia"),J424&gt;0),J424*[1]Sheet1!$G$5+K424*[1]Sheet1!$H$5+L424*[1]Sheet1!$I$5+[1]Sheet1!$L$5,0)))))))</f>
        <v>121.00903700000001</v>
      </c>
    </row>
    <row r="425" spans="1:15">
      <c r="A425" s="2">
        <v>40745</v>
      </c>
      <c r="B425" t="s">
        <v>47</v>
      </c>
      <c r="C425">
        <v>58</v>
      </c>
      <c r="D425" s="6" t="s">
        <v>19</v>
      </c>
      <c r="F425">
        <v>13.5</v>
      </c>
      <c r="J425">
        <f>172+234+246+236+297+328+341+346+308+319+343+348</f>
        <v>3518</v>
      </c>
      <c r="K425">
        <v>12</v>
      </c>
      <c r="L425">
        <v>348</v>
      </c>
      <c r="O425">
        <f>IF(AND(OR(D425="S. acutus",D425="S. californicus",D425="S. tabernaemontani"),G425=0),E425*[1]Sheet1!$D$7+[1]Sheet1!$L$7,IF(AND(OR(D425="S. acutus",D425="S. tabernaemontani"),G425&gt;0),E425*[1]Sheet1!$D$8+N425*[1]Sheet1!$E$8,IF(AND(D425="S. californicus",G425&gt;0),E425*[1]Sheet1!$D$9+N425*[1]Sheet1!$E$9,IF(D425="S.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latifolia"),E425&gt;0),F425*[1]Sheet1!$C$4+E425*[1]Sheet1!$D$4+H425*[1]Sheet1!$J$4+I425*[1]Sheet1!$K$4+[1]Sheet1!$L$4,IF(AND(OR(D425="T. domingensis",D425="T. latifolia"),J425&gt;0),J425*[1]Sheet1!$G$5+K425*[1]Sheet1!$H$5+L425*[1]Sheet1!$I$5+[1]Sheet1!$L$5,0)))))))</f>
        <v>173.76557800000003</v>
      </c>
    </row>
    <row r="426" spans="1:15">
      <c r="A426" s="2">
        <v>40745</v>
      </c>
      <c r="B426" t="s">
        <v>47</v>
      </c>
      <c r="C426">
        <v>58</v>
      </c>
      <c r="D426" s="6" t="s">
        <v>19</v>
      </c>
      <c r="F426">
        <v>10.9</v>
      </c>
      <c r="J426">
        <f>160+214+266+261+320+311+351+356+333+337+361+348</f>
        <v>3618</v>
      </c>
      <c r="K426">
        <v>12</v>
      </c>
      <c r="L426">
        <v>361</v>
      </c>
      <c r="O426">
        <f>IF(AND(OR(D426="S. acutus",D426="S. californicus",D426="S. tabernaemontani"),G426=0),E426*[1]Sheet1!$D$7+[1]Sheet1!$L$7,IF(AND(OR(D426="S. acutus",D426="S. tabernaemontani"),G426&gt;0),E426*[1]Sheet1!$D$8+N426*[1]Sheet1!$E$8,IF(AND(D426="S. californicus",G426&gt;0),E426*[1]Sheet1!$D$9+N426*[1]Sheet1!$E$9,IF(D426="S.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latifolia"),E426&gt;0),F426*[1]Sheet1!$C$4+E426*[1]Sheet1!$D$4+H426*[1]Sheet1!$J$4+I426*[1]Sheet1!$K$4+[1]Sheet1!$L$4,IF(AND(OR(D426="T. domingensis",D426="T. latifolia"),J426&gt;0),J426*[1]Sheet1!$G$5+K426*[1]Sheet1!$H$5+L426*[1]Sheet1!$I$5+[1]Sheet1!$L$5,0)))))))</f>
        <v>179.22489300000004</v>
      </c>
    </row>
    <row r="427" spans="1:15">
      <c r="A427" s="2">
        <v>40745</v>
      </c>
      <c r="B427" t="s">
        <v>47</v>
      </c>
      <c r="C427">
        <v>58</v>
      </c>
      <c r="D427" s="6" t="s">
        <v>19</v>
      </c>
      <c r="F427">
        <v>13.1</v>
      </c>
      <c r="J427">
        <f>145+192+352+353+348+326+283+344+276+215+326+344+352+256+358</f>
        <v>4470</v>
      </c>
      <c r="K427">
        <v>15</v>
      </c>
      <c r="L427">
        <v>358</v>
      </c>
      <c r="O427">
        <f>IF(AND(OR(D427="S. acutus",D427="S. californicus",D427="S. tabernaemontani"),G427=0),E427*[1]Sheet1!$D$7+[1]Sheet1!$L$7,IF(AND(OR(D427="S. acutus",D427="S. tabernaemontani"),G427&gt;0),E427*[1]Sheet1!$D$8+N427*[1]Sheet1!$E$8,IF(AND(D427="S. californicus",G427&gt;0),E427*[1]Sheet1!$D$9+N427*[1]Sheet1!$E$9,IF(D427="S.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latifolia"),E427&gt;0),F427*[1]Sheet1!$C$4+E427*[1]Sheet1!$D$4+H427*[1]Sheet1!$J$4+I427*[1]Sheet1!$K$4+[1]Sheet1!$L$4,IF(AND(OR(D427="T. domingensis",D427="T. latifolia"),J427&gt;0),J427*[1]Sheet1!$G$5+K427*[1]Sheet1!$H$5+L427*[1]Sheet1!$I$5+[1]Sheet1!$L$5,0)))))))</f>
        <v>238.94082899999998</v>
      </c>
    </row>
    <row r="428" spans="1:15">
      <c r="A428" s="2">
        <v>40732</v>
      </c>
      <c r="B428" t="s">
        <v>37</v>
      </c>
      <c r="C428">
        <v>11</v>
      </c>
      <c r="D428" s="6" t="s">
        <v>16</v>
      </c>
      <c r="E428">
        <v>94</v>
      </c>
      <c r="F428">
        <v>1.1100000000000001</v>
      </c>
      <c r="G428">
        <v>4</v>
      </c>
      <c r="N428">
        <f t="shared" ref="N428:N458" si="8">((1/3)*(3.14159)*((F428/2)^2)*E428)</f>
        <v>30.320898805500001</v>
      </c>
      <c r="O428">
        <f>IF(AND(OR(D428="S. acutus",D428="S. californicus",D428="S. tabernaemontani"),G428=0),E428*[1]Sheet1!$D$7+[1]Sheet1!$L$7,IF(AND(OR(D428="S. acutus",D428="S. tabernaemontani"),G428&gt;0),E428*[1]Sheet1!$D$8+N428*[1]Sheet1!$E$8,IF(AND(D428="S. californicus",G428&gt;0),E428*[1]Sheet1!$D$9+N428*[1]Sheet1!$E$9,IF(D428="S.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latifolia"),E428&gt;0),F428*[1]Sheet1!$C$4+E428*[1]Sheet1!$D$4+H428*[1]Sheet1!$J$4+I428*[1]Sheet1!$K$4+[1]Sheet1!$L$4,IF(AND(OR(D428="T. domingensis",D428="T. latifolia"),J428&gt;0),J428*[1]Sheet1!$G$5+K428*[1]Sheet1!$H$5+L428*[1]Sheet1!$I$5+[1]Sheet1!$L$5,0)))))))</f>
        <v>4.5960276303460255</v>
      </c>
    </row>
    <row r="429" spans="1:15">
      <c r="A429" s="2">
        <v>40732</v>
      </c>
      <c r="B429" t="s">
        <v>37</v>
      </c>
      <c r="C429">
        <v>11</v>
      </c>
      <c r="D429" s="6" t="s">
        <v>16</v>
      </c>
      <c r="E429">
        <v>187</v>
      </c>
      <c r="F429">
        <v>1.85</v>
      </c>
      <c r="G429">
        <v>5</v>
      </c>
      <c r="N429">
        <f t="shared" si="8"/>
        <v>167.55343016041667</v>
      </c>
      <c r="O429">
        <f>IF(AND(OR(D429="S. acutus",D429="S. californicus",D429="S. tabernaemontani"),G429=0),E429*[1]Sheet1!$D$7+[1]Sheet1!$L$7,IF(AND(OR(D429="S. acutus",D429="S. tabernaemontani"),G429&gt;0),E429*[1]Sheet1!$D$8+N429*[1]Sheet1!$E$8,IF(AND(D429="S. californicus",G429&gt;0),E429*[1]Sheet1!$D$9+N429*[1]Sheet1!$E$9,IF(D429="S.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latifolia"),E429&gt;0),F429*[1]Sheet1!$C$4+E429*[1]Sheet1!$D$4+H429*[1]Sheet1!$J$4+I429*[1]Sheet1!$K$4+[1]Sheet1!$L$4,IF(AND(OR(D429="T. domingensis",D429="T. latifolia"),J429&gt;0),J429*[1]Sheet1!$G$5+K429*[1]Sheet1!$H$5+L429*[1]Sheet1!$I$5+[1]Sheet1!$L$5,0)))))))</f>
        <v>12.59619894925256</v>
      </c>
    </row>
    <row r="430" spans="1:15">
      <c r="A430" s="2">
        <v>40732</v>
      </c>
      <c r="B430" t="s">
        <v>37</v>
      </c>
      <c r="C430">
        <v>11</v>
      </c>
      <c r="D430" s="6" t="s">
        <v>16</v>
      </c>
      <c r="E430">
        <v>201</v>
      </c>
      <c r="F430">
        <v>0.78</v>
      </c>
      <c r="G430">
        <v>5</v>
      </c>
      <c r="N430">
        <f t="shared" si="8"/>
        <v>32.015001212999998</v>
      </c>
      <c r="O430">
        <f>IF(AND(OR(D430="S. acutus",D430="S. californicus",D430="S. tabernaemontani"),G430=0),E430*[1]Sheet1!$D$7+[1]Sheet1!$L$7,IF(AND(OR(D430="S. acutus",D430="S. tabernaemontani"),G430&gt;0),E430*[1]Sheet1!$D$8+N430*[1]Sheet1!$E$8,IF(AND(D430="S. californicus",G430&gt;0),E430*[1]Sheet1!$D$9+N430*[1]Sheet1!$E$9,IF(D430="S.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latifolia"),E430&gt;0),F430*[1]Sheet1!$C$4+E430*[1]Sheet1!$D$4+H430*[1]Sheet1!$J$4+I430*[1]Sheet1!$K$4+[1]Sheet1!$L$4,IF(AND(OR(D430="T. domingensis",D430="T. latifolia"),J430&gt;0),J430*[1]Sheet1!$G$5+K430*[1]Sheet1!$H$5+L430*[1]Sheet1!$I$5+[1]Sheet1!$L$5,0)))))))</f>
        <v>8.770838952559691</v>
      </c>
    </row>
    <row r="431" spans="1:15">
      <c r="A431" s="2">
        <v>40732</v>
      </c>
      <c r="B431" t="s">
        <v>37</v>
      </c>
      <c r="C431">
        <v>11</v>
      </c>
      <c r="D431" s="6" t="s">
        <v>16</v>
      </c>
      <c r="E431">
        <v>233</v>
      </c>
      <c r="F431">
        <v>1.5</v>
      </c>
      <c r="G431">
        <v>0</v>
      </c>
      <c r="N431">
        <f t="shared" si="8"/>
        <v>137.24821312499998</v>
      </c>
      <c r="O431">
        <f>IF(AND(OR(D431="S. acutus",D431="S. californicus",D431="S. tabernaemontani"),G431=0),E431*[1]Sheet1!$D$7+[1]Sheet1!$L$7,IF(AND(OR(D431="S. acutus",D431="S. tabernaemontani"),G431&gt;0),E431*[1]Sheet1!$D$8+N431*[1]Sheet1!$E$8,IF(AND(D431="S. californicus",G431&gt;0),E431*[1]Sheet1!$D$9+N431*[1]Sheet1!$E$9,IF(D431="S.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latifolia"),E431&gt;0),F431*[1]Sheet1!$C$4+E431*[1]Sheet1!$D$4+H431*[1]Sheet1!$J$4+I431*[1]Sheet1!$K$4+[1]Sheet1!$L$4,IF(AND(OR(D431="T. domingensis",D431="T. latifolia"),J431&gt;0),J431*[1]Sheet1!$G$5+K431*[1]Sheet1!$H$5+L431*[1]Sheet1!$I$5+[1]Sheet1!$L$5,0)))))))</f>
        <v>11.743868000000003</v>
      </c>
    </row>
    <row r="432" spans="1:15">
      <c r="A432" s="2">
        <v>40732</v>
      </c>
      <c r="B432" t="s">
        <v>37</v>
      </c>
      <c r="C432">
        <v>11</v>
      </c>
      <c r="D432" s="6" t="s">
        <v>16</v>
      </c>
      <c r="E432">
        <v>234</v>
      </c>
      <c r="F432">
        <v>1.01</v>
      </c>
      <c r="G432">
        <v>6</v>
      </c>
      <c r="N432">
        <f t="shared" si="8"/>
        <v>62.492351200499996</v>
      </c>
      <c r="O432">
        <f>IF(AND(OR(D432="S. acutus",D432="S. californicus",D432="S. tabernaemontani"),G432=0),E432*[1]Sheet1!$D$7+[1]Sheet1!$L$7,IF(AND(OR(D432="S. acutus",D432="S. tabernaemontani"),G432&gt;0),E432*[1]Sheet1!$D$8+N432*[1]Sheet1!$E$8,IF(AND(D432="S. californicus",G432&gt;0),E432*[1]Sheet1!$D$9+N432*[1]Sheet1!$E$9,IF(D432="S.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latifolia"),E432&gt;0),F432*[1]Sheet1!$C$4+E432*[1]Sheet1!$D$4+H432*[1]Sheet1!$J$4+I432*[1]Sheet1!$K$4+[1]Sheet1!$L$4,IF(AND(OR(D432="T. domingensis",D432="T. latifolia"),J432&gt;0),J432*[1]Sheet1!$G$5+K432*[1]Sheet1!$H$5+L432*[1]Sheet1!$I$5+[1]Sheet1!$L$5,0)))))))</f>
        <v>11.022971351772181</v>
      </c>
    </row>
    <row r="433" spans="1:15">
      <c r="A433" s="2">
        <v>40732</v>
      </c>
      <c r="B433" t="s">
        <v>37</v>
      </c>
      <c r="C433">
        <v>11</v>
      </c>
      <c r="D433" s="6" t="s">
        <v>16</v>
      </c>
      <c r="E433">
        <v>239</v>
      </c>
      <c r="F433">
        <v>1.05</v>
      </c>
      <c r="G433">
        <v>6</v>
      </c>
      <c r="N433">
        <f t="shared" si="8"/>
        <v>68.983425918750001</v>
      </c>
      <c r="O433">
        <f>IF(AND(OR(D433="S. acutus",D433="S. californicus",D433="S. tabernaemontani"),G433=0),E433*[1]Sheet1!$D$7+[1]Sheet1!$L$7,IF(AND(OR(D433="S. acutus",D433="S. tabernaemontani"),G433&gt;0),E433*[1]Sheet1!$D$8+N433*[1]Sheet1!$E$8,IF(AND(D433="S. californicus",G433&gt;0),E433*[1]Sheet1!$D$9+N433*[1]Sheet1!$E$9,IF(D433="S.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latifolia"),E433&gt;0),F433*[1]Sheet1!$C$4+E433*[1]Sheet1!$D$4+H433*[1]Sheet1!$J$4+I433*[1]Sheet1!$K$4+[1]Sheet1!$L$4,IF(AND(OR(D433="T. domingensis",D433="T. latifolia"),J433&gt;0),J433*[1]Sheet1!$G$5+K433*[1]Sheet1!$H$5+L433*[1]Sheet1!$I$5+[1]Sheet1!$L$5,0)))))))</f>
        <v>11.424525299667078</v>
      </c>
    </row>
    <row r="434" spans="1:15">
      <c r="A434" s="2">
        <v>40732</v>
      </c>
      <c r="B434" t="s">
        <v>37</v>
      </c>
      <c r="C434">
        <v>11</v>
      </c>
      <c r="D434" s="6" t="s">
        <v>16</v>
      </c>
      <c r="E434">
        <v>257</v>
      </c>
      <c r="F434">
        <v>1.05</v>
      </c>
      <c r="G434">
        <v>0</v>
      </c>
      <c r="N434">
        <f t="shared" si="8"/>
        <v>74.178830381249995</v>
      </c>
      <c r="O434">
        <f>IF(AND(OR(D434="S. acutus",D434="S. californicus",D434="S. tabernaemontani"),G434=0),E434*[1]Sheet1!$D$7+[1]Sheet1!$L$7,IF(AND(OR(D434="S. acutus",D434="S. tabernaemontani"),G434&gt;0),E434*[1]Sheet1!$D$8+N434*[1]Sheet1!$E$8,IF(AND(D434="S. californicus",G434&gt;0),E434*[1]Sheet1!$D$9+N434*[1]Sheet1!$E$9,IF(D434="S.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latifolia"),E434&gt;0),F434*[1]Sheet1!$C$4+E434*[1]Sheet1!$D$4+H434*[1]Sheet1!$J$4+I434*[1]Sheet1!$K$4+[1]Sheet1!$L$4,IF(AND(OR(D434="T. domingensis",D434="T. latifolia"),J434&gt;0),J434*[1]Sheet1!$G$5+K434*[1]Sheet1!$H$5+L434*[1]Sheet1!$I$5+[1]Sheet1!$L$5,0)))))))</f>
        <v>13.426388000000003</v>
      </c>
    </row>
    <row r="435" spans="1:15">
      <c r="A435" s="2">
        <v>40732</v>
      </c>
      <c r="B435" t="s">
        <v>37</v>
      </c>
      <c r="C435">
        <v>11</v>
      </c>
      <c r="D435" s="6" t="s">
        <v>16</v>
      </c>
      <c r="E435">
        <v>258</v>
      </c>
      <c r="F435">
        <v>1.63</v>
      </c>
      <c r="G435">
        <v>4</v>
      </c>
      <c r="N435">
        <f t="shared" si="8"/>
        <v>179.45814512649997</v>
      </c>
      <c r="O435">
        <f>IF(AND(OR(D435="S. acutus",D435="S. californicus",D435="S. tabernaemontani"),G435=0),E435*[1]Sheet1!$D$7+[1]Sheet1!$L$7,IF(AND(OR(D435="S. acutus",D435="S. tabernaemontani"),G435&gt;0),E435*[1]Sheet1!$D$8+N435*[1]Sheet1!$E$8,IF(AND(D435="S. californicus",G435&gt;0),E435*[1]Sheet1!$D$9+N435*[1]Sheet1!$E$9,IF(D435="S.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latifolia"),E435&gt;0),F435*[1]Sheet1!$C$4+E435*[1]Sheet1!$D$4+H435*[1]Sheet1!$J$4+I435*[1]Sheet1!$K$4+[1]Sheet1!$L$4,IF(AND(OR(D435="T. domingensis",D435="T. latifolia"),J435&gt;0),J435*[1]Sheet1!$G$5+K435*[1]Sheet1!$H$5+L435*[1]Sheet1!$I$5+[1]Sheet1!$L$5,0)))))))</f>
        <v>15.713545585403914</v>
      </c>
    </row>
    <row r="436" spans="1:15">
      <c r="A436" s="2">
        <v>40732</v>
      </c>
      <c r="B436" t="s">
        <v>37</v>
      </c>
      <c r="C436">
        <v>11</v>
      </c>
      <c r="D436" s="6" t="s">
        <v>16</v>
      </c>
      <c r="E436">
        <v>265</v>
      </c>
      <c r="F436">
        <v>1.4</v>
      </c>
      <c r="G436">
        <v>0</v>
      </c>
      <c r="N436">
        <f t="shared" si="8"/>
        <v>135.97848716666664</v>
      </c>
      <c r="O436">
        <f>IF(AND(OR(D436="S. acutus",D436="S. californicus",D436="S. tabernaemontani"),G436=0),E436*[1]Sheet1!$D$7+[1]Sheet1!$L$7,IF(AND(OR(D436="S. acutus",D436="S. tabernaemontani"),G436&gt;0),E436*[1]Sheet1!$D$8+N436*[1]Sheet1!$E$8,IF(AND(D436="S. californicus",G436&gt;0),E436*[1]Sheet1!$D$9+N436*[1]Sheet1!$E$9,IF(D436="S.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latifolia"),E436&gt;0),F436*[1]Sheet1!$C$4+E436*[1]Sheet1!$D$4+H436*[1]Sheet1!$J$4+I436*[1]Sheet1!$K$4+[1]Sheet1!$L$4,IF(AND(OR(D436="T. domingensis",D436="T. latifolia"),J436&gt;0),J436*[1]Sheet1!$G$5+K436*[1]Sheet1!$H$5+L436*[1]Sheet1!$I$5+[1]Sheet1!$L$5,0)))))))</f>
        <v>13.987228000000002</v>
      </c>
    </row>
    <row r="437" spans="1:15">
      <c r="A437" s="2">
        <v>40732</v>
      </c>
      <c r="B437" t="s">
        <v>37</v>
      </c>
      <c r="C437">
        <v>11</v>
      </c>
      <c r="D437" s="6" t="s">
        <v>16</v>
      </c>
      <c r="E437">
        <v>266</v>
      </c>
      <c r="F437">
        <v>0.95</v>
      </c>
      <c r="G437">
        <v>0</v>
      </c>
      <c r="N437">
        <f t="shared" si="8"/>
        <v>62.848816945833327</v>
      </c>
      <c r="O437">
        <f>IF(AND(OR(D437="S. acutus",D437="S. californicus",D437="S. tabernaemontani"),G437=0),E437*[1]Sheet1!$D$7+[1]Sheet1!$L$7,IF(AND(OR(D437="S. acutus",D437="S. tabernaemontani"),G437&gt;0),E437*[1]Sheet1!$D$8+N437*[1]Sheet1!$E$8,IF(AND(D437="S. californicus",G437&gt;0),E437*[1]Sheet1!$D$9+N437*[1]Sheet1!$E$9,IF(D437="S.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latifolia"),E437&gt;0),F437*[1]Sheet1!$C$4+E437*[1]Sheet1!$D$4+H437*[1]Sheet1!$J$4+I437*[1]Sheet1!$K$4+[1]Sheet1!$L$4,IF(AND(OR(D437="T. domingensis",D437="T. latifolia"),J437&gt;0),J437*[1]Sheet1!$G$5+K437*[1]Sheet1!$H$5+L437*[1]Sheet1!$I$5+[1]Sheet1!$L$5,0)))))))</f>
        <v>14.057333</v>
      </c>
    </row>
    <row r="438" spans="1:15">
      <c r="A438" s="2">
        <v>40732</v>
      </c>
      <c r="B438" t="s">
        <v>37</v>
      </c>
      <c r="C438">
        <v>11</v>
      </c>
      <c r="D438" s="6" t="s">
        <v>16</v>
      </c>
      <c r="E438">
        <v>266</v>
      </c>
      <c r="F438">
        <v>1.65</v>
      </c>
      <c r="G438">
        <v>0</v>
      </c>
      <c r="N438">
        <f t="shared" si="8"/>
        <v>189.59102951249997</v>
      </c>
      <c r="O438">
        <f>IF(AND(OR(D438="S. acutus",D438="S. californicus",D438="S. tabernaemontani"),G438=0),E438*[1]Sheet1!$D$7+[1]Sheet1!$L$7,IF(AND(OR(D438="S. acutus",D438="S. tabernaemontani"),G438&gt;0),E438*[1]Sheet1!$D$8+N438*[1]Sheet1!$E$8,IF(AND(D438="S. californicus",G438&gt;0),E438*[1]Sheet1!$D$9+N438*[1]Sheet1!$E$9,IF(D438="S.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latifolia"),E438&gt;0),F438*[1]Sheet1!$C$4+E438*[1]Sheet1!$D$4+H438*[1]Sheet1!$J$4+I438*[1]Sheet1!$K$4+[1]Sheet1!$L$4,IF(AND(OR(D438="T. domingensis",D438="T. latifolia"),J438&gt;0),J438*[1]Sheet1!$G$5+K438*[1]Sheet1!$H$5+L438*[1]Sheet1!$I$5+[1]Sheet1!$L$5,0)))))))</f>
        <v>14.057333</v>
      </c>
    </row>
    <row r="439" spans="1:15">
      <c r="A439" s="2">
        <v>40732</v>
      </c>
      <c r="B439" t="s">
        <v>37</v>
      </c>
      <c r="C439">
        <v>11</v>
      </c>
      <c r="D439" s="6" t="s">
        <v>16</v>
      </c>
      <c r="E439">
        <v>269</v>
      </c>
      <c r="F439">
        <v>1.01</v>
      </c>
      <c r="G439">
        <v>7</v>
      </c>
      <c r="N439">
        <f t="shared" si="8"/>
        <v>71.839497747583323</v>
      </c>
      <c r="O439">
        <f>IF(AND(OR(D439="S. acutus",D439="S. californicus",D439="S. tabernaemontani"),G439=0),E439*[1]Sheet1!$D$7+[1]Sheet1!$L$7,IF(AND(OR(D439="S. acutus",D439="S. tabernaemontani"),G439&gt;0),E439*[1]Sheet1!$D$8+N439*[1]Sheet1!$E$8,IF(AND(D439="S. californicus",G439&gt;0),E439*[1]Sheet1!$D$9+N439*[1]Sheet1!$E$9,IF(D439="S.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latifolia"),E439&gt;0),F439*[1]Sheet1!$C$4+E439*[1]Sheet1!$D$4+H439*[1]Sheet1!$J$4+I439*[1]Sheet1!$K$4+[1]Sheet1!$L$4,IF(AND(OR(D439="T. domingensis",D439="T. latifolia"),J439&gt;0),J439*[1]Sheet1!$G$5+K439*[1]Sheet1!$H$5+L439*[1]Sheet1!$I$5+[1]Sheet1!$L$5,0)))))))</f>
        <v>12.671706383020155</v>
      </c>
    </row>
    <row r="440" spans="1:15">
      <c r="A440" s="2">
        <v>40732</v>
      </c>
      <c r="B440" t="s">
        <v>37</v>
      </c>
      <c r="C440">
        <v>11</v>
      </c>
      <c r="D440" s="6" t="s">
        <v>16</v>
      </c>
      <c r="E440">
        <v>272</v>
      </c>
      <c r="F440">
        <v>1.73</v>
      </c>
      <c r="G440">
        <v>7</v>
      </c>
      <c r="N440">
        <f t="shared" si="8"/>
        <v>213.12253344933333</v>
      </c>
      <c r="O440">
        <f>IF(AND(OR(D440="S. acutus",D440="S. californicus",D440="S. tabernaemontani"),G440=0),E440*[1]Sheet1!$D$7+[1]Sheet1!$L$7,IF(AND(OR(D440="S. acutus",D440="S. tabernaemontani"),G440&gt;0),E440*[1]Sheet1!$D$8+N440*[1]Sheet1!$E$8,IF(AND(D440="S. californicus",G440&gt;0),E440*[1]Sheet1!$D$9+N440*[1]Sheet1!$E$9,IF(D440="S.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latifolia"),E440&gt;0),F440*[1]Sheet1!$C$4+E440*[1]Sheet1!$D$4+H440*[1]Sheet1!$J$4+I440*[1]Sheet1!$K$4+[1]Sheet1!$L$4,IF(AND(OR(D440="T. domingensis",D440="T. latifolia"),J440&gt;0),J440*[1]Sheet1!$G$5+K440*[1]Sheet1!$H$5+L440*[1]Sheet1!$I$5+[1]Sheet1!$L$5,0)))))))</f>
        <v>17.336668587348637</v>
      </c>
    </row>
    <row r="441" spans="1:15">
      <c r="A441" s="2">
        <v>40732</v>
      </c>
      <c r="B441" t="s">
        <v>37</v>
      </c>
      <c r="C441">
        <v>11</v>
      </c>
      <c r="D441" s="6" t="s">
        <v>16</v>
      </c>
      <c r="E441">
        <v>278</v>
      </c>
      <c r="F441">
        <v>0.93</v>
      </c>
      <c r="G441">
        <v>7</v>
      </c>
      <c r="N441">
        <f t="shared" si="8"/>
        <v>62.947567591500004</v>
      </c>
      <c r="O441">
        <f>IF(AND(OR(D441="S. acutus",D441="S. californicus",D441="S. tabernaemontani"),G441=0),E441*[1]Sheet1!$D$7+[1]Sheet1!$L$7,IF(AND(OR(D441="S. acutus",D441="S. tabernaemontani"),G441&gt;0),E441*[1]Sheet1!$D$8+N441*[1]Sheet1!$E$8,IF(AND(D441="S. californicus",G441&gt;0),E441*[1]Sheet1!$D$9+N441*[1]Sheet1!$E$9,IF(D441="S.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latifolia"),E441&gt;0),F441*[1]Sheet1!$C$4+E441*[1]Sheet1!$D$4+H441*[1]Sheet1!$J$4+I441*[1]Sheet1!$K$4+[1]Sheet1!$L$4,IF(AND(OR(D441="T. domingensis",D441="T. latifolia"),J441&gt;0),J441*[1]Sheet1!$G$5+K441*[1]Sheet1!$H$5+L441*[1]Sheet1!$I$5+[1]Sheet1!$L$5,0)))))))</f>
        <v>12.731942129257133</v>
      </c>
    </row>
    <row r="442" spans="1:15">
      <c r="A442" s="2">
        <v>40732</v>
      </c>
      <c r="B442" t="s">
        <v>37</v>
      </c>
      <c r="C442">
        <v>11</v>
      </c>
      <c r="D442" s="6" t="s">
        <v>16</v>
      </c>
      <c r="E442">
        <v>279</v>
      </c>
      <c r="F442">
        <v>1.61</v>
      </c>
      <c r="G442">
        <v>0</v>
      </c>
      <c r="N442">
        <f t="shared" si="8"/>
        <v>189.33208395675001</v>
      </c>
      <c r="O442">
        <f>IF(AND(OR(D442="S. acutus",D442="S. californicus",D442="S. tabernaemontani"),G442=0),E442*[1]Sheet1!$D$7+[1]Sheet1!$L$7,IF(AND(OR(D442="S. acutus",D442="S. tabernaemontani"),G442&gt;0),E442*[1]Sheet1!$D$8+N442*[1]Sheet1!$E$8,IF(AND(D442="S. californicus",G442&gt;0),E442*[1]Sheet1!$D$9+N442*[1]Sheet1!$E$9,IF(D442="S.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latifolia"),E442&gt;0),F442*[1]Sheet1!$C$4+E442*[1]Sheet1!$D$4+H442*[1]Sheet1!$J$4+I442*[1]Sheet1!$K$4+[1]Sheet1!$L$4,IF(AND(OR(D442="T. domingensis",D442="T. latifolia"),J442&gt;0),J442*[1]Sheet1!$G$5+K442*[1]Sheet1!$H$5+L442*[1]Sheet1!$I$5+[1]Sheet1!$L$5,0)))))))</f>
        <v>14.968698</v>
      </c>
    </row>
    <row r="443" spans="1:15">
      <c r="A443" s="2">
        <v>40732</v>
      </c>
      <c r="B443" t="s">
        <v>37</v>
      </c>
      <c r="C443">
        <v>11</v>
      </c>
      <c r="D443" s="6" t="s">
        <v>16</v>
      </c>
      <c r="E443">
        <v>280</v>
      </c>
      <c r="F443">
        <v>1.1000000000000001</v>
      </c>
      <c r="G443">
        <v>0</v>
      </c>
      <c r="N443">
        <f t="shared" si="8"/>
        <v>88.697557666666668</v>
      </c>
      <c r="O443">
        <f>IF(AND(OR(D443="S. acutus",D443="S. californicus",D443="S. tabernaemontani"),G443=0),E443*[1]Sheet1!$D$7+[1]Sheet1!$L$7,IF(AND(OR(D443="S. acutus",D443="S. tabernaemontani"),G443&gt;0),E443*[1]Sheet1!$D$8+N443*[1]Sheet1!$E$8,IF(AND(D443="S. californicus",G443&gt;0),E443*[1]Sheet1!$D$9+N443*[1]Sheet1!$E$9,IF(D443="S.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latifolia"),E443&gt;0),F443*[1]Sheet1!$C$4+E443*[1]Sheet1!$D$4+H443*[1]Sheet1!$J$4+I443*[1]Sheet1!$K$4+[1]Sheet1!$L$4,IF(AND(OR(D443="T. domingensis",D443="T. latifolia"),J443&gt;0),J443*[1]Sheet1!$G$5+K443*[1]Sheet1!$H$5+L443*[1]Sheet1!$I$5+[1]Sheet1!$L$5,0)))))))</f>
        <v>15.038803000000001</v>
      </c>
    </row>
    <row r="444" spans="1:15">
      <c r="A444" s="2">
        <v>40732</v>
      </c>
      <c r="B444" t="s">
        <v>37</v>
      </c>
      <c r="C444">
        <v>11</v>
      </c>
      <c r="D444" s="6" t="s">
        <v>16</v>
      </c>
      <c r="E444">
        <v>280</v>
      </c>
      <c r="F444">
        <v>1.8</v>
      </c>
      <c r="G444">
        <v>0</v>
      </c>
      <c r="N444">
        <f t="shared" si="8"/>
        <v>237.50420399999999</v>
      </c>
      <c r="O444">
        <f>IF(AND(OR(D444="S. acutus",D444="S. californicus",D444="S. tabernaemontani"),G444=0),E444*[1]Sheet1!$D$7+[1]Sheet1!$L$7,IF(AND(OR(D444="S. acutus",D444="S. tabernaemontani"),G444&gt;0),E444*[1]Sheet1!$D$8+N444*[1]Sheet1!$E$8,IF(AND(D444="S. californicus",G444&gt;0),E444*[1]Sheet1!$D$9+N444*[1]Sheet1!$E$9,IF(D444="S.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latifolia"),E444&gt;0),F444*[1]Sheet1!$C$4+E444*[1]Sheet1!$D$4+H444*[1]Sheet1!$J$4+I444*[1]Sheet1!$K$4+[1]Sheet1!$L$4,IF(AND(OR(D444="T. domingensis",D444="T. latifolia"),J444&gt;0),J444*[1]Sheet1!$G$5+K444*[1]Sheet1!$H$5+L444*[1]Sheet1!$I$5+[1]Sheet1!$L$5,0)))))))</f>
        <v>15.038803000000001</v>
      </c>
    </row>
    <row r="445" spans="1:15">
      <c r="A445" s="2">
        <v>40732</v>
      </c>
      <c r="B445" t="s">
        <v>37</v>
      </c>
      <c r="C445">
        <v>11</v>
      </c>
      <c r="D445" s="6" t="s">
        <v>16</v>
      </c>
      <c r="E445">
        <v>287</v>
      </c>
      <c r="F445">
        <v>1.9</v>
      </c>
      <c r="G445">
        <v>13</v>
      </c>
      <c r="N445">
        <f t="shared" si="8"/>
        <v>271.24226260833331</v>
      </c>
      <c r="O445">
        <f>IF(AND(OR(D445="S. acutus",D445="S. californicus",D445="S. tabernaemontani"),G445=0),E445*[1]Sheet1!$D$7+[1]Sheet1!$L$7,IF(AND(OR(D445="S. acutus",D445="S. tabernaemontani"),G445&gt;0),E445*[1]Sheet1!$D$8+N445*[1]Sheet1!$E$8,IF(AND(D445="S. californicus",G445&gt;0),E445*[1]Sheet1!$D$9+N445*[1]Sheet1!$E$9,IF(D445="S.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latifolia"),E445&gt;0),F445*[1]Sheet1!$C$4+E445*[1]Sheet1!$D$4+H445*[1]Sheet1!$J$4+I445*[1]Sheet1!$K$4+[1]Sheet1!$L$4,IF(AND(OR(D445="T. domingensis",D445="T. latifolia"),J445&gt;0),J445*[1]Sheet1!$G$5+K445*[1]Sheet1!$H$5+L445*[1]Sheet1!$I$5+[1]Sheet1!$L$5,0)))))))</f>
        <v>19.785782674024681</v>
      </c>
    </row>
    <row r="446" spans="1:15">
      <c r="A446" s="2">
        <v>40732</v>
      </c>
      <c r="B446" t="s">
        <v>37</v>
      </c>
      <c r="C446">
        <v>11</v>
      </c>
      <c r="D446" s="6" t="s">
        <v>16</v>
      </c>
      <c r="E446">
        <v>290</v>
      </c>
      <c r="F446">
        <v>1.69</v>
      </c>
      <c r="G446">
        <v>1</v>
      </c>
      <c r="N446">
        <f t="shared" si="8"/>
        <v>216.84013397583328</v>
      </c>
      <c r="O446">
        <f>IF(AND(OR(D446="S. acutus",D446="S. californicus",D446="S. tabernaemontani"),G446=0),E446*[1]Sheet1!$D$7+[1]Sheet1!$L$7,IF(AND(OR(D446="S. acutus",D446="S. tabernaemontani"),G446&gt;0),E446*[1]Sheet1!$D$8+N446*[1]Sheet1!$E$8,IF(AND(D446="S. californicus",G446&gt;0),E446*[1]Sheet1!$D$9+N446*[1]Sheet1!$E$9,IF(D446="S.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latifolia"),E446&gt;0),F446*[1]Sheet1!$C$4+E446*[1]Sheet1!$D$4+H446*[1]Sheet1!$J$4+I446*[1]Sheet1!$K$4+[1]Sheet1!$L$4,IF(AND(OR(D446="T. domingensis",D446="T. latifolia"),J446&gt;0),J446*[1]Sheet1!$G$5+K446*[1]Sheet1!$H$5+L446*[1]Sheet1!$I$5+[1]Sheet1!$L$5,0)))))))</f>
        <v>18.149506470142409</v>
      </c>
    </row>
    <row r="447" spans="1:15">
      <c r="A447" s="2">
        <v>40732</v>
      </c>
      <c r="B447" t="s">
        <v>37</v>
      </c>
      <c r="C447">
        <v>11</v>
      </c>
      <c r="D447" s="6" t="s">
        <v>16</v>
      </c>
      <c r="E447">
        <v>293</v>
      </c>
      <c r="F447">
        <v>1.22</v>
      </c>
      <c r="G447">
        <v>0</v>
      </c>
      <c r="N447">
        <f t="shared" si="8"/>
        <v>114.17093074233331</v>
      </c>
      <c r="O447">
        <f>IF(AND(OR(D447="S. acutus",D447="S. californicus",D447="S. tabernaemontani"),G447=0),E447*[1]Sheet1!$D$7+[1]Sheet1!$L$7,IF(AND(OR(D447="S. acutus",D447="S. tabernaemontani"),G447&gt;0),E447*[1]Sheet1!$D$8+N447*[1]Sheet1!$E$8,IF(AND(D447="S. californicus",G447&gt;0),E447*[1]Sheet1!$D$9+N447*[1]Sheet1!$E$9,IF(D447="S.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latifolia"),E447&gt;0),F447*[1]Sheet1!$C$4+E447*[1]Sheet1!$D$4+H447*[1]Sheet1!$J$4+I447*[1]Sheet1!$K$4+[1]Sheet1!$L$4,IF(AND(OR(D447="T. domingensis",D447="T. latifolia"),J447&gt;0),J447*[1]Sheet1!$G$5+K447*[1]Sheet1!$H$5+L447*[1]Sheet1!$I$5+[1]Sheet1!$L$5,0)))))))</f>
        <v>15.950168000000001</v>
      </c>
    </row>
    <row r="448" spans="1:15">
      <c r="A448" s="2">
        <v>40732</v>
      </c>
      <c r="B448" t="s">
        <v>37</v>
      </c>
      <c r="C448">
        <v>11</v>
      </c>
      <c r="D448" s="6" t="s">
        <v>16</v>
      </c>
      <c r="E448">
        <v>293</v>
      </c>
      <c r="F448">
        <v>2</v>
      </c>
      <c r="G448">
        <v>6</v>
      </c>
      <c r="N448">
        <f t="shared" si="8"/>
        <v>306.82862333333333</v>
      </c>
      <c r="O448">
        <f>IF(AND(OR(D448="S. acutus",D448="S. californicus",D448="S. tabernaemontani"),G448=0),E448*[1]Sheet1!$D$7+[1]Sheet1!$L$7,IF(AND(OR(D448="S. acutus",D448="S. tabernaemontani"),G448&gt;0),E448*[1]Sheet1!$D$8+N448*[1]Sheet1!$E$8,IF(AND(D448="S. californicus",G448&gt;0),E448*[1]Sheet1!$D$9+N448*[1]Sheet1!$E$9,IF(D448="S.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latifolia"),E448&gt;0),F448*[1]Sheet1!$C$4+E448*[1]Sheet1!$D$4+H448*[1]Sheet1!$J$4+I448*[1]Sheet1!$K$4+[1]Sheet1!$L$4,IF(AND(OR(D448="T. domingensis",D448="T. latifolia"),J448&gt;0),J448*[1]Sheet1!$G$5+K448*[1]Sheet1!$H$5+L448*[1]Sheet1!$I$5+[1]Sheet1!$L$5,0)))))))</f>
        <v>21.162738117094335</v>
      </c>
    </row>
    <row r="449" spans="1:15">
      <c r="A449" s="2">
        <v>40732</v>
      </c>
      <c r="B449" t="s">
        <v>37</v>
      </c>
      <c r="C449">
        <v>11</v>
      </c>
      <c r="D449" s="6" t="s">
        <v>16</v>
      </c>
      <c r="E449">
        <v>295</v>
      </c>
      <c r="F449">
        <v>1.64</v>
      </c>
      <c r="G449">
        <v>13</v>
      </c>
      <c r="N449">
        <f t="shared" si="8"/>
        <v>207.71983640666662</v>
      </c>
      <c r="O449">
        <f>IF(AND(OR(D449="S. acutus",D449="S. californicus",D449="S. tabernaemontani"),G449=0),E449*[1]Sheet1!$D$7+[1]Sheet1!$L$7,IF(AND(OR(D449="S. acutus",D449="S. tabernaemontani"),G449&gt;0),E449*[1]Sheet1!$D$8+N449*[1]Sheet1!$E$8,IF(AND(D449="S. californicus",G449&gt;0),E449*[1]Sheet1!$D$9+N449*[1]Sheet1!$E$9,IF(D449="S.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latifolia"),E449&gt;0),F449*[1]Sheet1!$C$4+E449*[1]Sheet1!$D$4+H449*[1]Sheet1!$J$4+I449*[1]Sheet1!$K$4+[1]Sheet1!$L$4,IF(AND(OR(D449="T. domingensis",D449="T. latifolia"),J449&gt;0),J449*[1]Sheet1!$G$5+K449*[1]Sheet1!$H$5+L449*[1]Sheet1!$I$5+[1]Sheet1!$L$5,0)))))))</f>
        <v>18.04836018014743</v>
      </c>
    </row>
    <row r="450" spans="1:15">
      <c r="A450" s="2">
        <v>40732</v>
      </c>
      <c r="B450" t="s">
        <v>37</v>
      </c>
      <c r="C450">
        <v>11</v>
      </c>
      <c r="D450" s="6" t="s">
        <v>16</v>
      </c>
      <c r="E450">
        <v>307</v>
      </c>
      <c r="F450">
        <v>1.1399999999999999</v>
      </c>
      <c r="G450">
        <v>0</v>
      </c>
      <c r="N450">
        <f t="shared" si="8"/>
        <v>104.45189847899996</v>
      </c>
      <c r="O450">
        <f>IF(AND(OR(D450="S. acutus",D450="S. californicus",D450="S. tabernaemontani"),G450=0),E450*[1]Sheet1!$D$7+[1]Sheet1!$L$7,IF(AND(OR(D450="S. acutus",D450="S. tabernaemontani"),G450&gt;0),E450*[1]Sheet1!$D$8+N450*[1]Sheet1!$E$8,IF(AND(D450="S. californicus",G450&gt;0),E450*[1]Sheet1!$D$9+N450*[1]Sheet1!$E$9,IF(D450="S.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latifolia"),E450&gt;0),F450*[1]Sheet1!$C$4+E450*[1]Sheet1!$D$4+H450*[1]Sheet1!$J$4+I450*[1]Sheet1!$K$4+[1]Sheet1!$L$4,IF(AND(OR(D450="T. domingensis",D450="T. latifolia"),J450&gt;0),J450*[1]Sheet1!$G$5+K450*[1]Sheet1!$H$5+L450*[1]Sheet1!$I$5+[1]Sheet1!$L$5,0)))))))</f>
        <v>16.931638</v>
      </c>
    </row>
    <row r="451" spans="1:15">
      <c r="A451" s="2">
        <v>40732</v>
      </c>
      <c r="B451" t="s">
        <v>37</v>
      </c>
      <c r="C451">
        <v>11</v>
      </c>
      <c r="D451" s="6" t="s">
        <v>16</v>
      </c>
      <c r="E451">
        <v>307</v>
      </c>
      <c r="F451">
        <v>1.32</v>
      </c>
      <c r="G451">
        <v>5</v>
      </c>
      <c r="N451">
        <f t="shared" si="8"/>
        <v>140.040772476</v>
      </c>
      <c r="O451">
        <f>IF(AND(OR(D451="S. acutus",D451="S. californicus",D451="S. tabernaemontani"),G451=0),E451*[1]Sheet1!$D$7+[1]Sheet1!$L$7,IF(AND(OR(D451="S. acutus",D451="S. tabernaemontani"),G451&gt;0),E451*[1]Sheet1!$D$8+N451*[1]Sheet1!$E$8,IF(AND(D451="S. californicus",G451&gt;0),E451*[1]Sheet1!$D$9+N451*[1]Sheet1!$E$9,IF(D451="S.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latifolia"),E451&gt;0),F451*[1]Sheet1!$C$4+E451*[1]Sheet1!$D$4+H451*[1]Sheet1!$J$4+I451*[1]Sheet1!$K$4+[1]Sheet1!$L$4,IF(AND(OR(D451="T. domingensis",D451="T. latifolia"),J451&gt;0),J451*[1]Sheet1!$G$5+K451*[1]Sheet1!$H$5+L451*[1]Sheet1!$I$5+[1]Sheet1!$L$5,0)))))))</f>
        <v>16.331118610422429</v>
      </c>
    </row>
    <row r="452" spans="1:15">
      <c r="A452" s="2">
        <v>40732</v>
      </c>
      <c r="B452" t="s">
        <v>37</v>
      </c>
      <c r="C452">
        <v>11</v>
      </c>
      <c r="D452" s="6" t="s">
        <v>16</v>
      </c>
      <c r="E452">
        <v>309</v>
      </c>
      <c r="F452">
        <v>1.25</v>
      </c>
      <c r="G452">
        <v>10</v>
      </c>
      <c r="N452">
        <f t="shared" si="8"/>
        <v>126.39991015624999</v>
      </c>
      <c r="O452">
        <f>IF(AND(OR(D452="S. acutus",D452="S. californicus",D452="S. tabernaemontani"),G452=0),E452*[1]Sheet1!$D$7+[1]Sheet1!$L$7,IF(AND(OR(D452="S. acutus",D452="S. tabernaemontani"),G452&gt;0),E452*[1]Sheet1!$D$8+N452*[1]Sheet1!$E$8,IF(AND(D452="S. californicus",G452&gt;0),E452*[1]Sheet1!$D$9+N452*[1]Sheet1!$E$9,IF(D452="S.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latifolia"),E452&gt;0),F452*[1]Sheet1!$C$4+E452*[1]Sheet1!$D$4+H452*[1]Sheet1!$J$4+I452*[1]Sheet1!$K$4+[1]Sheet1!$L$4,IF(AND(OR(D452="T. domingensis",D452="T. latifolia"),J452&gt;0),J452*[1]Sheet1!$G$5+K452*[1]Sheet1!$H$5+L452*[1]Sheet1!$I$5+[1]Sheet1!$L$5,0)))))))</f>
        <v>15.968884766950392</v>
      </c>
    </row>
    <row r="453" spans="1:15">
      <c r="A453" s="2">
        <v>40732</v>
      </c>
      <c r="B453" t="s">
        <v>37</v>
      </c>
      <c r="C453">
        <v>11</v>
      </c>
      <c r="D453" s="6" t="s">
        <v>16</v>
      </c>
      <c r="E453">
        <v>313</v>
      </c>
      <c r="F453">
        <v>1.42</v>
      </c>
      <c r="G453">
        <v>2</v>
      </c>
      <c r="N453">
        <f t="shared" si="8"/>
        <v>165.23014581566665</v>
      </c>
      <c r="O453">
        <f>IF(AND(OR(D453="S. acutus",D453="S. californicus",D453="S. tabernaemontani"),G453=0),E453*[1]Sheet1!$D$7+[1]Sheet1!$L$7,IF(AND(OR(D453="S. acutus",D453="S. tabernaemontani"),G453&gt;0),E453*[1]Sheet1!$D$8+N453*[1]Sheet1!$E$8,IF(AND(D453="S. californicus",G453&gt;0),E453*[1]Sheet1!$D$9+N453*[1]Sheet1!$E$9,IF(D453="S.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latifolia"),E453&gt;0),F453*[1]Sheet1!$C$4+E453*[1]Sheet1!$D$4+H453*[1]Sheet1!$J$4+I453*[1]Sheet1!$K$4+[1]Sheet1!$L$4,IF(AND(OR(D453="T. domingensis",D453="T. latifolia"),J453&gt;0),J453*[1]Sheet1!$G$5+K453*[1]Sheet1!$H$5+L453*[1]Sheet1!$I$5+[1]Sheet1!$L$5,0)))))))</f>
        <v>17.373281702395701</v>
      </c>
    </row>
    <row r="454" spans="1:15">
      <c r="A454" s="2">
        <v>40732</v>
      </c>
      <c r="B454" t="s">
        <v>37</v>
      </c>
      <c r="C454">
        <v>11</v>
      </c>
      <c r="D454" s="6" t="s">
        <v>16</v>
      </c>
      <c r="E454">
        <v>314</v>
      </c>
      <c r="F454">
        <v>1.8</v>
      </c>
      <c r="G454">
        <v>14</v>
      </c>
      <c r="N454">
        <f t="shared" si="8"/>
        <v>266.34400019999998</v>
      </c>
      <c r="O454">
        <f>IF(AND(OR(D454="S. acutus",D454="S. californicus",D454="S. tabernaemontani"),G454=0),E454*[1]Sheet1!$D$7+[1]Sheet1!$L$7,IF(AND(OR(D454="S. acutus",D454="S. tabernaemontani"),G454&gt;0),E454*[1]Sheet1!$D$8+N454*[1]Sheet1!$E$8,IF(AND(D454="S. californicus",G454&gt;0),E454*[1]Sheet1!$D$9+N454*[1]Sheet1!$E$9,IF(D454="S.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latifolia"),E454&gt;0),F454*[1]Sheet1!$C$4+E454*[1]Sheet1!$D$4+H454*[1]Sheet1!$J$4+I454*[1]Sheet1!$K$4+[1]Sheet1!$L$4,IF(AND(OR(D454="T. domingensis",D454="T. latifolia"),J454&gt;0),J454*[1]Sheet1!$G$5+K454*[1]Sheet1!$H$5+L454*[1]Sheet1!$I$5+[1]Sheet1!$L$5,0)))))))</f>
        <v>20.667745916040182</v>
      </c>
    </row>
    <row r="455" spans="1:15">
      <c r="A455" s="2">
        <v>40732</v>
      </c>
      <c r="B455" t="s">
        <v>37</v>
      </c>
      <c r="C455">
        <v>11</v>
      </c>
      <c r="D455" s="6" t="s">
        <v>16</v>
      </c>
      <c r="E455">
        <v>316</v>
      </c>
      <c r="F455">
        <v>1.53</v>
      </c>
      <c r="G455">
        <v>8</v>
      </c>
      <c r="N455">
        <f t="shared" si="8"/>
        <v>193.65923148299999</v>
      </c>
      <c r="O455">
        <f>IF(AND(OR(D455="S. acutus",D455="S. californicus",D455="S. tabernaemontani"),G455=0),E455*[1]Sheet1!$D$7+[1]Sheet1!$L$7,IF(AND(OR(D455="S. acutus",D455="S. tabernaemontani"),G455&gt;0),E455*[1]Sheet1!$D$8+N455*[1]Sheet1!$E$8,IF(AND(D455="S. californicus",G455&gt;0),E455*[1]Sheet1!$D$9+N455*[1]Sheet1!$E$9,IF(D455="S.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latifolia"),E455&gt;0),F455*[1]Sheet1!$C$4+E455*[1]Sheet1!$D$4+H455*[1]Sheet1!$J$4+I455*[1]Sheet1!$K$4+[1]Sheet1!$L$4,IF(AND(OR(D455="T. domingensis",D455="T. latifolia"),J455&gt;0),J455*[1]Sheet1!$G$5+K455*[1]Sheet1!$H$5+L455*[1]Sheet1!$I$5+[1]Sheet1!$L$5,0)))))))</f>
        <v>18.404245147060934</v>
      </c>
    </row>
    <row r="456" spans="1:15">
      <c r="A456" s="2">
        <v>40732</v>
      </c>
      <c r="B456" t="s">
        <v>37</v>
      </c>
      <c r="C456">
        <v>11</v>
      </c>
      <c r="D456" s="6" t="s">
        <v>16</v>
      </c>
      <c r="E456">
        <v>319</v>
      </c>
      <c r="F456">
        <v>1.35</v>
      </c>
      <c r="G456">
        <v>11</v>
      </c>
      <c r="N456">
        <f t="shared" si="8"/>
        <v>152.20414501875001</v>
      </c>
      <c r="O456">
        <f>IF(AND(OR(D456="S. acutus",D456="S. californicus",D456="S. tabernaemontani"),G456=0),E456*[1]Sheet1!$D$7+[1]Sheet1!$L$7,IF(AND(OR(D456="S. acutus",D456="S. tabernaemontani"),G456&gt;0),E456*[1]Sheet1!$D$8+N456*[1]Sheet1!$E$8,IF(AND(D456="S. californicus",G456&gt;0),E456*[1]Sheet1!$D$9+N456*[1]Sheet1!$E$9,IF(D456="S.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latifolia"),E456&gt;0),F456*[1]Sheet1!$C$4+E456*[1]Sheet1!$D$4+H456*[1]Sheet1!$J$4+I456*[1]Sheet1!$K$4+[1]Sheet1!$L$4,IF(AND(OR(D456="T. domingensis",D456="T. latifolia"),J456&gt;0),J456*[1]Sheet1!$G$5+K456*[1]Sheet1!$H$5+L456*[1]Sheet1!$I$5+[1]Sheet1!$L$5,0)))))))</f>
        <v>17.18487535333427</v>
      </c>
    </row>
    <row r="457" spans="1:15">
      <c r="A457" s="2">
        <v>40732</v>
      </c>
      <c r="B457" t="s">
        <v>37</v>
      </c>
      <c r="C457">
        <v>11</v>
      </c>
      <c r="D457" s="6" t="s">
        <v>16</v>
      </c>
      <c r="E457">
        <v>340</v>
      </c>
      <c r="F457">
        <v>1.54</v>
      </c>
      <c r="G457">
        <v>11</v>
      </c>
      <c r="N457">
        <f t="shared" si="8"/>
        <v>211.10018724666662</v>
      </c>
      <c r="O457">
        <f>IF(AND(OR(D457="S. acutus",D457="S. californicus",D457="S. tabernaemontani"),G457=0),E457*[1]Sheet1!$D$7+[1]Sheet1!$L$7,IF(AND(OR(D457="S. acutus",D457="S. tabernaemontani"),G457&gt;0),E457*[1]Sheet1!$D$8+N457*[1]Sheet1!$E$8,IF(AND(D457="S. californicus",G457&gt;0),E457*[1]Sheet1!$D$9+N457*[1]Sheet1!$E$9,IF(D457="S.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latifolia"),E457&gt;0),F457*[1]Sheet1!$C$4+E457*[1]Sheet1!$D$4+H457*[1]Sheet1!$J$4+I457*[1]Sheet1!$K$4+[1]Sheet1!$L$4,IF(AND(OR(D457="T. domingensis",D457="T. latifolia"),J457&gt;0),J457*[1]Sheet1!$G$5+K457*[1]Sheet1!$H$5+L457*[1]Sheet1!$I$5+[1]Sheet1!$L$5,0)))))))</f>
        <v>19.890030019511187</v>
      </c>
    </row>
    <row r="458" spans="1:15">
      <c r="A458" s="2">
        <v>40732</v>
      </c>
      <c r="B458" t="s">
        <v>37</v>
      </c>
      <c r="C458">
        <v>11</v>
      </c>
      <c r="D458" s="6" t="s">
        <v>16</v>
      </c>
      <c r="E458">
        <v>340</v>
      </c>
      <c r="F458">
        <v>2.2000000000000002</v>
      </c>
      <c r="G458">
        <v>7</v>
      </c>
      <c r="N458">
        <f t="shared" si="8"/>
        <v>430.81670866666667</v>
      </c>
      <c r="O458">
        <f>IF(AND(OR(D458="S. acutus",D458="S. californicus",D458="S. tabernaemontani"),G458=0),E458*[1]Sheet1!$D$7+[1]Sheet1!$L$7,IF(AND(OR(D458="S. acutus",D458="S. tabernaemontani"),G458&gt;0),E458*[1]Sheet1!$D$8+N458*[1]Sheet1!$E$8,IF(AND(D458="S. californicus",G458&gt;0),E458*[1]Sheet1!$D$9+N458*[1]Sheet1!$E$9,IF(D458="S.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latifolia"),E458&gt;0),F458*[1]Sheet1!$C$4+E458*[1]Sheet1!$D$4+H458*[1]Sheet1!$J$4+I458*[1]Sheet1!$K$4+[1]Sheet1!$L$4,IF(AND(OR(D458="T. domingensis",D458="T. latifolia"),J458&gt;0),J458*[1]Sheet1!$G$5+K458*[1]Sheet1!$H$5+L458*[1]Sheet1!$I$5+[1]Sheet1!$L$5,0)))))))</f>
        <v>26.965099754104468</v>
      </c>
    </row>
    <row r="459" spans="1:15">
      <c r="A459" s="2">
        <v>40732</v>
      </c>
      <c r="B459" t="s">
        <v>37</v>
      </c>
      <c r="C459">
        <v>11</v>
      </c>
      <c r="D459" s="6" t="s">
        <v>19</v>
      </c>
      <c r="E459">
        <v>290</v>
      </c>
      <c r="F459">
        <v>2.25</v>
      </c>
      <c r="H459">
        <v>30</v>
      </c>
      <c r="I459">
        <v>1.2</v>
      </c>
      <c r="O459">
        <f>IF(AND(OR(D459="S. acutus",D459="S. californicus",D459="S. tabernaemontani"),G459=0),E459*[1]Sheet1!$D$7+[1]Sheet1!$L$7,IF(AND(OR(D459="S. acutus",D459="S. tabernaemontani"),G459&gt;0),E459*[1]Sheet1!$D$8+N459*[1]Sheet1!$E$8,IF(AND(D459="S. californicus",G459&gt;0),E459*[1]Sheet1!$D$9+N459*[1]Sheet1!$E$9,IF(D459="S.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latifolia"),E459&gt;0),F459*[1]Sheet1!$C$4+E459*[1]Sheet1!$D$4+H459*[1]Sheet1!$J$4+I459*[1]Sheet1!$K$4+[1]Sheet1!$L$4,IF(AND(OR(D459="T. domingensis",D459="T. latifolia"),J459&gt;0),J459*[1]Sheet1!$G$5+K459*[1]Sheet1!$H$5+L459*[1]Sheet1!$I$5+[1]Sheet1!$L$5,0)))))))</f>
        <v>82.157111850000007</v>
      </c>
    </row>
    <row r="460" spans="1:15">
      <c r="A460" s="2">
        <v>40732</v>
      </c>
      <c r="B460" t="s">
        <v>37</v>
      </c>
      <c r="C460">
        <v>15</v>
      </c>
      <c r="D460" s="6" t="s">
        <v>29</v>
      </c>
      <c r="E460">
        <v>43</v>
      </c>
      <c r="F460">
        <v>0.84</v>
      </c>
      <c r="G460">
        <v>0</v>
      </c>
      <c r="M460" t="s">
        <v>38</v>
      </c>
      <c r="O460">
        <f>IF(AND(OR(D460="S. acutus",D460="S. californicus",D460="S. tabernaemontani"),G460=0),E460*[1]Sheet1!$D$7+[1]Sheet1!$L$7,IF(AND(OR(D460="S. acutus",D460="S. tabernaemontani"),G460&gt;0),E460*[1]Sheet1!$D$8+N460*[1]Sheet1!$E$8,IF(AND(D460="S. californicus",G460&gt;0),E460*[1]Sheet1!$D$9+N460*[1]Sheet1!$E$9,IF(D460="S.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latifolia"),E460&gt;0),F460*[1]Sheet1!$C$4+E460*[1]Sheet1!$D$4+H460*[1]Sheet1!$J$4+I460*[1]Sheet1!$K$4+[1]Sheet1!$L$4,IF(AND(OR(D460="T. domingensis",D460="T. latifolia"),J460&gt;0),J460*[1]Sheet1!$G$5+K460*[1]Sheet1!$H$5+L460*[1]Sheet1!$I$5+[1]Sheet1!$L$5,0)))))))</f>
        <v>1.3604375759999994</v>
      </c>
    </row>
    <row r="461" spans="1:15">
      <c r="A461" s="2">
        <v>40732</v>
      </c>
      <c r="B461" t="s">
        <v>37</v>
      </c>
      <c r="C461">
        <v>15</v>
      </c>
      <c r="D461" s="6" t="s">
        <v>29</v>
      </c>
      <c r="E461">
        <v>75</v>
      </c>
      <c r="F461">
        <v>0.54</v>
      </c>
      <c r="G461">
        <v>0</v>
      </c>
      <c r="M461" t="s">
        <v>38</v>
      </c>
      <c r="O461">
        <f>IF(AND(OR(D461="S. acutus",D461="S. californicus",D461="S. tabernaemontani"),G461=0),E461*[1]Sheet1!$D$7+[1]Sheet1!$L$7,IF(AND(OR(D461="S. acutus",D461="S. tabernaemontani"),G461&gt;0),E461*[1]Sheet1!$D$8+N461*[1]Sheet1!$E$8,IF(AND(D461="S. californicus",G461&gt;0),E461*[1]Sheet1!$D$9+N461*[1]Sheet1!$E$9,IF(D461="S.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latifolia"),E461&gt;0),F461*[1]Sheet1!$C$4+E461*[1]Sheet1!$D$4+H461*[1]Sheet1!$J$4+I461*[1]Sheet1!$K$4+[1]Sheet1!$L$4,IF(AND(OR(D461="T. domingensis",D461="T. latifolia"),J461&gt;0),J461*[1]Sheet1!$G$5+K461*[1]Sheet1!$H$5+L461*[1]Sheet1!$I$5+[1]Sheet1!$L$5,0)))))))</f>
        <v>0.79646730599999982</v>
      </c>
    </row>
    <row r="462" spans="1:15">
      <c r="A462" s="2">
        <v>40732</v>
      </c>
      <c r="B462" t="s">
        <v>37</v>
      </c>
      <c r="C462">
        <v>15</v>
      </c>
      <c r="D462" s="6" t="s">
        <v>29</v>
      </c>
      <c r="E462">
        <v>89</v>
      </c>
      <c r="F462">
        <v>0.2</v>
      </c>
      <c r="G462">
        <v>0</v>
      </c>
      <c r="M462" t="s">
        <v>38</v>
      </c>
      <c r="O462">
        <f>IF(AND(OR(D462="S. acutus",D462="S. californicus",D462="S. tabernaemontani"),G462=0),E462*[1]Sheet1!$D$7+[1]Sheet1!$L$7,IF(AND(OR(D462="S. acutus",D462="S. tabernaemontani"),G462&gt;0),E462*[1]Sheet1!$D$8+N462*[1]Sheet1!$E$8,IF(AND(D462="S. californicus",G462&gt;0),E462*[1]Sheet1!$D$9+N462*[1]Sheet1!$E$9,IF(D462="S.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latifolia"),E462&gt;0),F462*[1]Sheet1!$C$4+E462*[1]Sheet1!$D$4+H462*[1]Sheet1!$J$4+I462*[1]Sheet1!$K$4+[1]Sheet1!$L$4,IF(AND(OR(D462="T. domingensis",D462="T. latifolia"),J462&gt;0),J462*[1]Sheet1!$G$5+K462*[1]Sheet1!$H$5+L462*[1]Sheet1!$I$5+[1]Sheet1!$L$5,0)))))))</f>
        <v>-0.19185592000000051</v>
      </c>
    </row>
    <row r="463" spans="1:15">
      <c r="A463" s="2">
        <v>40732</v>
      </c>
      <c r="B463" t="s">
        <v>37</v>
      </c>
      <c r="C463">
        <v>15</v>
      </c>
      <c r="D463" s="6" t="s">
        <v>29</v>
      </c>
      <c r="E463">
        <v>93</v>
      </c>
      <c r="F463">
        <v>0.24</v>
      </c>
      <c r="G463">
        <v>1</v>
      </c>
      <c r="M463" t="s">
        <v>38</v>
      </c>
      <c r="O463">
        <f>IF(AND(OR(D463="S. acutus",D463="S. californicus",D463="S. tabernaemontani"),G463=0),E463*[1]Sheet1!$D$7+[1]Sheet1!$L$7,IF(AND(OR(D463="S. acutus",D463="S. tabernaemontani"),G463&gt;0),E463*[1]Sheet1!$D$8+N463*[1]Sheet1!$E$8,IF(AND(D463="S. californicus",G463&gt;0),E463*[1]Sheet1!$D$9+N463*[1]Sheet1!$E$9,IF(D463="S.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latifolia"),E463&gt;0),F463*[1]Sheet1!$C$4+E463*[1]Sheet1!$D$4+H463*[1]Sheet1!$J$4+I463*[1]Sheet1!$K$4+[1]Sheet1!$L$4,IF(AND(OR(D463="T. domingensis",D463="T. latifolia"),J463&gt;0),J463*[1]Sheet1!$G$5+K463*[1]Sheet1!$H$5+L463*[1]Sheet1!$I$5+[1]Sheet1!$L$5,0)))))))</f>
        <v>1.2967235999999716E-2</v>
      </c>
    </row>
    <row r="464" spans="1:15">
      <c r="A464" s="2">
        <v>40732</v>
      </c>
      <c r="B464" t="s">
        <v>37</v>
      </c>
      <c r="C464">
        <v>15</v>
      </c>
      <c r="D464" s="6" t="s">
        <v>29</v>
      </c>
      <c r="E464">
        <v>103</v>
      </c>
      <c r="F464">
        <v>0.28000000000000003</v>
      </c>
      <c r="G464">
        <v>0</v>
      </c>
      <c r="M464" t="s">
        <v>38</v>
      </c>
      <c r="O464">
        <f>IF(AND(OR(D464="S. acutus",D464="S. californicus",D464="S. tabernaemontani"),G464=0),E464*[1]Sheet1!$D$7+[1]Sheet1!$L$7,IF(AND(OR(D464="S. acutus",D464="S. tabernaemontani"),G464&gt;0),E464*[1]Sheet1!$D$8+N464*[1]Sheet1!$E$8,IF(AND(D464="S. californicus",G464&gt;0),E464*[1]Sheet1!$D$9+N464*[1]Sheet1!$E$9,IF(D464="S.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latifolia"),E464&gt;0),F464*[1]Sheet1!$C$4+E464*[1]Sheet1!$D$4+H464*[1]Sheet1!$J$4+I464*[1]Sheet1!$K$4+[1]Sheet1!$L$4,IF(AND(OR(D464="T. domingensis",D464="T. latifolia"),J464&gt;0),J464*[1]Sheet1!$G$5+K464*[1]Sheet1!$H$5+L464*[1]Sheet1!$I$5+[1]Sheet1!$L$5,0)))))))</f>
        <v>0.31187459200000012</v>
      </c>
    </row>
    <row r="465" spans="1:15">
      <c r="A465" s="2">
        <v>40732</v>
      </c>
      <c r="B465" t="s">
        <v>37</v>
      </c>
      <c r="C465">
        <v>15</v>
      </c>
      <c r="D465" s="6" t="s">
        <v>29</v>
      </c>
      <c r="E465">
        <v>108</v>
      </c>
      <c r="F465">
        <v>0.51</v>
      </c>
      <c r="G465">
        <v>0</v>
      </c>
      <c r="M465" t="s">
        <v>38</v>
      </c>
      <c r="O465">
        <f>IF(AND(OR(D465="S. acutus",D465="S. californicus",D465="S. tabernaemontani"),G465=0),E465*[1]Sheet1!$D$7+[1]Sheet1!$L$7,IF(AND(OR(D465="S. acutus",D465="S. tabernaemontani"),G465&gt;0),E465*[1]Sheet1!$D$8+N465*[1]Sheet1!$E$8,IF(AND(D465="S. californicus",G465&gt;0),E465*[1]Sheet1!$D$9+N465*[1]Sheet1!$E$9,IF(D465="S.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latifolia"),E465&gt;0),F465*[1]Sheet1!$C$4+E465*[1]Sheet1!$D$4+H465*[1]Sheet1!$J$4+I465*[1]Sheet1!$K$4+[1]Sheet1!$L$4,IF(AND(OR(D465="T. domingensis",D465="T. latifolia"),J465&gt;0),J465*[1]Sheet1!$G$5+K465*[1]Sheet1!$H$5+L465*[1]Sheet1!$I$5+[1]Sheet1!$L$5,0)))))))</f>
        <v>1.2073551389999997</v>
      </c>
    </row>
    <row r="466" spans="1:15">
      <c r="A466" s="2">
        <v>40732</v>
      </c>
      <c r="B466" t="s">
        <v>37</v>
      </c>
      <c r="C466">
        <v>15</v>
      </c>
      <c r="D466" s="6" t="s">
        <v>29</v>
      </c>
      <c r="E466">
        <v>112</v>
      </c>
      <c r="F466">
        <v>0.94</v>
      </c>
      <c r="G466">
        <v>0</v>
      </c>
      <c r="M466" t="s">
        <v>38</v>
      </c>
      <c r="O466">
        <f>IF(AND(OR(D466="S. acutus",D466="S. californicus",D466="S. tabernaemontani"),G466=0),E466*[1]Sheet1!$D$7+[1]Sheet1!$L$7,IF(AND(OR(D466="S. acutus",D466="S. tabernaemontani"),G466&gt;0),E466*[1]Sheet1!$D$8+N466*[1]Sheet1!$E$8,IF(AND(D466="S. californicus",G466&gt;0),E466*[1]Sheet1!$D$9+N466*[1]Sheet1!$E$9,IF(D466="S.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latifolia"),E466&gt;0),F466*[1]Sheet1!$C$4+E466*[1]Sheet1!$D$4+H466*[1]Sheet1!$J$4+I466*[1]Sheet1!$K$4+[1]Sheet1!$L$4,IF(AND(OR(D466="T. domingensis",D466="T. latifolia"),J466&gt;0),J466*[1]Sheet1!$G$5+K466*[1]Sheet1!$H$5+L466*[1]Sheet1!$I$5+[1]Sheet1!$L$5,0)))))))</f>
        <v>2.7976567659999998</v>
      </c>
    </row>
    <row r="467" spans="1:15">
      <c r="A467" s="2">
        <v>40732</v>
      </c>
      <c r="B467" t="s">
        <v>37</v>
      </c>
      <c r="C467">
        <v>15</v>
      </c>
      <c r="D467" s="6" t="s">
        <v>29</v>
      </c>
      <c r="E467">
        <v>114</v>
      </c>
      <c r="F467">
        <v>0.38</v>
      </c>
      <c r="G467">
        <v>0</v>
      </c>
      <c r="M467" t="s">
        <v>38</v>
      </c>
      <c r="O467">
        <f>IF(AND(OR(D467="S. acutus",D467="S. californicus",D467="S. tabernaemontani"),G467=0),E467*[1]Sheet1!$D$7+[1]Sheet1!$L$7,IF(AND(OR(D467="S. acutus",D467="S. tabernaemontani"),G467&gt;0),E467*[1]Sheet1!$D$8+N467*[1]Sheet1!$E$8,IF(AND(D467="S. californicus",G467&gt;0),E467*[1]Sheet1!$D$9+N467*[1]Sheet1!$E$9,IF(D467="S.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latifolia"),E467&gt;0),F467*[1]Sheet1!$C$4+E467*[1]Sheet1!$D$4+H467*[1]Sheet1!$J$4+I467*[1]Sheet1!$K$4+[1]Sheet1!$L$4,IF(AND(OR(D467="T. domingensis",D467="T. latifolia"),J467&gt;0),J467*[1]Sheet1!$G$5+K467*[1]Sheet1!$H$5+L467*[1]Sheet1!$I$5+[1]Sheet1!$L$5,0)))))))</f>
        <v>0.8396131819999999</v>
      </c>
    </row>
    <row r="468" spans="1:15">
      <c r="A468" s="2">
        <v>40732</v>
      </c>
      <c r="B468" t="s">
        <v>37</v>
      </c>
      <c r="C468">
        <v>15</v>
      </c>
      <c r="D468" s="6" t="s">
        <v>29</v>
      </c>
      <c r="E468">
        <v>118</v>
      </c>
      <c r="F468">
        <v>0.37</v>
      </c>
      <c r="G468">
        <v>1</v>
      </c>
      <c r="M468" t="s">
        <v>38</v>
      </c>
      <c r="O468">
        <f>IF(AND(OR(D468="S. acutus",D468="S. californicus",D468="S. tabernaemontani"),G468=0),E468*[1]Sheet1!$D$7+[1]Sheet1!$L$7,IF(AND(OR(D468="S. acutus",D468="S. tabernaemontani"),G468&gt;0),E468*[1]Sheet1!$D$8+N468*[1]Sheet1!$E$8,IF(AND(D468="S. californicus",G468&gt;0),E468*[1]Sheet1!$D$9+N468*[1]Sheet1!$E$9,IF(D468="S.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latifolia"),E468&gt;0),F468*[1]Sheet1!$C$4+E468*[1]Sheet1!$D$4+H468*[1]Sheet1!$J$4+I468*[1]Sheet1!$K$4+[1]Sheet1!$L$4,IF(AND(OR(D468="T. domingensis",D468="T. latifolia"),J468&gt;0),J468*[1]Sheet1!$G$5+K468*[1]Sheet1!$H$5+L468*[1]Sheet1!$I$5+[1]Sheet1!$L$5,0)))))))</f>
        <v>0.8668108929999998</v>
      </c>
    </row>
    <row r="469" spans="1:15">
      <c r="A469" s="2">
        <v>40732</v>
      </c>
      <c r="B469" t="s">
        <v>37</v>
      </c>
      <c r="C469">
        <v>15</v>
      </c>
      <c r="D469" s="6" t="s">
        <v>29</v>
      </c>
      <c r="E469">
        <v>120</v>
      </c>
      <c r="F469">
        <v>0.36</v>
      </c>
      <c r="G469">
        <v>1</v>
      </c>
      <c r="M469" t="s">
        <v>38</v>
      </c>
      <c r="O469">
        <f>IF(AND(OR(D469="S. acutus",D469="S. californicus",D469="S. tabernaemontani"),G469=0),E469*[1]Sheet1!$D$7+[1]Sheet1!$L$7,IF(AND(OR(D469="S. acutus",D469="S. tabernaemontani"),G469&gt;0),E469*[1]Sheet1!$D$8+N469*[1]Sheet1!$E$8,IF(AND(D469="S. californicus",G469&gt;0),E469*[1]Sheet1!$D$9+N469*[1]Sheet1!$E$9,IF(D469="S.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latifolia"),E469&gt;0),F469*[1]Sheet1!$C$4+E469*[1]Sheet1!$D$4+H469*[1]Sheet1!$J$4+I469*[1]Sheet1!$K$4+[1]Sheet1!$L$4,IF(AND(OR(D469="T. domingensis",D469="T. latifolia"),J469&gt;0),J469*[1]Sheet1!$G$5+K469*[1]Sheet1!$H$5+L469*[1]Sheet1!$I$5+[1]Sheet1!$L$5,0)))))))</f>
        <v>0.8626472039999995</v>
      </c>
    </row>
    <row r="470" spans="1:15">
      <c r="A470" s="2">
        <v>40732</v>
      </c>
      <c r="B470" t="s">
        <v>37</v>
      </c>
      <c r="C470">
        <v>15</v>
      </c>
      <c r="D470" s="6" t="s">
        <v>29</v>
      </c>
      <c r="E470">
        <v>120</v>
      </c>
      <c r="F470">
        <v>0.38</v>
      </c>
      <c r="G470">
        <v>0</v>
      </c>
      <c r="M470" t="s">
        <v>38</v>
      </c>
      <c r="O470">
        <f>IF(AND(OR(D470="S. acutus",D470="S. californicus",D470="S. tabernaemontani"),G470=0),E470*[1]Sheet1!$D$7+[1]Sheet1!$L$7,IF(AND(OR(D470="S. acutus",D470="S. tabernaemontani"),G470&gt;0),E470*[1]Sheet1!$D$8+N470*[1]Sheet1!$E$8,IF(AND(D470="S. californicus",G470&gt;0),E470*[1]Sheet1!$D$9+N470*[1]Sheet1!$E$9,IF(D470="S.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latifolia"),E470&gt;0),F470*[1]Sheet1!$C$4+E470*[1]Sheet1!$D$4+H470*[1]Sheet1!$J$4+I470*[1]Sheet1!$K$4+[1]Sheet1!$L$4,IF(AND(OR(D470="T. domingensis",D470="T. latifolia"),J470&gt;0),J470*[1]Sheet1!$G$5+K470*[1]Sheet1!$H$5+L470*[1]Sheet1!$I$5+[1]Sheet1!$L$5,0)))))))</f>
        <v>0.93369738199999963</v>
      </c>
    </row>
    <row r="471" spans="1:15">
      <c r="A471" s="2">
        <v>40732</v>
      </c>
      <c r="B471" t="s">
        <v>37</v>
      </c>
      <c r="C471">
        <v>15</v>
      </c>
      <c r="D471" s="6" t="s">
        <v>29</v>
      </c>
      <c r="E471">
        <v>125</v>
      </c>
      <c r="F471">
        <v>0.52</v>
      </c>
      <c r="G471">
        <v>0</v>
      </c>
      <c r="M471" t="s">
        <v>38</v>
      </c>
      <c r="O471">
        <f>IF(AND(OR(D471="S. acutus",D471="S. californicus",D471="S. tabernaemontani"),G471=0),E471*[1]Sheet1!$D$7+[1]Sheet1!$L$7,IF(AND(OR(D471="S. acutus",D471="S. tabernaemontani"),G471&gt;0),E471*[1]Sheet1!$D$8+N471*[1]Sheet1!$E$8,IF(AND(D471="S. californicus",G471&gt;0),E471*[1]Sheet1!$D$9+N471*[1]Sheet1!$E$9,IF(D471="S.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latifolia"),E471&gt;0),F471*[1]Sheet1!$C$4+E471*[1]Sheet1!$D$4+H471*[1]Sheet1!$J$4+I471*[1]Sheet1!$K$4+[1]Sheet1!$L$4,IF(AND(OR(D471="T. domingensis",D471="T. latifolia"),J471&gt;0),J471*[1]Sheet1!$G$5+K471*[1]Sheet1!$H$5+L471*[1]Sheet1!$I$5+[1]Sheet1!$L$5,0)))))))</f>
        <v>1.5094521279999999</v>
      </c>
    </row>
    <row r="472" spans="1:15">
      <c r="A472" s="2">
        <v>40732</v>
      </c>
      <c r="B472" t="s">
        <v>37</v>
      </c>
      <c r="C472">
        <v>15</v>
      </c>
      <c r="D472" s="6" t="s">
        <v>29</v>
      </c>
      <c r="E472">
        <v>127</v>
      </c>
      <c r="F472">
        <v>0.55000000000000004</v>
      </c>
      <c r="G472">
        <v>1</v>
      </c>
      <c r="M472" t="s">
        <v>38</v>
      </c>
      <c r="O472">
        <f>IF(AND(OR(D472="S. acutus",D472="S. californicus",D472="S. tabernaemontani"),G472=0),E472*[1]Sheet1!$D$7+[1]Sheet1!$L$7,IF(AND(OR(D472="S. acutus",D472="S. tabernaemontani"),G472&gt;0),E472*[1]Sheet1!$D$8+N472*[1]Sheet1!$E$8,IF(AND(D472="S. californicus",G472&gt;0),E472*[1]Sheet1!$D$9+N472*[1]Sheet1!$E$9,IF(D472="S.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latifolia"),E472&gt;0),F472*[1]Sheet1!$C$4+E472*[1]Sheet1!$D$4+H472*[1]Sheet1!$J$4+I472*[1]Sheet1!$K$4+[1]Sheet1!$L$4,IF(AND(OR(D472="T. domingensis",D472="T. latifolia"),J472&gt;0),J472*[1]Sheet1!$G$5+K472*[1]Sheet1!$H$5+L472*[1]Sheet1!$I$5+[1]Sheet1!$L$5,0)))))))</f>
        <v>1.6473887949999999</v>
      </c>
    </row>
    <row r="473" spans="1:15">
      <c r="A473" s="2">
        <v>40732</v>
      </c>
      <c r="B473" t="s">
        <v>37</v>
      </c>
      <c r="C473">
        <v>15</v>
      </c>
      <c r="D473" s="6" t="s">
        <v>29</v>
      </c>
      <c r="E473">
        <v>128</v>
      </c>
      <c r="F473">
        <v>0.67</v>
      </c>
      <c r="G473">
        <v>0</v>
      </c>
      <c r="M473" t="s">
        <v>38</v>
      </c>
      <c r="O473">
        <f>IF(AND(OR(D473="S. acutus",D473="S. californicus",D473="S. tabernaemontani"),G473=0),E473*[1]Sheet1!$D$7+[1]Sheet1!$L$7,IF(AND(OR(D473="S. acutus",D473="S. tabernaemontani"),G473&gt;0),E473*[1]Sheet1!$D$8+N473*[1]Sheet1!$E$8,IF(AND(D473="S. californicus",G473&gt;0),E473*[1]Sheet1!$D$9+N473*[1]Sheet1!$E$9,IF(D473="S.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latifolia"),E473&gt;0),F473*[1]Sheet1!$C$4+E473*[1]Sheet1!$D$4+H473*[1]Sheet1!$J$4+I473*[1]Sheet1!$K$4+[1]Sheet1!$L$4,IF(AND(OR(D473="T. domingensis",D473="T. latifolia"),J473&gt;0),J473*[1]Sheet1!$G$5+K473*[1]Sheet1!$H$5+L473*[1]Sheet1!$I$5+[1]Sheet1!$L$5,0)))))))</f>
        <v>2.0893705629999997</v>
      </c>
    </row>
    <row r="474" spans="1:15">
      <c r="A474" s="2">
        <v>40732</v>
      </c>
      <c r="B474" t="s">
        <v>37</v>
      </c>
      <c r="C474">
        <v>15</v>
      </c>
      <c r="D474" s="6" t="s">
        <v>29</v>
      </c>
      <c r="E474">
        <v>129</v>
      </c>
      <c r="F474">
        <v>0.47</v>
      </c>
      <c r="G474">
        <v>1</v>
      </c>
      <c r="M474" t="s">
        <v>38</v>
      </c>
      <c r="O474">
        <f>IF(AND(OR(D474="S. acutus",D474="S. californicus",D474="S. tabernaemontani"),G474=0),E474*[1]Sheet1!$D$7+[1]Sheet1!$L$7,IF(AND(OR(D474="S. acutus",D474="S. tabernaemontani"),G474&gt;0),E474*[1]Sheet1!$D$8+N474*[1]Sheet1!$E$8,IF(AND(D474="S. californicus",G474&gt;0),E474*[1]Sheet1!$D$9+N474*[1]Sheet1!$E$9,IF(D474="S.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latifolia"),E474&gt;0),F474*[1]Sheet1!$C$4+E474*[1]Sheet1!$D$4+H474*[1]Sheet1!$J$4+I474*[1]Sheet1!$K$4+[1]Sheet1!$L$4,IF(AND(OR(D474="T. domingensis",D474="T. latifolia"),J474&gt;0),J474*[1]Sheet1!$G$5+K474*[1]Sheet1!$H$5+L474*[1]Sheet1!$I$5+[1]Sheet1!$L$5,0)))))))</f>
        <v>1.3945494829999991</v>
      </c>
    </row>
    <row r="475" spans="1:15">
      <c r="A475" s="2">
        <v>40732</v>
      </c>
      <c r="B475" t="s">
        <v>37</v>
      </c>
      <c r="C475">
        <v>15</v>
      </c>
      <c r="D475" s="6" t="s">
        <v>29</v>
      </c>
      <c r="E475">
        <v>130</v>
      </c>
      <c r="F475">
        <v>0.4</v>
      </c>
      <c r="G475">
        <v>0</v>
      </c>
      <c r="M475" t="s">
        <v>38</v>
      </c>
      <c r="O475">
        <f>IF(AND(OR(D475="S. acutus",D475="S. californicus",D475="S. tabernaemontani"),G475=0),E475*[1]Sheet1!$D$7+[1]Sheet1!$L$7,IF(AND(OR(D475="S. acutus",D475="S. tabernaemontani"),G475&gt;0),E475*[1]Sheet1!$D$8+N475*[1]Sheet1!$E$8,IF(AND(D475="S. californicus",G475&gt;0),E475*[1]Sheet1!$D$9+N475*[1]Sheet1!$E$9,IF(D475="S.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latifolia"),E475&gt;0),F475*[1]Sheet1!$C$4+E475*[1]Sheet1!$D$4+H475*[1]Sheet1!$J$4+I475*[1]Sheet1!$K$4+[1]Sheet1!$L$4,IF(AND(OR(D475="T. domingensis",D475="T. latifolia"),J475&gt;0),J475*[1]Sheet1!$G$5+K475*[1]Sheet1!$H$5+L475*[1]Sheet1!$I$5+[1]Sheet1!$L$5,0)))))))</f>
        <v>1.1615545599999999</v>
      </c>
    </row>
    <row r="476" spans="1:15">
      <c r="A476" s="2">
        <v>40732</v>
      </c>
      <c r="B476" t="s">
        <v>37</v>
      </c>
      <c r="C476">
        <v>15</v>
      </c>
      <c r="D476" s="6" t="s">
        <v>29</v>
      </c>
      <c r="E476">
        <v>130</v>
      </c>
      <c r="F476">
        <v>0.45</v>
      </c>
      <c r="G476">
        <v>0</v>
      </c>
      <c r="M476" t="s">
        <v>38</v>
      </c>
      <c r="O476">
        <f>IF(AND(OR(D476="S. acutus",D476="S. californicus",D476="S. tabernaemontani"),G476=0),E476*[1]Sheet1!$D$7+[1]Sheet1!$L$7,IF(AND(OR(D476="S. acutus",D476="S. tabernaemontani"),G476&gt;0),E476*[1]Sheet1!$D$8+N476*[1]Sheet1!$E$8,IF(AND(D476="S. californicus",G476&gt;0),E476*[1]Sheet1!$D$9+N476*[1]Sheet1!$E$9,IF(D476="S.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latifolia"),E476&gt;0),F476*[1]Sheet1!$C$4+E476*[1]Sheet1!$D$4+H476*[1]Sheet1!$J$4+I476*[1]Sheet1!$K$4+[1]Sheet1!$L$4,IF(AND(OR(D476="T. domingensis",D476="T. latifolia"),J476&gt;0),J476*[1]Sheet1!$G$5+K476*[1]Sheet1!$H$5+L476*[1]Sheet1!$I$5+[1]Sheet1!$L$5,0)))))))</f>
        <v>1.3391800049999998</v>
      </c>
    </row>
    <row r="477" spans="1:15">
      <c r="A477" s="2">
        <v>40732</v>
      </c>
      <c r="B477" t="s">
        <v>37</v>
      </c>
      <c r="C477">
        <v>15</v>
      </c>
      <c r="D477" s="6" t="s">
        <v>29</v>
      </c>
      <c r="E477">
        <v>131</v>
      </c>
      <c r="F477">
        <v>0.43</v>
      </c>
      <c r="G477">
        <v>0</v>
      </c>
      <c r="M477" t="s">
        <v>38</v>
      </c>
      <c r="O477">
        <f>IF(AND(OR(D477="S. acutus",D477="S. californicus",D477="S. tabernaemontani"),G477=0),E477*[1]Sheet1!$D$7+[1]Sheet1!$L$7,IF(AND(OR(D477="S. acutus",D477="S. tabernaemontani"),G477&gt;0),E477*[1]Sheet1!$D$8+N477*[1]Sheet1!$E$8,IF(AND(D477="S. californicus",G477&gt;0),E477*[1]Sheet1!$D$9+N477*[1]Sheet1!$E$9,IF(D477="S.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latifolia"),E477&gt;0),F477*[1]Sheet1!$C$4+E477*[1]Sheet1!$D$4+H477*[1]Sheet1!$J$4+I477*[1]Sheet1!$K$4+[1]Sheet1!$L$4,IF(AND(OR(D477="T. domingensis",D477="T. latifolia"),J477&gt;0),J477*[1]Sheet1!$G$5+K477*[1]Sheet1!$H$5+L477*[1]Sheet1!$I$5+[1]Sheet1!$L$5,0)))))))</f>
        <v>1.2838105269999995</v>
      </c>
    </row>
    <row r="478" spans="1:15">
      <c r="A478" s="2">
        <v>40732</v>
      </c>
      <c r="B478" t="s">
        <v>37</v>
      </c>
      <c r="C478">
        <v>15</v>
      </c>
      <c r="D478" s="6" t="s">
        <v>29</v>
      </c>
      <c r="E478">
        <v>133</v>
      </c>
      <c r="F478">
        <v>0.38</v>
      </c>
      <c r="G478">
        <v>0</v>
      </c>
      <c r="M478" t="s">
        <v>38</v>
      </c>
      <c r="O478">
        <f>IF(AND(OR(D478="S. acutus",D478="S. californicus",D478="S. tabernaemontani"),G478=0),E478*[1]Sheet1!$D$7+[1]Sheet1!$L$7,IF(AND(OR(D478="S. acutus",D478="S. tabernaemontani"),G478&gt;0),E478*[1]Sheet1!$D$8+N478*[1]Sheet1!$E$8,IF(AND(D478="S. californicus",G478&gt;0),E478*[1]Sheet1!$D$9+N478*[1]Sheet1!$E$9,IF(D478="S.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latifolia"),E478&gt;0),F478*[1]Sheet1!$C$4+E478*[1]Sheet1!$D$4+H478*[1]Sheet1!$J$4+I478*[1]Sheet1!$K$4+[1]Sheet1!$L$4,IF(AND(OR(D478="T. domingensis",D478="T. latifolia"),J478&gt;0),J478*[1]Sheet1!$G$5+K478*[1]Sheet1!$H$5+L478*[1]Sheet1!$I$5+[1]Sheet1!$L$5,0)))))))</f>
        <v>1.1375464819999999</v>
      </c>
    </row>
    <row r="479" spans="1:15">
      <c r="A479" s="2">
        <v>40732</v>
      </c>
      <c r="B479" t="s">
        <v>37</v>
      </c>
      <c r="C479">
        <v>15</v>
      </c>
      <c r="D479" s="6" t="s">
        <v>29</v>
      </c>
      <c r="E479">
        <v>133</v>
      </c>
      <c r="F479">
        <v>0.45</v>
      </c>
      <c r="G479">
        <v>0</v>
      </c>
      <c r="M479" t="s">
        <v>38</v>
      </c>
      <c r="O479">
        <f>IF(AND(OR(D479="S. acutus",D479="S. californicus",D479="S. tabernaemontani"),G479=0),E479*[1]Sheet1!$D$7+[1]Sheet1!$L$7,IF(AND(OR(D479="S. acutus",D479="S. tabernaemontani"),G479&gt;0),E479*[1]Sheet1!$D$8+N479*[1]Sheet1!$E$8,IF(AND(D479="S. californicus",G479&gt;0),E479*[1]Sheet1!$D$9+N479*[1]Sheet1!$E$9,IF(D479="S.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latifolia"),E479&gt;0),F479*[1]Sheet1!$C$4+E479*[1]Sheet1!$D$4+H479*[1]Sheet1!$J$4+I479*[1]Sheet1!$K$4+[1]Sheet1!$L$4,IF(AND(OR(D479="T. domingensis",D479="T. latifolia"),J479&gt;0),J479*[1]Sheet1!$G$5+K479*[1]Sheet1!$H$5+L479*[1]Sheet1!$I$5+[1]Sheet1!$L$5,0)))))))</f>
        <v>1.3862221049999994</v>
      </c>
    </row>
    <row r="480" spans="1:15">
      <c r="A480" s="2">
        <v>40732</v>
      </c>
      <c r="B480" t="s">
        <v>37</v>
      </c>
      <c r="C480">
        <v>15</v>
      </c>
      <c r="D480" s="6" t="s">
        <v>29</v>
      </c>
      <c r="E480">
        <v>133</v>
      </c>
      <c r="F480">
        <v>0.57999999999999996</v>
      </c>
      <c r="G480">
        <v>0</v>
      </c>
      <c r="M480" t="s">
        <v>38</v>
      </c>
      <c r="O480">
        <f>IF(AND(OR(D480="S. acutus",D480="S. californicus",D480="S. tabernaemontani"),G480=0),E480*[1]Sheet1!$D$7+[1]Sheet1!$L$7,IF(AND(OR(D480="S. acutus",D480="S. tabernaemontani"),G480&gt;0),E480*[1]Sheet1!$D$8+N480*[1]Sheet1!$E$8,IF(AND(D480="S. californicus",G480&gt;0),E480*[1]Sheet1!$D$9+N480*[1]Sheet1!$E$9,IF(D480="S.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latifolia"),E480&gt;0),F480*[1]Sheet1!$C$4+E480*[1]Sheet1!$D$4+H480*[1]Sheet1!$J$4+I480*[1]Sheet1!$K$4+[1]Sheet1!$L$4,IF(AND(OR(D480="T. domingensis",D480="T. latifolia"),J480&gt;0),J480*[1]Sheet1!$G$5+K480*[1]Sheet1!$H$5+L480*[1]Sheet1!$I$5+[1]Sheet1!$L$5,0)))))))</f>
        <v>1.8480482619999994</v>
      </c>
    </row>
    <row r="481" spans="1:15">
      <c r="A481" s="2">
        <v>40732</v>
      </c>
      <c r="B481" t="s">
        <v>37</v>
      </c>
      <c r="C481">
        <v>15</v>
      </c>
      <c r="D481" s="6" t="s">
        <v>29</v>
      </c>
      <c r="E481">
        <v>133</v>
      </c>
      <c r="F481">
        <v>0.59</v>
      </c>
      <c r="G481">
        <v>0</v>
      </c>
      <c r="M481" t="s">
        <v>38</v>
      </c>
      <c r="O481">
        <f>IF(AND(OR(D481="S. acutus",D481="S. californicus",D481="S. tabernaemontani"),G481=0),E481*[1]Sheet1!$D$7+[1]Sheet1!$L$7,IF(AND(OR(D481="S. acutus",D481="S. tabernaemontani"),G481&gt;0),E481*[1]Sheet1!$D$8+N481*[1]Sheet1!$E$8,IF(AND(D481="S. californicus",G481&gt;0),E481*[1]Sheet1!$D$9+N481*[1]Sheet1!$E$9,IF(D481="S.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latifolia"),E481&gt;0),F481*[1]Sheet1!$C$4+E481*[1]Sheet1!$D$4+H481*[1]Sheet1!$J$4+I481*[1]Sheet1!$K$4+[1]Sheet1!$L$4,IF(AND(OR(D481="T. domingensis",D481="T. latifolia"),J481&gt;0),J481*[1]Sheet1!$G$5+K481*[1]Sheet1!$H$5+L481*[1]Sheet1!$I$5+[1]Sheet1!$L$5,0)))))))</f>
        <v>1.8835733509999995</v>
      </c>
    </row>
    <row r="482" spans="1:15">
      <c r="A482" s="2">
        <v>40732</v>
      </c>
      <c r="B482" t="s">
        <v>37</v>
      </c>
      <c r="C482">
        <v>15</v>
      </c>
      <c r="D482" s="6" t="s">
        <v>29</v>
      </c>
      <c r="E482">
        <v>134</v>
      </c>
      <c r="F482">
        <v>0.4</v>
      </c>
      <c r="G482">
        <v>0</v>
      </c>
      <c r="M482" t="s">
        <v>38</v>
      </c>
      <c r="O482">
        <f>IF(AND(OR(D482="S. acutus",D482="S. californicus",D482="S. tabernaemontani"),G482=0),E482*[1]Sheet1!$D$7+[1]Sheet1!$L$7,IF(AND(OR(D482="S. acutus",D482="S. tabernaemontani"),G482&gt;0),E482*[1]Sheet1!$D$8+N482*[1]Sheet1!$E$8,IF(AND(D482="S. californicus",G482&gt;0),E482*[1]Sheet1!$D$9+N482*[1]Sheet1!$E$9,IF(D482="S.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latifolia"),E482&gt;0),F482*[1]Sheet1!$C$4+E482*[1]Sheet1!$D$4+H482*[1]Sheet1!$J$4+I482*[1]Sheet1!$K$4+[1]Sheet1!$L$4,IF(AND(OR(D482="T. domingensis",D482="T. latifolia"),J482&gt;0),J482*[1]Sheet1!$G$5+K482*[1]Sheet1!$H$5+L482*[1]Sheet1!$I$5+[1]Sheet1!$L$5,0)))))))</f>
        <v>1.2242773599999999</v>
      </c>
    </row>
    <row r="483" spans="1:15">
      <c r="A483" s="2">
        <v>40732</v>
      </c>
      <c r="B483" t="s">
        <v>37</v>
      </c>
      <c r="C483">
        <v>15</v>
      </c>
      <c r="D483" s="6" t="s">
        <v>29</v>
      </c>
      <c r="E483">
        <v>134</v>
      </c>
      <c r="F483">
        <v>0.44</v>
      </c>
      <c r="G483">
        <v>0</v>
      </c>
      <c r="M483" t="s">
        <v>38</v>
      </c>
      <c r="O483">
        <f>IF(AND(OR(D483="S. acutus",D483="S. californicus",D483="S. tabernaemontani"),G483=0),E483*[1]Sheet1!$D$7+[1]Sheet1!$L$7,IF(AND(OR(D483="S. acutus",D483="S. tabernaemontani"),G483&gt;0),E483*[1]Sheet1!$D$8+N483*[1]Sheet1!$E$8,IF(AND(D483="S. californicus",G483&gt;0),E483*[1]Sheet1!$D$9+N483*[1]Sheet1!$E$9,IF(D483="S.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latifolia"),E483&gt;0),F483*[1]Sheet1!$C$4+E483*[1]Sheet1!$D$4+H483*[1]Sheet1!$J$4+I483*[1]Sheet1!$K$4+[1]Sheet1!$L$4,IF(AND(OR(D483="T. domingensis",D483="T. latifolia"),J483&gt;0),J483*[1]Sheet1!$G$5+K483*[1]Sheet1!$H$5+L483*[1]Sheet1!$I$5+[1]Sheet1!$L$5,0)))))))</f>
        <v>1.3663777160000001</v>
      </c>
    </row>
    <row r="484" spans="1:15">
      <c r="A484" s="2">
        <v>40732</v>
      </c>
      <c r="B484" t="s">
        <v>37</v>
      </c>
      <c r="C484">
        <v>15</v>
      </c>
      <c r="D484" s="6" t="s">
        <v>29</v>
      </c>
      <c r="E484">
        <v>136</v>
      </c>
      <c r="F484">
        <v>0.38</v>
      </c>
      <c r="G484">
        <v>0</v>
      </c>
      <c r="M484" t="s">
        <v>38</v>
      </c>
      <c r="O484">
        <f>IF(AND(OR(D484="S. acutus",D484="S. californicus",D484="S. tabernaemontani"),G484=0),E484*[1]Sheet1!$D$7+[1]Sheet1!$L$7,IF(AND(OR(D484="S. acutus",D484="S. tabernaemontani"),G484&gt;0),E484*[1]Sheet1!$D$8+N484*[1]Sheet1!$E$8,IF(AND(D484="S. californicus",G484&gt;0),E484*[1]Sheet1!$D$9+N484*[1]Sheet1!$E$9,IF(D484="S.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latifolia"),E484&gt;0),F484*[1]Sheet1!$C$4+E484*[1]Sheet1!$D$4+H484*[1]Sheet1!$J$4+I484*[1]Sheet1!$K$4+[1]Sheet1!$L$4,IF(AND(OR(D484="T. domingensis",D484="T. latifolia"),J484&gt;0),J484*[1]Sheet1!$G$5+K484*[1]Sheet1!$H$5+L484*[1]Sheet1!$I$5+[1]Sheet1!$L$5,0)))))))</f>
        <v>1.1845885819999995</v>
      </c>
    </row>
    <row r="485" spans="1:15">
      <c r="A485" s="2">
        <v>40732</v>
      </c>
      <c r="B485" t="s">
        <v>37</v>
      </c>
      <c r="C485">
        <v>15</v>
      </c>
      <c r="D485" s="6" t="s">
        <v>29</v>
      </c>
      <c r="E485">
        <v>136</v>
      </c>
      <c r="F485">
        <v>0.39</v>
      </c>
      <c r="G485">
        <v>0</v>
      </c>
      <c r="M485" t="s">
        <v>38</v>
      </c>
      <c r="O485">
        <f>IF(AND(OR(D485="S. acutus",D485="S. californicus",D485="S. tabernaemontani"),G485=0),E485*[1]Sheet1!$D$7+[1]Sheet1!$L$7,IF(AND(OR(D485="S. acutus",D485="S. tabernaemontani"),G485&gt;0),E485*[1]Sheet1!$D$8+N485*[1]Sheet1!$E$8,IF(AND(D485="S. californicus",G485&gt;0),E485*[1]Sheet1!$D$9+N485*[1]Sheet1!$E$9,IF(D485="S.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latifolia"),E485&gt;0),F485*[1]Sheet1!$C$4+E485*[1]Sheet1!$D$4+H485*[1]Sheet1!$J$4+I485*[1]Sheet1!$K$4+[1]Sheet1!$L$4,IF(AND(OR(D485="T. domingensis",D485="T. latifolia"),J485&gt;0),J485*[1]Sheet1!$G$5+K485*[1]Sheet1!$H$5+L485*[1]Sheet1!$I$5+[1]Sheet1!$L$5,0)))))))</f>
        <v>1.2201136709999996</v>
      </c>
    </row>
    <row r="486" spans="1:15">
      <c r="A486" s="2">
        <v>40732</v>
      </c>
      <c r="B486" t="s">
        <v>37</v>
      </c>
      <c r="C486">
        <v>15</v>
      </c>
      <c r="D486" s="6" t="s">
        <v>29</v>
      </c>
      <c r="E486">
        <v>137</v>
      </c>
      <c r="F486">
        <v>0.35</v>
      </c>
      <c r="G486">
        <v>0</v>
      </c>
      <c r="M486" t="s">
        <v>38</v>
      </c>
      <c r="O486">
        <f>IF(AND(OR(D486="S. acutus",D486="S. californicus",D486="S. tabernaemontani"),G486=0),E486*[1]Sheet1!$D$7+[1]Sheet1!$L$7,IF(AND(OR(D486="S. acutus",D486="S. tabernaemontani"),G486&gt;0),E486*[1]Sheet1!$D$8+N486*[1]Sheet1!$E$8,IF(AND(D486="S. californicus",G486&gt;0),E486*[1]Sheet1!$D$9+N486*[1]Sheet1!$E$9,IF(D486="S.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latifolia"),E486&gt;0),F486*[1]Sheet1!$C$4+E486*[1]Sheet1!$D$4+H486*[1]Sheet1!$J$4+I486*[1]Sheet1!$K$4+[1]Sheet1!$L$4,IF(AND(OR(D486="T. domingensis",D486="T. latifolia"),J486&gt;0),J486*[1]Sheet1!$G$5+K486*[1]Sheet1!$H$5+L486*[1]Sheet1!$I$5+[1]Sheet1!$L$5,0)))))))</f>
        <v>1.0936940149999992</v>
      </c>
    </row>
    <row r="487" spans="1:15">
      <c r="A487" s="2">
        <v>40732</v>
      </c>
      <c r="B487" t="s">
        <v>37</v>
      </c>
      <c r="C487">
        <v>15</v>
      </c>
      <c r="D487" s="6" t="s">
        <v>29</v>
      </c>
      <c r="E487">
        <v>137</v>
      </c>
      <c r="F487">
        <v>0.43</v>
      </c>
      <c r="G487">
        <v>0</v>
      </c>
      <c r="M487" t="s">
        <v>38</v>
      </c>
      <c r="O487">
        <f>IF(AND(OR(D487="S. acutus",D487="S. californicus",D487="S. tabernaemontani"),G487=0),E487*[1]Sheet1!$D$7+[1]Sheet1!$L$7,IF(AND(OR(D487="S. acutus",D487="S. tabernaemontani"),G487&gt;0),E487*[1]Sheet1!$D$8+N487*[1]Sheet1!$E$8,IF(AND(D487="S. californicus",G487&gt;0),E487*[1]Sheet1!$D$9+N487*[1]Sheet1!$E$9,IF(D487="S.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latifolia"),E487&gt;0),F487*[1]Sheet1!$C$4+E487*[1]Sheet1!$D$4+H487*[1]Sheet1!$J$4+I487*[1]Sheet1!$K$4+[1]Sheet1!$L$4,IF(AND(OR(D487="T. domingensis",D487="T. latifolia"),J487&gt;0),J487*[1]Sheet1!$G$5+K487*[1]Sheet1!$H$5+L487*[1]Sheet1!$I$5+[1]Sheet1!$L$5,0)))))))</f>
        <v>1.3778947269999997</v>
      </c>
    </row>
    <row r="488" spans="1:15">
      <c r="A488" s="2">
        <v>40732</v>
      </c>
      <c r="B488" t="s">
        <v>37</v>
      </c>
      <c r="C488">
        <v>15</v>
      </c>
      <c r="D488" s="6" t="s">
        <v>29</v>
      </c>
      <c r="E488">
        <v>137</v>
      </c>
      <c r="F488">
        <v>0.43</v>
      </c>
      <c r="G488">
        <v>1</v>
      </c>
      <c r="M488" t="s">
        <v>38</v>
      </c>
      <c r="O488">
        <f>IF(AND(OR(D488="S. acutus",D488="S. californicus",D488="S. tabernaemontani"),G488=0),E488*[1]Sheet1!$D$7+[1]Sheet1!$L$7,IF(AND(OR(D488="S. acutus",D488="S. tabernaemontani"),G488&gt;0),E488*[1]Sheet1!$D$8+N488*[1]Sheet1!$E$8,IF(AND(D488="S. californicus",G488&gt;0),E488*[1]Sheet1!$D$9+N488*[1]Sheet1!$E$9,IF(D488="S.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latifolia"),E488&gt;0),F488*[1]Sheet1!$C$4+E488*[1]Sheet1!$D$4+H488*[1]Sheet1!$J$4+I488*[1]Sheet1!$K$4+[1]Sheet1!$L$4,IF(AND(OR(D488="T. domingensis",D488="T. latifolia"),J488&gt;0),J488*[1]Sheet1!$G$5+K488*[1]Sheet1!$H$5+L488*[1]Sheet1!$I$5+[1]Sheet1!$L$5,0)))))))</f>
        <v>1.3778947269999997</v>
      </c>
    </row>
    <row r="489" spans="1:15">
      <c r="A489" s="2">
        <v>40732</v>
      </c>
      <c r="B489" t="s">
        <v>37</v>
      </c>
      <c r="C489">
        <v>15</v>
      </c>
      <c r="D489" s="6" t="s">
        <v>29</v>
      </c>
      <c r="E489">
        <v>138</v>
      </c>
      <c r="F489">
        <v>0.35</v>
      </c>
      <c r="G489">
        <v>0</v>
      </c>
      <c r="M489" t="s">
        <v>38</v>
      </c>
      <c r="O489">
        <f>IF(AND(OR(D489="S. acutus",D489="S. californicus",D489="S. tabernaemontani"),G489=0),E489*[1]Sheet1!$D$7+[1]Sheet1!$L$7,IF(AND(OR(D489="S. acutus",D489="S. tabernaemontani"),G489&gt;0),E489*[1]Sheet1!$D$8+N489*[1]Sheet1!$E$8,IF(AND(D489="S. californicus",G489&gt;0),E489*[1]Sheet1!$D$9+N489*[1]Sheet1!$E$9,IF(D489="S.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latifolia"),E489&gt;0),F489*[1]Sheet1!$C$4+E489*[1]Sheet1!$D$4+H489*[1]Sheet1!$J$4+I489*[1]Sheet1!$K$4+[1]Sheet1!$L$4,IF(AND(OR(D489="T. domingensis",D489="T. latifolia"),J489&gt;0),J489*[1]Sheet1!$G$5+K489*[1]Sheet1!$H$5+L489*[1]Sheet1!$I$5+[1]Sheet1!$L$5,0)))))))</f>
        <v>1.109374715</v>
      </c>
    </row>
    <row r="490" spans="1:15">
      <c r="A490" s="2">
        <v>40732</v>
      </c>
      <c r="B490" t="s">
        <v>37</v>
      </c>
      <c r="C490">
        <v>15</v>
      </c>
      <c r="D490" s="6" t="s">
        <v>29</v>
      </c>
      <c r="E490">
        <v>138</v>
      </c>
      <c r="F490">
        <v>0.51</v>
      </c>
      <c r="G490">
        <v>0</v>
      </c>
      <c r="M490" t="s">
        <v>38</v>
      </c>
      <c r="O490">
        <f>IF(AND(OR(D490="S. acutus",D490="S. californicus",D490="S. tabernaemontani"),G490=0),E490*[1]Sheet1!$D$7+[1]Sheet1!$L$7,IF(AND(OR(D490="S. acutus",D490="S. tabernaemontani"),G490&gt;0),E490*[1]Sheet1!$D$8+N490*[1]Sheet1!$E$8,IF(AND(D490="S. californicus",G490&gt;0),E490*[1]Sheet1!$D$9+N490*[1]Sheet1!$E$9,IF(D490="S.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latifolia"),E490&gt;0),F490*[1]Sheet1!$C$4+E490*[1]Sheet1!$D$4+H490*[1]Sheet1!$J$4+I490*[1]Sheet1!$K$4+[1]Sheet1!$L$4,IF(AND(OR(D490="T. domingensis",D490="T. latifolia"),J490&gt;0),J490*[1]Sheet1!$G$5+K490*[1]Sheet1!$H$5+L490*[1]Sheet1!$I$5+[1]Sheet1!$L$5,0)))))))</f>
        <v>1.6777761390000001</v>
      </c>
    </row>
    <row r="491" spans="1:15">
      <c r="A491" s="2">
        <v>40732</v>
      </c>
      <c r="B491" t="s">
        <v>37</v>
      </c>
      <c r="C491">
        <v>15</v>
      </c>
      <c r="D491" s="6" t="s">
        <v>29</v>
      </c>
      <c r="E491">
        <v>144</v>
      </c>
      <c r="F491">
        <v>0.52</v>
      </c>
      <c r="G491">
        <v>0</v>
      </c>
      <c r="M491" t="s">
        <v>38</v>
      </c>
      <c r="O491">
        <f>IF(AND(OR(D491="S. acutus",D491="S. californicus",D491="S. tabernaemontani"),G491=0),E491*[1]Sheet1!$D$7+[1]Sheet1!$L$7,IF(AND(OR(D491="S. acutus",D491="S. tabernaemontani"),G491&gt;0),E491*[1]Sheet1!$D$8+N491*[1]Sheet1!$E$8,IF(AND(D491="S. californicus",G491&gt;0),E491*[1]Sheet1!$D$9+N491*[1]Sheet1!$E$9,IF(D491="S.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latifolia"),E491&gt;0),F491*[1]Sheet1!$C$4+E491*[1]Sheet1!$D$4+H491*[1]Sheet1!$J$4+I491*[1]Sheet1!$K$4+[1]Sheet1!$L$4,IF(AND(OR(D491="T. domingensis",D491="T. latifolia"),J491&gt;0),J491*[1]Sheet1!$G$5+K491*[1]Sheet1!$H$5+L491*[1]Sheet1!$I$5+[1]Sheet1!$L$5,0)))))))</f>
        <v>1.8073854279999995</v>
      </c>
    </row>
    <row r="492" spans="1:15">
      <c r="A492" s="2">
        <v>40732</v>
      </c>
      <c r="B492" t="s">
        <v>37</v>
      </c>
      <c r="C492">
        <v>15</v>
      </c>
      <c r="D492" s="6" t="s">
        <v>29</v>
      </c>
      <c r="E492">
        <v>144</v>
      </c>
      <c r="F492">
        <v>0.56999999999999995</v>
      </c>
      <c r="G492">
        <v>0</v>
      </c>
      <c r="M492" t="s">
        <v>38</v>
      </c>
      <c r="O492">
        <f>IF(AND(OR(D492="S. acutus",D492="S. californicus",D492="S. tabernaemontani"),G492=0),E492*[1]Sheet1!$D$7+[1]Sheet1!$L$7,IF(AND(OR(D492="S. acutus",D492="S. tabernaemontani"),G492&gt;0),E492*[1]Sheet1!$D$8+N492*[1]Sheet1!$E$8,IF(AND(D492="S. californicus",G492&gt;0),E492*[1]Sheet1!$D$9+N492*[1]Sheet1!$E$9,IF(D492="S.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latifolia"),E492&gt;0),F492*[1]Sheet1!$C$4+E492*[1]Sheet1!$D$4+H492*[1]Sheet1!$J$4+I492*[1]Sheet1!$K$4+[1]Sheet1!$L$4,IF(AND(OR(D492="T. domingensis",D492="T. latifolia"),J492&gt;0),J492*[1]Sheet1!$G$5+K492*[1]Sheet1!$H$5+L492*[1]Sheet1!$I$5+[1]Sheet1!$L$5,0)))))))</f>
        <v>1.9850108729999989</v>
      </c>
    </row>
    <row r="493" spans="1:15">
      <c r="A493" s="2">
        <v>40732</v>
      </c>
      <c r="B493" t="s">
        <v>37</v>
      </c>
      <c r="C493">
        <v>15</v>
      </c>
      <c r="D493" s="6" t="s">
        <v>29</v>
      </c>
      <c r="E493">
        <v>145</v>
      </c>
      <c r="F493">
        <v>0.39</v>
      </c>
      <c r="G493">
        <v>0</v>
      </c>
      <c r="M493" t="s">
        <v>38</v>
      </c>
      <c r="O493">
        <f>IF(AND(OR(D493="S. acutus",D493="S. californicus",D493="S. tabernaemontani"),G493=0),E493*[1]Sheet1!$D$7+[1]Sheet1!$L$7,IF(AND(OR(D493="S. acutus",D493="S. tabernaemontani"),G493&gt;0),E493*[1]Sheet1!$D$8+N493*[1]Sheet1!$E$8,IF(AND(D493="S. californicus",G493&gt;0),E493*[1]Sheet1!$D$9+N493*[1]Sheet1!$E$9,IF(D493="S.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latifolia"),E493&gt;0),F493*[1]Sheet1!$C$4+E493*[1]Sheet1!$D$4+H493*[1]Sheet1!$J$4+I493*[1]Sheet1!$K$4+[1]Sheet1!$L$4,IF(AND(OR(D493="T. domingensis",D493="T. latifolia"),J493&gt;0),J493*[1]Sheet1!$G$5+K493*[1]Sheet1!$H$5+L493*[1]Sheet1!$I$5+[1]Sheet1!$L$5,0)))))))</f>
        <v>1.3612399710000003</v>
      </c>
    </row>
    <row r="494" spans="1:15">
      <c r="A494" s="2">
        <v>40732</v>
      </c>
      <c r="B494" t="s">
        <v>37</v>
      </c>
      <c r="C494">
        <v>15</v>
      </c>
      <c r="D494" s="6" t="s">
        <v>29</v>
      </c>
      <c r="E494">
        <v>146</v>
      </c>
      <c r="F494">
        <v>0.94</v>
      </c>
      <c r="G494">
        <v>0</v>
      </c>
      <c r="M494" t="s">
        <v>38</v>
      </c>
      <c r="O494">
        <f>IF(AND(OR(D494="S. acutus",D494="S. californicus",D494="S. tabernaemontani"),G494=0),E494*[1]Sheet1!$D$7+[1]Sheet1!$L$7,IF(AND(OR(D494="S. acutus",D494="S. tabernaemontani"),G494&gt;0),E494*[1]Sheet1!$D$8+N494*[1]Sheet1!$E$8,IF(AND(D494="S. californicus",G494&gt;0),E494*[1]Sheet1!$D$9+N494*[1]Sheet1!$E$9,IF(D494="S.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latifolia"),E494&gt;0),F494*[1]Sheet1!$C$4+E494*[1]Sheet1!$D$4+H494*[1]Sheet1!$J$4+I494*[1]Sheet1!$K$4+[1]Sheet1!$L$4,IF(AND(OR(D494="T. domingensis",D494="T. latifolia"),J494&gt;0),J494*[1]Sheet1!$G$5+K494*[1]Sheet1!$H$5+L494*[1]Sheet1!$I$5+[1]Sheet1!$L$5,0)))))))</f>
        <v>3.3308005659999993</v>
      </c>
    </row>
    <row r="495" spans="1:15">
      <c r="A495" s="2">
        <v>40732</v>
      </c>
      <c r="B495" t="s">
        <v>37</v>
      </c>
      <c r="C495">
        <v>15</v>
      </c>
      <c r="D495" s="6" t="s">
        <v>29</v>
      </c>
      <c r="E495">
        <v>147</v>
      </c>
      <c r="F495">
        <v>0.4</v>
      </c>
      <c r="G495">
        <v>0</v>
      </c>
      <c r="M495" t="s">
        <v>38</v>
      </c>
      <c r="O495">
        <f>IF(AND(OR(D495="S. acutus",D495="S. californicus",D495="S. tabernaemontani"),G495=0),E495*[1]Sheet1!$D$7+[1]Sheet1!$L$7,IF(AND(OR(D495="S. acutus",D495="S. tabernaemontani"),G495&gt;0),E495*[1]Sheet1!$D$8+N495*[1]Sheet1!$E$8,IF(AND(D495="S. californicus",G495&gt;0),E495*[1]Sheet1!$D$9+N495*[1]Sheet1!$E$9,IF(D495="S.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latifolia"),E495&gt;0),F495*[1]Sheet1!$C$4+E495*[1]Sheet1!$D$4+H495*[1]Sheet1!$J$4+I495*[1]Sheet1!$K$4+[1]Sheet1!$L$4,IF(AND(OR(D495="T. domingensis",D495="T. latifolia"),J495&gt;0),J495*[1]Sheet1!$G$5+K495*[1]Sheet1!$H$5+L495*[1]Sheet1!$I$5+[1]Sheet1!$L$5,0)))))))</f>
        <v>1.4281264599999997</v>
      </c>
    </row>
    <row r="496" spans="1:15">
      <c r="A496" s="2">
        <v>40732</v>
      </c>
      <c r="B496" t="s">
        <v>37</v>
      </c>
      <c r="C496">
        <v>15</v>
      </c>
      <c r="D496" s="6" t="s">
        <v>29</v>
      </c>
      <c r="E496">
        <v>147</v>
      </c>
      <c r="F496">
        <v>0.41</v>
      </c>
      <c r="G496">
        <v>1</v>
      </c>
      <c r="M496" t="s">
        <v>38</v>
      </c>
      <c r="O496">
        <f>IF(AND(OR(D496="S. acutus",D496="S. californicus",D496="S. tabernaemontani"),G496=0),E496*[1]Sheet1!$D$7+[1]Sheet1!$L$7,IF(AND(OR(D496="S. acutus",D496="S. tabernaemontani"),G496&gt;0),E496*[1]Sheet1!$D$8+N496*[1]Sheet1!$E$8,IF(AND(D496="S. californicus",G496&gt;0),E496*[1]Sheet1!$D$9+N496*[1]Sheet1!$E$9,IF(D496="S.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latifolia"),E496&gt;0),F496*[1]Sheet1!$C$4+E496*[1]Sheet1!$D$4+H496*[1]Sheet1!$J$4+I496*[1]Sheet1!$K$4+[1]Sheet1!$L$4,IF(AND(OR(D496="T. domingensis",D496="T. latifolia"),J496&gt;0),J496*[1]Sheet1!$G$5+K496*[1]Sheet1!$H$5+L496*[1]Sheet1!$I$5+[1]Sheet1!$L$5,0)))))))</f>
        <v>1.4636515489999993</v>
      </c>
    </row>
    <row r="497" spans="1:15">
      <c r="A497" s="2">
        <v>40732</v>
      </c>
      <c r="B497" t="s">
        <v>37</v>
      </c>
      <c r="C497">
        <v>15</v>
      </c>
      <c r="D497" s="6" t="s">
        <v>29</v>
      </c>
      <c r="E497">
        <v>147</v>
      </c>
      <c r="F497">
        <v>0.55000000000000004</v>
      </c>
      <c r="G497">
        <v>0</v>
      </c>
      <c r="M497" t="s">
        <v>38</v>
      </c>
      <c r="O497">
        <f>IF(AND(OR(D497="S. acutus",D497="S. californicus",D497="S. tabernaemontani"),G497=0),E497*[1]Sheet1!$D$7+[1]Sheet1!$L$7,IF(AND(OR(D497="S. acutus",D497="S. tabernaemontani"),G497&gt;0),E497*[1]Sheet1!$D$8+N497*[1]Sheet1!$E$8,IF(AND(D497="S. californicus",G497&gt;0),E497*[1]Sheet1!$D$9+N497*[1]Sheet1!$E$9,IF(D497="S.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latifolia"),E497&gt;0),F497*[1]Sheet1!$C$4+E497*[1]Sheet1!$D$4+H497*[1]Sheet1!$J$4+I497*[1]Sheet1!$K$4+[1]Sheet1!$L$4,IF(AND(OR(D497="T. domingensis",D497="T. latifolia"),J497&gt;0),J497*[1]Sheet1!$G$5+K497*[1]Sheet1!$H$5+L497*[1]Sheet1!$I$5+[1]Sheet1!$L$5,0)))))))</f>
        <v>1.9610027949999993</v>
      </c>
    </row>
    <row r="498" spans="1:15">
      <c r="A498" s="2">
        <v>40732</v>
      </c>
      <c r="B498" t="s">
        <v>37</v>
      </c>
      <c r="C498">
        <v>15</v>
      </c>
      <c r="D498" s="6" t="s">
        <v>29</v>
      </c>
      <c r="E498">
        <v>148</v>
      </c>
      <c r="F498">
        <v>0.49</v>
      </c>
      <c r="G498">
        <v>0</v>
      </c>
      <c r="M498" t="s">
        <v>38</v>
      </c>
      <c r="O498">
        <f>IF(AND(OR(D498="S. acutus",D498="S. californicus",D498="S. tabernaemontani"),G498=0),E498*[1]Sheet1!$D$7+[1]Sheet1!$L$7,IF(AND(OR(D498="S. acutus",D498="S. tabernaemontani"),G498&gt;0),E498*[1]Sheet1!$D$8+N498*[1]Sheet1!$E$8,IF(AND(D498="S. californicus",G498&gt;0),E498*[1]Sheet1!$D$9+N498*[1]Sheet1!$E$9,IF(D498="S.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latifolia"),E498&gt;0),F498*[1]Sheet1!$C$4+E498*[1]Sheet1!$D$4+H498*[1]Sheet1!$J$4+I498*[1]Sheet1!$K$4+[1]Sheet1!$L$4,IF(AND(OR(D498="T. domingensis",D498="T. latifolia"),J498&gt;0),J498*[1]Sheet1!$G$5+K498*[1]Sheet1!$H$5+L498*[1]Sheet1!$I$5+[1]Sheet1!$L$5,0)))))))</f>
        <v>1.7635329609999997</v>
      </c>
    </row>
    <row r="499" spans="1:15">
      <c r="A499" s="2">
        <v>40732</v>
      </c>
      <c r="B499" t="s">
        <v>37</v>
      </c>
      <c r="C499">
        <v>15</v>
      </c>
      <c r="D499" s="6" t="s">
        <v>29</v>
      </c>
      <c r="E499">
        <v>148</v>
      </c>
      <c r="F499">
        <v>0.75</v>
      </c>
      <c r="G499">
        <v>0</v>
      </c>
      <c r="M499" t="s">
        <v>38</v>
      </c>
      <c r="O499">
        <f>IF(AND(OR(D499="S. acutus",D499="S. californicus",D499="S. tabernaemontani"),G499=0),E499*[1]Sheet1!$D$7+[1]Sheet1!$L$7,IF(AND(OR(D499="S. acutus",D499="S. tabernaemontani"),G499&gt;0),E499*[1]Sheet1!$D$8+N499*[1]Sheet1!$E$8,IF(AND(D499="S. californicus",G499&gt;0),E499*[1]Sheet1!$D$9+N499*[1]Sheet1!$E$9,IF(D499="S.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latifolia"),E499&gt;0),F499*[1]Sheet1!$C$4+E499*[1]Sheet1!$D$4+H499*[1]Sheet1!$J$4+I499*[1]Sheet1!$K$4+[1]Sheet1!$L$4,IF(AND(OR(D499="T. domingensis",D499="T. latifolia"),J499&gt;0),J499*[1]Sheet1!$G$5+K499*[1]Sheet1!$H$5+L499*[1]Sheet1!$I$5+[1]Sheet1!$L$5,0)))))))</f>
        <v>2.6871852749999996</v>
      </c>
    </row>
    <row r="500" spans="1:15">
      <c r="A500" s="2">
        <v>40732</v>
      </c>
      <c r="B500" t="s">
        <v>37</v>
      </c>
      <c r="C500">
        <v>15</v>
      </c>
      <c r="D500" s="6" t="s">
        <v>29</v>
      </c>
      <c r="E500">
        <v>149</v>
      </c>
      <c r="F500">
        <v>0.49</v>
      </c>
      <c r="G500">
        <v>0</v>
      </c>
      <c r="M500" t="s">
        <v>38</v>
      </c>
      <c r="O500">
        <f>IF(AND(OR(D500="S. acutus",D500="S. californicus",D500="S. tabernaemontani"),G500=0),E500*[1]Sheet1!$D$7+[1]Sheet1!$L$7,IF(AND(OR(D500="S. acutus",D500="S. tabernaemontani"),G500&gt;0),E500*[1]Sheet1!$D$8+N500*[1]Sheet1!$E$8,IF(AND(D500="S. californicus",G500&gt;0),E500*[1]Sheet1!$D$9+N500*[1]Sheet1!$E$9,IF(D500="S.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latifolia"),E500&gt;0),F500*[1]Sheet1!$C$4+E500*[1]Sheet1!$D$4+H500*[1]Sheet1!$J$4+I500*[1]Sheet1!$K$4+[1]Sheet1!$L$4,IF(AND(OR(D500="T. domingensis",D500="T. latifolia"),J500&gt;0),J500*[1]Sheet1!$G$5+K500*[1]Sheet1!$H$5+L500*[1]Sheet1!$I$5+[1]Sheet1!$L$5,0)))))))</f>
        <v>1.7792136609999996</v>
      </c>
    </row>
    <row r="501" spans="1:15">
      <c r="A501" s="2">
        <v>40732</v>
      </c>
      <c r="B501" t="s">
        <v>37</v>
      </c>
      <c r="C501">
        <v>15</v>
      </c>
      <c r="D501" s="6" t="s">
        <v>29</v>
      </c>
      <c r="E501">
        <v>150</v>
      </c>
      <c r="F501">
        <v>0.38</v>
      </c>
      <c r="G501">
        <v>0</v>
      </c>
      <c r="M501" t="s">
        <v>38</v>
      </c>
      <c r="O501">
        <f>IF(AND(OR(D501="S. acutus",D501="S. californicus",D501="S. tabernaemontani"),G501=0),E501*[1]Sheet1!$D$7+[1]Sheet1!$L$7,IF(AND(OR(D501="S. acutus",D501="S. tabernaemontani"),G501&gt;0),E501*[1]Sheet1!$D$8+N501*[1]Sheet1!$E$8,IF(AND(D501="S. californicus",G501&gt;0),E501*[1]Sheet1!$D$9+N501*[1]Sheet1!$E$9,IF(D501="S.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latifolia"),E501&gt;0),F501*[1]Sheet1!$C$4+E501*[1]Sheet1!$D$4+H501*[1]Sheet1!$J$4+I501*[1]Sheet1!$K$4+[1]Sheet1!$L$4,IF(AND(OR(D501="T. domingensis",D501="T. latifolia"),J501&gt;0),J501*[1]Sheet1!$G$5+K501*[1]Sheet1!$H$5+L501*[1]Sheet1!$I$5+[1]Sheet1!$L$5,0)))))))</f>
        <v>1.4041183819999996</v>
      </c>
    </row>
    <row r="502" spans="1:15">
      <c r="A502" s="2">
        <v>40732</v>
      </c>
      <c r="B502" t="s">
        <v>37</v>
      </c>
      <c r="C502">
        <v>15</v>
      </c>
      <c r="D502" s="6" t="s">
        <v>29</v>
      </c>
      <c r="E502">
        <v>150</v>
      </c>
      <c r="F502">
        <v>0.41</v>
      </c>
      <c r="G502">
        <v>0</v>
      </c>
      <c r="M502" t="s">
        <v>38</v>
      </c>
      <c r="O502">
        <f>IF(AND(OR(D502="S. acutus",D502="S. californicus",D502="S. tabernaemontani"),G502=0),E502*[1]Sheet1!$D$7+[1]Sheet1!$L$7,IF(AND(OR(D502="S. acutus",D502="S. tabernaemontani"),G502&gt;0),E502*[1]Sheet1!$D$8+N502*[1]Sheet1!$E$8,IF(AND(D502="S. californicus",G502&gt;0),E502*[1]Sheet1!$D$9+N502*[1]Sheet1!$E$9,IF(D502="S.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latifolia"),E502&gt;0),F502*[1]Sheet1!$C$4+E502*[1]Sheet1!$D$4+H502*[1]Sheet1!$J$4+I502*[1]Sheet1!$K$4+[1]Sheet1!$L$4,IF(AND(OR(D502="T. domingensis",D502="T. latifolia"),J502&gt;0),J502*[1]Sheet1!$G$5+K502*[1]Sheet1!$H$5+L502*[1]Sheet1!$I$5+[1]Sheet1!$L$5,0)))))))</f>
        <v>1.5106936489999998</v>
      </c>
    </row>
    <row r="503" spans="1:15">
      <c r="A503" s="2">
        <v>40732</v>
      </c>
      <c r="B503" t="s">
        <v>37</v>
      </c>
      <c r="C503">
        <v>15</v>
      </c>
      <c r="D503" s="6" t="s">
        <v>29</v>
      </c>
      <c r="E503">
        <v>151</v>
      </c>
      <c r="F503">
        <v>0.48</v>
      </c>
      <c r="G503">
        <v>0</v>
      </c>
      <c r="M503" t="s">
        <v>38</v>
      </c>
      <c r="O503">
        <f>IF(AND(OR(D503="S. acutus",D503="S. californicus",D503="S. tabernaemontani"),G503=0),E503*[1]Sheet1!$D$7+[1]Sheet1!$L$7,IF(AND(OR(D503="S. acutus",D503="S. tabernaemontani"),G503&gt;0),E503*[1]Sheet1!$D$8+N503*[1]Sheet1!$E$8,IF(AND(D503="S. californicus",G503&gt;0),E503*[1]Sheet1!$D$9+N503*[1]Sheet1!$E$9,IF(D503="S.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latifolia"),E503&gt;0),F503*[1]Sheet1!$C$4+E503*[1]Sheet1!$D$4+H503*[1]Sheet1!$J$4+I503*[1]Sheet1!$K$4+[1]Sheet1!$L$4,IF(AND(OR(D503="T. domingensis",D503="T. latifolia"),J503&gt;0),J503*[1]Sheet1!$G$5+K503*[1]Sheet1!$H$5+L503*[1]Sheet1!$I$5+[1]Sheet1!$L$5,0)))))))</f>
        <v>1.7750499719999993</v>
      </c>
    </row>
    <row r="504" spans="1:15">
      <c r="A504" s="2">
        <v>40732</v>
      </c>
      <c r="B504" t="s">
        <v>37</v>
      </c>
      <c r="C504">
        <v>15</v>
      </c>
      <c r="D504" s="6" t="s">
        <v>29</v>
      </c>
      <c r="E504">
        <v>153</v>
      </c>
      <c r="F504">
        <v>0.59</v>
      </c>
      <c r="G504">
        <v>0</v>
      </c>
      <c r="M504" t="s">
        <v>38</v>
      </c>
      <c r="O504">
        <f>IF(AND(OR(D504="S. acutus",D504="S. californicus",D504="S. tabernaemontani"),G504=0),E504*[1]Sheet1!$D$7+[1]Sheet1!$L$7,IF(AND(OR(D504="S. acutus",D504="S. tabernaemontani"),G504&gt;0),E504*[1]Sheet1!$D$8+N504*[1]Sheet1!$E$8,IF(AND(D504="S. californicus",G504&gt;0),E504*[1]Sheet1!$D$9+N504*[1]Sheet1!$E$9,IF(D504="S.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latifolia"),E504&gt;0),F504*[1]Sheet1!$C$4+E504*[1]Sheet1!$D$4+H504*[1]Sheet1!$J$4+I504*[1]Sheet1!$K$4+[1]Sheet1!$L$4,IF(AND(OR(D504="T. domingensis",D504="T. latifolia"),J504&gt;0),J504*[1]Sheet1!$G$5+K504*[1]Sheet1!$H$5+L504*[1]Sheet1!$I$5+[1]Sheet1!$L$5,0)))))))</f>
        <v>2.1971873509999997</v>
      </c>
    </row>
    <row r="505" spans="1:15">
      <c r="A505" s="2">
        <v>40732</v>
      </c>
      <c r="B505" t="s">
        <v>37</v>
      </c>
      <c r="C505">
        <v>15</v>
      </c>
      <c r="D505" s="6" t="s">
        <v>29</v>
      </c>
      <c r="E505">
        <v>154</v>
      </c>
      <c r="F505">
        <v>0.45</v>
      </c>
      <c r="G505">
        <v>3</v>
      </c>
      <c r="M505" t="s">
        <v>38</v>
      </c>
      <c r="O505">
        <f>IF(AND(OR(D505="S. acutus",D505="S. californicus",D505="S. tabernaemontani"),G505=0),E505*[1]Sheet1!$D$7+[1]Sheet1!$L$7,IF(AND(OR(D505="S. acutus",D505="S. tabernaemontani"),G505&gt;0),E505*[1]Sheet1!$D$8+N505*[1]Sheet1!$E$8,IF(AND(D505="S. californicus",G505&gt;0),E505*[1]Sheet1!$D$9+N505*[1]Sheet1!$E$9,IF(D505="S.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latifolia"),E505&gt;0),F505*[1]Sheet1!$C$4+E505*[1]Sheet1!$D$4+H505*[1]Sheet1!$J$4+I505*[1]Sheet1!$K$4+[1]Sheet1!$L$4,IF(AND(OR(D505="T. domingensis",D505="T. latifolia"),J505&gt;0),J505*[1]Sheet1!$G$5+K505*[1]Sheet1!$H$5+L505*[1]Sheet1!$I$5+[1]Sheet1!$L$5,0)))))))</f>
        <v>1.7155168049999996</v>
      </c>
    </row>
    <row r="506" spans="1:15">
      <c r="A506" s="2">
        <v>40732</v>
      </c>
      <c r="B506" t="s">
        <v>37</v>
      </c>
      <c r="C506">
        <v>15</v>
      </c>
      <c r="D506" s="6" t="s">
        <v>29</v>
      </c>
      <c r="E506">
        <v>157</v>
      </c>
      <c r="F506">
        <v>0.43</v>
      </c>
      <c r="G506">
        <v>0</v>
      </c>
      <c r="M506" t="s">
        <v>38</v>
      </c>
      <c r="O506">
        <f>IF(AND(OR(D506="S. acutus",D506="S. californicus",D506="S. tabernaemontani"),G506=0),E506*[1]Sheet1!$D$7+[1]Sheet1!$L$7,IF(AND(OR(D506="S. acutus",D506="S. tabernaemontani"),G506&gt;0),E506*[1]Sheet1!$D$8+N506*[1]Sheet1!$E$8,IF(AND(D506="S. californicus",G506&gt;0),E506*[1]Sheet1!$D$9+N506*[1]Sheet1!$E$9,IF(D506="S.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latifolia"),E506&gt;0),F506*[1]Sheet1!$C$4+E506*[1]Sheet1!$D$4+H506*[1]Sheet1!$J$4+I506*[1]Sheet1!$K$4+[1]Sheet1!$L$4,IF(AND(OR(D506="T. domingensis",D506="T. latifolia"),J506&gt;0),J506*[1]Sheet1!$G$5+K506*[1]Sheet1!$H$5+L506*[1]Sheet1!$I$5+[1]Sheet1!$L$5,0)))))))</f>
        <v>1.691508727</v>
      </c>
    </row>
    <row r="507" spans="1:15">
      <c r="A507" s="2">
        <v>40732</v>
      </c>
      <c r="B507" t="s">
        <v>37</v>
      </c>
      <c r="C507">
        <v>15</v>
      </c>
      <c r="D507" s="6" t="s">
        <v>29</v>
      </c>
      <c r="E507">
        <v>157</v>
      </c>
      <c r="F507">
        <v>0.44</v>
      </c>
      <c r="G507">
        <v>0</v>
      </c>
      <c r="M507" t="s">
        <v>38</v>
      </c>
      <c r="O507">
        <f>IF(AND(OR(D507="S. acutus",D507="S. californicus",D507="S. tabernaemontani"),G507=0),E507*[1]Sheet1!$D$7+[1]Sheet1!$L$7,IF(AND(OR(D507="S. acutus",D507="S. tabernaemontani"),G507&gt;0),E507*[1]Sheet1!$D$8+N507*[1]Sheet1!$E$8,IF(AND(D507="S. californicus",G507&gt;0),E507*[1]Sheet1!$D$9+N507*[1]Sheet1!$E$9,IF(D507="S.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latifolia"),E507&gt;0),F507*[1]Sheet1!$C$4+E507*[1]Sheet1!$D$4+H507*[1]Sheet1!$J$4+I507*[1]Sheet1!$K$4+[1]Sheet1!$L$4,IF(AND(OR(D507="T. domingensis",D507="T. latifolia"),J507&gt;0),J507*[1]Sheet1!$G$5+K507*[1]Sheet1!$H$5+L507*[1]Sheet1!$I$5+[1]Sheet1!$L$5,0)))))))</f>
        <v>1.7270338160000001</v>
      </c>
    </row>
    <row r="508" spans="1:15">
      <c r="A508" s="2">
        <v>40732</v>
      </c>
      <c r="B508" t="s">
        <v>37</v>
      </c>
      <c r="C508">
        <v>15</v>
      </c>
      <c r="D508" s="6" t="s">
        <v>29</v>
      </c>
      <c r="E508">
        <v>158</v>
      </c>
      <c r="F508">
        <v>0.46</v>
      </c>
      <c r="G508">
        <v>0</v>
      </c>
      <c r="M508" t="s">
        <v>38</v>
      </c>
      <c r="O508">
        <f>IF(AND(OR(D508="S. acutus",D508="S. californicus",D508="S. tabernaemontani"),G508=0),E508*[1]Sheet1!$D$7+[1]Sheet1!$L$7,IF(AND(OR(D508="S. acutus",D508="S. tabernaemontani"),G508&gt;0),E508*[1]Sheet1!$D$8+N508*[1]Sheet1!$E$8,IF(AND(D508="S. californicus",G508&gt;0),E508*[1]Sheet1!$D$9+N508*[1]Sheet1!$E$9,IF(D508="S.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latifolia"),E508&gt;0),F508*[1]Sheet1!$C$4+E508*[1]Sheet1!$D$4+H508*[1]Sheet1!$J$4+I508*[1]Sheet1!$K$4+[1]Sheet1!$L$4,IF(AND(OR(D508="T. domingensis",D508="T. latifolia"),J508&gt;0),J508*[1]Sheet1!$G$5+K508*[1]Sheet1!$H$5+L508*[1]Sheet1!$I$5+[1]Sheet1!$L$5,0)))))))</f>
        <v>1.8137646940000001</v>
      </c>
    </row>
    <row r="509" spans="1:15">
      <c r="A509" s="2">
        <v>40732</v>
      </c>
      <c r="B509" t="s">
        <v>37</v>
      </c>
      <c r="C509">
        <v>15</v>
      </c>
      <c r="D509" s="6" t="s">
        <v>29</v>
      </c>
      <c r="E509">
        <v>167</v>
      </c>
      <c r="F509">
        <v>0.41</v>
      </c>
      <c r="G509">
        <v>0</v>
      </c>
      <c r="M509" t="s">
        <v>38</v>
      </c>
      <c r="O509">
        <f>IF(AND(OR(D509="S. acutus",D509="S. californicus",D509="S. tabernaemontani"),G509=0),E509*[1]Sheet1!$D$7+[1]Sheet1!$L$7,IF(AND(OR(D509="S. acutus",D509="S. tabernaemontani"),G509&gt;0),E509*[1]Sheet1!$D$8+N509*[1]Sheet1!$E$8,IF(AND(D509="S. californicus",G509&gt;0),E509*[1]Sheet1!$D$9+N509*[1]Sheet1!$E$9,IF(D509="S.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latifolia"),E509&gt;0),F509*[1]Sheet1!$C$4+E509*[1]Sheet1!$D$4+H509*[1]Sheet1!$J$4+I509*[1]Sheet1!$K$4+[1]Sheet1!$L$4,IF(AND(OR(D509="T. domingensis",D509="T. latifolia"),J509&gt;0),J509*[1]Sheet1!$G$5+K509*[1]Sheet1!$H$5+L509*[1]Sheet1!$I$5+[1]Sheet1!$L$5,0)))))))</f>
        <v>1.7772655489999996</v>
      </c>
    </row>
    <row r="510" spans="1:15">
      <c r="A510" s="2">
        <v>40732</v>
      </c>
      <c r="B510" t="s">
        <v>37</v>
      </c>
      <c r="C510">
        <v>15</v>
      </c>
      <c r="D510" s="6" t="s">
        <v>29</v>
      </c>
      <c r="E510">
        <v>169</v>
      </c>
      <c r="F510">
        <v>0.34</v>
      </c>
      <c r="G510">
        <v>0</v>
      </c>
      <c r="M510" t="s">
        <v>38</v>
      </c>
      <c r="O510">
        <f>IF(AND(OR(D510="S. acutus",D510="S. californicus",D510="S. tabernaemontani"),G510=0),E510*[1]Sheet1!$D$7+[1]Sheet1!$L$7,IF(AND(OR(D510="S. acutus",D510="S. tabernaemontani"),G510&gt;0),E510*[1]Sheet1!$D$8+N510*[1]Sheet1!$E$8,IF(AND(D510="S. californicus",G510&gt;0),E510*[1]Sheet1!$D$9+N510*[1]Sheet1!$E$9,IF(D510="S.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latifolia"),E510&gt;0),F510*[1]Sheet1!$C$4+E510*[1]Sheet1!$D$4+H510*[1]Sheet1!$J$4+I510*[1]Sheet1!$K$4+[1]Sheet1!$L$4,IF(AND(OR(D510="T. domingensis",D510="T. latifolia"),J510&gt;0),J510*[1]Sheet1!$G$5+K510*[1]Sheet1!$H$5+L510*[1]Sheet1!$I$5+[1]Sheet1!$L$5,0)))))))</f>
        <v>1.5599513259999997</v>
      </c>
    </row>
    <row r="511" spans="1:15">
      <c r="A511" s="2">
        <v>40732</v>
      </c>
      <c r="B511" t="s">
        <v>37</v>
      </c>
      <c r="C511">
        <v>15</v>
      </c>
      <c r="D511" s="6" t="s">
        <v>29</v>
      </c>
      <c r="E511">
        <v>174</v>
      </c>
      <c r="F511">
        <v>0.49</v>
      </c>
      <c r="G511">
        <v>0</v>
      </c>
      <c r="M511" t="s">
        <v>38</v>
      </c>
      <c r="O511">
        <f>IF(AND(OR(D511="S. acutus",D511="S. californicus",D511="S. tabernaemontani"),G511=0),E511*[1]Sheet1!$D$7+[1]Sheet1!$L$7,IF(AND(OR(D511="S. acutus",D511="S. tabernaemontani"),G511&gt;0),E511*[1]Sheet1!$D$8+N511*[1]Sheet1!$E$8,IF(AND(D511="S. californicus",G511&gt;0),E511*[1]Sheet1!$D$9+N511*[1]Sheet1!$E$9,IF(D511="S.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latifolia"),E511&gt;0),F511*[1]Sheet1!$C$4+E511*[1]Sheet1!$D$4+H511*[1]Sheet1!$J$4+I511*[1]Sheet1!$K$4+[1]Sheet1!$L$4,IF(AND(OR(D511="T. domingensis",D511="T. latifolia"),J511&gt;0),J511*[1]Sheet1!$G$5+K511*[1]Sheet1!$H$5+L511*[1]Sheet1!$I$5+[1]Sheet1!$L$5,0)))))))</f>
        <v>2.1712311609999992</v>
      </c>
    </row>
    <row r="512" spans="1:15">
      <c r="A512" s="2">
        <v>40732</v>
      </c>
      <c r="B512" t="s">
        <v>37</v>
      </c>
      <c r="C512">
        <v>15</v>
      </c>
      <c r="D512" s="6" t="s">
        <v>29</v>
      </c>
      <c r="E512">
        <v>175</v>
      </c>
      <c r="F512">
        <v>0.38</v>
      </c>
      <c r="G512">
        <v>1</v>
      </c>
      <c r="M512" t="s">
        <v>38</v>
      </c>
      <c r="O512">
        <f>IF(AND(OR(D512="S. acutus",D512="S. californicus",D512="S. tabernaemontani"),G512=0),E512*[1]Sheet1!$D$7+[1]Sheet1!$L$7,IF(AND(OR(D512="S. acutus",D512="S. tabernaemontani"),G512&gt;0),E512*[1]Sheet1!$D$8+N512*[1]Sheet1!$E$8,IF(AND(D512="S. californicus",G512&gt;0),E512*[1]Sheet1!$D$9+N512*[1]Sheet1!$E$9,IF(D512="S.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latifolia"),E512&gt;0),F512*[1]Sheet1!$C$4+E512*[1]Sheet1!$D$4+H512*[1]Sheet1!$J$4+I512*[1]Sheet1!$K$4+[1]Sheet1!$L$4,IF(AND(OR(D512="T. domingensis",D512="T. latifolia"),J512&gt;0),J512*[1]Sheet1!$G$5+K512*[1]Sheet1!$H$5+L512*[1]Sheet1!$I$5+[1]Sheet1!$L$5,0)))))))</f>
        <v>1.7961358819999993</v>
      </c>
    </row>
    <row r="513" spans="1:15">
      <c r="A513" s="2">
        <v>40732</v>
      </c>
      <c r="B513" t="s">
        <v>37</v>
      </c>
      <c r="C513">
        <v>15</v>
      </c>
      <c r="D513" s="6" t="s">
        <v>29</v>
      </c>
      <c r="E513">
        <v>179</v>
      </c>
      <c r="F513">
        <v>0.57999999999999996</v>
      </c>
      <c r="G513">
        <v>0</v>
      </c>
      <c r="M513" t="s">
        <v>38</v>
      </c>
      <c r="O513">
        <f>IF(AND(OR(D513="S. acutus",D513="S. californicus",D513="S. tabernaemontani"),G513=0),E513*[1]Sheet1!$D$7+[1]Sheet1!$L$7,IF(AND(OR(D513="S. acutus",D513="S. tabernaemontani"),G513&gt;0),E513*[1]Sheet1!$D$8+N513*[1]Sheet1!$E$8,IF(AND(D513="S. californicus",G513&gt;0),E513*[1]Sheet1!$D$9+N513*[1]Sheet1!$E$9,IF(D513="S.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latifolia"),E513&gt;0),F513*[1]Sheet1!$C$4+E513*[1]Sheet1!$D$4+H513*[1]Sheet1!$J$4+I513*[1]Sheet1!$K$4+[1]Sheet1!$L$4,IF(AND(OR(D513="T. domingensis",D513="T. latifolia"),J513&gt;0),J513*[1]Sheet1!$G$5+K513*[1]Sheet1!$H$5+L513*[1]Sheet1!$I$5+[1]Sheet1!$L$5,0)))))))</f>
        <v>2.5693604619999992</v>
      </c>
    </row>
    <row r="514" spans="1:15">
      <c r="A514" s="2">
        <v>40732</v>
      </c>
      <c r="B514" t="s">
        <v>37</v>
      </c>
      <c r="C514">
        <v>15</v>
      </c>
      <c r="D514" s="6" t="s">
        <v>29</v>
      </c>
      <c r="E514">
        <v>181</v>
      </c>
      <c r="F514">
        <v>0.57999999999999996</v>
      </c>
      <c r="G514">
        <v>0</v>
      </c>
      <c r="M514" t="s">
        <v>38</v>
      </c>
      <c r="O514">
        <f>IF(AND(OR(D514="S. acutus",D514="S. californicus",D514="S. tabernaemontani"),G514=0),E514*[1]Sheet1!$D$7+[1]Sheet1!$L$7,IF(AND(OR(D514="S. acutus",D514="S. tabernaemontani"),G514&gt;0),E514*[1]Sheet1!$D$8+N514*[1]Sheet1!$E$8,IF(AND(D514="S. californicus",G514&gt;0),E514*[1]Sheet1!$D$9+N514*[1]Sheet1!$E$9,IF(D514="S.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latifolia"),E514&gt;0),F514*[1]Sheet1!$C$4+E514*[1]Sheet1!$D$4+H514*[1]Sheet1!$J$4+I514*[1]Sheet1!$K$4+[1]Sheet1!$L$4,IF(AND(OR(D514="T. domingensis",D514="T. latifolia"),J514&gt;0),J514*[1]Sheet1!$G$5+K514*[1]Sheet1!$H$5+L514*[1]Sheet1!$I$5+[1]Sheet1!$L$5,0)))))))</f>
        <v>2.600721861999999</v>
      </c>
    </row>
    <row r="515" spans="1:15">
      <c r="A515" s="2">
        <v>40732</v>
      </c>
      <c r="B515" t="s">
        <v>37</v>
      </c>
      <c r="C515">
        <v>15</v>
      </c>
      <c r="D515" s="6" t="s">
        <v>29</v>
      </c>
      <c r="E515">
        <v>181</v>
      </c>
      <c r="F515">
        <v>0.61</v>
      </c>
      <c r="G515">
        <v>0</v>
      </c>
      <c r="M515" t="s">
        <v>38</v>
      </c>
      <c r="O515">
        <f>IF(AND(OR(D515="S. acutus",D515="S. californicus",D515="S. tabernaemontani"),G515=0),E515*[1]Sheet1!$D$7+[1]Sheet1!$L$7,IF(AND(OR(D515="S. acutus",D515="S. tabernaemontani"),G515&gt;0),E515*[1]Sheet1!$D$8+N515*[1]Sheet1!$E$8,IF(AND(D515="S. californicus",G515&gt;0),E515*[1]Sheet1!$D$9+N515*[1]Sheet1!$E$9,IF(D515="S.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latifolia"),E515&gt;0),F515*[1]Sheet1!$C$4+E515*[1]Sheet1!$D$4+H515*[1]Sheet1!$J$4+I515*[1]Sheet1!$K$4+[1]Sheet1!$L$4,IF(AND(OR(D515="T. domingensis",D515="T. latifolia"),J515&gt;0),J515*[1]Sheet1!$G$5+K515*[1]Sheet1!$H$5+L515*[1]Sheet1!$I$5+[1]Sheet1!$L$5,0)))))))</f>
        <v>2.7072971289999992</v>
      </c>
    </row>
    <row r="516" spans="1:15">
      <c r="A516" s="2">
        <v>40732</v>
      </c>
      <c r="B516" t="s">
        <v>37</v>
      </c>
      <c r="C516">
        <v>15</v>
      </c>
      <c r="D516" s="6" t="s">
        <v>29</v>
      </c>
      <c r="E516">
        <v>184</v>
      </c>
      <c r="F516">
        <v>1.01</v>
      </c>
      <c r="G516">
        <v>0</v>
      </c>
      <c r="M516" t="s">
        <v>38</v>
      </c>
      <c r="O516">
        <f>IF(AND(OR(D516="S. acutus",D516="S. californicus",D516="S. tabernaemontani"),G516=0),E516*[1]Sheet1!$D$7+[1]Sheet1!$L$7,IF(AND(OR(D516="S. acutus",D516="S. tabernaemontani"),G516&gt;0),E516*[1]Sheet1!$D$8+N516*[1]Sheet1!$E$8,IF(AND(D516="S. californicus",G516&gt;0),E516*[1]Sheet1!$D$9+N516*[1]Sheet1!$E$9,IF(D516="S.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latifolia"),E516&gt;0),F516*[1]Sheet1!$C$4+E516*[1]Sheet1!$D$4+H516*[1]Sheet1!$J$4+I516*[1]Sheet1!$K$4+[1]Sheet1!$L$4,IF(AND(OR(D516="T. domingensis",D516="T. latifolia"),J516&gt;0),J516*[1]Sheet1!$G$5+K516*[1]Sheet1!$H$5+L516*[1]Sheet1!$I$5+[1]Sheet1!$L$5,0)))))))</f>
        <v>4.1753427890000001</v>
      </c>
    </row>
    <row r="517" spans="1:15">
      <c r="A517" s="2">
        <v>40732</v>
      </c>
      <c r="B517" t="s">
        <v>37</v>
      </c>
      <c r="C517">
        <v>15</v>
      </c>
      <c r="D517" s="6" t="s">
        <v>29</v>
      </c>
      <c r="E517">
        <v>188</v>
      </c>
      <c r="F517">
        <v>0.6</v>
      </c>
      <c r="G517">
        <v>0</v>
      </c>
      <c r="M517" t="s">
        <v>38</v>
      </c>
      <c r="O517">
        <f>IF(AND(OR(D517="S. acutus",D517="S. californicus",D517="S. tabernaemontani"),G517=0),E517*[1]Sheet1!$D$7+[1]Sheet1!$L$7,IF(AND(OR(D517="S. acutus",D517="S. tabernaemontani"),G517&gt;0),E517*[1]Sheet1!$D$8+N517*[1]Sheet1!$E$8,IF(AND(D517="S. californicus",G517&gt;0),E517*[1]Sheet1!$D$9+N517*[1]Sheet1!$E$9,IF(D517="S.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latifolia"),E517&gt;0),F517*[1]Sheet1!$C$4+E517*[1]Sheet1!$D$4+H517*[1]Sheet1!$J$4+I517*[1]Sheet1!$K$4+[1]Sheet1!$L$4,IF(AND(OR(D517="T. domingensis",D517="T. latifolia"),J517&gt;0),J517*[1]Sheet1!$G$5+K517*[1]Sheet1!$H$5+L517*[1]Sheet1!$I$5+[1]Sheet1!$L$5,0)))))))</f>
        <v>2.7815369399999992</v>
      </c>
    </row>
    <row r="518" spans="1:15">
      <c r="A518" s="2">
        <v>40732</v>
      </c>
      <c r="B518" t="s">
        <v>37</v>
      </c>
      <c r="C518">
        <v>15</v>
      </c>
      <c r="D518" s="6" t="s">
        <v>29</v>
      </c>
      <c r="E518">
        <v>193</v>
      </c>
      <c r="F518">
        <v>0.51</v>
      </c>
      <c r="G518">
        <v>1</v>
      </c>
      <c r="M518" t="s">
        <v>38</v>
      </c>
      <c r="O518">
        <f>IF(AND(OR(D518="S. acutus",D518="S. californicus",D518="S. tabernaemontani"),G518=0),E518*[1]Sheet1!$D$7+[1]Sheet1!$L$7,IF(AND(OR(D518="S. acutus",D518="S. tabernaemontani"),G518&gt;0),E518*[1]Sheet1!$D$8+N518*[1]Sheet1!$E$8,IF(AND(D518="S. californicus",G518&gt;0),E518*[1]Sheet1!$D$9+N518*[1]Sheet1!$E$9,IF(D518="S.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latifolia"),E518&gt;0),F518*[1]Sheet1!$C$4+E518*[1]Sheet1!$D$4+H518*[1]Sheet1!$J$4+I518*[1]Sheet1!$K$4+[1]Sheet1!$L$4,IF(AND(OR(D518="T. domingensis",D518="T. latifolia"),J518&gt;0),J518*[1]Sheet1!$G$5+K518*[1]Sheet1!$H$5+L518*[1]Sheet1!$I$5+[1]Sheet1!$L$5,0)))))))</f>
        <v>2.5402146389999998</v>
      </c>
    </row>
    <row r="519" spans="1:15">
      <c r="A519" s="2">
        <v>40732</v>
      </c>
      <c r="B519" t="s">
        <v>37</v>
      </c>
      <c r="C519">
        <v>15</v>
      </c>
      <c r="D519" s="6" t="s">
        <v>29</v>
      </c>
      <c r="E519">
        <v>201</v>
      </c>
      <c r="F519">
        <v>0.74</v>
      </c>
      <c r="G519">
        <v>0</v>
      </c>
      <c r="M519" t="s">
        <v>38</v>
      </c>
      <c r="O519">
        <f>IF(AND(OR(D519="S. acutus",D519="S. californicus",D519="S. tabernaemontani"),G519=0),E519*[1]Sheet1!$D$7+[1]Sheet1!$L$7,IF(AND(OR(D519="S. acutus",D519="S. tabernaemontani"),G519&gt;0),E519*[1]Sheet1!$D$8+N519*[1]Sheet1!$E$8,IF(AND(D519="S. californicus",G519&gt;0),E519*[1]Sheet1!$D$9+N519*[1]Sheet1!$E$9,IF(D519="S.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latifolia"),E519&gt;0),F519*[1]Sheet1!$C$4+E519*[1]Sheet1!$D$4+H519*[1]Sheet1!$J$4+I519*[1]Sheet1!$K$4+[1]Sheet1!$L$4,IF(AND(OR(D519="T. domingensis",D519="T. latifolia"),J519&gt;0),J519*[1]Sheet1!$G$5+K519*[1]Sheet1!$H$5+L519*[1]Sheet1!$I$5+[1]Sheet1!$L$5,0)))))))</f>
        <v>3.4827372859999994</v>
      </c>
    </row>
    <row r="520" spans="1:15">
      <c r="A520" s="2">
        <v>40732</v>
      </c>
      <c r="B520" t="s">
        <v>37</v>
      </c>
      <c r="C520">
        <v>18</v>
      </c>
      <c r="D520" s="6" t="s">
        <v>29</v>
      </c>
      <c r="E520">
        <v>41</v>
      </c>
      <c r="F520">
        <v>0.64</v>
      </c>
      <c r="G520">
        <v>1</v>
      </c>
      <c r="M520" t="s">
        <v>39</v>
      </c>
      <c r="O520">
        <f>IF(AND(OR(D520="S. acutus",D520="S. californicus",D520="S. tabernaemontani"),G520=0),E520*[1]Sheet1!$D$7+[1]Sheet1!$L$7,IF(AND(OR(D520="S. acutus",D520="S. tabernaemontani"),G520&gt;0),E520*[1]Sheet1!$D$8+N520*[1]Sheet1!$E$8,IF(AND(D520="S. californicus",G520&gt;0),E520*[1]Sheet1!$D$9+N520*[1]Sheet1!$E$9,IF(D520="S.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latifolia"),E520&gt;0),F520*[1]Sheet1!$C$4+E520*[1]Sheet1!$D$4+H520*[1]Sheet1!$J$4+I520*[1]Sheet1!$K$4+[1]Sheet1!$L$4,IF(AND(OR(D520="T. domingensis",D520="T. latifolia"),J520&gt;0),J520*[1]Sheet1!$G$5+K520*[1]Sheet1!$H$5+L520*[1]Sheet1!$I$5+[1]Sheet1!$L$5,0)))))))</f>
        <v>0.61857439600000008</v>
      </c>
    </row>
    <row r="521" spans="1:15">
      <c r="A521" s="2">
        <v>40732</v>
      </c>
      <c r="B521" t="s">
        <v>37</v>
      </c>
      <c r="C521">
        <v>18</v>
      </c>
      <c r="D521" s="6" t="s">
        <v>29</v>
      </c>
      <c r="E521">
        <v>43</v>
      </c>
      <c r="F521">
        <v>0.65</v>
      </c>
      <c r="G521">
        <v>0</v>
      </c>
      <c r="M521" t="s">
        <v>39</v>
      </c>
      <c r="O521">
        <f>IF(AND(OR(D521="S. acutus",D521="S. californicus",D521="S. tabernaemontani"),G521=0),E521*[1]Sheet1!$D$7+[1]Sheet1!$L$7,IF(AND(OR(D521="S. acutus",D521="S. tabernaemontani"),G521&gt;0),E521*[1]Sheet1!$D$8+N521*[1]Sheet1!$E$8,IF(AND(D521="S. californicus",G521&gt;0),E521*[1]Sheet1!$D$9+N521*[1]Sheet1!$E$9,IF(D521="S.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latifolia"),E521&gt;0),F521*[1]Sheet1!$C$4+E521*[1]Sheet1!$D$4+H521*[1]Sheet1!$J$4+I521*[1]Sheet1!$K$4+[1]Sheet1!$L$4,IF(AND(OR(D521="T. domingensis",D521="T. latifolia"),J521&gt;0),J521*[1]Sheet1!$G$5+K521*[1]Sheet1!$H$5+L521*[1]Sheet1!$I$5+[1]Sheet1!$L$5,0)))))))</f>
        <v>0.68546088499999991</v>
      </c>
    </row>
    <row r="522" spans="1:15">
      <c r="A522" s="2">
        <v>40732</v>
      </c>
      <c r="B522" t="s">
        <v>37</v>
      </c>
      <c r="C522">
        <v>18</v>
      </c>
      <c r="D522" s="6" t="s">
        <v>29</v>
      </c>
      <c r="E522">
        <v>60</v>
      </c>
      <c r="F522">
        <v>0.74</v>
      </c>
      <c r="G522">
        <v>0</v>
      </c>
      <c r="M522" t="s">
        <v>39</v>
      </c>
      <c r="O522">
        <f>IF(AND(OR(D522="S. acutus",D522="S. californicus",D522="S. tabernaemontani"),G522=0),E522*[1]Sheet1!$D$7+[1]Sheet1!$L$7,IF(AND(OR(D522="S. acutus",D522="S. tabernaemontani"),G522&gt;0),E522*[1]Sheet1!$D$8+N522*[1]Sheet1!$E$8,IF(AND(D522="S. californicus",G522&gt;0),E522*[1]Sheet1!$D$9+N522*[1]Sheet1!$E$9,IF(D522="S.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latifolia"),E522&gt;0),F522*[1]Sheet1!$C$4+E522*[1]Sheet1!$D$4+H522*[1]Sheet1!$J$4+I522*[1]Sheet1!$K$4+[1]Sheet1!$L$4,IF(AND(OR(D522="T. domingensis",D522="T. latifolia"),J522&gt;0),J522*[1]Sheet1!$G$5+K522*[1]Sheet1!$H$5+L522*[1]Sheet1!$I$5+[1]Sheet1!$L$5,0)))))))</f>
        <v>1.2717585859999998</v>
      </c>
    </row>
    <row r="523" spans="1:15">
      <c r="A523" s="2">
        <v>40732</v>
      </c>
      <c r="B523" t="s">
        <v>37</v>
      </c>
      <c r="C523">
        <v>18</v>
      </c>
      <c r="D523" s="6" t="s">
        <v>29</v>
      </c>
      <c r="E523">
        <v>69</v>
      </c>
      <c r="F523">
        <v>0.82</v>
      </c>
      <c r="G523">
        <v>0</v>
      </c>
      <c r="M523" t="s">
        <v>39</v>
      </c>
      <c r="O523">
        <f>IF(AND(OR(D523="S. acutus",D523="S. californicus",D523="S. tabernaemontani"),G523=0),E523*[1]Sheet1!$D$7+[1]Sheet1!$L$7,IF(AND(OR(D523="S. acutus",D523="S. tabernaemontani"),G523&gt;0),E523*[1]Sheet1!$D$8+N523*[1]Sheet1!$E$8,IF(AND(D523="S. californicus",G523&gt;0),E523*[1]Sheet1!$D$9+N523*[1]Sheet1!$E$9,IF(D523="S.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latifolia"),E523&gt;0),F523*[1]Sheet1!$C$4+E523*[1]Sheet1!$D$4+H523*[1]Sheet1!$J$4+I523*[1]Sheet1!$K$4+[1]Sheet1!$L$4,IF(AND(OR(D523="T. domingensis",D523="T. latifolia"),J523&gt;0),J523*[1]Sheet1!$G$5+K523*[1]Sheet1!$H$5+L523*[1]Sheet1!$I$5+[1]Sheet1!$L$5,0)))))))</f>
        <v>1.6970855979999997</v>
      </c>
    </row>
    <row r="524" spans="1:15">
      <c r="A524" s="2">
        <v>40732</v>
      </c>
      <c r="B524" t="s">
        <v>37</v>
      </c>
      <c r="C524">
        <v>18</v>
      </c>
      <c r="D524" s="6" t="s">
        <v>29</v>
      </c>
      <c r="E524">
        <v>77</v>
      </c>
      <c r="F524">
        <v>0.45</v>
      </c>
      <c r="G524">
        <v>1</v>
      </c>
      <c r="M524" t="s">
        <v>39</v>
      </c>
      <c r="O524">
        <f>IF(AND(OR(D524="S. acutus",D524="S. californicus",D524="S. tabernaemontani"),G524=0),E524*[1]Sheet1!$D$7+[1]Sheet1!$L$7,IF(AND(OR(D524="S. acutus",D524="S. tabernaemontani"),G524&gt;0),E524*[1]Sheet1!$D$8+N524*[1]Sheet1!$E$8,IF(AND(D524="S. californicus",G524&gt;0),E524*[1]Sheet1!$D$9+N524*[1]Sheet1!$E$9,IF(D524="S.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latifolia"),E524&gt;0),F524*[1]Sheet1!$C$4+E524*[1]Sheet1!$D$4+H524*[1]Sheet1!$J$4+I524*[1]Sheet1!$K$4+[1]Sheet1!$L$4,IF(AND(OR(D524="T. domingensis",D524="T. latifolia"),J524&gt;0),J524*[1]Sheet1!$G$5+K524*[1]Sheet1!$H$5+L524*[1]Sheet1!$I$5+[1]Sheet1!$L$5,0)))))))</f>
        <v>0.50810290499999988</v>
      </c>
    </row>
    <row r="525" spans="1:15">
      <c r="A525" s="2">
        <v>40732</v>
      </c>
      <c r="B525" t="s">
        <v>37</v>
      </c>
      <c r="C525">
        <v>18</v>
      </c>
      <c r="D525" s="6" t="s">
        <v>29</v>
      </c>
      <c r="E525">
        <v>93</v>
      </c>
      <c r="F525">
        <v>0.4</v>
      </c>
      <c r="G525">
        <v>0</v>
      </c>
      <c r="M525" t="s">
        <v>39</v>
      </c>
      <c r="O525">
        <f>IF(AND(OR(D525="S. acutus",D525="S. californicus",D525="S. tabernaemontani"),G525=0),E525*[1]Sheet1!$D$7+[1]Sheet1!$L$7,IF(AND(OR(D525="S. acutus",D525="S. tabernaemontani"),G525&gt;0),E525*[1]Sheet1!$D$8+N525*[1]Sheet1!$E$8,IF(AND(D525="S. californicus",G525&gt;0),E525*[1]Sheet1!$D$9+N525*[1]Sheet1!$E$9,IF(D525="S.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latifolia"),E525&gt;0),F525*[1]Sheet1!$C$4+E525*[1]Sheet1!$D$4+H525*[1]Sheet1!$J$4+I525*[1]Sheet1!$K$4+[1]Sheet1!$L$4,IF(AND(OR(D525="T. domingensis",D525="T. latifolia"),J525&gt;0),J525*[1]Sheet1!$G$5+K525*[1]Sheet1!$H$5+L525*[1]Sheet1!$I$5+[1]Sheet1!$L$5,0)))))))</f>
        <v>0.58136865999999943</v>
      </c>
    </row>
    <row r="526" spans="1:15">
      <c r="A526" s="2">
        <v>40732</v>
      </c>
      <c r="B526" t="s">
        <v>37</v>
      </c>
      <c r="C526">
        <v>18</v>
      </c>
      <c r="D526" s="6" t="s">
        <v>29</v>
      </c>
      <c r="E526">
        <v>93</v>
      </c>
      <c r="F526">
        <v>0.47</v>
      </c>
      <c r="G526">
        <v>0</v>
      </c>
      <c r="M526" t="s">
        <v>39</v>
      </c>
      <c r="O526">
        <f>IF(AND(OR(D526="S. acutus",D526="S. californicus",D526="S. tabernaemontani"),G526=0),E526*[1]Sheet1!$D$7+[1]Sheet1!$L$7,IF(AND(OR(D526="S. acutus",D526="S. tabernaemontani"),G526&gt;0),E526*[1]Sheet1!$D$8+N526*[1]Sheet1!$E$8,IF(AND(D526="S. californicus",G526&gt;0),E526*[1]Sheet1!$D$9+N526*[1]Sheet1!$E$9,IF(D526="S.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latifolia"),E526&gt;0),F526*[1]Sheet1!$C$4+E526*[1]Sheet1!$D$4+H526*[1]Sheet1!$J$4+I526*[1]Sheet1!$K$4+[1]Sheet1!$L$4,IF(AND(OR(D526="T. domingensis",D526="T. latifolia"),J526&gt;0),J526*[1]Sheet1!$G$5+K526*[1]Sheet1!$H$5+L526*[1]Sheet1!$I$5+[1]Sheet1!$L$5,0)))))))</f>
        <v>0.83004428299999944</v>
      </c>
    </row>
    <row r="527" spans="1:15">
      <c r="A527" s="2">
        <v>40732</v>
      </c>
      <c r="B527" t="s">
        <v>37</v>
      </c>
      <c r="C527">
        <v>18</v>
      </c>
      <c r="D527" s="6" t="s">
        <v>29</v>
      </c>
      <c r="E527">
        <v>103</v>
      </c>
      <c r="F527">
        <v>0.44</v>
      </c>
      <c r="G527">
        <v>0</v>
      </c>
      <c r="M527" t="s">
        <v>39</v>
      </c>
      <c r="O527">
        <f>IF(AND(OR(D527="S. acutus",D527="S. californicus",D527="S. tabernaemontani"),G527=0),E527*[1]Sheet1!$D$7+[1]Sheet1!$L$7,IF(AND(OR(D527="S. acutus",D527="S. tabernaemontani"),G527&gt;0),E527*[1]Sheet1!$D$8+N527*[1]Sheet1!$E$8,IF(AND(D527="S. californicus",G527&gt;0),E527*[1]Sheet1!$D$9+N527*[1]Sheet1!$E$9,IF(D527="S.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latifolia"),E527&gt;0),F527*[1]Sheet1!$C$4+E527*[1]Sheet1!$D$4+H527*[1]Sheet1!$J$4+I527*[1]Sheet1!$K$4+[1]Sheet1!$L$4,IF(AND(OR(D527="T. domingensis",D527="T. latifolia"),J527&gt;0),J527*[1]Sheet1!$G$5+K527*[1]Sheet1!$H$5+L527*[1]Sheet1!$I$5+[1]Sheet1!$L$5,0)))))))</f>
        <v>0.88027601599999983</v>
      </c>
    </row>
    <row r="528" spans="1:15">
      <c r="A528" s="2">
        <v>40732</v>
      </c>
      <c r="B528" t="s">
        <v>37</v>
      </c>
      <c r="C528">
        <v>18</v>
      </c>
      <c r="D528" s="6" t="s">
        <v>29</v>
      </c>
      <c r="E528">
        <v>114</v>
      </c>
      <c r="F528">
        <v>0.45</v>
      </c>
      <c r="G528">
        <v>1</v>
      </c>
      <c r="M528" t="s">
        <v>39</v>
      </c>
      <c r="O528">
        <f>IF(AND(OR(D528="S. acutus",D528="S. californicus",D528="S. tabernaemontani"),G528=0),E528*[1]Sheet1!$D$7+[1]Sheet1!$L$7,IF(AND(OR(D528="S. acutus",D528="S. tabernaemontani"),G528&gt;0),E528*[1]Sheet1!$D$8+N528*[1]Sheet1!$E$8,IF(AND(D528="S. californicus",G528&gt;0),E528*[1]Sheet1!$D$9+N528*[1]Sheet1!$E$9,IF(D528="S.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latifolia"),E528&gt;0),F528*[1]Sheet1!$C$4+E528*[1]Sheet1!$D$4+H528*[1]Sheet1!$J$4+I528*[1]Sheet1!$K$4+[1]Sheet1!$L$4,IF(AND(OR(D528="T. domingensis",D528="T. latifolia"),J528&gt;0),J528*[1]Sheet1!$G$5+K528*[1]Sheet1!$H$5+L528*[1]Sheet1!$I$5+[1]Sheet1!$L$5,0)))))))</f>
        <v>1.0882888049999999</v>
      </c>
    </row>
    <row r="529" spans="1:15">
      <c r="A529" s="2">
        <v>40732</v>
      </c>
      <c r="B529" t="s">
        <v>37</v>
      </c>
      <c r="C529">
        <v>18</v>
      </c>
      <c r="D529" s="6" t="s">
        <v>29</v>
      </c>
      <c r="E529">
        <v>120</v>
      </c>
      <c r="F529">
        <v>0.57999999999999996</v>
      </c>
      <c r="G529">
        <v>0</v>
      </c>
      <c r="M529" t="s">
        <v>39</v>
      </c>
      <c r="O529">
        <f>IF(AND(OR(D529="S. acutus",D529="S. californicus",D529="S. tabernaemontani"),G529=0),E529*[1]Sheet1!$D$7+[1]Sheet1!$L$7,IF(AND(OR(D529="S. acutus",D529="S. tabernaemontani"),G529&gt;0),E529*[1]Sheet1!$D$8+N529*[1]Sheet1!$E$8,IF(AND(D529="S. californicus",G529&gt;0),E529*[1]Sheet1!$D$9+N529*[1]Sheet1!$E$9,IF(D529="S.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latifolia"),E529&gt;0),F529*[1]Sheet1!$C$4+E529*[1]Sheet1!$D$4+H529*[1]Sheet1!$J$4+I529*[1]Sheet1!$K$4+[1]Sheet1!$L$4,IF(AND(OR(D529="T. domingensis",D529="T. latifolia"),J529&gt;0),J529*[1]Sheet1!$G$5+K529*[1]Sheet1!$H$5+L529*[1]Sheet1!$I$5+[1]Sheet1!$L$5,0)))))))</f>
        <v>1.6441991619999996</v>
      </c>
    </row>
    <row r="530" spans="1:15">
      <c r="A530" s="2">
        <v>40732</v>
      </c>
      <c r="B530" t="s">
        <v>37</v>
      </c>
      <c r="C530">
        <v>18</v>
      </c>
      <c r="D530" s="6" t="s">
        <v>29</v>
      </c>
      <c r="E530">
        <v>121</v>
      </c>
      <c r="F530">
        <v>0.61</v>
      </c>
      <c r="G530">
        <v>0</v>
      </c>
      <c r="M530" t="s">
        <v>39</v>
      </c>
      <c r="O530">
        <f>IF(AND(OR(D530="S. acutus",D530="S. californicus",D530="S. tabernaemontani"),G530=0),E530*[1]Sheet1!$D$7+[1]Sheet1!$L$7,IF(AND(OR(D530="S. acutus",D530="S. tabernaemontani"),G530&gt;0),E530*[1]Sheet1!$D$8+N530*[1]Sheet1!$E$8,IF(AND(D530="S. californicus",G530&gt;0),E530*[1]Sheet1!$D$9+N530*[1]Sheet1!$E$9,IF(D530="S.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latifolia"),E530&gt;0),F530*[1]Sheet1!$C$4+E530*[1]Sheet1!$D$4+H530*[1]Sheet1!$J$4+I530*[1]Sheet1!$K$4+[1]Sheet1!$L$4,IF(AND(OR(D530="T. domingensis",D530="T. latifolia"),J530&gt;0),J530*[1]Sheet1!$G$5+K530*[1]Sheet1!$H$5+L530*[1]Sheet1!$I$5+[1]Sheet1!$L$5,0)))))))</f>
        <v>1.7664551289999992</v>
      </c>
    </row>
    <row r="531" spans="1:15">
      <c r="A531" s="2">
        <v>40732</v>
      </c>
      <c r="B531" t="s">
        <v>37</v>
      </c>
      <c r="C531">
        <v>18</v>
      </c>
      <c r="D531" s="6" t="s">
        <v>29</v>
      </c>
      <c r="E531">
        <v>126</v>
      </c>
      <c r="F531">
        <v>0.39</v>
      </c>
      <c r="G531">
        <v>0</v>
      </c>
      <c r="M531" t="s">
        <v>39</v>
      </c>
      <c r="O531">
        <f>IF(AND(OR(D531="S. acutus",D531="S. californicus",D531="S. tabernaemontani"),G531=0),E531*[1]Sheet1!$D$7+[1]Sheet1!$L$7,IF(AND(OR(D531="S. acutus",D531="S. tabernaemontani"),G531&gt;0),E531*[1]Sheet1!$D$8+N531*[1]Sheet1!$E$8,IF(AND(D531="S. californicus",G531&gt;0),E531*[1]Sheet1!$D$9+N531*[1]Sheet1!$E$9,IF(D531="S.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latifolia"),E531&gt;0),F531*[1]Sheet1!$C$4+E531*[1]Sheet1!$D$4+H531*[1]Sheet1!$J$4+I531*[1]Sheet1!$K$4+[1]Sheet1!$L$4,IF(AND(OR(D531="T. domingensis",D531="T. latifolia"),J531&gt;0),J531*[1]Sheet1!$G$5+K531*[1]Sheet1!$H$5+L531*[1]Sheet1!$I$5+[1]Sheet1!$L$5,0)))))))</f>
        <v>1.0633066709999999</v>
      </c>
    </row>
    <row r="532" spans="1:15">
      <c r="A532" s="2">
        <v>40732</v>
      </c>
      <c r="B532" t="s">
        <v>37</v>
      </c>
      <c r="C532">
        <v>18</v>
      </c>
      <c r="D532" s="6" t="s">
        <v>29</v>
      </c>
      <c r="E532">
        <v>135</v>
      </c>
      <c r="F532">
        <v>0.65</v>
      </c>
      <c r="G532">
        <v>0</v>
      </c>
      <c r="M532" t="s">
        <v>39</v>
      </c>
      <c r="O532">
        <f>IF(AND(OR(D532="S. acutus",D532="S. californicus",D532="S. tabernaemontani"),G532=0),E532*[1]Sheet1!$D$7+[1]Sheet1!$L$7,IF(AND(OR(D532="S. acutus",D532="S. tabernaemontani"),G532&gt;0),E532*[1]Sheet1!$D$8+N532*[1]Sheet1!$E$8,IF(AND(D532="S. californicus",G532&gt;0),E532*[1]Sheet1!$D$9+N532*[1]Sheet1!$E$9,IF(D532="S.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latifolia"),E532&gt;0),F532*[1]Sheet1!$C$4+E532*[1]Sheet1!$D$4+H532*[1]Sheet1!$J$4+I532*[1]Sheet1!$K$4+[1]Sheet1!$L$4,IF(AND(OR(D532="T. domingensis",D532="T. latifolia"),J532&gt;0),J532*[1]Sheet1!$G$5+K532*[1]Sheet1!$H$5+L532*[1]Sheet1!$I$5+[1]Sheet1!$L$5,0)))))))</f>
        <v>2.1280852849999996</v>
      </c>
    </row>
    <row r="533" spans="1:15">
      <c r="A533" s="2">
        <v>40732</v>
      </c>
      <c r="B533" t="s">
        <v>37</v>
      </c>
      <c r="C533">
        <v>18</v>
      </c>
      <c r="D533" s="6" t="s">
        <v>29</v>
      </c>
      <c r="E533">
        <v>141</v>
      </c>
      <c r="F533">
        <v>0.4</v>
      </c>
      <c r="G533">
        <v>0</v>
      </c>
      <c r="M533" t="s">
        <v>39</v>
      </c>
      <c r="O533">
        <f>IF(AND(OR(D533="S. acutus",D533="S. californicus",D533="S. tabernaemontani"),G533=0),E533*[1]Sheet1!$D$7+[1]Sheet1!$L$7,IF(AND(OR(D533="S. acutus",D533="S. tabernaemontani"),G533&gt;0),E533*[1]Sheet1!$D$8+N533*[1]Sheet1!$E$8,IF(AND(D533="S. californicus",G533&gt;0),E533*[1]Sheet1!$D$9+N533*[1]Sheet1!$E$9,IF(D533="S.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latifolia"),E533&gt;0),F533*[1]Sheet1!$C$4+E533*[1]Sheet1!$D$4+H533*[1]Sheet1!$J$4+I533*[1]Sheet1!$K$4+[1]Sheet1!$L$4,IF(AND(OR(D533="T. domingensis",D533="T. latifolia"),J533&gt;0),J533*[1]Sheet1!$G$5+K533*[1]Sheet1!$H$5+L533*[1]Sheet1!$I$5+[1]Sheet1!$L$5,0)))))))</f>
        <v>1.3340422599999995</v>
      </c>
    </row>
    <row r="534" spans="1:15">
      <c r="A534" s="2">
        <v>40732</v>
      </c>
      <c r="B534" t="s">
        <v>37</v>
      </c>
      <c r="C534">
        <v>18</v>
      </c>
      <c r="D534" s="6" t="s">
        <v>29</v>
      </c>
      <c r="E534">
        <v>146</v>
      </c>
      <c r="F534">
        <v>0.42</v>
      </c>
      <c r="G534">
        <v>0</v>
      </c>
      <c r="M534" t="s">
        <v>39</v>
      </c>
      <c r="O534">
        <f>IF(AND(OR(D534="S. acutus",D534="S. californicus",D534="S. tabernaemontani"),G534=0),E534*[1]Sheet1!$D$7+[1]Sheet1!$L$7,IF(AND(OR(D534="S. acutus",D534="S. tabernaemontani"),G534&gt;0),E534*[1]Sheet1!$D$8+N534*[1]Sheet1!$E$8,IF(AND(D534="S. californicus",G534&gt;0),E534*[1]Sheet1!$D$9+N534*[1]Sheet1!$E$9,IF(D534="S.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latifolia"),E534&gt;0),F534*[1]Sheet1!$C$4+E534*[1]Sheet1!$D$4+H534*[1]Sheet1!$J$4+I534*[1]Sheet1!$K$4+[1]Sheet1!$L$4,IF(AND(OR(D534="T. domingensis",D534="T. latifolia"),J534&gt;0),J534*[1]Sheet1!$G$5+K534*[1]Sheet1!$H$5+L534*[1]Sheet1!$I$5+[1]Sheet1!$L$5,0)))))))</f>
        <v>1.4834959379999995</v>
      </c>
    </row>
    <row r="535" spans="1:15">
      <c r="A535" s="2">
        <v>40732</v>
      </c>
      <c r="B535" t="s">
        <v>37</v>
      </c>
      <c r="C535">
        <v>18</v>
      </c>
      <c r="D535" s="6" t="s">
        <v>29</v>
      </c>
      <c r="E535">
        <v>147</v>
      </c>
      <c r="F535">
        <v>0.42</v>
      </c>
      <c r="G535">
        <v>0</v>
      </c>
      <c r="M535" t="s">
        <v>39</v>
      </c>
      <c r="O535">
        <f>IF(AND(OR(D535="S. acutus",D535="S. californicus",D535="S. tabernaemontani"),G535=0),E535*[1]Sheet1!$D$7+[1]Sheet1!$L$7,IF(AND(OR(D535="S. acutus",D535="S. tabernaemontani"),G535&gt;0),E535*[1]Sheet1!$D$8+N535*[1]Sheet1!$E$8,IF(AND(D535="S. californicus",G535&gt;0),E535*[1]Sheet1!$D$9+N535*[1]Sheet1!$E$9,IF(D535="S.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latifolia"),E535&gt;0),F535*[1]Sheet1!$C$4+E535*[1]Sheet1!$D$4+H535*[1]Sheet1!$J$4+I535*[1]Sheet1!$K$4+[1]Sheet1!$L$4,IF(AND(OR(D535="T. domingensis",D535="T. latifolia"),J535&gt;0),J535*[1]Sheet1!$G$5+K535*[1]Sheet1!$H$5+L535*[1]Sheet1!$I$5+[1]Sheet1!$L$5,0)))))))</f>
        <v>1.4991766379999993</v>
      </c>
    </row>
    <row r="536" spans="1:15">
      <c r="A536" s="2">
        <v>40732</v>
      </c>
      <c r="B536" t="s">
        <v>37</v>
      </c>
      <c r="C536">
        <v>18</v>
      </c>
      <c r="D536" s="6" t="s">
        <v>29</v>
      </c>
      <c r="E536">
        <v>158</v>
      </c>
      <c r="F536">
        <v>0.42</v>
      </c>
      <c r="G536">
        <v>2</v>
      </c>
      <c r="M536" t="s">
        <v>39</v>
      </c>
      <c r="O536">
        <f>IF(AND(OR(D536="S. acutus",D536="S. californicus",D536="S. tabernaemontani"),G536=0),E536*[1]Sheet1!$D$7+[1]Sheet1!$L$7,IF(AND(OR(D536="S. acutus",D536="S. tabernaemontani"),G536&gt;0),E536*[1]Sheet1!$D$8+N536*[1]Sheet1!$E$8,IF(AND(D536="S. californicus",G536&gt;0),E536*[1]Sheet1!$D$9+N536*[1]Sheet1!$E$9,IF(D536="S.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latifolia"),E536&gt;0),F536*[1]Sheet1!$C$4+E536*[1]Sheet1!$D$4+H536*[1]Sheet1!$J$4+I536*[1]Sheet1!$K$4+[1]Sheet1!$L$4,IF(AND(OR(D536="T. domingensis",D536="T. latifolia"),J536&gt;0),J536*[1]Sheet1!$G$5+K536*[1]Sheet1!$H$5+L536*[1]Sheet1!$I$5+[1]Sheet1!$L$5,0)))))))</f>
        <v>1.6716643379999998</v>
      </c>
    </row>
    <row r="537" spans="1:15">
      <c r="A537" s="2">
        <v>40732</v>
      </c>
      <c r="B537" t="s">
        <v>37</v>
      </c>
      <c r="C537">
        <v>18</v>
      </c>
      <c r="D537" s="6" t="s">
        <v>29</v>
      </c>
      <c r="E537">
        <v>158</v>
      </c>
      <c r="F537">
        <v>0.52</v>
      </c>
      <c r="G537">
        <v>3</v>
      </c>
      <c r="M537" t="s">
        <v>39</v>
      </c>
      <c r="O537">
        <f>IF(AND(OR(D537="S. acutus",D537="S. californicus",D537="S. tabernaemontani"),G537=0),E537*[1]Sheet1!$D$7+[1]Sheet1!$L$7,IF(AND(OR(D537="S. acutus",D537="S. tabernaemontani"),G537&gt;0),E537*[1]Sheet1!$D$8+N537*[1]Sheet1!$E$8,IF(AND(D537="S. californicus",G537&gt;0),E537*[1]Sheet1!$D$9+N537*[1]Sheet1!$E$9,IF(D537="S.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latifolia"),E537&gt;0),F537*[1]Sheet1!$C$4+E537*[1]Sheet1!$D$4+H537*[1]Sheet1!$J$4+I537*[1]Sheet1!$K$4+[1]Sheet1!$L$4,IF(AND(OR(D537="T. domingensis",D537="T. latifolia"),J537&gt;0),J537*[1]Sheet1!$G$5+K537*[1]Sheet1!$H$5+L537*[1]Sheet1!$I$5+[1]Sheet1!$L$5,0)))))))</f>
        <v>2.0269152279999996</v>
      </c>
    </row>
    <row r="538" spans="1:15">
      <c r="A538" s="2">
        <v>40732</v>
      </c>
      <c r="B538" t="s">
        <v>37</v>
      </c>
      <c r="C538">
        <v>18</v>
      </c>
      <c r="D538" s="6" t="s">
        <v>29</v>
      </c>
      <c r="E538">
        <v>163</v>
      </c>
      <c r="F538">
        <v>0.28000000000000003</v>
      </c>
      <c r="G538">
        <v>1</v>
      </c>
      <c r="M538" t="s">
        <v>39</v>
      </c>
      <c r="O538">
        <f>IF(AND(OR(D538="S. acutus",D538="S. californicus",D538="S. tabernaemontani"),G538=0),E538*[1]Sheet1!$D$7+[1]Sheet1!$L$7,IF(AND(OR(D538="S. acutus",D538="S. tabernaemontani"),G538&gt;0),E538*[1]Sheet1!$D$8+N538*[1]Sheet1!$E$8,IF(AND(D538="S. californicus",G538&gt;0),E538*[1]Sheet1!$D$9+N538*[1]Sheet1!$E$9,IF(D538="S.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latifolia"),E538&gt;0),F538*[1]Sheet1!$C$4+E538*[1]Sheet1!$D$4+H538*[1]Sheet1!$J$4+I538*[1]Sheet1!$K$4+[1]Sheet1!$L$4,IF(AND(OR(D538="T. domingensis",D538="T. latifolia"),J538&gt;0),J538*[1]Sheet1!$G$5+K538*[1]Sheet1!$H$5+L538*[1]Sheet1!$I$5+[1]Sheet1!$L$5,0)))))))</f>
        <v>1.2527165919999996</v>
      </c>
    </row>
    <row r="539" spans="1:15">
      <c r="A539" s="2">
        <v>40732</v>
      </c>
      <c r="B539" t="s">
        <v>37</v>
      </c>
      <c r="C539">
        <v>18</v>
      </c>
      <c r="D539" s="6" t="s">
        <v>29</v>
      </c>
      <c r="E539">
        <v>164</v>
      </c>
      <c r="F539">
        <v>0.41</v>
      </c>
      <c r="G539">
        <v>0</v>
      </c>
      <c r="M539" t="s">
        <v>39</v>
      </c>
      <c r="O539">
        <f>IF(AND(OR(D539="S. acutus",D539="S. californicus",D539="S. tabernaemontani"),G539=0),E539*[1]Sheet1!$D$7+[1]Sheet1!$L$7,IF(AND(OR(D539="S. acutus",D539="S. tabernaemontani"),G539&gt;0),E539*[1]Sheet1!$D$8+N539*[1]Sheet1!$E$8,IF(AND(D539="S. californicus",G539&gt;0),E539*[1]Sheet1!$D$9+N539*[1]Sheet1!$E$9,IF(D539="S.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latifolia"),E539&gt;0),F539*[1]Sheet1!$C$4+E539*[1]Sheet1!$D$4+H539*[1]Sheet1!$J$4+I539*[1]Sheet1!$K$4+[1]Sheet1!$L$4,IF(AND(OR(D539="T. domingensis",D539="T. latifolia"),J539&gt;0),J539*[1]Sheet1!$G$5+K539*[1]Sheet1!$H$5+L539*[1]Sheet1!$I$5+[1]Sheet1!$L$5,0)))))))</f>
        <v>1.7302234489999999</v>
      </c>
    </row>
    <row r="540" spans="1:15">
      <c r="A540" s="2">
        <v>40732</v>
      </c>
      <c r="B540" t="s">
        <v>37</v>
      </c>
      <c r="C540">
        <v>18</v>
      </c>
      <c r="D540" s="6" t="s">
        <v>29</v>
      </c>
      <c r="E540">
        <v>164</v>
      </c>
      <c r="F540">
        <v>0.44</v>
      </c>
      <c r="G540">
        <v>0</v>
      </c>
      <c r="M540" t="s">
        <v>39</v>
      </c>
      <c r="O540">
        <f>IF(AND(OR(D540="S. acutus",D540="S. californicus",D540="S. tabernaemontani"),G540=0),E540*[1]Sheet1!$D$7+[1]Sheet1!$L$7,IF(AND(OR(D540="S. acutus",D540="S. tabernaemontani"),G540&gt;0),E540*[1]Sheet1!$D$8+N540*[1]Sheet1!$E$8,IF(AND(D540="S. californicus",G540&gt;0),E540*[1]Sheet1!$D$9+N540*[1]Sheet1!$E$9,IF(D540="S.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latifolia"),E540&gt;0),F540*[1]Sheet1!$C$4+E540*[1]Sheet1!$D$4+H540*[1]Sheet1!$J$4+I540*[1]Sheet1!$K$4+[1]Sheet1!$L$4,IF(AND(OR(D540="T. domingensis",D540="T. latifolia"),J540&gt;0),J540*[1]Sheet1!$G$5+K540*[1]Sheet1!$H$5+L540*[1]Sheet1!$I$5+[1]Sheet1!$L$5,0)))))))</f>
        <v>1.8367987160000001</v>
      </c>
    </row>
    <row r="541" spans="1:15">
      <c r="A541" s="2">
        <v>40732</v>
      </c>
      <c r="B541" t="s">
        <v>37</v>
      </c>
      <c r="C541">
        <v>18</v>
      </c>
      <c r="D541" s="6" t="s">
        <v>29</v>
      </c>
      <c r="E541">
        <v>168</v>
      </c>
      <c r="F541">
        <v>0.55000000000000004</v>
      </c>
      <c r="G541">
        <v>1</v>
      </c>
      <c r="M541" t="s">
        <v>39</v>
      </c>
      <c r="O541">
        <f>IF(AND(OR(D541="S. acutus",D541="S. californicus",D541="S. tabernaemontani"),G541=0),E541*[1]Sheet1!$D$7+[1]Sheet1!$L$7,IF(AND(OR(D541="S. acutus",D541="S. tabernaemontani"),G541&gt;0),E541*[1]Sheet1!$D$8+N541*[1]Sheet1!$E$8,IF(AND(D541="S. californicus",G541&gt;0),E541*[1]Sheet1!$D$9+N541*[1]Sheet1!$E$9,IF(D541="S.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latifolia"),E541&gt;0),F541*[1]Sheet1!$C$4+E541*[1]Sheet1!$D$4+H541*[1]Sheet1!$J$4+I541*[1]Sheet1!$K$4+[1]Sheet1!$L$4,IF(AND(OR(D541="T. domingensis",D541="T. latifolia"),J541&gt;0),J541*[1]Sheet1!$G$5+K541*[1]Sheet1!$H$5+L541*[1]Sheet1!$I$5+[1]Sheet1!$L$5,0)))))))</f>
        <v>2.2902974949999995</v>
      </c>
    </row>
    <row r="542" spans="1:15">
      <c r="A542" s="2">
        <v>40732</v>
      </c>
      <c r="B542" t="s">
        <v>37</v>
      </c>
      <c r="C542">
        <v>18</v>
      </c>
      <c r="D542" s="6" t="s">
        <v>29</v>
      </c>
      <c r="E542">
        <v>171</v>
      </c>
      <c r="F542">
        <v>0.28000000000000003</v>
      </c>
      <c r="G542">
        <v>0</v>
      </c>
      <c r="M542" t="s">
        <v>39</v>
      </c>
      <c r="O542">
        <f>IF(AND(OR(D542="S. acutus",D542="S. californicus",D542="S. tabernaemontani"),G542=0),E542*[1]Sheet1!$D$7+[1]Sheet1!$L$7,IF(AND(OR(D542="S. acutus",D542="S. tabernaemontani"),G542&gt;0),E542*[1]Sheet1!$D$8+N542*[1]Sheet1!$E$8,IF(AND(D542="S. californicus",G542&gt;0),E542*[1]Sheet1!$D$9+N542*[1]Sheet1!$E$9,IF(D542="S.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latifolia"),E542&gt;0),F542*[1]Sheet1!$C$4+E542*[1]Sheet1!$D$4+H542*[1]Sheet1!$J$4+I542*[1]Sheet1!$K$4+[1]Sheet1!$L$4,IF(AND(OR(D542="T. domingensis",D542="T. latifolia"),J542&gt;0),J542*[1]Sheet1!$G$5+K542*[1]Sheet1!$H$5+L542*[1]Sheet1!$I$5+[1]Sheet1!$L$5,0)))))))</f>
        <v>1.3781621919999996</v>
      </c>
    </row>
    <row r="543" spans="1:15">
      <c r="A543" s="2">
        <v>40732</v>
      </c>
      <c r="B543" t="s">
        <v>37</v>
      </c>
      <c r="C543">
        <v>18</v>
      </c>
      <c r="D543" s="6" t="s">
        <v>29</v>
      </c>
      <c r="E543">
        <v>173</v>
      </c>
      <c r="F543">
        <v>0.38</v>
      </c>
      <c r="G543">
        <v>1</v>
      </c>
      <c r="M543" t="s">
        <v>39</v>
      </c>
      <c r="O543">
        <f>IF(AND(OR(D543="S. acutus",D543="S. californicus",D543="S. tabernaemontani"),G543=0),E543*[1]Sheet1!$D$7+[1]Sheet1!$L$7,IF(AND(OR(D543="S. acutus",D543="S. tabernaemontani"),G543&gt;0),E543*[1]Sheet1!$D$8+N543*[1]Sheet1!$E$8,IF(AND(D543="S. californicus",G543&gt;0),E543*[1]Sheet1!$D$9+N543*[1]Sheet1!$E$9,IF(D543="S.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latifolia"),E543&gt;0),F543*[1]Sheet1!$C$4+E543*[1]Sheet1!$D$4+H543*[1]Sheet1!$J$4+I543*[1]Sheet1!$K$4+[1]Sheet1!$L$4,IF(AND(OR(D543="T. domingensis",D543="T. latifolia"),J543&gt;0),J543*[1]Sheet1!$G$5+K543*[1]Sheet1!$H$5+L543*[1]Sheet1!$I$5+[1]Sheet1!$L$5,0)))))))</f>
        <v>1.7647744819999995</v>
      </c>
    </row>
    <row r="544" spans="1:15">
      <c r="A544" s="2">
        <v>40732</v>
      </c>
      <c r="B544" t="s">
        <v>37</v>
      </c>
      <c r="C544">
        <v>18</v>
      </c>
      <c r="D544" s="6" t="s">
        <v>29</v>
      </c>
      <c r="E544">
        <v>173</v>
      </c>
      <c r="F544">
        <v>0.45</v>
      </c>
      <c r="G544">
        <v>0</v>
      </c>
      <c r="M544" t="s">
        <v>39</v>
      </c>
      <c r="O544">
        <f>IF(AND(OR(D544="S. acutus",D544="S. californicus",D544="S. tabernaemontani"),G544=0),E544*[1]Sheet1!$D$7+[1]Sheet1!$L$7,IF(AND(OR(D544="S. acutus",D544="S. tabernaemontani"),G544&gt;0),E544*[1]Sheet1!$D$8+N544*[1]Sheet1!$E$8,IF(AND(D544="S. californicus",G544&gt;0),E544*[1]Sheet1!$D$9+N544*[1]Sheet1!$E$9,IF(D544="S.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latifolia"),E544&gt;0),F544*[1]Sheet1!$C$4+E544*[1]Sheet1!$D$4+H544*[1]Sheet1!$J$4+I544*[1]Sheet1!$K$4+[1]Sheet1!$L$4,IF(AND(OR(D544="T. domingensis",D544="T. latifolia"),J544&gt;0),J544*[1]Sheet1!$G$5+K544*[1]Sheet1!$H$5+L544*[1]Sheet1!$I$5+[1]Sheet1!$L$5,0)))))))</f>
        <v>2.013450105</v>
      </c>
    </row>
    <row r="545" spans="1:15">
      <c r="A545" s="2">
        <v>40732</v>
      </c>
      <c r="B545" t="s">
        <v>37</v>
      </c>
      <c r="C545">
        <v>18</v>
      </c>
      <c r="D545" s="6" t="s">
        <v>29</v>
      </c>
      <c r="E545">
        <v>174</v>
      </c>
      <c r="F545">
        <v>0.52</v>
      </c>
      <c r="G545">
        <v>0</v>
      </c>
      <c r="M545" t="s">
        <v>39</v>
      </c>
      <c r="O545">
        <f>IF(AND(OR(D545="S. acutus",D545="S. californicus",D545="S. tabernaemontani"),G545=0),E545*[1]Sheet1!$D$7+[1]Sheet1!$L$7,IF(AND(OR(D545="S. acutus",D545="S. tabernaemontani"),G545&gt;0),E545*[1]Sheet1!$D$8+N545*[1]Sheet1!$E$8,IF(AND(D545="S. californicus",G545&gt;0),E545*[1]Sheet1!$D$9+N545*[1]Sheet1!$E$9,IF(D545="S.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latifolia"),E545&gt;0),F545*[1]Sheet1!$C$4+E545*[1]Sheet1!$D$4+H545*[1]Sheet1!$J$4+I545*[1]Sheet1!$K$4+[1]Sheet1!$L$4,IF(AND(OR(D545="T. domingensis",D545="T. latifolia"),J545&gt;0),J545*[1]Sheet1!$G$5+K545*[1]Sheet1!$H$5+L545*[1]Sheet1!$I$5+[1]Sheet1!$L$5,0)))))))</f>
        <v>2.2778064279999994</v>
      </c>
    </row>
    <row r="546" spans="1:15">
      <c r="A546" s="2">
        <v>40732</v>
      </c>
      <c r="B546" t="s">
        <v>37</v>
      </c>
      <c r="C546">
        <v>18</v>
      </c>
      <c r="D546" s="6" t="s">
        <v>29</v>
      </c>
      <c r="E546">
        <v>194</v>
      </c>
      <c r="F546">
        <v>0.45</v>
      </c>
      <c r="G546">
        <v>1</v>
      </c>
      <c r="M546" t="s">
        <v>39</v>
      </c>
      <c r="O546">
        <f>IF(AND(OR(D546="S. acutus",D546="S. californicus",D546="S. tabernaemontani"),G546=0),E546*[1]Sheet1!$D$7+[1]Sheet1!$L$7,IF(AND(OR(D546="S. acutus",D546="S. tabernaemontani"),G546&gt;0),E546*[1]Sheet1!$D$8+N546*[1]Sheet1!$E$8,IF(AND(D546="S. californicus",G546&gt;0),E546*[1]Sheet1!$D$9+N546*[1]Sheet1!$E$9,IF(D546="S.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latifolia"),E546&gt;0),F546*[1]Sheet1!$C$4+E546*[1]Sheet1!$D$4+H546*[1]Sheet1!$J$4+I546*[1]Sheet1!$K$4+[1]Sheet1!$L$4,IF(AND(OR(D546="T. domingensis",D546="T. latifolia"),J546&gt;0),J546*[1]Sheet1!$G$5+K546*[1]Sheet1!$H$5+L546*[1]Sheet1!$I$5+[1]Sheet1!$L$5,0)))))))</f>
        <v>2.3427448050000002</v>
      </c>
    </row>
    <row r="547" spans="1:15">
      <c r="A547" s="2">
        <v>40732</v>
      </c>
      <c r="B547" t="s">
        <v>37</v>
      </c>
      <c r="C547">
        <v>18</v>
      </c>
      <c r="D547" s="6" t="s">
        <v>29</v>
      </c>
      <c r="E547">
        <v>197</v>
      </c>
      <c r="F547">
        <v>0.78</v>
      </c>
      <c r="G547">
        <v>0</v>
      </c>
      <c r="M547" t="s">
        <v>39</v>
      </c>
      <c r="O547">
        <f>IF(AND(OR(D547="S. acutus",D547="S. californicus",D547="S. tabernaemontani"),G547=0),E547*[1]Sheet1!$D$7+[1]Sheet1!$L$7,IF(AND(OR(D547="S. acutus",D547="S. tabernaemontani"),G547&gt;0),E547*[1]Sheet1!$D$8+N547*[1]Sheet1!$E$8,IF(AND(D547="S. californicus",G547&gt;0),E547*[1]Sheet1!$D$9+N547*[1]Sheet1!$E$9,IF(D547="S.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latifolia"),E547&gt;0),F547*[1]Sheet1!$C$4+E547*[1]Sheet1!$D$4+H547*[1]Sheet1!$J$4+I547*[1]Sheet1!$K$4+[1]Sheet1!$L$4,IF(AND(OR(D547="T. domingensis",D547="T. latifolia"),J547&gt;0),J547*[1]Sheet1!$G$5+K547*[1]Sheet1!$H$5+L547*[1]Sheet1!$I$5+[1]Sheet1!$L$5,0)))))))</f>
        <v>3.5621148420000002</v>
      </c>
    </row>
    <row r="548" spans="1:15">
      <c r="A548" s="2">
        <v>40732</v>
      </c>
      <c r="B548" t="s">
        <v>37</v>
      </c>
      <c r="C548">
        <v>18</v>
      </c>
      <c r="D548" s="6" t="s">
        <v>29</v>
      </c>
      <c r="E548">
        <v>202</v>
      </c>
      <c r="F548">
        <v>0.5</v>
      </c>
      <c r="G548">
        <v>0</v>
      </c>
      <c r="M548" t="s">
        <v>39</v>
      </c>
      <c r="O548">
        <f>IF(AND(OR(D548="S. acutus",D548="S. californicus",D548="S. tabernaemontani"),G548=0),E548*[1]Sheet1!$D$7+[1]Sheet1!$L$7,IF(AND(OR(D548="S. acutus",D548="S. tabernaemontani"),G548&gt;0),E548*[1]Sheet1!$D$8+N548*[1]Sheet1!$E$8,IF(AND(D548="S. californicus",G548&gt;0),E548*[1]Sheet1!$D$9+N548*[1]Sheet1!$E$9,IF(D548="S.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latifolia"),E548&gt;0),F548*[1]Sheet1!$C$4+E548*[1]Sheet1!$D$4+H548*[1]Sheet1!$J$4+I548*[1]Sheet1!$K$4+[1]Sheet1!$L$4,IF(AND(OR(D548="T. domingensis",D548="T. latifolia"),J548&gt;0),J548*[1]Sheet1!$G$5+K548*[1]Sheet1!$H$5+L548*[1]Sheet1!$I$5+[1]Sheet1!$L$5,0)))))))</f>
        <v>2.6458158499999995</v>
      </c>
    </row>
    <row r="549" spans="1:15">
      <c r="A549" s="2">
        <v>40732</v>
      </c>
      <c r="B549" t="s">
        <v>37</v>
      </c>
      <c r="C549">
        <v>18</v>
      </c>
      <c r="D549" s="6" t="s">
        <v>29</v>
      </c>
      <c r="E549">
        <v>211</v>
      </c>
      <c r="F549">
        <v>0.6</v>
      </c>
      <c r="G549">
        <v>0</v>
      </c>
      <c r="M549" t="s">
        <v>39</v>
      </c>
      <c r="O549">
        <f>IF(AND(OR(D549="S. acutus",D549="S. californicus",D549="S. tabernaemontani"),G549=0),E549*[1]Sheet1!$D$7+[1]Sheet1!$L$7,IF(AND(OR(D549="S. acutus",D549="S. tabernaemontani"),G549&gt;0),E549*[1]Sheet1!$D$8+N549*[1]Sheet1!$E$8,IF(AND(D549="S. californicus",G549&gt;0),E549*[1]Sheet1!$D$9+N549*[1]Sheet1!$E$9,IF(D549="S.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latifolia"),E549&gt;0),F549*[1]Sheet1!$C$4+E549*[1]Sheet1!$D$4+H549*[1]Sheet1!$J$4+I549*[1]Sheet1!$K$4+[1]Sheet1!$L$4,IF(AND(OR(D549="T. domingensis",D549="T. latifolia"),J549&gt;0),J549*[1]Sheet1!$G$5+K549*[1]Sheet1!$H$5+L549*[1]Sheet1!$I$5+[1]Sheet1!$L$5,0)))))))</f>
        <v>3.1421930399999991</v>
      </c>
    </row>
    <row r="550" spans="1:15">
      <c r="A550" s="2">
        <v>40732</v>
      </c>
      <c r="B550" t="s">
        <v>37</v>
      </c>
      <c r="C550">
        <v>18</v>
      </c>
      <c r="D550" s="6" t="s">
        <v>29</v>
      </c>
      <c r="E550">
        <v>216</v>
      </c>
      <c r="F550">
        <v>0.57999999999999996</v>
      </c>
      <c r="G550">
        <v>0</v>
      </c>
      <c r="M550" t="s">
        <v>39</v>
      </c>
      <c r="O550">
        <f>IF(AND(OR(D550="S. acutus",D550="S. californicus",D550="S. tabernaemontani"),G550=0),E550*[1]Sheet1!$D$7+[1]Sheet1!$L$7,IF(AND(OR(D550="S. acutus",D550="S. tabernaemontani"),G550&gt;0),E550*[1]Sheet1!$D$8+N550*[1]Sheet1!$E$8,IF(AND(D550="S. californicus",G550&gt;0),E550*[1]Sheet1!$D$9+N550*[1]Sheet1!$E$9,IF(D550="S.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latifolia"),E550&gt;0),F550*[1]Sheet1!$C$4+E550*[1]Sheet1!$D$4+H550*[1]Sheet1!$J$4+I550*[1]Sheet1!$K$4+[1]Sheet1!$L$4,IF(AND(OR(D550="T. domingensis",D550="T. latifolia"),J550&gt;0),J550*[1]Sheet1!$G$5+K550*[1]Sheet1!$H$5+L550*[1]Sheet1!$I$5+[1]Sheet1!$L$5,0)))))))</f>
        <v>3.1495463619999993</v>
      </c>
    </row>
    <row r="551" spans="1:15">
      <c r="A551" s="2">
        <v>40732</v>
      </c>
      <c r="B551" t="s">
        <v>37</v>
      </c>
      <c r="C551">
        <v>18</v>
      </c>
      <c r="D551" s="6" t="s">
        <v>29</v>
      </c>
      <c r="E551">
        <v>216</v>
      </c>
      <c r="F551">
        <v>0.68</v>
      </c>
      <c r="G551">
        <v>0</v>
      </c>
      <c r="M551" t="s">
        <v>39</v>
      </c>
      <c r="O551">
        <f>IF(AND(OR(D551="S. acutus",D551="S. californicus",D551="S. tabernaemontani"),G551=0),E551*[1]Sheet1!$D$7+[1]Sheet1!$L$7,IF(AND(OR(D551="S. acutus",D551="S. tabernaemontani"),G551&gt;0),E551*[1]Sheet1!$D$8+N551*[1]Sheet1!$E$8,IF(AND(D551="S. californicus",G551&gt;0),E551*[1]Sheet1!$D$9+N551*[1]Sheet1!$E$9,IF(D551="S.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latifolia"),E551&gt;0),F551*[1]Sheet1!$C$4+E551*[1]Sheet1!$D$4+H551*[1]Sheet1!$J$4+I551*[1]Sheet1!$K$4+[1]Sheet1!$L$4,IF(AND(OR(D551="T. domingensis",D551="T. latifolia"),J551&gt;0),J551*[1]Sheet1!$G$5+K551*[1]Sheet1!$H$5+L551*[1]Sheet1!$I$5+[1]Sheet1!$L$5,0)))))))</f>
        <v>3.5047972519999999</v>
      </c>
    </row>
    <row r="552" spans="1:15">
      <c r="A552" s="2">
        <v>40732</v>
      </c>
      <c r="B552" t="s">
        <v>37</v>
      </c>
      <c r="C552">
        <v>18</v>
      </c>
      <c r="D552" s="6" t="s">
        <v>29</v>
      </c>
      <c r="E552">
        <v>216</v>
      </c>
      <c r="F552">
        <v>0.68</v>
      </c>
      <c r="G552">
        <v>0</v>
      </c>
      <c r="M552" t="s">
        <v>39</v>
      </c>
      <c r="O552">
        <f>IF(AND(OR(D552="S. acutus",D552="S. californicus",D552="S. tabernaemontani"),G552=0),E552*[1]Sheet1!$D$7+[1]Sheet1!$L$7,IF(AND(OR(D552="S. acutus",D552="S. tabernaemontani"),G552&gt;0),E552*[1]Sheet1!$D$8+N552*[1]Sheet1!$E$8,IF(AND(D552="S. californicus",G552&gt;0),E552*[1]Sheet1!$D$9+N552*[1]Sheet1!$E$9,IF(D552="S.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latifolia"),E552&gt;0),F552*[1]Sheet1!$C$4+E552*[1]Sheet1!$D$4+H552*[1]Sheet1!$J$4+I552*[1]Sheet1!$K$4+[1]Sheet1!$L$4,IF(AND(OR(D552="T. domingensis",D552="T. latifolia"),J552&gt;0),J552*[1]Sheet1!$G$5+K552*[1]Sheet1!$H$5+L552*[1]Sheet1!$I$5+[1]Sheet1!$L$5,0)))))))</f>
        <v>3.5047972519999999</v>
      </c>
    </row>
    <row r="553" spans="1:15">
      <c r="A553" s="2">
        <v>40732</v>
      </c>
      <c r="B553" t="s">
        <v>37</v>
      </c>
      <c r="C553">
        <v>18</v>
      </c>
      <c r="D553" s="6" t="s">
        <v>29</v>
      </c>
      <c r="E553">
        <v>219</v>
      </c>
      <c r="F553">
        <v>0.54</v>
      </c>
      <c r="G553">
        <v>0</v>
      </c>
      <c r="M553" t="s">
        <v>39</v>
      </c>
      <c r="O553">
        <f>IF(AND(OR(D553="S. acutus",D553="S. californicus",D553="S. tabernaemontani"),G553=0),E553*[1]Sheet1!$D$7+[1]Sheet1!$L$7,IF(AND(OR(D553="S. acutus",D553="S. tabernaemontani"),G553&gt;0),E553*[1]Sheet1!$D$8+N553*[1]Sheet1!$E$8,IF(AND(D553="S. californicus",G553&gt;0),E553*[1]Sheet1!$D$9+N553*[1]Sheet1!$E$9,IF(D553="S.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latifolia"),E553&gt;0),F553*[1]Sheet1!$C$4+E553*[1]Sheet1!$D$4+H553*[1]Sheet1!$J$4+I553*[1]Sheet1!$K$4+[1]Sheet1!$L$4,IF(AND(OR(D553="T. domingensis",D553="T. latifolia"),J553&gt;0),J553*[1]Sheet1!$G$5+K553*[1]Sheet1!$H$5+L553*[1]Sheet1!$I$5+[1]Sheet1!$L$5,0)))))))</f>
        <v>3.0544881059999995</v>
      </c>
    </row>
    <row r="554" spans="1:15">
      <c r="A554" s="2">
        <v>40732</v>
      </c>
      <c r="B554" t="s">
        <v>37</v>
      </c>
      <c r="C554">
        <v>18</v>
      </c>
      <c r="D554" s="6" t="s">
        <v>29</v>
      </c>
      <c r="E554">
        <v>225</v>
      </c>
      <c r="F554">
        <v>0.52</v>
      </c>
      <c r="G554">
        <v>0</v>
      </c>
      <c r="M554" t="s">
        <v>39</v>
      </c>
      <c r="O554">
        <f>IF(AND(OR(D554="S. acutus",D554="S. californicus",D554="S. tabernaemontani"),G554=0),E554*[1]Sheet1!$D$7+[1]Sheet1!$L$7,IF(AND(OR(D554="S. acutus",D554="S. tabernaemontani"),G554&gt;0),E554*[1]Sheet1!$D$8+N554*[1]Sheet1!$E$8,IF(AND(D554="S. californicus",G554&gt;0),E554*[1]Sheet1!$D$9+N554*[1]Sheet1!$E$9,IF(D554="S.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latifolia"),E554&gt;0),F554*[1]Sheet1!$C$4+E554*[1]Sheet1!$D$4+H554*[1]Sheet1!$J$4+I554*[1]Sheet1!$K$4+[1]Sheet1!$L$4,IF(AND(OR(D554="T. domingensis",D554="T. latifolia"),J554&gt;0),J554*[1]Sheet1!$G$5+K554*[1]Sheet1!$H$5+L554*[1]Sheet1!$I$5+[1]Sheet1!$L$5,0)))))))</f>
        <v>3.0775221279999996</v>
      </c>
    </row>
    <row r="555" spans="1:15">
      <c r="A555" s="2">
        <v>40732</v>
      </c>
      <c r="B555" t="s">
        <v>37</v>
      </c>
      <c r="C555">
        <v>18</v>
      </c>
      <c r="D555" s="6" t="s">
        <v>29</v>
      </c>
      <c r="E555">
        <v>233</v>
      </c>
      <c r="F555">
        <v>0.6</v>
      </c>
      <c r="G555">
        <v>0</v>
      </c>
      <c r="M555" t="s">
        <v>39</v>
      </c>
      <c r="O555">
        <f>IF(AND(OR(D555="S. acutus",D555="S. californicus",D555="S. tabernaemontani"),G555=0),E555*[1]Sheet1!$D$7+[1]Sheet1!$L$7,IF(AND(OR(D555="S. acutus",D555="S. tabernaemontani"),G555&gt;0),E555*[1]Sheet1!$D$8+N555*[1]Sheet1!$E$8,IF(AND(D555="S. californicus",G555&gt;0),E555*[1]Sheet1!$D$9+N555*[1]Sheet1!$E$9,IF(D555="S.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latifolia"),E555&gt;0),F555*[1]Sheet1!$C$4+E555*[1]Sheet1!$D$4+H555*[1]Sheet1!$J$4+I555*[1]Sheet1!$K$4+[1]Sheet1!$L$4,IF(AND(OR(D555="T. domingensis",D555="T. latifolia"),J555&gt;0),J555*[1]Sheet1!$G$5+K555*[1]Sheet1!$H$5+L555*[1]Sheet1!$I$5+[1]Sheet1!$L$5,0)))))))</f>
        <v>3.48716844</v>
      </c>
    </row>
    <row r="556" spans="1:15">
      <c r="A556" s="2">
        <v>40732</v>
      </c>
      <c r="B556" t="s">
        <v>37</v>
      </c>
      <c r="C556">
        <v>18</v>
      </c>
      <c r="D556" s="6" t="s">
        <v>29</v>
      </c>
      <c r="E556">
        <v>238</v>
      </c>
      <c r="F556">
        <v>0.54</v>
      </c>
      <c r="G556">
        <v>0</v>
      </c>
      <c r="M556" t="s">
        <v>39</v>
      </c>
      <c r="O556">
        <f>IF(AND(OR(D556="S. acutus",D556="S. californicus",D556="S. tabernaemontani"),G556=0),E556*[1]Sheet1!$D$7+[1]Sheet1!$L$7,IF(AND(OR(D556="S. acutus",D556="S. tabernaemontani"),G556&gt;0),E556*[1]Sheet1!$D$8+N556*[1]Sheet1!$E$8,IF(AND(D556="S. californicus",G556&gt;0),E556*[1]Sheet1!$D$9+N556*[1]Sheet1!$E$9,IF(D556="S.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latifolia"),E556&gt;0),F556*[1]Sheet1!$C$4+E556*[1]Sheet1!$D$4+H556*[1]Sheet1!$J$4+I556*[1]Sheet1!$K$4+[1]Sheet1!$L$4,IF(AND(OR(D556="T. domingensis",D556="T. latifolia"),J556&gt;0),J556*[1]Sheet1!$G$5+K556*[1]Sheet1!$H$5+L556*[1]Sheet1!$I$5+[1]Sheet1!$L$5,0)))))))</f>
        <v>3.3524214059999999</v>
      </c>
    </row>
    <row r="557" spans="1:15">
      <c r="A557" s="2">
        <v>40732</v>
      </c>
      <c r="B557" t="s">
        <v>37</v>
      </c>
      <c r="C557">
        <v>18</v>
      </c>
      <c r="D557" s="6" t="s">
        <v>19</v>
      </c>
      <c r="E557">
        <v>316</v>
      </c>
      <c r="F557">
        <v>2.84</v>
      </c>
      <c r="H557">
        <v>27</v>
      </c>
      <c r="I557">
        <v>2.6</v>
      </c>
      <c r="M557" t="s">
        <v>39</v>
      </c>
      <c r="O557">
        <f>IF(AND(OR(D557="S. acutus",D557="S. californicus",D557="S. tabernaemontani"),G557=0),E557*[1]Sheet1!$D$7+[1]Sheet1!$L$7,IF(AND(OR(D557="S. acutus",D557="S. tabernaemontani"),G557&gt;0),E557*[1]Sheet1!$D$8+N557*[1]Sheet1!$E$8,IF(AND(D557="S. californicus",G557&gt;0),E557*[1]Sheet1!$D$9+N557*[1]Sheet1!$E$9,IF(D557="S.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latifolia"),E557&gt;0),F557*[1]Sheet1!$C$4+E557*[1]Sheet1!$D$4+H557*[1]Sheet1!$J$4+I557*[1]Sheet1!$K$4+[1]Sheet1!$L$4,IF(AND(OR(D557="T. domingensis",D557="T. latifolia"),J557&gt;0),J557*[1]Sheet1!$G$5+K557*[1]Sheet1!$H$5+L557*[1]Sheet1!$I$5+[1]Sheet1!$L$5,0)))))))</f>
        <v>123.09846567999998</v>
      </c>
    </row>
    <row r="558" spans="1:15">
      <c r="A558" s="2">
        <v>40732</v>
      </c>
      <c r="B558" t="s">
        <v>37</v>
      </c>
      <c r="C558">
        <v>18</v>
      </c>
      <c r="D558" s="6" t="s">
        <v>19</v>
      </c>
      <c r="E558">
        <v>320</v>
      </c>
      <c r="F558">
        <v>2.83</v>
      </c>
      <c r="H558">
        <v>33</v>
      </c>
      <c r="I558">
        <v>2.5</v>
      </c>
      <c r="M558" t="s">
        <v>39</v>
      </c>
      <c r="O558">
        <f>IF(AND(OR(D558="S. acutus",D558="S. californicus",D558="S. tabernaemontani"),G558=0),E558*[1]Sheet1!$D$7+[1]Sheet1!$L$7,IF(AND(OR(D558="S. acutus",D558="S. tabernaemontani"),G558&gt;0),E558*[1]Sheet1!$D$8+N558*[1]Sheet1!$E$8,IF(AND(D558="S. californicus",G558&gt;0),E558*[1]Sheet1!$D$9+N558*[1]Sheet1!$E$9,IF(D558="S.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latifolia"),E558&gt;0),F558*[1]Sheet1!$C$4+E558*[1]Sheet1!$D$4+H558*[1]Sheet1!$J$4+I558*[1]Sheet1!$K$4+[1]Sheet1!$L$4,IF(AND(OR(D558="T. domingensis",D558="T. latifolia"),J558&gt;0),J558*[1]Sheet1!$G$5+K558*[1]Sheet1!$H$5+L558*[1]Sheet1!$I$5+[1]Sheet1!$L$5,0)))))))</f>
        <v>127.95514471000001</v>
      </c>
    </row>
    <row r="559" spans="1:15">
      <c r="A559" s="2">
        <v>40732</v>
      </c>
      <c r="B559" t="s">
        <v>37</v>
      </c>
      <c r="C559">
        <v>18</v>
      </c>
      <c r="D559" s="6" t="s">
        <v>19</v>
      </c>
      <c r="E559">
        <v>324</v>
      </c>
      <c r="F559">
        <v>3.09</v>
      </c>
      <c r="H559">
        <v>24</v>
      </c>
      <c r="I559">
        <v>1.8</v>
      </c>
      <c r="M559" t="s">
        <v>39</v>
      </c>
      <c r="O559">
        <f>IF(AND(OR(D559="S. acutus",D559="S. californicus",D559="S. tabernaemontani"),G559=0),E559*[1]Sheet1!$D$7+[1]Sheet1!$L$7,IF(AND(OR(D559="S. acutus",D559="S. tabernaemontani"),G559&gt;0),E559*[1]Sheet1!$D$8+N559*[1]Sheet1!$E$8,IF(AND(D559="S. californicus",G559&gt;0),E559*[1]Sheet1!$D$9+N559*[1]Sheet1!$E$9,IF(D559="S.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latifolia"),E559&gt;0),F559*[1]Sheet1!$C$4+E559*[1]Sheet1!$D$4+H559*[1]Sheet1!$J$4+I559*[1]Sheet1!$K$4+[1]Sheet1!$L$4,IF(AND(OR(D559="T. domingensis",D559="T. latifolia"),J559&gt;0),J559*[1]Sheet1!$G$5+K559*[1]Sheet1!$H$5+L559*[1]Sheet1!$I$5+[1]Sheet1!$L$5,0)))))))</f>
        <v>113.57414052999999</v>
      </c>
    </row>
    <row r="560" spans="1:15">
      <c r="A560" s="2">
        <v>40732</v>
      </c>
      <c r="B560" t="s">
        <v>37</v>
      </c>
      <c r="C560">
        <v>18</v>
      </c>
      <c r="D560" s="6" t="s">
        <v>19</v>
      </c>
      <c r="F560">
        <v>1.05</v>
      </c>
      <c r="J560">
        <f>SUM(154,209,280)</f>
        <v>643</v>
      </c>
      <c r="K560">
        <v>3</v>
      </c>
      <c r="L560">
        <v>280</v>
      </c>
      <c r="M560" t="s">
        <v>39</v>
      </c>
      <c r="O560">
        <f>IF(AND(OR(D560="S. acutus",D560="S. californicus",D560="S. tabernaemontani"),G560=0),E560*[1]Sheet1!$D$7+[1]Sheet1!$L$7,IF(AND(OR(D560="S. acutus",D560="S. tabernaemontani"),G560&gt;0),E560*[1]Sheet1!$D$8+N560*[1]Sheet1!$E$8,IF(AND(D560="S. californicus",G560&gt;0),E560*[1]Sheet1!$D$9+N560*[1]Sheet1!$E$9,IF(D560="S.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latifolia"),E560&gt;0),F560*[1]Sheet1!$C$4+E560*[1]Sheet1!$D$4+H560*[1]Sheet1!$J$4+I560*[1]Sheet1!$K$4+[1]Sheet1!$L$4,IF(AND(OR(D560="T. domingensis",D560="T. latifolia"),J560&gt;0),J560*[1]Sheet1!$G$5+K560*[1]Sheet1!$H$5+L560*[1]Sheet1!$I$5+[1]Sheet1!$L$5,0)))))))</f>
        <v>-12.09420999999999</v>
      </c>
    </row>
    <row r="561" spans="1:15">
      <c r="A561" s="2">
        <v>40732</v>
      </c>
      <c r="B561" t="s">
        <v>37</v>
      </c>
      <c r="C561">
        <v>18</v>
      </c>
      <c r="D561" s="6" t="s">
        <v>19</v>
      </c>
      <c r="F561">
        <v>1.84</v>
      </c>
      <c r="J561">
        <f>SUM(192,269,300,323)</f>
        <v>1084</v>
      </c>
      <c r="K561">
        <v>4</v>
      </c>
      <c r="L561">
        <v>323</v>
      </c>
      <c r="M561" t="s">
        <v>39</v>
      </c>
      <c r="O561">
        <f>IF(AND(OR(D561="S. acutus",D561="S. californicus",D561="S. tabernaemontani"),G561=0),E561*[1]Sheet1!$D$7+[1]Sheet1!$L$7,IF(AND(OR(D561="S. acutus",D561="S. tabernaemontani"),G561&gt;0),E561*[1]Sheet1!$D$8+N561*[1]Sheet1!$E$8,IF(AND(D561="S. californicus",G561&gt;0),E561*[1]Sheet1!$D$9+N561*[1]Sheet1!$E$9,IF(D561="S.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latifolia"),E561&gt;0),F561*[1]Sheet1!$C$4+E561*[1]Sheet1!$D$4+H561*[1]Sheet1!$J$4+I561*[1]Sheet1!$K$4+[1]Sheet1!$L$4,IF(AND(OR(D561="T. domingensis",D561="T. latifolia"),J561&gt;0),J561*[1]Sheet1!$G$5+K561*[1]Sheet1!$H$5+L561*[1]Sheet1!$I$5+[1]Sheet1!$L$5,0)))))))</f>
        <v>9.2758570000000091</v>
      </c>
    </row>
    <row r="562" spans="1:15">
      <c r="A562" s="2">
        <v>40732</v>
      </c>
      <c r="B562" t="s">
        <v>37</v>
      </c>
      <c r="C562">
        <v>18</v>
      </c>
      <c r="D562" s="6" t="s">
        <v>19</v>
      </c>
      <c r="F562">
        <v>1.1000000000000001</v>
      </c>
      <c r="J562">
        <f>SUM(202,235,278,290)</f>
        <v>1005</v>
      </c>
      <c r="K562">
        <v>4</v>
      </c>
      <c r="L562">
        <v>290</v>
      </c>
      <c r="M562" t="s">
        <v>39</v>
      </c>
      <c r="O562">
        <f>IF(AND(OR(D562="S. acutus",D562="S. californicus",D562="S. tabernaemontani"),G562=0),E562*[1]Sheet1!$D$7+[1]Sheet1!$L$7,IF(AND(OR(D562="S. acutus",D562="S. tabernaemontani"),G562&gt;0),E562*[1]Sheet1!$D$8+N562*[1]Sheet1!$E$8,IF(AND(D562="S. californicus",G562&gt;0),E562*[1]Sheet1!$D$9+N562*[1]Sheet1!$E$9,IF(D562="S.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latifolia"),E562&gt;0),F562*[1]Sheet1!$C$4+E562*[1]Sheet1!$D$4+H562*[1]Sheet1!$J$4+I562*[1]Sheet1!$K$4+[1]Sheet1!$L$4,IF(AND(OR(D562="T. domingensis",D562="T. latifolia"),J562&gt;0),J562*[1]Sheet1!$G$5+K562*[1]Sheet1!$H$5+L562*[1]Sheet1!$I$5+[1]Sheet1!$L$5,0)))))))</f>
        <v>11.810297000000013</v>
      </c>
    </row>
    <row r="563" spans="1:15">
      <c r="A563" s="2">
        <v>40732</v>
      </c>
      <c r="B563" t="s">
        <v>37</v>
      </c>
      <c r="C563">
        <v>18</v>
      </c>
      <c r="D563" s="6" t="s">
        <v>19</v>
      </c>
      <c r="F563">
        <v>3.14</v>
      </c>
      <c r="J563">
        <f>SUM(192,232,242,281,312,339,374,376)</f>
        <v>2348</v>
      </c>
      <c r="K563">
        <v>8</v>
      </c>
      <c r="L563">
        <v>376</v>
      </c>
      <c r="M563" t="s">
        <v>39</v>
      </c>
      <c r="O563">
        <f>IF(AND(OR(D563="S. acutus",D563="S. californicus",D563="S. tabernaemontani"),G563=0),E563*[1]Sheet1!$D$7+[1]Sheet1!$L$7,IF(AND(OR(D563="S. acutus",D563="S. tabernaemontani"),G563&gt;0),E563*[1]Sheet1!$D$8+N563*[1]Sheet1!$E$8,IF(AND(D563="S. californicus",G563&gt;0),E563*[1]Sheet1!$D$9+N563*[1]Sheet1!$E$9,IF(D563="S.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latifolia"),E563&gt;0),F563*[1]Sheet1!$C$4+E563*[1]Sheet1!$D$4+H563*[1]Sheet1!$J$4+I563*[1]Sheet1!$K$4+[1]Sheet1!$L$4,IF(AND(OR(D563="T. domingensis",D563="T. latifolia"),J563&gt;0),J563*[1]Sheet1!$G$5+K563*[1]Sheet1!$H$5+L563*[1]Sheet1!$I$5+[1]Sheet1!$L$5,0)))))))</f>
        <v>83.726780000000019</v>
      </c>
    </row>
    <row r="564" spans="1:15">
      <c r="A564" s="2">
        <v>40732</v>
      </c>
      <c r="B564" t="s">
        <v>37</v>
      </c>
      <c r="C564">
        <v>32</v>
      </c>
      <c r="D564" s="6" t="s">
        <v>29</v>
      </c>
      <c r="E564">
        <v>32</v>
      </c>
      <c r="F564">
        <v>0.25</v>
      </c>
      <c r="G564">
        <v>0</v>
      </c>
      <c r="M564" t="s">
        <v>50</v>
      </c>
      <c r="O564">
        <f>IF(AND(OR(D564="S. acutus",D564="S. californicus",D564="S. tabernaemontani"),G564=0),E564*[1]Sheet1!$D$7+[1]Sheet1!$L$7,IF(AND(OR(D564="S. acutus",D564="S. tabernaemontani"),G564&gt;0),E564*[1]Sheet1!$D$8+N564*[1]Sheet1!$E$8,IF(AND(D564="S. californicus",G564&gt;0),E564*[1]Sheet1!$D$9+N564*[1]Sheet1!$E$9,IF(D564="S.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latifolia"),E564&gt;0),F564*[1]Sheet1!$C$4+E564*[1]Sheet1!$D$4+H564*[1]Sheet1!$J$4+I564*[1]Sheet1!$K$4+[1]Sheet1!$L$4,IF(AND(OR(D564="T. domingensis",D564="T. latifolia"),J564&gt;0),J564*[1]Sheet1!$G$5+K564*[1]Sheet1!$H$5+L564*[1]Sheet1!$I$5+[1]Sheet1!$L$5,0)))))))</f>
        <v>-0.90803037500000006</v>
      </c>
    </row>
    <row r="565" spans="1:15">
      <c r="A565" s="2">
        <v>40732</v>
      </c>
      <c r="B565" t="s">
        <v>37</v>
      </c>
      <c r="C565">
        <v>32</v>
      </c>
      <c r="D565" s="6" t="s">
        <v>29</v>
      </c>
      <c r="E565">
        <v>43</v>
      </c>
      <c r="F565">
        <v>0.74</v>
      </c>
      <c r="G565">
        <v>0</v>
      </c>
      <c r="M565" t="s">
        <v>50</v>
      </c>
      <c r="O565">
        <f>IF(AND(OR(D565="S. acutus",D565="S. californicus",D565="S. tabernaemontani"),G565=0),E565*[1]Sheet1!$D$7+[1]Sheet1!$L$7,IF(AND(OR(D565="S. acutus",D565="S. tabernaemontani"),G565&gt;0),E565*[1]Sheet1!$D$8+N565*[1]Sheet1!$E$8,IF(AND(D565="S. californicus",G565&gt;0),E565*[1]Sheet1!$D$9+N565*[1]Sheet1!$E$9,IF(D565="S.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latifolia"),E565&gt;0),F565*[1]Sheet1!$C$4+E565*[1]Sheet1!$D$4+H565*[1]Sheet1!$J$4+I565*[1]Sheet1!$K$4+[1]Sheet1!$L$4,IF(AND(OR(D565="T. domingensis",D565="T. latifolia"),J565&gt;0),J565*[1]Sheet1!$G$5+K565*[1]Sheet1!$H$5+L565*[1]Sheet1!$I$5+[1]Sheet1!$L$5,0)))))))</f>
        <v>1.0051866859999996</v>
      </c>
    </row>
    <row r="566" spans="1:15">
      <c r="A566" s="2">
        <v>40732</v>
      </c>
      <c r="B566" t="s">
        <v>37</v>
      </c>
      <c r="C566">
        <v>32</v>
      </c>
      <c r="D566" s="6" t="s">
        <v>29</v>
      </c>
      <c r="E566">
        <v>66</v>
      </c>
      <c r="F566">
        <v>0.53</v>
      </c>
      <c r="G566">
        <v>0</v>
      </c>
      <c r="M566" t="s">
        <v>50</v>
      </c>
      <c r="O566">
        <f>IF(AND(OR(D566="S. acutus",D566="S. californicus",D566="S. tabernaemontani"),G566=0),E566*[1]Sheet1!$D$7+[1]Sheet1!$L$7,IF(AND(OR(D566="S. acutus",D566="S. tabernaemontani"),G566&gt;0),E566*[1]Sheet1!$D$8+N566*[1]Sheet1!$E$8,IF(AND(D566="S. californicus",G566&gt;0),E566*[1]Sheet1!$D$9+N566*[1]Sheet1!$E$9,IF(D566="S.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latifolia"),E566&gt;0),F566*[1]Sheet1!$C$4+E566*[1]Sheet1!$D$4+H566*[1]Sheet1!$J$4+I566*[1]Sheet1!$K$4+[1]Sheet1!$L$4,IF(AND(OR(D566="T. domingensis",D566="T. latifolia"),J566&gt;0),J566*[1]Sheet1!$G$5+K566*[1]Sheet1!$H$5+L566*[1]Sheet1!$I$5+[1]Sheet1!$L$5,0)))))))</f>
        <v>0.61981591699999994</v>
      </c>
    </row>
    <row r="567" spans="1:15">
      <c r="A567" s="2">
        <v>40732</v>
      </c>
      <c r="B567" t="s">
        <v>37</v>
      </c>
      <c r="C567">
        <v>32</v>
      </c>
      <c r="D567" s="6" t="s">
        <v>29</v>
      </c>
      <c r="E567">
        <v>66</v>
      </c>
      <c r="F567">
        <v>0.55000000000000004</v>
      </c>
      <c r="G567">
        <v>0</v>
      </c>
      <c r="M567" t="s">
        <v>50</v>
      </c>
      <c r="O567">
        <f>IF(AND(OR(D567="S. acutus",D567="S. californicus",D567="S. tabernaemontani"),G567=0),E567*[1]Sheet1!$D$7+[1]Sheet1!$L$7,IF(AND(OR(D567="S. acutus",D567="S. tabernaemontani"),G567&gt;0),E567*[1]Sheet1!$D$8+N567*[1]Sheet1!$E$8,IF(AND(D567="S. californicus",G567&gt;0),E567*[1]Sheet1!$D$9+N567*[1]Sheet1!$E$9,IF(D567="S.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latifolia"),E567&gt;0),F567*[1]Sheet1!$C$4+E567*[1]Sheet1!$D$4+H567*[1]Sheet1!$J$4+I567*[1]Sheet1!$K$4+[1]Sheet1!$L$4,IF(AND(OR(D567="T. domingensis",D567="T. latifolia"),J567&gt;0),J567*[1]Sheet1!$G$5+K567*[1]Sheet1!$H$5+L567*[1]Sheet1!$I$5+[1]Sheet1!$L$5,0)))))))</f>
        <v>0.69086609500000007</v>
      </c>
    </row>
    <row r="568" spans="1:15">
      <c r="A568" s="2">
        <v>40732</v>
      </c>
      <c r="B568" t="s">
        <v>37</v>
      </c>
      <c r="C568">
        <v>32</v>
      </c>
      <c r="D568" s="6" t="s">
        <v>29</v>
      </c>
      <c r="E568">
        <v>75</v>
      </c>
      <c r="F568">
        <v>0.59</v>
      </c>
      <c r="G568">
        <v>0</v>
      </c>
      <c r="M568" t="s">
        <v>50</v>
      </c>
      <c r="O568">
        <f>IF(AND(OR(D568="S. acutus",D568="S. californicus",D568="S. tabernaemontani"),G568=0),E568*[1]Sheet1!$D$7+[1]Sheet1!$L$7,IF(AND(OR(D568="S. acutus",D568="S. tabernaemontani"),G568&gt;0),E568*[1]Sheet1!$D$8+N568*[1]Sheet1!$E$8,IF(AND(D568="S. californicus",G568&gt;0),E568*[1]Sheet1!$D$9+N568*[1]Sheet1!$E$9,IF(D568="S.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latifolia"),E568&gt;0),F568*[1]Sheet1!$C$4+E568*[1]Sheet1!$D$4+H568*[1]Sheet1!$J$4+I568*[1]Sheet1!$K$4+[1]Sheet1!$L$4,IF(AND(OR(D568="T. domingensis",D568="T. latifolia"),J568&gt;0),J568*[1]Sheet1!$G$5+K568*[1]Sheet1!$H$5+L568*[1]Sheet1!$I$5+[1]Sheet1!$L$5,0)))))))</f>
        <v>0.9740927509999997</v>
      </c>
    </row>
    <row r="569" spans="1:15">
      <c r="A569" s="2">
        <v>40732</v>
      </c>
      <c r="B569" t="s">
        <v>37</v>
      </c>
      <c r="C569">
        <v>32</v>
      </c>
      <c r="D569" s="6" t="s">
        <v>29</v>
      </c>
      <c r="E569">
        <v>82</v>
      </c>
      <c r="F569">
        <v>0.53</v>
      </c>
      <c r="G569">
        <v>0</v>
      </c>
      <c r="M569" t="s">
        <v>50</v>
      </c>
      <c r="O569">
        <f>IF(AND(OR(D569="S. acutus",D569="S. californicus",D569="S. tabernaemontani"),G569=0),E569*[1]Sheet1!$D$7+[1]Sheet1!$L$7,IF(AND(OR(D569="S. acutus",D569="S. tabernaemontani"),G569&gt;0),E569*[1]Sheet1!$D$8+N569*[1]Sheet1!$E$8,IF(AND(D569="S. californicus",G569&gt;0),E569*[1]Sheet1!$D$9+N569*[1]Sheet1!$E$9,IF(D569="S.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latifolia"),E569&gt;0),F569*[1]Sheet1!$C$4+E569*[1]Sheet1!$D$4+H569*[1]Sheet1!$J$4+I569*[1]Sheet1!$K$4+[1]Sheet1!$L$4,IF(AND(OR(D569="T. domingensis",D569="T. latifolia"),J569&gt;0),J569*[1]Sheet1!$G$5+K569*[1]Sheet1!$H$5+L569*[1]Sheet1!$I$5+[1]Sheet1!$L$5,0)))))))</f>
        <v>0.87070711699999981</v>
      </c>
    </row>
    <row r="570" spans="1:15">
      <c r="A570" s="2">
        <v>40732</v>
      </c>
      <c r="B570" t="s">
        <v>37</v>
      </c>
      <c r="C570">
        <v>32</v>
      </c>
      <c r="D570" s="6" t="s">
        <v>29</v>
      </c>
      <c r="E570">
        <v>83</v>
      </c>
      <c r="F570">
        <v>0.55000000000000004</v>
      </c>
      <c r="G570">
        <v>0</v>
      </c>
      <c r="M570" t="s">
        <v>50</v>
      </c>
      <c r="O570">
        <f>IF(AND(OR(D570="S. acutus",D570="S. californicus",D570="S. tabernaemontani"),G570=0),E570*[1]Sheet1!$D$7+[1]Sheet1!$L$7,IF(AND(OR(D570="S. acutus",D570="S. tabernaemontani"),G570&gt;0),E570*[1]Sheet1!$D$8+N570*[1]Sheet1!$E$8,IF(AND(D570="S. californicus",G570&gt;0),E570*[1]Sheet1!$D$9+N570*[1]Sheet1!$E$9,IF(D570="S.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latifolia"),E570&gt;0),F570*[1]Sheet1!$C$4+E570*[1]Sheet1!$D$4+H570*[1]Sheet1!$J$4+I570*[1]Sheet1!$K$4+[1]Sheet1!$L$4,IF(AND(OR(D570="T. domingensis",D570="T. latifolia"),J570&gt;0),J570*[1]Sheet1!$G$5+K570*[1]Sheet1!$H$5+L570*[1]Sheet1!$I$5+[1]Sheet1!$L$5,0)))))))</f>
        <v>0.95743799499999982</v>
      </c>
    </row>
    <row r="571" spans="1:15">
      <c r="A571" s="2">
        <v>40732</v>
      </c>
      <c r="B571" t="s">
        <v>37</v>
      </c>
      <c r="C571">
        <v>32</v>
      </c>
      <c r="D571" s="6" t="s">
        <v>29</v>
      </c>
      <c r="E571">
        <v>84</v>
      </c>
      <c r="F571">
        <v>0.92</v>
      </c>
      <c r="G571">
        <v>0</v>
      </c>
      <c r="M571" t="s">
        <v>50</v>
      </c>
      <c r="O571">
        <f>IF(AND(OR(D571="S. acutus",D571="S. californicus",D571="S. tabernaemontani"),G571=0),E571*[1]Sheet1!$D$7+[1]Sheet1!$L$7,IF(AND(OR(D571="S. acutus",D571="S. tabernaemontani"),G571&gt;0),E571*[1]Sheet1!$D$8+N571*[1]Sheet1!$E$8,IF(AND(D571="S. californicus",G571&gt;0),E571*[1]Sheet1!$D$9+N571*[1]Sheet1!$E$9,IF(D571="S.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latifolia"),E571&gt;0),F571*[1]Sheet1!$C$4+E571*[1]Sheet1!$D$4+H571*[1]Sheet1!$J$4+I571*[1]Sheet1!$K$4+[1]Sheet1!$L$4,IF(AND(OR(D571="T. domingensis",D571="T. latifolia"),J571&gt;0),J571*[1]Sheet1!$G$5+K571*[1]Sheet1!$H$5+L571*[1]Sheet1!$I$5+[1]Sheet1!$L$5,0)))))))</f>
        <v>2.2875469880000003</v>
      </c>
    </row>
    <row r="572" spans="1:15">
      <c r="A572" s="2">
        <v>40732</v>
      </c>
      <c r="B572" t="s">
        <v>37</v>
      </c>
      <c r="C572">
        <v>32</v>
      </c>
      <c r="D572" s="6" t="s">
        <v>29</v>
      </c>
      <c r="E572">
        <v>87</v>
      </c>
      <c r="F572">
        <v>0.85</v>
      </c>
      <c r="G572">
        <v>0</v>
      </c>
      <c r="M572" t="s">
        <v>50</v>
      </c>
      <c r="O572">
        <f>IF(AND(OR(D572="S. acutus",D572="S. californicus",D572="S. tabernaemontani"),G572=0),E572*[1]Sheet1!$D$7+[1]Sheet1!$L$7,IF(AND(OR(D572="S. acutus",D572="S. tabernaemontani"),G572&gt;0),E572*[1]Sheet1!$D$8+N572*[1]Sheet1!$E$8,IF(AND(D572="S. californicus",G572&gt;0),E572*[1]Sheet1!$D$9+N572*[1]Sheet1!$E$9,IF(D572="S.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latifolia"),E572&gt;0),F572*[1]Sheet1!$C$4+E572*[1]Sheet1!$D$4+H572*[1]Sheet1!$J$4+I572*[1]Sheet1!$K$4+[1]Sheet1!$L$4,IF(AND(OR(D572="T. domingensis",D572="T. latifolia"),J572&gt;0),J572*[1]Sheet1!$G$5+K572*[1]Sheet1!$H$5+L572*[1]Sheet1!$I$5+[1]Sheet1!$L$5,0)))))))</f>
        <v>2.0859134649999995</v>
      </c>
    </row>
    <row r="573" spans="1:15">
      <c r="A573" s="2">
        <v>40732</v>
      </c>
      <c r="B573" t="s">
        <v>37</v>
      </c>
      <c r="C573">
        <v>32</v>
      </c>
      <c r="D573" s="6" t="s">
        <v>29</v>
      </c>
      <c r="E573">
        <v>141</v>
      </c>
      <c r="F573">
        <v>0.25</v>
      </c>
      <c r="G573">
        <v>0</v>
      </c>
      <c r="M573" t="s">
        <v>50</v>
      </c>
      <c r="O573">
        <f>IF(AND(OR(D573="S. acutus",D573="S. californicus",D573="S. tabernaemontani"),G573=0),E573*[1]Sheet1!$D$7+[1]Sheet1!$L$7,IF(AND(OR(D573="S. acutus",D573="S. tabernaemontani"),G573&gt;0),E573*[1]Sheet1!$D$8+N573*[1]Sheet1!$E$8,IF(AND(D573="S. californicus",G573&gt;0),E573*[1]Sheet1!$D$9+N573*[1]Sheet1!$E$9,IF(D573="S.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latifolia"),E573&gt;0),F573*[1]Sheet1!$C$4+E573*[1]Sheet1!$D$4+H573*[1]Sheet1!$J$4+I573*[1]Sheet1!$K$4+[1]Sheet1!$L$4,IF(AND(OR(D573="T. domingensis",D573="T. latifolia"),J573&gt;0),J573*[1]Sheet1!$G$5+K573*[1]Sheet1!$H$5+L573*[1]Sheet1!$I$5+[1]Sheet1!$L$5,0)))))))</f>
        <v>0.80116592499999939</v>
      </c>
    </row>
    <row r="574" spans="1:15">
      <c r="A574" s="2">
        <v>40732</v>
      </c>
      <c r="B574" t="s">
        <v>37</v>
      </c>
      <c r="C574">
        <v>32</v>
      </c>
      <c r="D574" s="6" t="s">
        <v>29</v>
      </c>
      <c r="E574">
        <v>145</v>
      </c>
      <c r="F574">
        <v>0.65</v>
      </c>
      <c r="G574">
        <v>0</v>
      </c>
      <c r="M574" t="s">
        <v>50</v>
      </c>
      <c r="O574">
        <f>IF(AND(OR(D574="S. acutus",D574="S. californicus",D574="S. tabernaemontani"),G574=0),E574*[1]Sheet1!$D$7+[1]Sheet1!$L$7,IF(AND(OR(D574="S. acutus",D574="S. tabernaemontani"),G574&gt;0),E574*[1]Sheet1!$D$8+N574*[1]Sheet1!$E$8,IF(AND(D574="S. californicus",G574&gt;0),E574*[1]Sheet1!$D$9+N574*[1]Sheet1!$E$9,IF(D574="S.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latifolia"),E574&gt;0),F574*[1]Sheet1!$C$4+E574*[1]Sheet1!$D$4+H574*[1]Sheet1!$J$4+I574*[1]Sheet1!$K$4+[1]Sheet1!$L$4,IF(AND(OR(D574="T. domingensis",D574="T. latifolia"),J574&gt;0),J574*[1]Sheet1!$G$5+K574*[1]Sheet1!$H$5+L574*[1]Sheet1!$I$5+[1]Sheet1!$L$5,0)))))))</f>
        <v>2.2848922850000002</v>
      </c>
    </row>
    <row r="575" spans="1:15">
      <c r="A575" s="2">
        <v>40732</v>
      </c>
      <c r="B575" t="s">
        <v>37</v>
      </c>
      <c r="C575">
        <v>32</v>
      </c>
      <c r="D575" s="6" t="s">
        <v>29</v>
      </c>
      <c r="E575">
        <v>148</v>
      </c>
      <c r="F575">
        <v>0.35</v>
      </c>
      <c r="G575">
        <v>0</v>
      </c>
      <c r="M575" t="s">
        <v>50</v>
      </c>
      <c r="O575">
        <f>IF(AND(OR(D575="S. acutus",D575="S. californicus",D575="S. tabernaemontani"),G575=0),E575*[1]Sheet1!$D$7+[1]Sheet1!$L$7,IF(AND(OR(D575="S. acutus",D575="S. tabernaemontani"),G575&gt;0),E575*[1]Sheet1!$D$8+N575*[1]Sheet1!$E$8,IF(AND(D575="S. californicus",G575&gt;0),E575*[1]Sheet1!$D$9+N575*[1]Sheet1!$E$9,IF(D575="S.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latifolia"),E575&gt;0),F575*[1]Sheet1!$C$4+E575*[1]Sheet1!$D$4+H575*[1]Sheet1!$J$4+I575*[1]Sheet1!$K$4+[1]Sheet1!$L$4,IF(AND(OR(D575="T. domingensis",D575="T. latifolia"),J575&gt;0),J575*[1]Sheet1!$G$5+K575*[1]Sheet1!$H$5+L575*[1]Sheet1!$I$5+[1]Sheet1!$L$5,0)))))))</f>
        <v>1.2661817149999997</v>
      </c>
    </row>
    <row r="576" spans="1:15">
      <c r="A576" s="2">
        <v>40732</v>
      </c>
      <c r="B576" t="s">
        <v>37</v>
      </c>
      <c r="C576">
        <v>32</v>
      </c>
      <c r="D576" s="6" t="s">
        <v>29</v>
      </c>
      <c r="E576">
        <v>148</v>
      </c>
      <c r="F576">
        <v>0.45</v>
      </c>
      <c r="G576">
        <v>0</v>
      </c>
      <c r="M576" t="s">
        <v>50</v>
      </c>
      <c r="O576">
        <f>IF(AND(OR(D576="S. acutus",D576="S. californicus",D576="S. tabernaemontani"),G576=0),E576*[1]Sheet1!$D$7+[1]Sheet1!$L$7,IF(AND(OR(D576="S. acutus",D576="S. tabernaemontani"),G576&gt;0),E576*[1]Sheet1!$D$8+N576*[1]Sheet1!$E$8,IF(AND(D576="S. californicus",G576&gt;0),E576*[1]Sheet1!$D$9+N576*[1]Sheet1!$E$9,IF(D576="S.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latifolia"),E576&gt;0),F576*[1]Sheet1!$C$4+E576*[1]Sheet1!$D$4+H576*[1]Sheet1!$J$4+I576*[1]Sheet1!$K$4+[1]Sheet1!$L$4,IF(AND(OR(D576="T. domingensis",D576="T. latifolia"),J576&gt;0),J576*[1]Sheet1!$G$5+K576*[1]Sheet1!$H$5+L576*[1]Sheet1!$I$5+[1]Sheet1!$L$5,0)))))))</f>
        <v>1.6214326049999994</v>
      </c>
    </row>
    <row r="577" spans="1:15">
      <c r="A577" s="2">
        <v>40732</v>
      </c>
      <c r="B577" t="s">
        <v>37</v>
      </c>
      <c r="C577">
        <v>32</v>
      </c>
      <c r="D577" s="6" t="s">
        <v>29</v>
      </c>
      <c r="E577">
        <v>148</v>
      </c>
      <c r="F577">
        <v>0.51</v>
      </c>
      <c r="G577">
        <v>0</v>
      </c>
      <c r="M577" t="s">
        <v>50</v>
      </c>
      <c r="O577">
        <f>IF(AND(OR(D577="S. acutus",D577="S. californicus",D577="S. tabernaemontani"),G577=0),E577*[1]Sheet1!$D$7+[1]Sheet1!$L$7,IF(AND(OR(D577="S. acutus",D577="S. tabernaemontani"),G577&gt;0),E577*[1]Sheet1!$D$8+N577*[1]Sheet1!$E$8,IF(AND(D577="S. californicus",G577&gt;0),E577*[1]Sheet1!$D$9+N577*[1]Sheet1!$E$9,IF(D577="S.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latifolia"),E577&gt;0),F577*[1]Sheet1!$C$4+E577*[1]Sheet1!$D$4+H577*[1]Sheet1!$J$4+I577*[1]Sheet1!$K$4+[1]Sheet1!$L$4,IF(AND(OR(D577="T. domingensis",D577="T. latifolia"),J577&gt;0),J577*[1]Sheet1!$G$5+K577*[1]Sheet1!$H$5+L577*[1]Sheet1!$I$5+[1]Sheet1!$L$5,0)))))))</f>
        <v>1.8345831389999998</v>
      </c>
    </row>
    <row r="578" spans="1:15">
      <c r="A578" s="2">
        <v>40732</v>
      </c>
      <c r="B578" t="s">
        <v>37</v>
      </c>
      <c r="C578">
        <v>32</v>
      </c>
      <c r="D578" s="6" t="s">
        <v>29</v>
      </c>
      <c r="E578">
        <v>150</v>
      </c>
      <c r="F578">
        <v>0.24</v>
      </c>
      <c r="G578">
        <v>0</v>
      </c>
      <c r="M578" t="s">
        <v>50</v>
      </c>
      <c r="O578">
        <f>IF(AND(OR(D578="S. acutus",D578="S. californicus",D578="S. tabernaemontani"),G578=0),E578*[1]Sheet1!$D$7+[1]Sheet1!$L$7,IF(AND(OR(D578="S. acutus",D578="S. tabernaemontani"),G578&gt;0),E578*[1]Sheet1!$D$8+N578*[1]Sheet1!$E$8,IF(AND(D578="S. californicus",G578&gt;0),E578*[1]Sheet1!$D$9+N578*[1]Sheet1!$E$9,IF(D578="S.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latifolia"),E578&gt;0),F578*[1]Sheet1!$C$4+E578*[1]Sheet1!$D$4+H578*[1]Sheet1!$J$4+I578*[1]Sheet1!$K$4+[1]Sheet1!$L$4,IF(AND(OR(D578="T. domingensis",D578="T. latifolia"),J578&gt;0),J578*[1]Sheet1!$G$5+K578*[1]Sheet1!$H$5+L578*[1]Sheet1!$I$5+[1]Sheet1!$L$5,0)))))))</f>
        <v>0.90676713599999959</v>
      </c>
    </row>
    <row r="579" spans="1:15">
      <c r="A579" s="2">
        <v>40732</v>
      </c>
      <c r="B579" t="s">
        <v>37</v>
      </c>
      <c r="C579">
        <v>32</v>
      </c>
      <c r="D579" s="6" t="s">
        <v>29</v>
      </c>
      <c r="E579">
        <v>170</v>
      </c>
      <c r="F579">
        <v>0.44</v>
      </c>
      <c r="G579">
        <v>0</v>
      </c>
      <c r="M579" t="s">
        <v>50</v>
      </c>
      <c r="O579">
        <f>IF(AND(OR(D579="S. acutus",D579="S. californicus",D579="S. tabernaemontani"),G579=0),E579*[1]Sheet1!$D$7+[1]Sheet1!$L$7,IF(AND(OR(D579="S. acutus",D579="S. tabernaemontani"),G579&gt;0),E579*[1]Sheet1!$D$8+N579*[1]Sheet1!$E$8,IF(AND(D579="S. californicus",G579&gt;0),E579*[1]Sheet1!$D$9+N579*[1]Sheet1!$E$9,IF(D579="S.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latifolia"),E579&gt;0),F579*[1]Sheet1!$C$4+E579*[1]Sheet1!$D$4+H579*[1]Sheet1!$J$4+I579*[1]Sheet1!$K$4+[1]Sheet1!$L$4,IF(AND(OR(D579="T. domingensis",D579="T. latifolia"),J579&gt;0),J579*[1]Sheet1!$G$5+K579*[1]Sheet1!$H$5+L579*[1]Sheet1!$I$5+[1]Sheet1!$L$5,0)))))))</f>
        <v>1.9308829159999994</v>
      </c>
    </row>
    <row r="580" spans="1:15">
      <c r="A580" s="2">
        <v>40732</v>
      </c>
      <c r="B580" t="s">
        <v>37</v>
      </c>
      <c r="C580">
        <v>32</v>
      </c>
      <c r="D580" s="6" t="s">
        <v>29</v>
      </c>
      <c r="E580">
        <v>171</v>
      </c>
      <c r="F580">
        <v>0.5</v>
      </c>
      <c r="G580">
        <v>0</v>
      </c>
      <c r="M580" t="s">
        <v>50</v>
      </c>
      <c r="O580">
        <f>IF(AND(OR(D580="S. acutus",D580="S. californicus",D580="S. tabernaemontani"),G580=0),E580*[1]Sheet1!$D$7+[1]Sheet1!$L$7,IF(AND(OR(D580="S. acutus",D580="S. tabernaemontani"),G580&gt;0),E580*[1]Sheet1!$D$8+N580*[1]Sheet1!$E$8,IF(AND(D580="S. californicus",G580&gt;0),E580*[1]Sheet1!$D$9+N580*[1]Sheet1!$E$9,IF(D580="S.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latifolia"),E580&gt;0),F580*[1]Sheet1!$C$4+E580*[1]Sheet1!$D$4+H580*[1]Sheet1!$J$4+I580*[1]Sheet1!$K$4+[1]Sheet1!$L$4,IF(AND(OR(D580="T. domingensis",D580="T. latifolia"),J580&gt;0),J580*[1]Sheet1!$G$5+K580*[1]Sheet1!$H$5+L580*[1]Sheet1!$I$5+[1]Sheet1!$L$5,0)))))))</f>
        <v>2.1597141499999997</v>
      </c>
    </row>
    <row r="581" spans="1:15">
      <c r="A581" s="2">
        <v>40732</v>
      </c>
      <c r="B581" t="s">
        <v>37</v>
      </c>
      <c r="C581">
        <v>32</v>
      </c>
      <c r="D581" s="6" t="s">
        <v>29</v>
      </c>
      <c r="E581">
        <v>171</v>
      </c>
      <c r="F581">
        <v>0.61</v>
      </c>
      <c r="G581">
        <v>0</v>
      </c>
      <c r="M581" t="s">
        <v>50</v>
      </c>
      <c r="O581">
        <f>IF(AND(OR(D581="S. acutus",D581="S. californicus",D581="S. tabernaemontani"),G581=0),E581*[1]Sheet1!$D$7+[1]Sheet1!$L$7,IF(AND(OR(D581="S. acutus",D581="S. tabernaemontani"),G581&gt;0),E581*[1]Sheet1!$D$8+N581*[1]Sheet1!$E$8,IF(AND(D581="S. californicus",G581&gt;0),E581*[1]Sheet1!$D$9+N581*[1]Sheet1!$E$9,IF(D581="S.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latifolia"),E581&gt;0),F581*[1]Sheet1!$C$4+E581*[1]Sheet1!$D$4+H581*[1]Sheet1!$J$4+I581*[1]Sheet1!$K$4+[1]Sheet1!$L$4,IF(AND(OR(D581="T. domingensis",D581="T. latifolia"),J581&gt;0),J581*[1]Sheet1!$G$5+K581*[1]Sheet1!$H$5+L581*[1]Sheet1!$I$5+[1]Sheet1!$L$5,0)))))))</f>
        <v>2.5504901289999995</v>
      </c>
    </row>
    <row r="582" spans="1:15">
      <c r="A582" s="2">
        <v>40732</v>
      </c>
      <c r="B582" t="s">
        <v>37</v>
      </c>
      <c r="C582">
        <v>32</v>
      </c>
      <c r="D582" s="6" t="s">
        <v>29</v>
      </c>
      <c r="E582">
        <v>174</v>
      </c>
      <c r="F582">
        <v>0.54</v>
      </c>
      <c r="G582">
        <v>1</v>
      </c>
      <c r="M582" t="s">
        <v>50</v>
      </c>
      <c r="O582">
        <f>IF(AND(OR(D582="S. acutus",D582="S. californicus",D582="S. tabernaemontani"),G582=0),E582*[1]Sheet1!$D$7+[1]Sheet1!$L$7,IF(AND(OR(D582="S. acutus",D582="S. tabernaemontani"),G582&gt;0),E582*[1]Sheet1!$D$8+N582*[1]Sheet1!$E$8,IF(AND(D582="S. californicus",G582&gt;0),E582*[1]Sheet1!$D$9+N582*[1]Sheet1!$E$9,IF(D582="S.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latifolia"),E582&gt;0),F582*[1]Sheet1!$C$4+E582*[1]Sheet1!$D$4+H582*[1]Sheet1!$J$4+I582*[1]Sheet1!$K$4+[1]Sheet1!$L$4,IF(AND(OR(D582="T. domingensis",D582="T. latifolia"),J582&gt;0),J582*[1]Sheet1!$G$5+K582*[1]Sheet1!$H$5+L582*[1]Sheet1!$I$5+[1]Sheet1!$L$5,0)))))))</f>
        <v>2.3488566059999996</v>
      </c>
    </row>
    <row r="583" spans="1:15">
      <c r="A583" s="2">
        <v>40732</v>
      </c>
      <c r="B583" t="s">
        <v>37</v>
      </c>
      <c r="C583">
        <v>32</v>
      </c>
      <c r="D583" s="6" t="s">
        <v>29</v>
      </c>
      <c r="E583">
        <v>175</v>
      </c>
      <c r="F583">
        <v>0.5</v>
      </c>
      <c r="G583">
        <v>0</v>
      </c>
      <c r="M583" t="s">
        <v>50</v>
      </c>
      <c r="O583">
        <f>IF(AND(OR(D583="S. acutus",D583="S. californicus",D583="S. tabernaemontani"),G583=0),E583*[1]Sheet1!$D$7+[1]Sheet1!$L$7,IF(AND(OR(D583="S. acutus",D583="S. tabernaemontani"),G583&gt;0),E583*[1]Sheet1!$D$8+N583*[1]Sheet1!$E$8,IF(AND(D583="S. californicus",G583&gt;0),E583*[1]Sheet1!$D$9+N583*[1]Sheet1!$E$9,IF(D583="S.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latifolia"),E583&gt;0),F583*[1]Sheet1!$C$4+E583*[1]Sheet1!$D$4+H583*[1]Sheet1!$J$4+I583*[1]Sheet1!$K$4+[1]Sheet1!$L$4,IF(AND(OR(D583="T. domingensis",D583="T. latifolia"),J583&gt;0),J583*[1]Sheet1!$G$5+K583*[1]Sheet1!$H$5+L583*[1]Sheet1!$I$5+[1]Sheet1!$L$5,0)))))))</f>
        <v>2.2224369499999992</v>
      </c>
    </row>
    <row r="584" spans="1:15">
      <c r="A584" s="2">
        <v>40732</v>
      </c>
      <c r="B584" t="s">
        <v>37</v>
      </c>
      <c r="C584">
        <v>32</v>
      </c>
      <c r="D584" s="6" t="s">
        <v>29</v>
      </c>
      <c r="E584">
        <v>186</v>
      </c>
      <c r="F584">
        <v>0.31</v>
      </c>
      <c r="G584">
        <v>0</v>
      </c>
      <c r="M584" t="s">
        <v>50</v>
      </c>
      <c r="O584">
        <f>IF(AND(OR(D584="S. acutus",D584="S. californicus",D584="S. tabernaemontani"),G584=0),E584*[1]Sheet1!$D$7+[1]Sheet1!$L$7,IF(AND(OR(D584="S. acutus",D584="S. tabernaemontani"),G584&gt;0),E584*[1]Sheet1!$D$8+N584*[1]Sheet1!$E$8,IF(AND(D584="S. californicus",G584&gt;0),E584*[1]Sheet1!$D$9+N584*[1]Sheet1!$E$9,IF(D584="S.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latifolia"),E584&gt;0),F584*[1]Sheet1!$C$4+E584*[1]Sheet1!$D$4+H584*[1]Sheet1!$J$4+I584*[1]Sheet1!$K$4+[1]Sheet1!$L$4,IF(AND(OR(D584="T. domingensis",D584="T. latifolia"),J584&gt;0),J584*[1]Sheet1!$G$5+K584*[1]Sheet1!$H$5+L584*[1]Sheet1!$I$5+[1]Sheet1!$L$5,0)))))))</f>
        <v>1.7199479589999993</v>
      </c>
    </row>
    <row r="585" spans="1:15">
      <c r="A585" s="2">
        <v>40732</v>
      </c>
      <c r="B585" t="s">
        <v>37</v>
      </c>
      <c r="C585">
        <v>32</v>
      </c>
      <c r="D585" s="6" t="s">
        <v>29</v>
      </c>
      <c r="E585">
        <v>186</v>
      </c>
      <c r="F585">
        <v>0.51</v>
      </c>
      <c r="G585">
        <v>1</v>
      </c>
      <c r="M585" t="s">
        <v>50</v>
      </c>
      <c r="O585">
        <f>IF(AND(OR(D585="S. acutus",D585="S. californicus",D585="S. tabernaemontani"),G585=0),E585*[1]Sheet1!$D$7+[1]Sheet1!$L$7,IF(AND(OR(D585="S. acutus",D585="S. tabernaemontani"),G585&gt;0),E585*[1]Sheet1!$D$8+N585*[1]Sheet1!$E$8,IF(AND(D585="S. californicus",G585&gt;0),E585*[1]Sheet1!$D$9+N585*[1]Sheet1!$E$9,IF(D585="S.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latifolia"),E585&gt;0),F585*[1]Sheet1!$C$4+E585*[1]Sheet1!$D$4+H585*[1]Sheet1!$J$4+I585*[1]Sheet1!$K$4+[1]Sheet1!$L$4,IF(AND(OR(D585="T. domingensis",D585="T. latifolia"),J585&gt;0),J585*[1]Sheet1!$G$5+K585*[1]Sheet1!$H$5+L585*[1]Sheet1!$I$5+[1]Sheet1!$L$5,0)))))))</f>
        <v>2.4304497389999997</v>
      </c>
    </row>
    <row r="586" spans="1:15">
      <c r="A586" s="2">
        <v>40732</v>
      </c>
      <c r="B586" t="s">
        <v>37</v>
      </c>
      <c r="C586">
        <v>32</v>
      </c>
      <c r="D586" s="6" t="s">
        <v>29</v>
      </c>
      <c r="E586">
        <v>190</v>
      </c>
      <c r="F586">
        <v>0.65</v>
      </c>
      <c r="G586">
        <v>1</v>
      </c>
      <c r="M586" t="s">
        <v>50</v>
      </c>
      <c r="O586">
        <f>IF(AND(OR(D586="S. acutus",D586="S. californicus",D586="S. tabernaemontani"),G586=0),E586*[1]Sheet1!$D$7+[1]Sheet1!$L$7,IF(AND(OR(D586="S. acutus",D586="S. tabernaemontani"),G586&gt;0),E586*[1]Sheet1!$D$8+N586*[1]Sheet1!$E$8,IF(AND(D586="S. californicus",G586&gt;0),E586*[1]Sheet1!$D$9+N586*[1]Sheet1!$E$9,IF(D586="S.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latifolia"),E586&gt;0),F586*[1]Sheet1!$C$4+E586*[1]Sheet1!$D$4+H586*[1]Sheet1!$J$4+I586*[1]Sheet1!$K$4+[1]Sheet1!$L$4,IF(AND(OR(D586="T. domingensis",D586="T. latifolia"),J586&gt;0),J586*[1]Sheet1!$G$5+K586*[1]Sheet1!$H$5+L586*[1]Sheet1!$I$5+[1]Sheet1!$L$5,0)))))))</f>
        <v>2.9905237849999993</v>
      </c>
    </row>
    <row r="587" spans="1:15">
      <c r="A587" s="2">
        <v>40732</v>
      </c>
      <c r="B587" t="s">
        <v>37</v>
      </c>
      <c r="C587">
        <v>32</v>
      </c>
      <c r="D587" s="6" t="s">
        <v>29</v>
      </c>
      <c r="E587">
        <v>191</v>
      </c>
      <c r="F587">
        <v>0.5</v>
      </c>
      <c r="G587">
        <v>0</v>
      </c>
      <c r="M587" t="s">
        <v>50</v>
      </c>
      <c r="O587">
        <f>IF(AND(OR(D587="S. acutus",D587="S. californicus",D587="S. tabernaemontani"),G587=0),E587*[1]Sheet1!$D$7+[1]Sheet1!$L$7,IF(AND(OR(D587="S. acutus",D587="S. tabernaemontani"),G587&gt;0),E587*[1]Sheet1!$D$8+N587*[1]Sheet1!$E$8,IF(AND(D587="S. californicus",G587&gt;0),E587*[1]Sheet1!$D$9+N587*[1]Sheet1!$E$9,IF(D587="S.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latifolia"),E587&gt;0),F587*[1]Sheet1!$C$4+E587*[1]Sheet1!$D$4+H587*[1]Sheet1!$J$4+I587*[1]Sheet1!$K$4+[1]Sheet1!$L$4,IF(AND(OR(D587="T. domingensis",D587="T. latifolia"),J587&gt;0),J587*[1]Sheet1!$G$5+K587*[1]Sheet1!$H$5+L587*[1]Sheet1!$I$5+[1]Sheet1!$L$5,0)))))))</f>
        <v>2.4733281499999999</v>
      </c>
    </row>
    <row r="588" spans="1:15">
      <c r="A588" s="2">
        <v>40732</v>
      </c>
      <c r="B588" t="s">
        <v>37</v>
      </c>
      <c r="C588">
        <v>32</v>
      </c>
      <c r="D588" s="6" t="s">
        <v>29</v>
      </c>
      <c r="E588">
        <v>192</v>
      </c>
      <c r="F588">
        <v>0.69</v>
      </c>
      <c r="G588">
        <v>0</v>
      </c>
      <c r="M588" t="s">
        <v>50</v>
      </c>
      <c r="O588">
        <f>IF(AND(OR(D588="S. acutus",D588="S. californicus",D588="S. tabernaemontani"),G588=0),E588*[1]Sheet1!$D$7+[1]Sheet1!$L$7,IF(AND(OR(D588="S. acutus",D588="S. tabernaemontani"),G588&gt;0),E588*[1]Sheet1!$D$8+N588*[1]Sheet1!$E$8,IF(AND(D588="S. californicus",G588&gt;0),E588*[1]Sheet1!$D$9+N588*[1]Sheet1!$E$9,IF(D588="S.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latifolia"),E588&gt;0),F588*[1]Sheet1!$C$4+E588*[1]Sheet1!$D$4+H588*[1]Sheet1!$J$4+I588*[1]Sheet1!$K$4+[1]Sheet1!$L$4,IF(AND(OR(D588="T. domingensis",D588="T. latifolia"),J588&gt;0),J588*[1]Sheet1!$G$5+K588*[1]Sheet1!$H$5+L588*[1]Sheet1!$I$5+[1]Sheet1!$L$5,0)))))))</f>
        <v>3.1639855409999993</v>
      </c>
    </row>
    <row r="589" spans="1:15">
      <c r="A589" s="2">
        <v>40732</v>
      </c>
      <c r="B589" t="s">
        <v>37</v>
      </c>
      <c r="C589">
        <v>32</v>
      </c>
      <c r="D589" s="6" t="s">
        <v>29</v>
      </c>
      <c r="E589">
        <v>195</v>
      </c>
      <c r="F589">
        <v>0.64</v>
      </c>
      <c r="G589">
        <v>0</v>
      </c>
      <c r="M589" t="s">
        <v>50</v>
      </c>
      <c r="O589">
        <f>IF(AND(OR(D589="S. acutus",D589="S. californicus",D589="S. tabernaemontani"),G589=0),E589*[1]Sheet1!$D$7+[1]Sheet1!$L$7,IF(AND(OR(D589="S. acutus",D589="S. tabernaemontani"),G589&gt;0),E589*[1]Sheet1!$D$8+N589*[1]Sheet1!$E$8,IF(AND(D589="S. californicus",G589&gt;0),E589*[1]Sheet1!$D$9+N589*[1]Sheet1!$E$9,IF(D589="S.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latifolia"),E589&gt;0),F589*[1]Sheet1!$C$4+E589*[1]Sheet1!$D$4+H589*[1]Sheet1!$J$4+I589*[1]Sheet1!$K$4+[1]Sheet1!$L$4,IF(AND(OR(D589="T. domingensis",D589="T. latifolia"),J589&gt;0),J589*[1]Sheet1!$G$5+K589*[1]Sheet1!$H$5+L589*[1]Sheet1!$I$5+[1]Sheet1!$L$5,0)))))))</f>
        <v>3.0334021959999995</v>
      </c>
    </row>
    <row r="590" spans="1:15">
      <c r="A590" s="2">
        <v>40732</v>
      </c>
      <c r="B590" t="s">
        <v>37</v>
      </c>
      <c r="C590">
        <v>32</v>
      </c>
      <c r="D590" s="6" t="s">
        <v>29</v>
      </c>
      <c r="E590">
        <v>200</v>
      </c>
      <c r="F590">
        <v>0.65</v>
      </c>
      <c r="G590">
        <v>0</v>
      </c>
      <c r="M590" t="s">
        <v>50</v>
      </c>
      <c r="O590">
        <f>IF(AND(OR(D590="S. acutus",D590="S. californicus",D590="S. tabernaemontani"),G590=0),E590*[1]Sheet1!$D$7+[1]Sheet1!$L$7,IF(AND(OR(D590="S. acutus",D590="S. tabernaemontani"),G590&gt;0),E590*[1]Sheet1!$D$8+N590*[1]Sheet1!$E$8,IF(AND(D590="S. californicus",G590&gt;0),E590*[1]Sheet1!$D$9+N590*[1]Sheet1!$E$9,IF(D590="S.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latifolia"),E590&gt;0),F590*[1]Sheet1!$C$4+E590*[1]Sheet1!$D$4+H590*[1]Sheet1!$J$4+I590*[1]Sheet1!$K$4+[1]Sheet1!$L$4,IF(AND(OR(D590="T. domingensis",D590="T. latifolia"),J590&gt;0),J590*[1]Sheet1!$G$5+K590*[1]Sheet1!$H$5+L590*[1]Sheet1!$I$5+[1]Sheet1!$L$5,0)))))))</f>
        <v>3.1473307849999999</v>
      </c>
    </row>
    <row r="591" spans="1:15">
      <c r="A591" s="2">
        <v>40732</v>
      </c>
      <c r="B591" t="s">
        <v>37</v>
      </c>
      <c r="C591">
        <v>32</v>
      </c>
      <c r="D591" s="6" t="s">
        <v>29</v>
      </c>
      <c r="E591">
        <v>211</v>
      </c>
      <c r="F591">
        <v>0.56999999999999995</v>
      </c>
      <c r="G591">
        <v>0</v>
      </c>
      <c r="M591" t="s">
        <v>50</v>
      </c>
      <c r="O591">
        <f>IF(AND(OR(D591="S. acutus",D591="S. californicus",D591="S. tabernaemontani"),G591=0),E591*[1]Sheet1!$D$7+[1]Sheet1!$L$7,IF(AND(OR(D591="S. acutus",D591="S. tabernaemontani"),G591&gt;0),E591*[1]Sheet1!$D$8+N591*[1]Sheet1!$E$8,IF(AND(D591="S. californicus",G591&gt;0),E591*[1]Sheet1!$D$9+N591*[1]Sheet1!$E$9,IF(D591="S.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latifolia"),E591&gt;0),F591*[1]Sheet1!$C$4+E591*[1]Sheet1!$D$4+H591*[1]Sheet1!$J$4+I591*[1]Sheet1!$K$4+[1]Sheet1!$L$4,IF(AND(OR(D591="T. domingensis",D591="T. latifolia"),J591&gt;0),J591*[1]Sheet1!$G$5+K591*[1]Sheet1!$H$5+L591*[1]Sheet1!$I$5+[1]Sheet1!$L$5,0)))))))</f>
        <v>3.0356177729999989</v>
      </c>
    </row>
    <row r="592" spans="1:15">
      <c r="A592" s="2">
        <v>40732</v>
      </c>
      <c r="B592" t="s">
        <v>37</v>
      </c>
      <c r="C592">
        <v>32</v>
      </c>
      <c r="D592" s="6" t="s">
        <v>29</v>
      </c>
      <c r="E592">
        <v>217</v>
      </c>
      <c r="F592">
        <v>0.51</v>
      </c>
      <c r="G592">
        <v>0</v>
      </c>
      <c r="M592" t="s">
        <v>50</v>
      </c>
      <c r="O592">
        <f>IF(AND(OR(D592="S. acutus",D592="S. californicus",D592="S. tabernaemontani"),G592=0),E592*[1]Sheet1!$D$7+[1]Sheet1!$L$7,IF(AND(OR(D592="S. acutus",D592="S. tabernaemontani"),G592&gt;0),E592*[1]Sheet1!$D$8+N592*[1]Sheet1!$E$8,IF(AND(D592="S. californicus",G592&gt;0),E592*[1]Sheet1!$D$9+N592*[1]Sheet1!$E$9,IF(D592="S.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latifolia"),E592&gt;0),F592*[1]Sheet1!$C$4+E592*[1]Sheet1!$D$4+H592*[1]Sheet1!$J$4+I592*[1]Sheet1!$K$4+[1]Sheet1!$L$4,IF(AND(OR(D592="T. domingensis",D592="T. latifolia"),J592&gt;0),J592*[1]Sheet1!$G$5+K592*[1]Sheet1!$H$5+L592*[1]Sheet1!$I$5+[1]Sheet1!$L$5,0)))))))</f>
        <v>2.9165514389999996</v>
      </c>
    </row>
    <row r="593" spans="1:15">
      <c r="A593" s="2">
        <v>40732</v>
      </c>
      <c r="B593" t="s">
        <v>37</v>
      </c>
      <c r="C593">
        <v>32</v>
      </c>
      <c r="D593" s="6" t="s">
        <v>29</v>
      </c>
      <c r="E593">
        <v>218</v>
      </c>
      <c r="F593">
        <v>0.57999999999999996</v>
      </c>
      <c r="G593">
        <v>0</v>
      </c>
      <c r="M593" t="s">
        <v>50</v>
      </c>
      <c r="O593">
        <f>IF(AND(OR(D593="S. acutus",D593="S. californicus",D593="S. tabernaemontani"),G593=0),E593*[1]Sheet1!$D$7+[1]Sheet1!$L$7,IF(AND(OR(D593="S. acutus",D593="S. tabernaemontani"),G593&gt;0),E593*[1]Sheet1!$D$8+N593*[1]Sheet1!$E$8,IF(AND(D593="S. californicus",G593&gt;0),E593*[1]Sheet1!$D$9+N593*[1]Sheet1!$E$9,IF(D593="S.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latifolia"),E593&gt;0),F593*[1]Sheet1!$C$4+E593*[1]Sheet1!$D$4+H593*[1]Sheet1!$J$4+I593*[1]Sheet1!$K$4+[1]Sheet1!$L$4,IF(AND(OR(D593="T. domingensis",D593="T. latifolia"),J593&gt;0),J593*[1]Sheet1!$G$5+K593*[1]Sheet1!$H$5+L593*[1]Sheet1!$I$5+[1]Sheet1!$L$5,0)))))))</f>
        <v>3.180907761999999</v>
      </c>
    </row>
    <row r="594" spans="1:15">
      <c r="A594" s="2">
        <v>40732</v>
      </c>
      <c r="B594" t="s">
        <v>37</v>
      </c>
      <c r="C594">
        <v>32</v>
      </c>
      <c r="D594" s="6" t="s">
        <v>29</v>
      </c>
      <c r="E594">
        <v>226</v>
      </c>
      <c r="F594">
        <v>0.69</v>
      </c>
      <c r="G594">
        <v>0</v>
      </c>
      <c r="M594" t="s">
        <v>50</v>
      </c>
      <c r="O594">
        <f>IF(AND(OR(D594="S. acutus",D594="S. californicus",D594="S. tabernaemontani"),G594=0),E594*[1]Sheet1!$D$7+[1]Sheet1!$L$7,IF(AND(OR(D594="S. acutus",D594="S. tabernaemontani"),G594&gt;0),E594*[1]Sheet1!$D$8+N594*[1]Sheet1!$E$8,IF(AND(D594="S. californicus",G594&gt;0),E594*[1]Sheet1!$D$9+N594*[1]Sheet1!$E$9,IF(D594="S.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latifolia"),E594&gt;0),F594*[1]Sheet1!$C$4+E594*[1]Sheet1!$D$4+H594*[1]Sheet1!$J$4+I594*[1]Sheet1!$K$4+[1]Sheet1!$L$4,IF(AND(OR(D594="T. domingensis",D594="T. latifolia"),J594&gt;0),J594*[1]Sheet1!$G$5+K594*[1]Sheet1!$H$5+L594*[1]Sheet1!$I$5+[1]Sheet1!$L$5,0)))))))</f>
        <v>3.6971293409999988</v>
      </c>
    </row>
    <row r="595" spans="1:15">
      <c r="A595" s="2">
        <v>40732</v>
      </c>
      <c r="B595" t="s">
        <v>37</v>
      </c>
      <c r="C595">
        <v>32</v>
      </c>
      <c r="D595" s="6" t="s">
        <v>29</v>
      </c>
      <c r="E595">
        <v>228</v>
      </c>
      <c r="F595">
        <v>0.63</v>
      </c>
      <c r="G595">
        <v>0</v>
      </c>
      <c r="M595" t="s">
        <v>50</v>
      </c>
      <c r="O595">
        <f>IF(AND(OR(D595="S. acutus",D595="S. californicus",D595="S. tabernaemontani"),G595=0),E595*[1]Sheet1!$D$7+[1]Sheet1!$L$7,IF(AND(OR(D595="S. acutus",D595="S. tabernaemontani"),G595&gt;0),E595*[1]Sheet1!$D$8+N595*[1]Sheet1!$E$8,IF(AND(D595="S. californicus",G595&gt;0),E595*[1]Sheet1!$D$9+N595*[1]Sheet1!$E$9,IF(D595="S. maritimus",F595*[1]Sheet1!$C$10+E595*[1]Sheet1!$D$10+G595*[1]Sheet1!$F$10+[1]Sheet1!$L$10,IF(D595="S. americanus",F595*[1]Sheet1!$C$6+E595*[1]Sheet1!$D$6+[1]Sheet1!$L$6,IF(AND(OR(D595="T. domingensis",D595="T. latifolia"),E595&gt;0),F595*[1]Sheet1!$C$4+E595*[1]Sheet1!$D$4+H595*[1]Sheet1!$J$4+I595*[1]Sheet1!$K$4+[1]Sheet1!$L$4,IF(AND(OR(D595="T. domingensis",D595="T. latifolia"),J595&gt;0),J595*[1]Sheet1!$G$5+K595*[1]Sheet1!$H$5+L595*[1]Sheet1!$I$5+[1]Sheet1!$L$5,0)))))))</f>
        <v>3.5153402069999999</v>
      </c>
    </row>
    <row r="596" spans="1:15">
      <c r="A596" s="2">
        <v>40732</v>
      </c>
      <c r="B596" t="s">
        <v>37</v>
      </c>
      <c r="C596">
        <v>32</v>
      </c>
      <c r="D596" s="6" t="s">
        <v>29</v>
      </c>
      <c r="E596">
        <v>234</v>
      </c>
      <c r="F596">
        <v>0.5</v>
      </c>
      <c r="G596">
        <v>0</v>
      </c>
      <c r="M596" t="s">
        <v>50</v>
      </c>
      <c r="O596">
        <f>IF(AND(OR(D596="S. acutus",D596="S. californicus",D596="S. tabernaemontani"),G596=0),E596*[1]Sheet1!$D$7+[1]Sheet1!$L$7,IF(AND(OR(D596="S. acutus",D596="S. tabernaemontani"),G596&gt;0),E596*[1]Sheet1!$D$8+N596*[1]Sheet1!$E$8,IF(AND(D596="S. californicus",G596&gt;0),E596*[1]Sheet1!$D$9+N596*[1]Sheet1!$E$9,IF(D596="S. maritimus",F596*[1]Sheet1!$C$10+E596*[1]Sheet1!$D$10+G596*[1]Sheet1!$F$10+[1]Sheet1!$L$10,IF(D596="S. americanus",F596*[1]Sheet1!$C$6+E596*[1]Sheet1!$D$6+[1]Sheet1!$L$6,IF(AND(OR(D596="T. domingensis",D596="T. latifolia"),E596&gt;0),F596*[1]Sheet1!$C$4+E596*[1]Sheet1!$D$4+H596*[1]Sheet1!$J$4+I596*[1]Sheet1!$K$4+[1]Sheet1!$L$4,IF(AND(OR(D596="T. domingensis",D596="T. latifolia"),J596&gt;0),J596*[1]Sheet1!$G$5+K596*[1]Sheet1!$H$5+L596*[1]Sheet1!$I$5+[1]Sheet1!$L$5,0)))))))</f>
        <v>3.1475982499999993</v>
      </c>
    </row>
    <row r="597" spans="1:15">
      <c r="A597" s="2">
        <v>40732</v>
      </c>
      <c r="B597" t="s">
        <v>37</v>
      </c>
      <c r="C597">
        <v>32</v>
      </c>
      <c r="D597" s="6" t="s">
        <v>19</v>
      </c>
      <c r="E597">
        <v>335</v>
      </c>
      <c r="F597">
        <v>4.38</v>
      </c>
      <c r="H597">
        <v>38</v>
      </c>
      <c r="I597">
        <v>2.5</v>
      </c>
      <c r="O597">
        <f>IF(AND(OR(D597="S. acutus",D597="S. californicus",D597="S. tabernaemontani"),G597=0),E597*[1]Sheet1!$D$7+[1]Sheet1!$L$7,IF(AND(OR(D597="S. acutus",D597="S. tabernaemontani"),G597&gt;0),E597*[1]Sheet1!$D$8+N597*[1]Sheet1!$E$8,IF(AND(D597="S. californicus",G597&gt;0),E597*[1]Sheet1!$D$9+N597*[1]Sheet1!$E$9,IF(D597="S. maritimus",F597*[1]Sheet1!$C$10+E597*[1]Sheet1!$D$10+G597*[1]Sheet1!$F$10+[1]Sheet1!$L$10,IF(D597="S. americanus",F597*[1]Sheet1!$C$6+E597*[1]Sheet1!$D$6+[1]Sheet1!$L$6,IF(AND(OR(D597="T. domingensis",D597="T. latifolia"),E597&gt;0),F597*[1]Sheet1!$C$4+E597*[1]Sheet1!$D$4+H597*[1]Sheet1!$J$4+I597*[1]Sheet1!$K$4+[1]Sheet1!$L$4,IF(AND(OR(D597="T. domingensis",D597="T. latifolia"),J597&gt;0),J597*[1]Sheet1!$G$5+K597*[1]Sheet1!$H$5+L597*[1]Sheet1!$I$5+[1]Sheet1!$L$5,0)))))))</f>
        <v>167.02219505999994</v>
      </c>
    </row>
    <row r="598" spans="1:15">
      <c r="A598" s="2">
        <v>40732</v>
      </c>
      <c r="B598" t="s">
        <v>37</v>
      </c>
      <c r="C598">
        <v>32</v>
      </c>
      <c r="D598" s="6" t="s">
        <v>19</v>
      </c>
      <c r="E598">
        <v>373</v>
      </c>
      <c r="F598">
        <v>3.9</v>
      </c>
      <c r="H598">
        <v>51</v>
      </c>
      <c r="I598">
        <v>2.4</v>
      </c>
      <c r="O598">
        <f>IF(AND(OR(D598="S. acutus",D598="S. californicus",D598="S. tabernaemontani"),G598=0),E598*[1]Sheet1!$D$7+[1]Sheet1!$L$7,IF(AND(OR(D598="S. acutus",D598="S. tabernaemontani"),G598&gt;0),E598*[1]Sheet1!$D$8+N598*[1]Sheet1!$E$8,IF(AND(D598="S. californicus",G598&gt;0),E598*[1]Sheet1!$D$9+N598*[1]Sheet1!$E$9,IF(D598="S. maritimus",F598*[1]Sheet1!$C$10+E598*[1]Sheet1!$D$10+G598*[1]Sheet1!$F$10+[1]Sheet1!$L$10,IF(D598="S. americanus",F598*[1]Sheet1!$C$6+E598*[1]Sheet1!$D$6+[1]Sheet1!$L$6,IF(AND(OR(D598="T. domingensis",D598="T. latifolia"),E598&gt;0),F598*[1]Sheet1!$C$4+E598*[1]Sheet1!$D$4+H598*[1]Sheet1!$J$4+I598*[1]Sheet1!$K$4+[1]Sheet1!$L$4,IF(AND(OR(D598="T. domingensis",D598="T. latifolia"),J598&gt;0),J598*[1]Sheet1!$G$5+K598*[1]Sheet1!$H$5+L598*[1]Sheet1!$I$5+[1]Sheet1!$L$5,0)))))))</f>
        <v>179.66887430000003</v>
      </c>
    </row>
    <row r="599" spans="1:15">
      <c r="A599" s="2">
        <v>40732</v>
      </c>
      <c r="B599" t="s">
        <v>37</v>
      </c>
      <c r="C599">
        <v>32</v>
      </c>
      <c r="D599" s="6" t="s">
        <v>19</v>
      </c>
      <c r="E599">
        <v>377</v>
      </c>
      <c r="F599">
        <v>4.76</v>
      </c>
      <c r="H599">
        <v>49</v>
      </c>
      <c r="I599">
        <v>1.7</v>
      </c>
      <c r="O599">
        <f>IF(AND(OR(D599="S. acutus",D599="S. californicus",D599="S. tabernaemontani"),G599=0),E599*[1]Sheet1!$D$7+[1]Sheet1!$L$7,IF(AND(OR(D599="S. acutus",D599="S. tabernaemontani"),G599&gt;0),E599*[1]Sheet1!$D$8+N599*[1]Sheet1!$E$8,IF(AND(D599="S. californicus",G599&gt;0),E599*[1]Sheet1!$D$9+N599*[1]Sheet1!$E$9,IF(D599="S. maritimus",F599*[1]Sheet1!$C$10+E599*[1]Sheet1!$D$10+G599*[1]Sheet1!$F$10+[1]Sheet1!$L$10,IF(D599="S. americanus",F599*[1]Sheet1!$C$6+E599*[1]Sheet1!$D$6+[1]Sheet1!$L$6,IF(AND(OR(D599="T. domingensis",D599="T. latifolia"),E599&gt;0),F599*[1]Sheet1!$C$4+E599*[1]Sheet1!$D$4+H599*[1]Sheet1!$J$4+I599*[1]Sheet1!$K$4+[1]Sheet1!$L$4,IF(AND(OR(D599="T. domingensis",D599="T. latifolia"),J599&gt;0),J599*[1]Sheet1!$G$5+K599*[1]Sheet1!$H$5+L599*[1]Sheet1!$I$5+[1]Sheet1!$L$5,0)))))))</f>
        <v>183.35723572000001</v>
      </c>
    </row>
    <row r="600" spans="1:15">
      <c r="A600" s="2">
        <v>40732</v>
      </c>
      <c r="B600" t="s">
        <v>37</v>
      </c>
      <c r="C600">
        <v>32</v>
      </c>
      <c r="D600" s="6" t="s">
        <v>19</v>
      </c>
      <c r="E600">
        <v>384</v>
      </c>
      <c r="F600">
        <v>4.34</v>
      </c>
      <c r="H600">
        <v>40</v>
      </c>
      <c r="I600">
        <v>2.7</v>
      </c>
      <c r="O600">
        <f>IF(AND(OR(D600="S. acutus",D600="S. californicus",D600="S. tabernaemontani"),G600=0),E600*[1]Sheet1!$D$7+[1]Sheet1!$L$7,IF(AND(OR(D600="S. acutus",D600="S. tabernaemontani"),G600&gt;0),E600*[1]Sheet1!$D$8+N600*[1]Sheet1!$E$8,IF(AND(D600="S. californicus",G600&gt;0),E600*[1]Sheet1!$D$9+N600*[1]Sheet1!$E$9,IF(D600="S. maritimus",F600*[1]Sheet1!$C$10+E600*[1]Sheet1!$D$10+G600*[1]Sheet1!$F$10+[1]Sheet1!$L$10,IF(D600="S. americanus",F600*[1]Sheet1!$C$6+E600*[1]Sheet1!$D$6+[1]Sheet1!$L$6,IF(AND(OR(D600="T. domingensis",D600="T. latifolia"),E600&gt;0),F600*[1]Sheet1!$C$4+E600*[1]Sheet1!$D$4+H600*[1]Sheet1!$J$4+I600*[1]Sheet1!$K$4+[1]Sheet1!$L$4,IF(AND(OR(D600="T. domingensis",D600="T. latifolia"),J600&gt;0),J600*[1]Sheet1!$G$5+K600*[1]Sheet1!$H$5+L600*[1]Sheet1!$I$5+[1]Sheet1!$L$5,0)))))))</f>
        <v>186.49756618000004</v>
      </c>
    </row>
    <row r="601" spans="1:15">
      <c r="A601" s="2">
        <v>40732</v>
      </c>
      <c r="B601" t="s">
        <v>37</v>
      </c>
      <c r="C601">
        <v>47</v>
      </c>
      <c r="D601" s="6" t="s">
        <v>12</v>
      </c>
      <c r="E601">
        <v>107</v>
      </c>
      <c r="F601">
        <v>1.0900000000000001</v>
      </c>
      <c r="G601">
        <v>0</v>
      </c>
      <c r="N601">
        <f t="shared" ref="N601:N632" si="9">(1/3)*(3.14159)*((F601/2)^2)*E601</f>
        <v>33.281664121083338</v>
      </c>
      <c r="O601">
        <f>IF(AND(OR(D601="S. acutus",D601="S. californicus",D601="S. tabernaemontani"),G601=0),E601*[1]Sheet1!$D$7+[1]Sheet1!$L$7,IF(AND(OR(D601="S. acutus",D601="S. tabernaemontani"),G601&gt;0),E601*[1]Sheet1!$D$8+N601*[1]Sheet1!$E$8,IF(AND(D601="S. californicus",G601&gt;0),E601*[1]Sheet1!$D$9+N601*[1]Sheet1!$E$9,IF(D601="S. maritimus",F601*[1]Sheet1!$C$10+E601*[1]Sheet1!$D$10+G601*[1]Sheet1!$F$10+[1]Sheet1!$L$10,IF(D601="S. americanus",F601*[1]Sheet1!$C$6+E601*[1]Sheet1!$D$6+[1]Sheet1!$L$6,IF(AND(OR(D601="T. domingensis",D601="T. latifolia"),E601&gt;0),F601*[1]Sheet1!$C$4+E601*[1]Sheet1!$D$4+H601*[1]Sheet1!$J$4+I601*[1]Sheet1!$K$4+[1]Sheet1!$L$4,IF(AND(OR(D601="T. domingensis",D601="T. latifolia"),J601&gt;0),J601*[1]Sheet1!$G$5+K601*[1]Sheet1!$H$5+L601*[1]Sheet1!$I$5+[1]Sheet1!$L$5,0)))))))</f>
        <v>2.9106380000000005</v>
      </c>
    </row>
    <row r="602" spans="1:15">
      <c r="A602" s="2">
        <v>40732</v>
      </c>
      <c r="B602" t="s">
        <v>37</v>
      </c>
      <c r="C602">
        <v>47</v>
      </c>
      <c r="D602" s="6" t="s">
        <v>12</v>
      </c>
      <c r="E602">
        <v>141</v>
      </c>
      <c r="F602">
        <v>1</v>
      </c>
      <c r="G602">
        <v>0</v>
      </c>
      <c r="N602">
        <f t="shared" si="9"/>
        <v>36.913682499999993</v>
      </c>
      <c r="O602">
        <f>IF(AND(OR(D602="S. acutus",D602="S. californicus",D602="S. tabernaemontani"),G602=0),E602*[1]Sheet1!$D$7+[1]Sheet1!$L$7,IF(AND(OR(D602="S. acutus",D602="S. tabernaemontani"),G602&gt;0),E602*[1]Sheet1!$D$8+N602*[1]Sheet1!$E$8,IF(AND(D602="S. californicus",G602&gt;0),E602*[1]Sheet1!$D$9+N602*[1]Sheet1!$E$9,IF(D602="S. maritimus",F602*[1]Sheet1!$C$10+E602*[1]Sheet1!$D$10+G602*[1]Sheet1!$F$10+[1]Sheet1!$L$10,IF(D602="S. americanus",F602*[1]Sheet1!$C$6+E602*[1]Sheet1!$D$6+[1]Sheet1!$L$6,IF(AND(OR(D602="T. domingensis",D602="T. latifolia"),E602&gt;0),F602*[1]Sheet1!$C$4+E602*[1]Sheet1!$D$4+H602*[1]Sheet1!$J$4+I602*[1]Sheet1!$K$4+[1]Sheet1!$L$4,IF(AND(OR(D602="T. domingensis",D602="T. latifolia"),J602&gt;0),J602*[1]Sheet1!$G$5+K602*[1]Sheet1!$H$5+L602*[1]Sheet1!$I$5+[1]Sheet1!$L$5,0)))))))</f>
        <v>5.2942080000000002</v>
      </c>
    </row>
    <row r="603" spans="1:15">
      <c r="A603" s="2">
        <v>40732</v>
      </c>
      <c r="B603" t="s">
        <v>37</v>
      </c>
      <c r="C603">
        <v>47</v>
      </c>
      <c r="D603" s="6" t="s">
        <v>12</v>
      </c>
      <c r="E603">
        <v>142</v>
      </c>
      <c r="F603">
        <v>1.25</v>
      </c>
      <c r="G603">
        <v>0</v>
      </c>
      <c r="N603">
        <f t="shared" si="9"/>
        <v>58.086690104166657</v>
      </c>
      <c r="O603">
        <f>IF(AND(OR(D603="S. acutus",D603="S. californicus",D603="S. tabernaemontani"),G603=0),E603*[1]Sheet1!$D$7+[1]Sheet1!$L$7,IF(AND(OR(D603="S. acutus",D603="S. tabernaemontani"),G603&gt;0),E603*[1]Sheet1!$D$8+N603*[1]Sheet1!$E$8,IF(AND(D603="S. californicus",G603&gt;0),E603*[1]Sheet1!$D$9+N603*[1]Sheet1!$E$9,IF(D603="S. maritimus",F603*[1]Sheet1!$C$10+E603*[1]Sheet1!$D$10+G603*[1]Sheet1!$F$10+[1]Sheet1!$L$10,IF(D603="S. americanus",F603*[1]Sheet1!$C$6+E603*[1]Sheet1!$D$6+[1]Sheet1!$L$6,IF(AND(OR(D603="T. domingensis",D603="T. latifolia"),E603&gt;0),F603*[1]Sheet1!$C$4+E603*[1]Sheet1!$D$4+H603*[1]Sheet1!$J$4+I603*[1]Sheet1!$K$4+[1]Sheet1!$L$4,IF(AND(OR(D603="T. domingensis",D603="T. latifolia"),J603&gt;0),J603*[1]Sheet1!$G$5+K603*[1]Sheet1!$H$5+L603*[1]Sheet1!$I$5+[1]Sheet1!$L$5,0)))))))</f>
        <v>5.3643130000000001</v>
      </c>
    </row>
    <row r="604" spans="1:15">
      <c r="A604" s="2">
        <v>40732</v>
      </c>
      <c r="B604" t="s">
        <v>37</v>
      </c>
      <c r="C604">
        <v>47</v>
      </c>
      <c r="D604" s="6" t="s">
        <v>12</v>
      </c>
      <c r="E604">
        <v>149</v>
      </c>
      <c r="F604">
        <v>1</v>
      </c>
      <c r="G604">
        <v>0</v>
      </c>
      <c r="N604">
        <f t="shared" si="9"/>
        <v>39.008075833333329</v>
      </c>
      <c r="O604">
        <f>IF(AND(OR(D604="S. acutus",D604="S. californicus",D604="S. tabernaemontani"),G604=0),E604*[1]Sheet1!$D$7+[1]Sheet1!$L$7,IF(AND(OR(D604="S. acutus",D604="S. tabernaemontani"),G604&gt;0),E604*[1]Sheet1!$D$8+N604*[1]Sheet1!$E$8,IF(AND(D604="S. californicus",G604&gt;0),E604*[1]Sheet1!$D$9+N604*[1]Sheet1!$E$9,IF(D604="S. maritimus",F604*[1]Sheet1!$C$10+E604*[1]Sheet1!$D$10+G604*[1]Sheet1!$F$10+[1]Sheet1!$L$10,IF(D604="S. americanus",F604*[1]Sheet1!$C$6+E604*[1]Sheet1!$D$6+[1]Sheet1!$L$6,IF(AND(OR(D604="T. domingensis",D604="T. latifolia"),E604&gt;0),F604*[1]Sheet1!$C$4+E604*[1]Sheet1!$D$4+H604*[1]Sheet1!$J$4+I604*[1]Sheet1!$K$4+[1]Sheet1!$L$4,IF(AND(OR(D604="T. domingensis",D604="T. latifolia"),J604&gt;0),J604*[1]Sheet1!$G$5+K604*[1]Sheet1!$H$5+L604*[1]Sheet1!$I$5+[1]Sheet1!$L$5,0)))))))</f>
        <v>5.8550480000000009</v>
      </c>
    </row>
    <row r="605" spans="1:15">
      <c r="A605" s="2">
        <v>40732</v>
      </c>
      <c r="B605" t="s">
        <v>37</v>
      </c>
      <c r="C605">
        <v>47</v>
      </c>
      <c r="D605" s="6" t="s">
        <v>12</v>
      </c>
      <c r="E605">
        <v>151</v>
      </c>
      <c r="F605">
        <v>1.21</v>
      </c>
      <c r="G605">
        <v>3</v>
      </c>
      <c r="N605">
        <f t="shared" si="9"/>
        <v>57.878324147416656</v>
      </c>
      <c r="O605">
        <f>IF(AND(OR(D605="S. acutus",D605="S. californicus",D605="S. tabernaemontani"),G605=0),E605*[1]Sheet1!$D$7+[1]Sheet1!$L$7,IF(AND(OR(D605="S. acutus",D605="S. tabernaemontani"),G605&gt;0),E605*[1]Sheet1!$D$8+N605*[1]Sheet1!$E$8,IF(AND(D605="S. californicus",G605&gt;0),E605*[1]Sheet1!$D$9+N605*[1]Sheet1!$E$9,IF(D605="S. maritimus",F605*[1]Sheet1!$C$10+E605*[1]Sheet1!$D$10+G605*[1]Sheet1!$F$10+[1]Sheet1!$L$10,IF(D605="S. americanus",F605*[1]Sheet1!$C$6+E605*[1]Sheet1!$D$6+[1]Sheet1!$L$6,IF(AND(OR(D605="T. domingensis",D605="T. latifolia"),E605&gt;0),F605*[1]Sheet1!$C$4+E605*[1]Sheet1!$D$4+H605*[1]Sheet1!$J$4+I605*[1]Sheet1!$K$4+[1]Sheet1!$L$4,IF(AND(OR(D605="T. domingensis",D605="T. latifolia"),J605&gt;0),J605*[1]Sheet1!$G$5+K605*[1]Sheet1!$H$5+L605*[1]Sheet1!$I$5+[1]Sheet1!$L$5,0)))))))</f>
        <v>7.678306228038549</v>
      </c>
    </row>
    <row r="606" spans="1:15">
      <c r="A606" s="2">
        <v>40732</v>
      </c>
      <c r="B606" t="s">
        <v>37</v>
      </c>
      <c r="C606">
        <v>47</v>
      </c>
      <c r="D606" s="6" t="s">
        <v>12</v>
      </c>
      <c r="E606">
        <v>180</v>
      </c>
      <c r="F606">
        <v>1.72</v>
      </c>
      <c r="G606">
        <v>10</v>
      </c>
      <c r="N606">
        <f t="shared" si="9"/>
        <v>139.41119783999997</v>
      </c>
      <c r="O606">
        <f>IF(AND(OR(D606="S. acutus",D606="S. californicus",D606="S. tabernaemontani"),G606=0),E606*[1]Sheet1!$D$7+[1]Sheet1!$L$7,IF(AND(OR(D606="S. acutus",D606="S. tabernaemontani"),G606&gt;0),E606*[1]Sheet1!$D$8+N606*[1]Sheet1!$E$8,IF(AND(D606="S. californicus",G606&gt;0),E606*[1]Sheet1!$D$9+N606*[1]Sheet1!$E$9,IF(D606="S. maritimus",F606*[1]Sheet1!$C$10+E606*[1]Sheet1!$D$10+G606*[1]Sheet1!$F$10+[1]Sheet1!$L$10,IF(D606="S. americanus",F606*[1]Sheet1!$C$6+E606*[1]Sheet1!$D$6+[1]Sheet1!$L$6,IF(AND(OR(D606="T. domingensis",D606="T. latifolia"),E606&gt;0),F606*[1]Sheet1!$C$4+E606*[1]Sheet1!$D$4+H606*[1]Sheet1!$J$4+I606*[1]Sheet1!$K$4+[1]Sheet1!$L$4,IF(AND(OR(D606="T. domingensis",D606="T. latifolia"),J606&gt;0),J606*[1]Sheet1!$G$5+K606*[1]Sheet1!$H$5+L606*[1]Sheet1!$I$5+[1]Sheet1!$L$5,0)))))))</f>
        <v>11.420444040526055</v>
      </c>
    </row>
    <row r="607" spans="1:15">
      <c r="A607" s="2">
        <v>40732</v>
      </c>
      <c r="B607" t="s">
        <v>37</v>
      </c>
      <c r="C607">
        <v>47</v>
      </c>
      <c r="D607" s="6" t="s">
        <v>12</v>
      </c>
      <c r="E607">
        <v>202</v>
      </c>
      <c r="F607">
        <v>1.45</v>
      </c>
      <c r="G607">
        <v>7</v>
      </c>
      <c r="N607">
        <f t="shared" si="9"/>
        <v>111.18741507916666</v>
      </c>
      <c r="O607">
        <f>IF(AND(OR(D607="S. acutus",D607="S. californicus",D607="S. tabernaemontani"),G607=0),E607*[1]Sheet1!$D$7+[1]Sheet1!$L$7,IF(AND(OR(D607="S. acutus",D607="S. tabernaemontani"),G607&gt;0),E607*[1]Sheet1!$D$8+N607*[1]Sheet1!$E$8,IF(AND(D607="S. californicus",G607&gt;0),E607*[1]Sheet1!$D$9+N607*[1]Sheet1!$E$9,IF(D607="S. maritimus",F607*[1]Sheet1!$C$10+E607*[1]Sheet1!$D$10+G607*[1]Sheet1!$F$10+[1]Sheet1!$L$10,IF(D607="S. americanus",F607*[1]Sheet1!$C$6+E607*[1]Sheet1!$D$6+[1]Sheet1!$L$6,IF(AND(OR(D607="T. domingensis",D607="T. latifolia"),E607&gt;0),F607*[1]Sheet1!$C$4+E607*[1]Sheet1!$D$4+H607*[1]Sheet1!$J$4+I607*[1]Sheet1!$K$4+[1]Sheet1!$L$4,IF(AND(OR(D607="T. domingensis",D607="T. latifolia"),J607&gt;0),J607*[1]Sheet1!$G$5+K607*[1]Sheet1!$H$5+L607*[1]Sheet1!$I$5+[1]Sheet1!$L$5,0)))))))</f>
        <v>11.358769034222737</v>
      </c>
    </row>
    <row r="608" spans="1:15">
      <c r="A608" s="2">
        <v>40732</v>
      </c>
      <c r="B608" t="s">
        <v>37</v>
      </c>
      <c r="C608">
        <v>47</v>
      </c>
      <c r="D608" s="6" t="s">
        <v>12</v>
      </c>
      <c r="E608">
        <v>255</v>
      </c>
      <c r="F608">
        <v>1.54</v>
      </c>
      <c r="G608">
        <v>0</v>
      </c>
      <c r="N608">
        <f t="shared" si="9"/>
        <v>158.32514043499998</v>
      </c>
      <c r="O608">
        <f>IF(AND(OR(D608="S. acutus",D608="S. californicus",D608="S. tabernaemontani"),G608=0),E608*[1]Sheet1!$D$7+[1]Sheet1!$L$7,IF(AND(OR(D608="S. acutus",D608="S. tabernaemontani"),G608&gt;0),E608*[1]Sheet1!$D$8+N608*[1]Sheet1!$E$8,IF(AND(D608="S. californicus",G608&gt;0),E608*[1]Sheet1!$D$9+N608*[1]Sheet1!$E$9,IF(D608="S. maritimus",F608*[1]Sheet1!$C$10+E608*[1]Sheet1!$D$10+G608*[1]Sheet1!$F$10+[1]Sheet1!$L$10,IF(D608="S. americanus",F608*[1]Sheet1!$C$6+E608*[1]Sheet1!$D$6+[1]Sheet1!$L$6,IF(AND(OR(D608="T. domingensis",D608="T. latifolia"),E608&gt;0),F608*[1]Sheet1!$C$4+E608*[1]Sheet1!$D$4+H608*[1]Sheet1!$J$4+I608*[1]Sheet1!$K$4+[1]Sheet1!$L$4,IF(AND(OR(D608="T. domingensis",D608="T. latifolia"),J608&gt;0),J608*[1]Sheet1!$G$5+K608*[1]Sheet1!$H$5+L608*[1]Sheet1!$I$5+[1]Sheet1!$L$5,0)))))))</f>
        <v>13.286178</v>
      </c>
    </row>
    <row r="609" spans="1:15">
      <c r="A609" s="2">
        <v>40732</v>
      </c>
      <c r="B609" t="s">
        <v>37</v>
      </c>
      <c r="C609">
        <v>47</v>
      </c>
      <c r="D609" s="6" t="s">
        <v>12</v>
      </c>
      <c r="E609">
        <v>257</v>
      </c>
      <c r="F609">
        <v>1.65</v>
      </c>
      <c r="G609">
        <v>0</v>
      </c>
      <c r="N609">
        <f t="shared" si="9"/>
        <v>183.17629543124997</v>
      </c>
      <c r="O609">
        <f>IF(AND(OR(D609="S. acutus",D609="S. californicus",D609="S. tabernaemontani"),G609=0),E609*[1]Sheet1!$D$7+[1]Sheet1!$L$7,IF(AND(OR(D609="S. acutus",D609="S. tabernaemontani"),G609&gt;0),E609*[1]Sheet1!$D$8+N609*[1]Sheet1!$E$8,IF(AND(D609="S. californicus",G609&gt;0),E609*[1]Sheet1!$D$9+N609*[1]Sheet1!$E$9,IF(D609="S. maritimus",F609*[1]Sheet1!$C$10+E609*[1]Sheet1!$D$10+G609*[1]Sheet1!$F$10+[1]Sheet1!$L$10,IF(D609="S. americanus",F609*[1]Sheet1!$C$6+E609*[1]Sheet1!$D$6+[1]Sheet1!$L$6,IF(AND(OR(D609="T. domingensis",D609="T. latifolia"),E609&gt;0),F609*[1]Sheet1!$C$4+E609*[1]Sheet1!$D$4+H609*[1]Sheet1!$J$4+I609*[1]Sheet1!$K$4+[1]Sheet1!$L$4,IF(AND(OR(D609="T. domingensis",D609="T. latifolia"),J609&gt;0),J609*[1]Sheet1!$G$5+K609*[1]Sheet1!$H$5+L609*[1]Sheet1!$I$5+[1]Sheet1!$L$5,0)))))))</f>
        <v>13.426388000000003</v>
      </c>
    </row>
    <row r="610" spans="1:15">
      <c r="A610" s="2">
        <v>40732</v>
      </c>
      <c r="B610" t="s">
        <v>37</v>
      </c>
      <c r="C610">
        <v>47</v>
      </c>
      <c r="D610" s="6" t="s">
        <v>12</v>
      </c>
      <c r="E610">
        <v>259</v>
      </c>
      <c r="F610">
        <v>1.8</v>
      </c>
      <c r="G610">
        <v>0</v>
      </c>
      <c r="N610">
        <f t="shared" si="9"/>
        <v>219.6913887</v>
      </c>
      <c r="O610">
        <f>IF(AND(OR(D610="S. acutus",D610="S. californicus",D610="S. tabernaemontani"),G610=0),E610*[1]Sheet1!$D$7+[1]Sheet1!$L$7,IF(AND(OR(D610="S. acutus",D610="S. tabernaemontani"),G610&gt;0),E610*[1]Sheet1!$D$8+N610*[1]Sheet1!$E$8,IF(AND(D610="S. californicus",G610&gt;0),E610*[1]Sheet1!$D$9+N610*[1]Sheet1!$E$9,IF(D610="S. maritimus",F610*[1]Sheet1!$C$10+E610*[1]Sheet1!$D$10+G610*[1]Sheet1!$F$10+[1]Sheet1!$L$10,IF(D610="S. americanus",F610*[1]Sheet1!$C$6+E610*[1]Sheet1!$D$6+[1]Sheet1!$L$6,IF(AND(OR(D610="T. domingensis",D610="T. latifolia"),E610&gt;0),F610*[1]Sheet1!$C$4+E610*[1]Sheet1!$D$4+H610*[1]Sheet1!$J$4+I610*[1]Sheet1!$K$4+[1]Sheet1!$L$4,IF(AND(OR(D610="T. domingensis",D610="T. latifolia"),J610&gt;0),J610*[1]Sheet1!$G$5+K610*[1]Sheet1!$H$5+L610*[1]Sheet1!$I$5+[1]Sheet1!$L$5,0)))))))</f>
        <v>13.566598000000003</v>
      </c>
    </row>
    <row r="611" spans="1:15">
      <c r="A611" s="2">
        <v>40732</v>
      </c>
      <c r="B611" t="s">
        <v>37</v>
      </c>
      <c r="C611">
        <v>47</v>
      </c>
      <c r="D611" s="6" t="s">
        <v>12</v>
      </c>
      <c r="E611">
        <v>266</v>
      </c>
      <c r="F611">
        <v>1.67</v>
      </c>
      <c r="G611">
        <v>0</v>
      </c>
      <c r="N611">
        <f t="shared" si="9"/>
        <v>194.21503111383331</v>
      </c>
      <c r="O611">
        <f>IF(AND(OR(D611="S. acutus",D611="S. californicus",D611="S. tabernaemontani"),G611=0),E611*[1]Sheet1!$D$7+[1]Sheet1!$L$7,IF(AND(OR(D611="S. acutus",D611="S. tabernaemontani"),G611&gt;0),E611*[1]Sheet1!$D$8+N611*[1]Sheet1!$E$8,IF(AND(D611="S. californicus",G611&gt;0),E611*[1]Sheet1!$D$9+N611*[1]Sheet1!$E$9,IF(D611="S. maritimus",F611*[1]Sheet1!$C$10+E611*[1]Sheet1!$D$10+G611*[1]Sheet1!$F$10+[1]Sheet1!$L$10,IF(D611="S. americanus",F611*[1]Sheet1!$C$6+E611*[1]Sheet1!$D$6+[1]Sheet1!$L$6,IF(AND(OR(D611="T. domingensis",D611="T. latifolia"),E611&gt;0),F611*[1]Sheet1!$C$4+E611*[1]Sheet1!$D$4+H611*[1]Sheet1!$J$4+I611*[1]Sheet1!$K$4+[1]Sheet1!$L$4,IF(AND(OR(D611="T. domingensis",D611="T. latifolia"),J611&gt;0),J611*[1]Sheet1!$G$5+K611*[1]Sheet1!$H$5+L611*[1]Sheet1!$I$5+[1]Sheet1!$L$5,0)))))))</f>
        <v>14.057333</v>
      </c>
    </row>
    <row r="612" spans="1:15">
      <c r="A612" s="2">
        <v>40732</v>
      </c>
      <c r="B612" t="s">
        <v>37</v>
      </c>
      <c r="C612">
        <v>47</v>
      </c>
      <c r="D612" s="6" t="s">
        <v>12</v>
      </c>
      <c r="E612">
        <v>274</v>
      </c>
      <c r="F612">
        <v>1.05</v>
      </c>
      <c r="G612">
        <v>12</v>
      </c>
      <c r="N612">
        <f t="shared" si="9"/>
        <v>79.085601262499992</v>
      </c>
      <c r="O612">
        <f>IF(AND(OR(D612="S. acutus",D612="S. californicus",D612="S. tabernaemontani"),G612=0),E612*[1]Sheet1!$D$7+[1]Sheet1!$L$7,IF(AND(OR(D612="S. acutus",D612="S. tabernaemontani"),G612&gt;0),E612*[1]Sheet1!$D$8+N612*[1]Sheet1!$E$8,IF(AND(D612="S. californicus",G612&gt;0),E612*[1]Sheet1!$D$9+N612*[1]Sheet1!$E$9,IF(D612="S. maritimus",F612*[1]Sheet1!$C$10+E612*[1]Sheet1!$D$10+G612*[1]Sheet1!$F$10+[1]Sheet1!$L$10,IF(D612="S. americanus",F612*[1]Sheet1!$C$6+E612*[1]Sheet1!$D$6+[1]Sheet1!$L$6,IF(AND(OR(D612="T. domingensis",D612="T. latifolia"),E612&gt;0),F612*[1]Sheet1!$C$4+E612*[1]Sheet1!$D$4+H612*[1]Sheet1!$J$4+I612*[1]Sheet1!$K$4+[1]Sheet1!$L$4,IF(AND(OR(D612="T. domingensis",D612="T. latifolia"),J612&gt;0),J612*[1]Sheet1!$G$5+K612*[1]Sheet1!$H$5+L612*[1]Sheet1!$I$5+[1]Sheet1!$L$5,0)))))))</f>
        <v>13.097572937693636</v>
      </c>
    </row>
    <row r="613" spans="1:15">
      <c r="A613" s="2">
        <v>40732</v>
      </c>
      <c r="B613" t="s">
        <v>37</v>
      </c>
      <c r="C613">
        <v>47</v>
      </c>
      <c r="D613" s="6" t="s">
        <v>12</v>
      </c>
      <c r="E613">
        <v>275</v>
      </c>
      <c r="F613">
        <v>2.12</v>
      </c>
      <c r="G613">
        <v>9</v>
      </c>
      <c r="N613">
        <f t="shared" si="9"/>
        <v>323.57329803333334</v>
      </c>
      <c r="O613">
        <f>IF(AND(OR(D613="S. acutus",D613="S. californicus",D613="S. tabernaemontani"),G613=0),E613*[1]Sheet1!$D$7+[1]Sheet1!$L$7,IF(AND(OR(D613="S. acutus",D613="S. tabernaemontani"),G613&gt;0),E613*[1]Sheet1!$D$8+N613*[1]Sheet1!$E$8,IF(AND(D613="S. californicus",G613&gt;0),E613*[1]Sheet1!$D$9+N613*[1]Sheet1!$E$9,IF(D613="S. maritimus",F613*[1]Sheet1!$C$10+E613*[1]Sheet1!$D$10+G613*[1]Sheet1!$F$10+[1]Sheet1!$L$10,IF(D613="S. americanus",F613*[1]Sheet1!$C$6+E613*[1]Sheet1!$D$6+[1]Sheet1!$L$6,IF(AND(OR(D613="T. domingensis",D613="T. latifolia"),E613&gt;0),F613*[1]Sheet1!$C$4+E613*[1]Sheet1!$D$4+H613*[1]Sheet1!$J$4+I613*[1]Sheet1!$K$4+[1]Sheet1!$L$4,IF(AND(OR(D613="T. domingensis",D613="T. latifolia"),J613&gt;0),J613*[1]Sheet1!$G$5+K613*[1]Sheet1!$H$5+L613*[1]Sheet1!$I$5+[1]Sheet1!$L$5,0)))))))</f>
        <v>21.008803912641561</v>
      </c>
    </row>
    <row r="614" spans="1:15">
      <c r="A614" s="2">
        <v>40732</v>
      </c>
      <c r="B614" t="s">
        <v>37</v>
      </c>
      <c r="C614">
        <v>47</v>
      </c>
      <c r="D614" s="6" t="s">
        <v>12</v>
      </c>
      <c r="E614">
        <v>278</v>
      </c>
      <c r="F614">
        <v>1.76</v>
      </c>
      <c r="G614">
        <v>0</v>
      </c>
      <c r="N614">
        <f t="shared" si="9"/>
        <v>225.44384942933328</v>
      </c>
      <c r="O614">
        <f>IF(AND(OR(D614="S. acutus",D614="S. californicus",D614="S. tabernaemontani"),G614=0),E614*[1]Sheet1!$D$7+[1]Sheet1!$L$7,IF(AND(OR(D614="S. acutus",D614="S. tabernaemontani"),G614&gt;0),E614*[1]Sheet1!$D$8+N614*[1]Sheet1!$E$8,IF(AND(D614="S. californicus",G614&gt;0),E614*[1]Sheet1!$D$9+N614*[1]Sheet1!$E$9,IF(D614="S. maritimus",F614*[1]Sheet1!$C$10+E614*[1]Sheet1!$D$10+G614*[1]Sheet1!$F$10+[1]Sheet1!$L$10,IF(D614="S. americanus",F614*[1]Sheet1!$C$6+E614*[1]Sheet1!$D$6+[1]Sheet1!$L$6,IF(AND(OR(D614="T. domingensis",D614="T. latifolia"),E614&gt;0),F614*[1]Sheet1!$C$4+E614*[1]Sheet1!$D$4+H614*[1]Sheet1!$J$4+I614*[1]Sheet1!$K$4+[1]Sheet1!$L$4,IF(AND(OR(D614="T. domingensis",D614="T. latifolia"),J614&gt;0),J614*[1]Sheet1!$G$5+K614*[1]Sheet1!$H$5+L614*[1]Sheet1!$I$5+[1]Sheet1!$L$5,0)))))))</f>
        <v>14.898593000000002</v>
      </c>
    </row>
    <row r="615" spans="1:15">
      <c r="A615" s="2">
        <v>40732</v>
      </c>
      <c r="B615" t="s">
        <v>37</v>
      </c>
      <c r="C615">
        <v>47</v>
      </c>
      <c r="D615" s="6" t="s">
        <v>12</v>
      </c>
      <c r="E615">
        <v>285</v>
      </c>
      <c r="F615">
        <v>2.4</v>
      </c>
      <c r="G615">
        <v>5</v>
      </c>
      <c r="N615">
        <f t="shared" si="9"/>
        <v>429.76951199999996</v>
      </c>
      <c r="O615">
        <f>IF(AND(OR(D615="S. acutus",D615="S. californicus",D615="S. tabernaemontani"),G615=0),E615*[1]Sheet1!$D$7+[1]Sheet1!$L$7,IF(AND(OR(D615="S. acutus",D615="S. tabernaemontani"),G615&gt;0),E615*[1]Sheet1!$D$8+N615*[1]Sheet1!$E$8,IF(AND(D615="S. californicus",G615&gt;0),E615*[1]Sheet1!$D$9+N615*[1]Sheet1!$E$9,IF(D615="S. maritimus",F615*[1]Sheet1!$C$10+E615*[1]Sheet1!$D$10+G615*[1]Sheet1!$F$10+[1]Sheet1!$L$10,IF(D615="S. americanus",F615*[1]Sheet1!$C$6+E615*[1]Sheet1!$D$6+[1]Sheet1!$L$6,IF(AND(OR(D615="T. domingensis",D615="T. latifolia"),E615&gt;0),F615*[1]Sheet1!$C$4+E615*[1]Sheet1!$D$4+H615*[1]Sheet1!$J$4+I615*[1]Sheet1!$K$4+[1]Sheet1!$L$4,IF(AND(OR(D615="T. domingensis",D615="T. latifolia"),J615&gt;0),J615*[1]Sheet1!$G$5+K615*[1]Sheet1!$H$5+L615*[1]Sheet1!$I$5+[1]Sheet1!$L$5,0)))))))</f>
        <v>24.813488578960797</v>
      </c>
    </row>
    <row r="616" spans="1:15">
      <c r="A616" s="2">
        <v>40732</v>
      </c>
      <c r="B616" t="s">
        <v>37</v>
      </c>
      <c r="C616">
        <v>47</v>
      </c>
      <c r="D616" s="6" t="s">
        <v>12</v>
      </c>
      <c r="E616">
        <v>298</v>
      </c>
      <c r="F616">
        <v>2.6</v>
      </c>
      <c r="G616">
        <v>11</v>
      </c>
      <c r="N616">
        <f t="shared" si="9"/>
        <v>527.38918526666669</v>
      </c>
      <c r="O616">
        <f>IF(AND(OR(D616="S. acutus",D616="S. californicus",D616="S. tabernaemontani"),G616=0),E616*[1]Sheet1!$D$7+[1]Sheet1!$L$7,IF(AND(OR(D616="S. acutus",D616="S. tabernaemontani"),G616&gt;0),E616*[1]Sheet1!$D$8+N616*[1]Sheet1!$E$8,IF(AND(D616="S. californicus",G616&gt;0),E616*[1]Sheet1!$D$9+N616*[1]Sheet1!$E$9,IF(D616="S. maritimus",F616*[1]Sheet1!$C$10+E616*[1]Sheet1!$D$10+G616*[1]Sheet1!$F$10+[1]Sheet1!$L$10,IF(D616="S. americanus",F616*[1]Sheet1!$C$6+E616*[1]Sheet1!$D$6+[1]Sheet1!$L$6,IF(AND(OR(D616="T. domingensis",D616="T. latifolia"),E616&gt;0),F616*[1]Sheet1!$C$4+E616*[1]Sheet1!$D$4+H616*[1]Sheet1!$J$4+I616*[1]Sheet1!$K$4+[1]Sheet1!$L$4,IF(AND(OR(D616="T. domingensis",D616="T. latifolia"),J616&gt;0),J616*[1]Sheet1!$G$5+K616*[1]Sheet1!$H$5+L616*[1]Sheet1!$I$5+[1]Sheet1!$L$5,0)))))))</f>
        <v>28.457522215853405</v>
      </c>
    </row>
    <row r="617" spans="1:15">
      <c r="A617" s="2">
        <v>40732</v>
      </c>
      <c r="B617" t="s">
        <v>37</v>
      </c>
      <c r="C617">
        <v>47</v>
      </c>
      <c r="D617" s="6" t="s">
        <v>12</v>
      </c>
      <c r="E617">
        <v>304</v>
      </c>
      <c r="F617">
        <v>2.25</v>
      </c>
      <c r="G617">
        <v>0</v>
      </c>
      <c r="N617">
        <f t="shared" si="9"/>
        <v>402.90891749999992</v>
      </c>
      <c r="O617">
        <f>IF(AND(OR(D617="S. acutus",D617="S. californicus",D617="S. tabernaemontani"),G617=0),E617*[1]Sheet1!$D$7+[1]Sheet1!$L$7,IF(AND(OR(D617="S. acutus",D617="S. tabernaemontani"),G617&gt;0),E617*[1]Sheet1!$D$8+N617*[1]Sheet1!$E$8,IF(AND(D617="S. californicus",G617&gt;0),E617*[1]Sheet1!$D$9+N617*[1]Sheet1!$E$9,IF(D617="S. maritimus",F617*[1]Sheet1!$C$10+E617*[1]Sheet1!$D$10+G617*[1]Sheet1!$F$10+[1]Sheet1!$L$10,IF(D617="S. americanus",F617*[1]Sheet1!$C$6+E617*[1]Sheet1!$D$6+[1]Sheet1!$L$6,IF(AND(OR(D617="T. domingensis",D617="T. latifolia"),E617&gt;0),F617*[1]Sheet1!$C$4+E617*[1]Sheet1!$D$4+H617*[1]Sheet1!$J$4+I617*[1]Sheet1!$K$4+[1]Sheet1!$L$4,IF(AND(OR(D617="T. domingensis",D617="T. latifolia"),J617&gt;0),J617*[1]Sheet1!$G$5+K617*[1]Sheet1!$H$5+L617*[1]Sheet1!$I$5+[1]Sheet1!$L$5,0)))))))</f>
        <v>16.721323000000002</v>
      </c>
    </row>
    <row r="618" spans="1:15">
      <c r="A618" s="2">
        <v>40732</v>
      </c>
      <c r="B618" s="3" t="s">
        <v>33</v>
      </c>
      <c r="C618">
        <v>12</v>
      </c>
      <c r="D618" s="6" t="s">
        <v>12</v>
      </c>
      <c r="E618">
        <v>96</v>
      </c>
      <c r="F618">
        <v>0.7</v>
      </c>
      <c r="G618">
        <v>0</v>
      </c>
      <c r="N618">
        <f t="shared" si="9"/>
        <v>12.315032799999997</v>
      </c>
      <c r="O618">
        <f>IF(AND(OR(D618="S. acutus",D618="S. californicus",D618="S. tabernaemontani"),G618=0),E618*[1]Sheet1!$D$7+[1]Sheet1!$L$7,IF(AND(OR(D618="S. acutus",D618="S. tabernaemontani"),G618&gt;0),E618*[1]Sheet1!$D$8+N618*[1]Sheet1!$E$8,IF(AND(D618="S. californicus",G618&gt;0),E618*[1]Sheet1!$D$9+N618*[1]Sheet1!$E$9,IF(D618="S. maritimus",F618*[1]Sheet1!$C$10+E618*[1]Sheet1!$D$10+G618*[1]Sheet1!$F$10+[1]Sheet1!$L$10,IF(D618="S. americanus",F618*[1]Sheet1!$C$6+E618*[1]Sheet1!$D$6+[1]Sheet1!$L$6,IF(AND(OR(D618="T. domingensis",D618="T. latifolia"),E618&gt;0),F618*[1]Sheet1!$C$4+E618*[1]Sheet1!$D$4+H618*[1]Sheet1!$J$4+I618*[1]Sheet1!$K$4+[1]Sheet1!$L$4,IF(AND(OR(D618="T. domingensis",D618="T. latifolia"),J618&gt;0),J618*[1]Sheet1!$G$5+K618*[1]Sheet1!$H$5+L618*[1]Sheet1!$I$5+[1]Sheet1!$L$5,0)))))))</f>
        <v>2.1394830000000002</v>
      </c>
    </row>
    <row r="619" spans="1:15">
      <c r="A619" s="2">
        <v>40732</v>
      </c>
      <c r="B619" s="3" t="s">
        <v>33</v>
      </c>
      <c r="C619">
        <v>12</v>
      </c>
      <c r="D619" s="6" t="s">
        <v>12</v>
      </c>
      <c r="E619">
        <v>114</v>
      </c>
      <c r="F619">
        <v>1.1000000000000001</v>
      </c>
      <c r="G619">
        <v>0</v>
      </c>
      <c r="N619">
        <f t="shared" si="9"/>
        <v>36.112577049999999</v>
      </c>
      <c r="O619">
        <f>IF(AND(OR(D619="S. acutus",D619="S. californicus",D619="S. tabernaemontani"),G619=0),E619*[1]Sheet1!$D$7+[1]Sheet1!$L$7,IF(AND(OR(D619="S. acutus",D619="S. tabernaemontani"),G619&gt;0),E619*[1]Sheet1!$D$8+N619*[1]Sheet1!$E$8,IF(AND(D619="S. californicus",G619&gt;0),E619*[1]Sheet1!$D$9+N619*[1]Sheet1!$E$9,IF(D619="S. maritimus",F619*[1]Sheet1!$C$10+E619*[1]Sheet1!$D$10+G619*[1]Sheet1!$F$10+[1]Sheet1!$L$10,IF(D619="S. americanus",F619*[1]Sheet1!$C$6+E619*[1]Sheet1!$D$6+[1]Sheet1!$L$6,IF(AND(OR(D619="T. domingensis",D619="T. latifolia"),E619&gt;0),F619*[1]Sheet1!$C$4+E619*[1]Sheet1!$D$4+H619*[1]Sheet1!$J$4+I619*[1]Sheet1!$K$4+[1]Sheet1!$L$4,IF(AND(OR(D619="T. domingensis",D619="T. latifolia"),J619&gt;0),J619*[1]Sheet1!$G$5+K619*[1]Sheet1!$H$5+L619*[1]Sheet1!$I$5+[1]Sheet1!$L$5,0)))))))</f>
        <v>3.4013730000000004</v>
      </c>
    </row>
    <row r="620" spans="1:15">
      <c r="A620" s="2">
        <v>40732</v>
      </c>
      <c r="B620" s="3" t="s">
        <v>33</v>
      </c>
      <c r="C620">
        <v>12</v>
      </c>
      <c r="D620" s="6" t="s">
        <v>12</v>
      </c>
      <c r="E620">
        <v>117</v>
      </c>
      <c r="F620">
        <v>0.8</v>
      </c>
      <c r="G620" s="6">
        <v>0</v>
      </c>
      <c r="N620">
        <f t="shared" si="9"/>
        <v>19.603521600000001</v>
      </c>
      <c r="O620">
        <f>IF(AND(OR(D620="S. acutus",D620="S. californicus",D620="S. tabernaemontani"),G620=0),E620*[1]Sheet1!$D$7+[1]Sheet1!$L$7,IF(AND(OR(D620="S. acutus",D620="S. tabernaemontani"),G620&gt;0),E620*[1]Sheet1!$D$8+N620*[1]Sheet1!$E$8,IF(AND(D620="S. californicus",G620&gt;0),E620*[1]Sheet1!$D$9+N620*[1]Sheet1!$E$9,IF(D620="S. maritimus",F620*[1]Sheet1!$C$10+E620*[1]Sheet1!$D$10+G620*[1]Sheet1!$F$10+[1]Sheet1!$L$10,IF(D620="S. americanus",F620*[1]Sheet1!$C$6+E620*[1]Sheet1!$D$6+[1]Sheet1!$L$6,IF(AND(OR(D620="T. domingensis",D620="T. latifolia"),E620&gt;0),F620*[1]Sheet1!$C$4+E620*[1]Sheet1!$D$4+H620*[1]Sheet1!$J$4+I620*[1]Sheet1!$K$4+[1]Sheet1!$L$4,IF(AND(OR(D620="T. domingensis",D620="T. latifolia"),J620&gt;0),J620*[1]Sheet1!$G$5+K620*[1]Sheet1!$H$5+L620*[1]Sheet1!$I$5+[1]Sheet1!$L$5,0)))))))</f>
        <v>3.611688</v>
      </c>
    </row>
    <row r="621" spans="1:15">
      <c r="A621" s="2">
        <v>40732</v>
      </c>
      <c r="B621" s="3" t="s">
        <v>33</v>
      </c>
      <c r="C621">
        <v>12</v>
      </c>
      <c r="D621" s="6" t="s">
        <v>12</v>
      </c>
      <c r="E621">
        <v>124</v>
      </c>
      <c r="F621">
        <v>1.1000000000000001</v>
      </c>
      <c r="G621">
        <v>7</v>
      </c>
      <c r="N621">
        <f t="shared" si="9"/>
        <v>39.28034696666667</v>
      </c>
      <c r="O621">
        <f>IF(AND(OR(D621="S. acutus",D621="S. californicus",D621="S. tabernaemontani"),G621=0),E621*[1]Sheet1!$D$7+[1]Sheet1!$L$7,IF(AND(OR(D621="S. acutus",D621="S. tabernaemontani"),G621&gt;0),E621*[1]Sheet1!$D$8+N621*[1]Sheet1!$E$8,IF(AND(D621="S. californicus",G621&gt;0),E621*[1]Sheet1!$D$9+N621*[1]Sheet1!$E$9,IF(D621="S. maritimus",F621*[1]Sheet1!$C$10+E621*[1]Sheet1!$D$10+G621*[1]Sheet1!$F$10+[1]Sheet1!$L$10,IF(D621="S. americanus",F621*[1]Sheet1!$C$6+E621*[1]Sheet1!$D$6+[1]Sheet1!$L$6,IF(AND(OR(D621="T. domingensis",D621="T. latifolia"),E621&gt;0),F621*[1]Sheet1!$C$4+E621*[1]Sheet1!$D$4+H621*[1]Sheet1!$J$4+I621*[1]Sheet1!$K$4+[1]Sheet1!$L$4,IF(AND(OR(D621="T. domingensis",D621="T. latifolia"),J621&gt;0),J621*[1]Sheet1!$G$5+K621*[1]Sheet1!$H$5+L621*[1]Sheet1!$I$5+[1]Sheet1!$L$5,0)))))))</f>
        <v>6.0397429246389374</v>
      </c>
    </row>
    <row r="622" spans="1:15">
      <c r="A622" s="2">
        <v>40732</v>
      </c>
      <c r="B622" s="3" t="s">
        <v>33</v>
      </c>
      <c r="C622">
        <v>12</v>
      </c>
      <c r="D622" s="6" t="s">
        <v>12</v>
      </c>
      <c r="E622">
        <v>156</v>
      </c>
      <c r="F622">
        <v>0.84</v>
      </c>
      <c r="G622">
        <v>0</v>
      </c>
      <c r="N622">
        <f t="shared" si="9"/>
        <v>28.817176751999995</v>
      </c>
      <c r="O622">
        <f>IF(AND(OR(D622="S. acutus",D622="S. californicus",D622="S. tabernaemontani"),G622=0),E622*[1]Sheet1!$D$7+[1]Sheet1!$L$7,IF(AND(OR(D622="S. acutus",D622="S. tabernaemontani"),G622&gt;0),E622*[1]Sheet1!$D$8+N622*[1]Sheet1!$E$8,IF(AND(D622="S. californicus",G622&gt;0),E622*[1]Sheet1!$D$9+N622*[1]Sheet1!$E$9,IF(D622="S. maritimus",F622*[1]Sheet1!$C$10+E622*[1]Sheet1!$D$10+G622*[1]Sheet1!$F$10+[1]Sheet1!$L$10,IF(D622="S. americanus",F622*[1]Sheet1!$C$6+E622*[1]Sheet1!$D$6+[1]Sheet1!$L$6,IF(AND(OR(D622="T. domingensis",D622="T. latifolia"),E622&gt;0),F622*[1]Sheet1!$C$4+E622*[1]Sheet1!$D$4+H622*[1]Sheet1!$J$4+I622*[1]Sheet1!$K$4+[1]Sheet1!$L$4,IF(AND(OR(D622="T. domingensis",D622="T. latifolia"),J622&gt;0),J622*[1]Sheet1!$G$5+K622*[1]Sheet1!$H$5+L622*[1]Sheet1!$I$5+[1]Sheet1!$L$5,0)))))))</f>
        <v>6.345783</v>
      </c>
    </row>
    <row r="623" spans="1:15">
      <c r="A623" s="2">
        <v>40732</v>
      </c>
      <c r="B623" s="3" t="s">
        <v>33</v>
      </c>
      <c r="C623">
        <v>12</v>
      </c>
      <c r="D623" s="7" t="s">
        <v>12</v>
      </c>
      <c r="E623">
        <v>161</v>
      </c>
      <c r="F623">
        <v>0.76</v>
      </c>
      <c r="G623">
        <v>0</v>
      </c>
      <c r="N623">
        <f t="shared" si="9"/>
        <v>24.345646985333332</v>
      </c>
      <c r="O623">
        <f>IF(AND(OR(D623="S. acutus",D623="S. californicus",D623="S. tabernaemontani"),G623=0),E623*[1]Sheet1!$D$7+[1]Sheet1!$L$7,IF(AND(OR(D623="S. acutus",D623="S. tabernaemontani"),G623&gt;0),E623*[1]Sheet1!$D$8+N623*[1]Sheet1!$E$8,IF(AND(D623="S. californicus",G623&gt;0),E623*[1]Sheet1!$D$9+N623*[1]Sheet1!$E$9,IF(D623="S. maritimus",F623*[1]Sheet1!$C$10+E623*[1]Sheet1!$D$10+G623*[1]Sheet1!$F$10+[1]Sheet1!$L$10,IF(D623="S. americanus",F623*[1]Sheet1!$C$6+E623*[1]Sheet1!$D$6+[1]Sheet1!$L$6,IF(AND(OR(D623="T. domingensis",D623="T. latifolia"),E623&gt;0),F623*[1]Sheet1!$C$4+E623*[1]Sheet1!$D$4+H623*[1]Sheet1!$J$4+I623*[1]Sheet1!$K$4+[1]Sheet1!$L$4,IF(AND(OR(D623="T. domingensis",D623="T. latifolia"),J623&gt;0),J623*[1]Sheet1!$G$5+K623*[1]Sheet1!$H$5+L623*[1]Sheet1!$I$5+[1]Sheet1!$L$5,0)))))))</f>
        <v>6.696308000000001</v>
      </c>
    </row>
    <row r="624" spans="1:15">
      <c r="A624" s="2">
        <v>40732</v>
      </c>
      <c r="B624" s="3" t="s">
        <v>33</v>
      </c>
      <c r="C624">
        <v>12</v>
      </c>
      <c r="D624" s="6" t="s">
        <v>12</v>
      </c>
      <c r="E624">
        <v>168</v>
      </c>
      <c r="F624">
        <v>1.4</v>
      </c>
      <c r="G624">
        <v>0</v>
      </c>
      <c r="N624">
        <f t="shared" si="9"/>
        <v>86.205229599999981</v>
      </c>
      <c r="O624">
        <f>IF(AND(OR(D624="S. acutus",D624="S. californicus",D624="S. tabernaemontani"),G624=0),E624*[1]Sheet1!$D$7+[1]Sheet1!$L$7,IF(AND(OR(D624="S. acutus",D624="S. tabernaemontani"),G624&gt;0),E624*[1]Sheet1!$D$8+N624*[1]Sheet1!$E$8,IF(AND(D624="S. californicus",G624&gt;0),E624*[1]Sheet1!$D$9+N624*[1]Sheet1!$E$9,IF(D624="S. maritimus",F624*[1]Sheet1!$C$10+E624*[1]Sheet1!$D$10+G624*[1]Sheet1!$F$10+[1]Sheet1!$L$10,IF(D624="S. americanus",F624*[1]Sheet1!$C$6+E624*[1]Sheet1!$D$6+[1]Sheet1!$L$6,IF(AND(OR(D624="T. domingensis",D624="T. latifolia"),E624&gt;0),F624*[1]Sheet1!$C$4+E624*[1]Sheet1!$D$4+H624*[1]Sheet1!$J$4+I624*[1]Sheet1!$K$4+[1]Sheet1!$L$4,IF(AND(OR(D624="T. domingensis",D624="T. latifolia"),J624&gt;0),J624*[1]Sheet1!$G$5+K624*[1]Sheet1!$H$5+L624*[1]Sheet1!$I$5+[1]Sheet1!$L$5,0)))))))</f>
        <v>7.1870430000000001</v>
      </c>
    </row>
    <row r="625" spans="1:15">
      <c r="A625" s="2">
        <v>40732</v>
      </c>
      <c r="B625" s="3" t="s">
        <v>33</v>
      </c>
      <c r="C625">
        <v>12</v>
      </c>
      <c r="D625" s="6" t="s">
        <v>12</v>
      </c>
      <c r="E625">
        <v>175</v>
      </c>
      <c r="F625">
        <v>1.02</v>
      </c>
      <c r="G625">
        <v>0</v>
      </c>
      <c r="N625">
        <f t="shared" si="9"/>
        <v>47.66577427499999</v>
      </c>
      <c r="O625">
        <f>IF(AND(OR(D625="S. acutus",D625="S. californicus",D625="S. tabernaemontani"),G625=0),E625*[1]Sheet1!$D$7+[1]Sheet1!$L$7,IF(AND(OR(D625="S. acutus",D625="S. tabernaemontani"),G625&gt;0),E625*[1]Sheet1!$D$8+N625*[1]Sheet1!$E$8,IF(AND(D625="S. californicus",G625&gt;0),E625*[1]Sheet1!$D$9+N625*[1]Sheet1!$E$9,IF(D625="S. maritimus",F625*[1]Sheet1!$C$10+E625*[1]Sheet1!$D$10+G625*[1]Sheet1!$F$10+[1]Sheet1!$L$10,IF(D625="S. americanus",F625*[1]Sheet1!$C$6+E625*[1]Sheet1!$D$6+[1]Sheet1!$L$6,IF(AND(OR(D625="T. domingensis",D625="T. latifolia"),E625&gt;0),F625*[1]Sheet1!$C$4+E625*[1]Sheet1!$D$4+H625*[1]Sheet1!$J$4+I625*[1]Sheet1!$K$4+[1]Sheet1!$L$4,IF(AND(OR(D625="T. domingensis",D625="T. latifolia"),J625&gt;0),J625*[1]Sheet1!$G$5+K625*[1]Sheet1!$H$5+L625*[1]Sheet1!$I$5+[1]Sheet1!$L$5,0)))))))</f>
        <v>7.6777780000000009</v>
      </c>
    </row>
    <row r="626" spans="1:15">
      <c r="A626" s="2">
        <v>40732</v>
      </c>
      <c r="B626" s="3" t="s">
        <v>33</v>
      </c>
      <c r="C626">
        <v>12</v>
      </c>
      <c r="D626" s="6" t="s">
        <v>12</v>
      </c>
      <c r="E626">
        <v>178</v>
      </c>
      <c r="F626">
        <v>1.05</v>
      </c>
      <c r="G626">
        <v>6</v>
      </c>
      <c r="N626">
        <f t="shared" si="9"/>
        <v>51.376777462500002</v>
      </c>
      <c r="O626">
        <f>IF(AND(OR(D626="S. acutus",D626="S. californicus",D626="S. tabernaemontani"),G626=0),E626*[1]Sheet1!$D$7+[1]Sheet1!$L$7,IF(AND(OR(D626="S. acutus",D626="S. tabernaemontani"),G626&gt;0),E626*[1]Sheet1!$D$8+N626*[1]Sheet1!$E$8,IF(AND(D626="S. californicus",G626&gt;0),E626*[1]Sheet1!$D$9+N626*[1]Sheet1!$E$9,IF(D626="S. maritimus",F626*[1]Sheet1!$C$10+E626*[1]Sheet1!$D$10+G626*[1]Sheet1!$F$10+[1]Sheet1!$L$10,IF(D626="S. americanus",F626*[1]Sheet1!$C$6+E626*[1]Sheet1!$D$6+[1]Sheet1!$L$6,IF(AND(OR(D626="T. domingensis",D626="T. latifolia"),E626&gt;0),F626*[1]Sheet1!$C$4+E626*[1]Sheet1!$D$4+H626*[1]Sheet1!$J$4+I626*[1]Sheet1!$K$4+[1]Sheet1!$L$4,IF(AND(OR(D626="T. domingensis",D626="T. latifolia"),J626&gt;0),J626*[1]Sheet1!$G$5+K626*[1]Sheet1!$H$5+L626*[1]Sheet1!$I$5+[1]Sheet1!$L$5,0)))))))</f>
        <v>8.5086422733922156</v>
      </c>
    </row>
    <row r="627" spans="1:15">
      <c r="A627" s="2">
        <v>40732</v>
      </c>
      <c r="B627" s="3" t="s">
        <v>33</v>
      </c>
      <c r="C627">
        <v>12</v>
      </c>
      <c r="D627" s="6" t="s">
        <v>12</v>
      </c>
      <c r="E627">
        <v>184</v>
      </c>
      <c r="F627">
        <v>0.7</v>
      </c>
      <c r="G627">
        <v>0</v>
      </c>
      <c r="N627">
        <f t="shared" si="9"/>
        <v>23.603812866666662</v>
      </c>
      <c r="O627">
        <f>IF(AND(OR(D627="S. acutus",D627="S. californicus",D627="S. tabernaemontani"),G627=0),E627*[1]Sheet1!$D$7+[1]Sheet1!$L$7,IF(AND(OR(D627="S. acutus",D627="S. tabernaemontani"),G627&gt;0),E627*[1]Sheet1!$D$8+N627*[1]Sheet1!$E$8,IF(AND(D627="S. californicus",G627&gt;0),E627*[1]Sheet1!$D$9+N627*[1]Sheet1!$E$9,IF(D627="S. maritimus",F627*[1]Sheet1!$C$10+E627*[1]Sheet1!$D$10+G627*[1]Sheet1!$F$10+[1]Sheet1!$L$10,IF(D627="S. americanus",F627*[1]Sheet1!$C$6+E627*[1]Sheet1!$D$6+[1]Sheet1!$L$6,IF(AND(OR(D627="T. domingensis",D627="T. latifolia"),E627&gt;0),F627*[1]Sheet1!$C$4+E627*[1]Sheet1!$D$4+H627*[1]Sheet1!$J$4+I627*[1]Sheet1!$K$4+[1]Sheet1!$L$4,IF(AND(OR(D627="T. domingensis",D627="T. latifolia"),J627&gt;0),J627*[1]Sheet1!$G$5+K627*[1]Sheet1!$H$5+L627*[1]Sheet1!$I$5+[1]Sheet1!$L$5,0)))))))</f>
        <v>8.3087230000000005</v>
      </c>
    </row>
    <row r="628" spans="1:15">
      <c r="A628" s="2">
        <v>40732</v>
      </c>
      <c r="B628" s="3" t="s">
        <v>33</v>
      </c>
      <c r="C628">
        <v>12</v>
      </c>
      <c r="D628" s="6" t="s">
        <v>12</v>
      </c>
      <c r="E628">
        <v>193</v>
      </c>
      <c r="F628">
        <v>1.48</v>
      </c>
      <c r="G628">
        <v>0</v>
      </c>
      <c r="N628">
        <f t="shared" si="9"/>
        <v>110.67486467066665</v>
      </c>
      <c r="O628">
        <f>IF(AND(OR(D628="S. acutus",D628="S. californicus",D628="S. tabernaemontani"),G628=0),E628*[1]Sheet1!$D$7+[1]Sheet1!$L$7,IF(AND(OR(D628="S. acutus",D628="S. tabernaemontani"),G628&gt;0),E628*[1]Sheet1!$D$8+N628*[1]Sheet1!$E$8,IF(AND(D628="S. californicus",G628&gt;0),E628*[1]Sheet1!$D$9+N628*[1]Sheet1!$E$9,IF(D628="S. maritimus",F628*[1]Sheet1!$C$10+E628*[1]Sheet1!$D$10+G628*[1]Sheet1!$F$10+[1]Sheet1!$L$10,IF(D628="S. americanus",F628*[1]Sheet1!$C$6+E628*[1]Sheet1!$D$6+[1]Sheet1!$L$6,IF(AND(OR(D628="T. domingensis",D628="T. latifolia"),E628&gt;0),F628*[1]Sheet1!$C$4+E628*[1]Sheet1!$D$4+H628*[1]Sheet1!$J$4+I628*[1]Sheet1!$K$4+[1]Sheet1!$L$4,IF(AND(OR(D628="T. domingensis",D628="T. latifolia"),J628&gt;0),J628*[1]Sheet1!$G$5+K628*[1]Sheet1!$H$5+L628*[1]Sheet1!$I$5+[1]Sheet1!$L$5,0)))))))</f>
        <v>8.9396680000000011</v>
      </c>
    </row>
    <row r="629" spans="1:15">
      <c r="A629" s="2">
        <v>40732</v>
      </c>
      <c r="B629" s="3" t="s">
        <v>33</v>
      </c>
      <c r="C629">
        <v>12</v>
      </c>
      <c r="D629" s="6" t="s">
        <v>12</v>
      </c>
      <c r="E629">
        <v>195</v>
      </c>
      <c r="F629">
        <v>1.42</v>
      </c>
      <c r="G629">
        <v>0</v>
      </c>
      <c r="N629">
        <f t="shared" si="9"/>
        <v>102.938908735</v>
      </c>
      <c r="O629">
        <f>IF(AND(OR(D629="S. acutus",D629="S. californicus",D629="S. tabernaemontani"),G629=0),E629*[1]Sheet1!$D$7+[1]Sheet1!$L$7,IF(AND(OR(D629="S. acutus",D629="S. tabernaemontani"),G629&gt;0),E629*[1]Sheet1!$D$8+N629*[1]Sheet1!$E$8,IF(AND(D629="S. californicus",G629&gt;0),E629*[1]Sheet1!$D$9+N629*[1]Sheet1!$E$9,IF(D629="S. maritimus",F629*[1]Sheet1!$C$10+E629*[1]Sheet1!$D$10+G629*[1]Sheet1!$F$10+[1]Sheet1!$L$10,IF(D629="S. americanus",F629*[1]Sheet1!$C$6+E629*[1]Sheet1!$D$6+[1]Sheet1!$L$6,IF(AND(OR(D629="T. domingensis",D629="T. latifolia"),E629&gt;0),F629*[1]Sheet1!$C$4+E629*[1]Sheet1!$D$4+H629*[1]Sheet1!$J$4+I629*[1]Sheet1!$K$4+[1]Sheet1!$L$4,IF(AND(OR(D629="T. domingensis",D629="T. latifolia"),J629&gt;0),J629*[1]Sheet1!$G$5+K629*[1]Sheet1!$H$5+L629*[1]Sheet1!$I$5+[1]Sheet1!$L$5,0)))))))</f>
        <v>9.0798780000000008</v>
      </c>
    </row>
    <row r="630" spans="1:15">
      <c r="A630" s="2">
        <v>40732</v>
      </c>
      <c r="B630" s="3" t="s">
        <v>33</v>
      </c>
      <c r="C630">
        <v>12</v>
      </c>
      <c r="D630" s="6" t="s">
        <v>12</v>
      </c>
      <c r="E630">
        <v>207</v>
      </c>
      <c r="F630">
        <v>1.6</v>
      </c>
      <c r="G630">
        <v>14</v>
      </c>
      <c r="N630">
        <f t="shared" si="9"/>
        <v>138.73261440000002</v>
      </c>
      <c r="O630">
        <f>IF(AND(OR(D630="S. acutus",D630="S. californicus",D630="S. tabernaemontani"),G630=0),E630*[1]Sheet1!$D$7+[1]Sheet1!$L$7,IF(AND(OR(D630="S. acutus",D630="S. tabernaemontani"),G630&gt;0),E630*[1]Sheet1!$D$8+N630*[1]Sheet1!$E$8,IF(AND(D630="S. californicus",G630&gt;0),E630*[1]Sheet1!$D$9+N630*[1]Sheet1!$E$9,IF(D630="S. maritimus",F630*[1]Sheet1!$C$10+E630*[1]Sheet1!$D$10+G630*[1]Sheet1!$F$10+[1]Sheet1!$L$10,IF(D630="S. americanus",F630*[1]Sheet1!$C$6+E630*[1]Sheet1!$D$6+[1]Sheet1!$L$6,IF(AND(OR(D630="T. domingensis",D630="T. latifolia"),E630&gt;0),F630*[1]Sheet1!$C$4+E630*[1]Sheet1!$D$4+H630*[1]Sheet1!$J$4+I630*[1]Sheet1!$K$4+[1]Sheet1!$L$4,IF(AND(OR(D630="T. domingensis",D630="T. latifolia"),J630&gt;0),J630*[1]Sheet1!$G$5+K630*[1]Sheet1!$H$5+L630*[1]Sheet1!$I$5+[1]Sheet1!$L$5,0)))))))</f>
        <v>12.438284743032961</v>
      </c>
    </row>
    <row r="631" spans="1:15">
      <c r="A631" s="2">
        <v>40732</v>
      </c>
      <c r="B631" s="3" t="s">
        <v>33</v>
      </c>
      <c r="C631">
        <v>12</v>
      </c>
      <c r="D631" s="6" t="s">
        <v>12</v>
      </c>
      <c r="E631">
        <v>211</v>
      </c>
      <c r="F631">
        <v>1.32</v>
      </c>
      <c r="G631">
        <v>7</v>
      </c>
      <c r="N631">
        <f t="shared" si="9"/>
        <v>96.249521147999999</v>
      </c>
      <c r="O631">
        <f>IF(AND(OR(D631="S. acutus",D631="S. californicus",D631="S. tabernaemontani"),G631=0),E631*[1]Sheet1!$D$7+[1]Sheet1!$L$7,IF(AND(OR(D631="S. acutus",D631="S. tabernaemontani"),G631&gt;0),E631*[1]Sheet1!$D$8+N631*[1]Sheet1!$E$8,IF(AND(D631="S. californicus",G631&gt;0),E631*[1]Sheet1!$D$9+N631*[1]Sheet1!$E$9,IF(D631="S. maritimus",F631*[1]Sheet1!$C$10+E631*[1]Sheet1!$D$10+G631*[1]Sheet1!$F$10+[1]Sheet1!$L$10,IF(D631="S. americanus",F631*[1]Sheet1!$C$6+E631*[1]Sheet1!$D$6+[1]Sheet1!$L$6,IF(AND(OR(D631="T. domingensis",D631="T. latifolia"),E631&gt;0),F631*[1]Sheet1!$C$4+E631*[1]Sheet1!$D$4+H631*[1]Sheet1!$J$4+I631*[1]Sheet1!$K$4+[1]Sheet1!$L$4,IF(AND(OR(D631="T. domingensis",D631="T. latifolia"),J631&gt;0),J631*[1]Sheet1!$G$5+K631*[1]Sheet1!$H$5+L631*[1]Sheet1!$I$5+[1]Sheet1!$L$5,0)))))))</f>
        <v>11.224319305534634</v>
      </c>
    </row>
    <row r="632" spans="1:15">
      <c r="A632" s="2">
        <v>40732</v>
      </c>
      <c r="B632" s="3" t="s">
        <v>33</v>
      </c>
      <c r="C632">
        <v>12</v>
      </c>
      <c r="D632" s="6" t="s">
        <v>12</v>
      </c>
      <c r="E632">
        <v>215</v>
      </c>
      <c r="F632">
        <v>1.74</v>
      </c>
      <c r="G632">
        <v>4</v>
      </c>
      <c r="N632">
        <f t="shared" si="9"/>
        <v>170.41397875499999</v>
      </c>
      <c r="O632">
        <f>IF(AND(OR(D632="S. acutus",D632="S. californicus",D632="S. tabernaemontani"),G632=0),E632*[1]Sheet1!$D$7+[1]Sheet1!$L$7,IF(AND(OR(D632="S. acutus",D632="S. tabernaemontani"),G632&gt;0),E632*[1]Sheet1!$D$8+N632*[1]Sheet1!$E$8,IF(AND(D632="S. californicus",G632&gt;0),E632*[1]Sheet1!$D$9+N632*[1]Sheet1!$E$9,IF(D632="S. maritimus",F632*[1]Sheet1!$C$10+E632*[1]Sheet1!$D$10+G632*[1]Sheet1!$F$10+[1]Sheet1!$L$10,IF(D632="S. americanus",F632*[1]Sheet1!$C$6+E632*[1]Sheet1!$D$6+[1]Sheet1!$L$6,IF(AND(OR(D632="T. domingensis",D632="T. latifolia"),E632&gt;0),F632*[1]Sheet1!$C$4+E632*[1]Sheet1!$D$4+H632*[1]Sheet1!$J$4+I632*[1]Sheet1!$K$4+[1]Sheet1!$L$4,IF(AND(OR(D632="T. domingensis",D632="T. latifolia"),J632&gt;0),J632*[1]Sheet1!$G$5+K632*[1]Sheet1!$H$5+L632*[1]Sheet1!$I$5+[1]Sheet1!$L$5,0)))))))</f>
        <v>13.76650998849188</v>
      </c>
    </row>
    <row r="633" spans="1:15">
      <c r="A633" s="2">
        <v>40732</v>
      </c>
      <c r="B633" s="3" t="s">
        <v>33</v>
      </c>
      <c r="C633">
        <v>12</v>
      </c>
      <c r="D633" s="6" t="s">
        <v>12</v>
      </c>
      <c r="E633">
        <v>216</v>
      </c>
      <c r="F633">
        <v>1.3</v>
      </c>
      <c r="G633">
        <v>0</v>
      </c>
      <c r="N633">
        <f t="shared" ref="N633:N652" si="10">(1/3)*(3.14159)*((F633/2)^2)*E633</f>
        <v>95.567167799999993</v>
      </c>
      <c r="O633">
        <f>IF(AND(OR(D633="S. acutus",D633="S. californicus",D633="S. tabernaemontani"),G633=0),E633*[1]Sheet1!$D$7+[1]Sheet1!$L$7,IF(AND(OR(D633="S. acutus",D633="S. tabernaemontani"),G633&gt;0),E633*[1]Sheet1!$D$8+N633*[1]Sheet1!$E$8,IF(AND(D633="S. californicus",G633&gt;0),E633*[1]Sheet1!$D$9+N633*[1]Sheet1!$E$9,IF(D633="S. maritimus",F633*[1]Sheet1!$C$10+E633*[1]Sheet1!$D$10+G633*[1]Sheet1!$F$10+[1]Sheet1!$L$10,IF(D633="S. americanus",F633*[1]Sheet1!$C$6+E633*[1]Sheet1!$D$6+[1]Sheet1!$L$6,IF(AND(OR(D633="T. domingensis",D633="T. latifolia"),E633&gt;0),F633*[1]Sheet1!$C$4+E633*[1]Sheet1!$D$4+H633*[1]Sheet1!$J$4+I633*[1]Sheet1!$K$4+[1]Sheet1!$L$4,IF(AND(OR(D633="T. domingensis",D633="T. latifolia"),J633&gt;0),J633*[1]Sheet1!$G$5+K633*[1]Sheet1!$H$5+L633*[1]Sheet1!$I$5+[1]Sheet1!$L$5,0)))))))</f>
        <v>10.552083</v>
      </c>
    </row>
    <row r="634" spans="1:15">
      <c r="A634" s="2">
        <v>40732</v>
      </c>
      <c r="B634" s="3" t="s">
        <v>33</v>
      </c>
      <c r="C634">
        <v>12</v>
      </c>
      <c r="D634" s="6" t="s">
        <v>12</v>
      </c>
      <c r="E634">
        <v>218</v>
      </c>
      <c r="F634">
        <v>2</v>
      </c>
      <c r="G634">
        <v>0</v>
      </c>
      <c r="N634">
        <f t="shared" si="10"/>
        <v>228.2888733333333</v>
      </c>
      <c r="O634">
        <f>IF(AND(OR(D634="S. acutus",D634="S. californicus",D634="S. tabernaemontani"),G634=0),E634*[1]Sheet1!$D$7+[1]Sheet1!$L$7,IF(AND(OR(D634="S. acutus",D634="S. tabernaemontani"),G634&gt;0),E634*[1]Sheet1!$D$8+N634*[1]Sheet1!$E$8,IF(AND(D634="S. californicus",G634&gt;0),E634*[1]Sheet1!$D$9+N634*[1]Sheet1!$E$9,IF(D634="S. maritimus",F634*[1]Sheet1!$C$10+E634*[1]Sheet1!$D$10+G634*[1]Sheet1!$F$10+[1]Sheet1!$L$10,IF(D634="S. americanus",F634*[1]Sheet1!$C$6+E634*[1]Sheet1!$D$6+[1]Sheet1!$L$6,IF(AND(OR(D634="T. domingensis",D634="T. latifolia"),E634&gt;0),F634*[1]Sheet1!$C$4+E634*[1]Sheet1!$D$4+H634*[1]Sheet1!$J$4+I634*[1]Sheet1!$K$4+[1]Sheet1!$L$4,IF(AND(OR(D634="T. domingensis",D634="T. latifolia"),J634&gt;0),J634*[1]Sheet1!$G$5+K634*[1]Sheet1!$H$5+L634*[1]Sheet1!$I$5+[1]Sheet1!$L$5,0)))))))</f>
        <v>10.692292999999999</v>
      </c>
    </row>
    <row r="635" spans="1:15">
      <c r="A635" s="2">
        <v>40732</v>
      </c>
      <c r="B635" s="3" t="s">
        <v>33</v>
      </c>
      <c r="C635">
        <v>12</v>
      </c>
      <c r="D635" s="6" t="s">
        <v>12</v>
      </c>
      <c r="E635">
        <v>218</v>
      </c>
      <c r="F635">
        <v>1.73</v>
      </c>
      <c r="G635">
        <v>13</v>
      </c>
      <c r="N635">
        <f t="shared" si="10"/>
        <v>170.81144224983333</v>
      </c>
      <c r="O635">
        <f>IF(AND(OR(D635="S. acutus",D635="S. californicus",D635="S. tabernaemontani"),G635=0),E635*[1]Sheet1!$D$7+[1]Sheet1!$L$7,IF(AND(OR(D635="S. acutus",D635="S. tabernaemontani"),G635&gt;0),E635*[1]Sheet1!$D$8+N635*[1]Sheet1!$E$8,IF(AND(D635="S. californicus",G635&gt;0),E635*[1]Sheet1!$D$9+N635*[1]Sheet1!$E$9,IF(D635="S. maritimus",F635*[1]Sheet1!$C$10+E635*[1]Sheet1!$D$10+G635*[1]Sheet1!$F$10+[1]Sheet1!$L$10,IF(D635="S. americanus",F635*[1]Sheet1!$C$6+E635*[1]Sheet1!$D$6+[1]Sheet1!$L$6,IF(AND(OR(D635="T. domingensis",D635="T. latifolia"),E635&gt;0),F635*[1]Sheet1!$C$4+E635*[1]Sheet1!$D$4+H635*[1]Sheet1!$J$4+I635*[1]Sheet1!$K$4+[1]Sheet1!$L$4,IF(AND(OR(D635="T. domingensis",D635="T. latifolia"),J635&gt;0),J635*[1]Sheet1!$G$5+K635*[1]Sheet1!$H$5+L635*[1]Sheet1!$I$5+[1]Sheet1!$L$5,0)))))))</f>
        <v>13.894829970742657</v>
      </c>
    </row>
    <row r="636" spans="1:15">
      <c r="A636" s="2">
        <v>40732</v>
      </c>
      <c r="B636" s="3" t="s">
        <v>33</v>
      </c>
      <c r="C636">
        <v>12</v>
      </c>
      <c r="D636" s="7" t="s">
        <v>12</v>
      </c>
      <c r="E636">
        <v>222</v>
      </c>
      <c r="F636">
        <v>1.9</v>
      </c>
      <c r="G636">
        <v>0</v>
      </c>
      <c r="N636">
        <f t="shared" si="10"/>
        <v>209.81108814999996</v>
      </c>
      <c r="O636">
        <f>IF(AND(OR(D636="S. acutus",D636="S. californicus",D636="S. tabernaemontani"),G636=0),E636*[1]Sheet1!$D$7+[1]Sheet1!$L$7,IF(AND(OR(D636="S. acutus",D636="S. tabernaemontani"),G636&gt;0),E636*[1]Sheet1!$D$8+N636*[1]Sheet1!$E$8,IF(AND(D636="S. californicus",G636&gt;0),E636*[1]Sheet1!$D$9+N636*[1]Sheet1!$E$9,IF(D636="S. maritimus",F636*[1]Sheet1!$C$10+E636*[1]Sheet1!$D$10+G636*[1]Sheet1!$F$10+[1]Sheet1!$L$10,IF(D636="S. americanus",F636*[1]Sheet1!$C$6+E636*[1]Sheet1!$D$6+[1]Sheet1!$L$6,IF(AND(OR(D636="T. domingensis",D636="T. latifolia"),E636&gt;0),F636*[1]Sheet1!$C$4+E636*[1]Sheet1!$D$4+H636*[1]Sheet1!$J$4+I636*[1]Sheet1!$K$4+[1]Sheet1!$L$4,IF(AND(OR(D636="T. domingensis",D636="T. latifolia"),J636&gt;0),J636*[1]Sheet1!$G$5+K636*[1]Sheet1!$H$5+L636*[1]Sheet1!$I$5+[1]Sheet1!$L$5,0)))))))</f>
        <v>10.972712999999999</v>
      </c>
    </row>
    <row r="637" spans="1:15">
      <c r="A637" s="2">
        <v>40732</v>
      </c>
      <c r="B637" s="3" t="s">
        <v>33</v>
      </c>
      <c r="C637">
        <v>12</v>
      </c>
      <c r="D637" s="6" t="s">
        <v>12</v>
      </c>
      <c r="E637">
        <v>223</v>
      </c>
      <c r="F637">
        <v>1.35</v>
      </c>
      <c r="G637">
        <v>7</v>
      </c>
      <c r="N637">
        <f t="shared" si="10"/>
        <v>106.39976281875001</v>
      </c>
      <c r="O637">
        <f>IF(AND(OR(D637="S. acutus",D637="S. californicus",D637="S. tabernaemontani"),G637=0),E637*[1]Sheet1!$D$7+[1]Sheet1!$L$7,IF(AND(OR(D637="S. acutus",D637="S. tabernaemontani"),G637&gt;0),E637*[1]Sheet1!$D$8+N637*[1]Sheet1!$E$8,IF(AND(D637="S. californicus",G637&gt;0),E637*[1]Sheet1!$D$9+N637*[1]Sheet1!$E$9,IF(D637="S. maritimus",F637*[1]Sheet1!$C$10+E637*[1]Sheet1!$D$10+G637*[1]Sheet1!$F$10+[1]Sheet1!$L$10,IF(D637="S. americanus",F637*[1]Sheet1!$C$6+E637*[1]Sheet1!$D$6+[1]Sheet1!$L$6,IF(AND(OR(D637="T. domingensis",D637="T. latifolia"),E637&gt;0),F637*[1]Sheet1!$C$4+E637*[1]Sheet1!$D$4+H637*[1]Sheet1!$J$4+I637*[1]Sheet1!$K$4+[1]Sheet1!$L$4,IF(AND(OR(D637="T. domingensis",D637="T. latifolia"),J637&gt;0),J637*[1]Sheet1!$G$5+K637*[1]Sheet1!$H$5+L637*[1]Sheet1!$I$5+[1]Sheet1!$L$5,0)))))))</f>
        <v>12.013251422550287</v>
      </c>
    </row>
    <row r="638" spans="1:15">
      <c r="A638" s="2">
        <v>40732</v>
      </c>
      <c r="B638" s="3" t="s">
        <v>33</v>
      </c>
      <c r="C638">
        <v>12</v>
      </c>
      <c r="D638" s="6" t="s">
        <v>12</v>
      </c>
      <c r="E638">
        <v>224</v>
      </c>
      <c r="F638">
        <v>1.93</v>
      </c>
      <c r="G638">
        <v>1</v>
      </c>
      <c r="N638">
        <f t="shared" si="10"/>
        <v>218.4393603653333</v>
      </c>
      <c r="O638">
        <f>IF(AND(OR(D638="S. acutus",D638="S. californicus",D638="S. tabernaemontani"),G638=0),E638*[1]Sheet1!$D$7+[1]Sheet1!$L$7,IF(AND(OR(D638="S. acutus",D638="S. tabernaemontani"),G638&gt;0),E638*[1]Sheet1!$D$8+N638*[1]Sheet1!$E$8,IF(AND(D638="S. californicus",G638&gt;0),E638*[1]Sheet1!$D$9+N638*[1]Sheet1!$E$9,IF(D638="S. maritimus",F638*[1]Sheet1!$C$10+E638*[1]Sheet1!$D$10+G638*[1]Sheet1!$F$10+[1]Sheet1!$L$10,IF(D638="S. americanus",F638*[1]Sheet1!$C$6+E638*[1]Sheet1!$D$6+[1]Sheet1!$L$6,IF(AND(OR(D638="T. domingensis",D638="T. latifolia"),E638&gt;0),F638*[1]Sheet1!$C$4+E638*[1]Sheet1!$D$4+H638*[1]Sheet1!$J$4+I638*[1]Sheet1!$K$4+[1]Sheet1!$L$4,IF(AND(OR(D638="T. domingensis",D638="T. latifolia"),J638&gt;0),J638*[1]Sheet1!$G$5+K638*[1]Sheet1!$H$5+L638*[1]Sheet1!$I$5+[1]Sheet1!$L$5,0)))))))</f>
        <v>15.659534399188061</v>
      </c>
    </row>
    <row r="639" spans="1:15">
      <c r="A639" s="2">
        <v>40732</v>
      </c>
      <c r="B639" s="3" t="s">
        <v>33</v>
      </c>
      <c r="C639">
        <v>12</v>
      </c>
      <c r="D639" s="6" t="s">
        <v>12</v>
      </c>
      <c r="E639">
        <v>232</v>
      </c>
      <c r="F639">
        <v>1.22</v>
      </c>
      <c r="G639">
        <v>17</v>
      </c>
      <c r="N639">
        <f t="shared" si="10"/>
        <v>90.401556082666644</v>
      </c>
      <c r="O639">
        <f>IF(AND(OR(D639="S. acutus",D639="S. californicus",D639="S. tabernaemontani"),G639=0),E639*[1]Sheet1!$D$7+[1]Sheet1!$L$7,IF(AND(OR(D639="S. acutus",D639="S. tabernaemontani"),G639&gt;0),E639*[1]Sheet1!$D$8+N639*[1]Sheet1!$E$8,IF(AND(D639="S. californicus",G639&gt;0),E639*[1]Sheet1!$D$9+N639*[1]Sheet1!$E$9,IF(D639="S. maritimus",F639*[1]Sheet1!$C$10+E639*[1]Sheet1!$D$10+G639*[1]Sheet1!$F$10+[1]Sheet1!$L$10,IF(D639="S. americanus",F639*[1]Sheet1!$C$6+E639*[1]Sheet1!$D$6+[1]Sheet1!$L$6,IF(AND(OR(D639="T. domingensis",D639="T. latifolia"),E639&gt;0),F639*[1]Sheet1!$C$4+E639*[1]Sheet1!$D$4+H639*[1]Sheet1!$J$4+I639*[1]Sheet1!$K$4+[1]Sheet1!$L$4,IF(AND(OR(D639="T. domingensis",D639="T. latifolia"),J639&gt;0),J639*[1]Sheet1!$G$5+K639*[1]Sheet1!$H$5+L639*[1]Sheet1!$I$5+[1]Sheet1!$L$5,0)))))))</f>
        <v>11.84465866726234</v>
      </c>
    </row>
    <row r="640" spans="1:15">
      <c r="A640" s="2">
        <v>40732</v>
      </c>
      <c r="B640" s="3" t="s">
        <v>33</v>
      </c>
      <c r="C640">
        <v>12</v>
      </c>
      <c r="D640" s="6" t="s">
        <v>12</v>
      </c>
      <c r="E640">
        <v>237</v>
      </c>
      <c r="F640">
        <v>1.85</v>
      </c>
      <c r="G640">
        <v>5</v>
      </c>
      <c r="N640">
        <f t="shared" si="10"/>
        <v>212.35381255625001</v>
      </c>
      <c r="O640">
        <f>IF(AND(OR(D640="S. acutus",D640="S. californicus",D640="S. tabernaemontani"),G640=0),E640*[1]Sheet1!$D$7+[1]Sheet1!$L$7,IF(AND(OR(D640="S. acutus",D640="S. tabernaemontani"),G640&gt;0),E640*[1]Sheet1!$D$8+N640*[1]Sheet1!$E$8,IF(AND(D640="S. californicus",G640&gt;0),E640*[1]Sheet1!$D$9+N640*[1]Sheet1!$E$9,IF(D640="S. maritimus",F640*[1]Sheet1!$C$10+E640*[1]Sheet1!$D$10+G640*[1]Sheet1!$F$10+[1]Sheet1!$L$10,IF(D640="S. americanus",F640*[1]Sheet1!$C$6+E640*[1]Sheet1!$D$6+[1]Sheet1!$L$6,IF(AND(OR(D640="T. domingensis",D640="T. latifolia"),E640&gt;0),F640*[1]Sheet1!$C$4+E640*[1]Sheet1!$D$4+H640*[1]Sheet1!$J$4+I640*[1]Sheet1!$K$4+[1]Sheet1!$L$4,IF(AND(OR(D640="T. domingensis",D640="T. latifolia"),J640&gt;0),J640*[1]Sheet1!$G$5+K640*[1]Sheet1!$H$5+L640*[1]Sheet1!$I$5+[1]Sheet1!$L$5,0)))))))</f>
        <v>15.964166582742552</v>
      </c>
    </row>
    <row r="641" spans="1:15">
      <c r="A641" s="2">
        <v>40732</v>
      </c>
      <c r="B641" s="3" t="s">
        <v>33</v>
      </c>
      <c r="C641">
        <v>12</v>
      </c>
      <c r="D641" s="6" t="s">
        <v>12</v>
      </c>
      <c r="E641">
        <v>240</v>
      </c>
      <c r="F641">
        <v>1.98</v>
      </c>
      <c r="G641">
        <v>16</v>
      </c>
      <c r="N641">
        <f t="shared" si="10"/>
        <v>246.32578871999999</v>
      </c>
      <c r="O641">
        <f>IF(AND(OR(D641="S. acutus",D641="S. californicus",D641="S. tabernaemontani"),G641=0),E641*[1]Sheet1!$D$7+[1]Sheet1!$L$7,IF(AND(OR(D641="S. acutus",D641="S. tabernaemontani"),G641&gt;0),E641*[1]Sheet1!$D$8+N641*[1]Sheet1!$E$8,IF(AND(D641="S. californicus",G641&gt;0),E641*[1]Sheet1!$D$9+N641*[1]Sheet1!$E$9,IF(D641="S. maritimus",F641*[1]Sheet1!$C$10+E641*[1]Sheet1!$D$10+G641*[1]Sheet1!$F$10+[1]Sheet1!$L$10,IF(D641="S. americanus",F641*[1]Sheet1!$C$6+E641*[1]Sheet1!$D$6+[1]Sheet1!$L$6,IF(AND(OR(D641="T. domingensis",D641="T. latifolia"),E641&gt;0),F641*[1]Sheet1!$C$4+E641*[1]Sheet1!$D$4+H641*[1]Sheet1!$J$4+I641*[1]Sheet1!$K$4+[1]Sheet1!$L$4,IF(AND(OR(D641="T. domingensis",D641="T. latifolia"),J641&gt;0),J641*[1]Sheet1!$G$5+K641*[1]Sheet1!$H$5+L641*[1]Sheet1!$I$5+[1]Sheet1!$L$5,0)))))))</f>
        <v>17.17361608999385</v>
      </c>
    </row>
    <row r="642" spans="1:15">
      <c r="A642" s="2">
        <v>40732</v>
      </c>
      <c r="B642" s="3" t="s">
        <v>33</v>
      </c>
      <c r="C642">
        <v>12</v>
      </c>
      <c r="D642" s="7" t="s">
        <v>12</v>
      </c>
      <c r="E642">
        <v>242</v>
      </c>
      <c r="F642">
        <v>2.1800000000000002</v>
      </c>
      <c r="G642">
        <v>10</v>
      </c>
      <c r="N642">
        <f t="shared" si="10"/>
        <v>301.09019503933337</v>
      </c>
      <c r="O642">
        <f>IF(AND(OR(D642="S. acutus",D642="S. californicus",D642="S. tabernaemontani"),G642=0),E642*[1]Sheet1!$D$7+[1]Sheet1!$L$7,IF(AND(OR(D642="S. acutus",D642="S. tabernaemontani"),G642&gt;0),E642*[1]Sheet1!$D$8+N642*[1]Sheet1!$E$8,IF(AND(D642="S. californicus",G642&gt;0),E642*[1]Sheet1!$D$9+N642*[1]Sheet1!$E$9,IF(D642="S. maritimus",F642*[1]Sheet1!$C$10+E642*[1]Sheet1!$D$10+G642*[1]Sheet1!$F$10+[1]Sheet1!$L$10,IF(D642="S. americanus",F642*[1]Sheet1!$C$6+E642*[1]Sheet1!$D$6+[1]Sheet1!$L$6,IF(AND(OR(D642="T. domingensis",D642="T. latifolia"),E642&gt;0),F642*[1]Sheet1!$C$4+E642*[1]Sheet1!$D$4+H642*[1]Sheet1!$J$4+I642*[1]Sheet1!$K$4+[1]Sheet1!$L$4,IF(AND(OR(D642="T. domingensis",D642="T. latifolia"),J642&gt;0),J642*[1]Sheet1!$G$5+K642*[1]Sheet1!$H$5+L642*[1]Sheet1!$I$5+[1]Sheet1!$L$5,0)))))))</f>
        <v>19.014093461442069</v>
      </c>
    </row>
    <row r="643" spans="1:15">
      <c r="A643" s="2">
        <v>40732</v>
      </c>
      <c r="B643" s="3" t="s">
        <v>33</v>
      </c>
      <c r="C643">
        <v>12</v>
      </c>
      <c r="D643" s="6" t="s">
        <v>12</v>
      </c>
      <c r="E643">
        <v>243</v>
      </c>
      <c r="F643">
        <v>0.95</v>
      </c>
      <c r="G643">
        <v>1</v>
      </c>
      <c r="N643">
        <f t="shared" si="10"/>
        <v>57.414520743749996</v>
      </c>
      <c r="O643">
        <f>IF(AND(OR(D643="S. acutus",D643="S. californicus",D643="S. tabernaemontani"),G643=0),E643*[1]Sheet1!$D$7+[1]Sheet1!$L$7,IF(AND(OR(D643="S. acutus",D643="S. tabernaemontani"),G643&gt;0),E643*[1]Sheet1!$D$8+N643*[1]Sheet1!$E$8,IF(AND(D643="S. californicus",G643&gt;0),E643*[1]Sheet1!$D$9+N643*[1]Sheet1!$E$9,IF(D643="S. maritimus",F643*[1]Sheet1!$C$10+E643*[1]Sheet1!$D$10+G643*[1]Sheet1!$F$10+[1]Sheet1!$L$10,IF(D643="S. americanus",F643*[1]Sheet1!$C$6+E643*[1]Sheet1!$D$6+[1]Sheet1!$L$6,IF(AND(OR(D643="T. domingensis",D643="T. latifolia"),E643&gt;0),F643*[1]Sheet1!$C$4+E643*[1]Sheet1!$D$4+H643*[1]Sheet1!$J$4+I643*[1]Sheet1!$K$4+[1]Sheet1!$L$4,IF(AND(OR(D643="T. domingensis",D643="T. latifolia"),J643&gt;0),J643*[1]Sheet1!$G$5+K643*[1]Sheet1!$H$5+L643*[1]Sheet1!$I$5+[1]Sheet1!$L$5,0)))))))</f>
        <v>11.20602454101742</v>
      </c>
    </row>
    <row r="644" spans="1:15">
      <c r="A644" s="2">
        <v>40732</v>
      </c>
      <c r="B644" s="3" t="s">
        <v>33</v>
      </c>
      <c r="C644">
        <v>12</v>
      </c>
      <c r="D644" s="6" t="s">
        <v>12</v>
      </c>
      <c r="E644">
        <v>244</v>
      </c>
      <c r="F644">
        <v>1.9</v>
      </c>
      <c r="G644">
        <v>0</v>
      </c>
      <c r="N644">
        <f t="shared" si="10"/>
        <v>230.60317796666664</v>
      </c>
      <c r="O644">
        <f>IF(AND(OR(D644="S. acutus",D644="S. californicus",D644="S. tabernaemontani"),G644=0),E644*[1]Sheet1!$D$7+[1]Sheet1!$L$7,IF(AND(OR(D644="S. acutus",D644="S. tabernaemontani"),G644&gt;0),E644*[1]Sheet1!$D$8+N644*[1]Sheet1!$E$8,IF(AND(D644="S. californicus",G644&gt;0),E644*[1]Sheet1!$D$9+N644*[1]Sheet1!$E$9,IF(D644="S. maritimus",F644*[1]Sheet1!$C$10+E644*[1]Sheet1!$D$10+G644*[1]Sheet1!$F$10+[1]Sheet1!$L$10,IF(D644="S. americanus",F644*[1]Sheet1!$C$6+E644*[1]Sheet1!$D$6+[1]Sheet1!$L$6,IF(AND(OR(D644="T. domingensis",D644="T. latifolia"),E644&gt;0),F644*[1]Sheet1!$C$4+E644*[1]Sheet1!$D$4+H644*[1]Sheet1!$J$4+I644*[1]Sheet1!$K$4+[1]Sheet1!$L$4,IF(AND(OR(D644="T. domingensis",D644="T. latifolia"),J644&gt;0),J644*[1]Sheet1!$G$5+K644*[1]Sheet1!$H$5+L644*[1]Sheet1!$I$5+[1]Sheet1!$L$5,0)))))))</f>
        <v>12.515023000000003</v>
      </c>
    </row>
    <row r="645" spans="1:15">
      <c r="A645" s="2">
        <v>40732</v>
      </c>
      <c r="B645" s="3" t="s">
        <v>33</v>
      </c>
      <c r="C645">
        <v>12</v>
      </c>
      <c r="D645" s="6" t="s">
        <v>12</v>
      </c>
      <c r="E645">
        <v>245</v>
      </c>
      <c r="F645">
        <v>1.25</v>
      </c>
      <c r="G645">
        <v>12</v>
      </c>
      <c r="N645">
        <f t="shared" si="10"/>
        <v>100.21999348958332</v>
      </c>
      <c r="O645">
        <f>IF(AND(OR(D645="S. acutus",D645="S. californicus",D645="S. tabernaemontani"),G645=0),E645*[1]Sheet1!$D$7+[1]Sheet1!$L$7,IF(AND(OR(D645="S. acutus",D645="S. tabernaemontani"),G645&gt;0),E645*[1]Sheet1!$D$8+N645*[1]Sheet1!$E$8,IF(AND(D645="S. californicus",G645&gt;0),E645*[1]Sheet1!$D$9+N645*[1]Sheet1!$E$9,IF(D645="S. maritimus",F645*[1]Sheet1!$C$10+E645*[1]Sheet1!$D$10+G645*[1]Sheet1!$F$10+[1]Sheet1!$L$10,IF(D645="S. americanus",F645*[1]Sheet1!$C$6+E645*[1]Sheet1!$D$6+[1]Sheet1!$L$6,IF(AND(OR(D645="T. domingensis",D645="T. latifolia"),E645&gt;0),F645*[1]Sheet1!$C$4+E645*[1]Sheet1!$D$4+H645*[1]Sheet1!$J$4+I645*[1]Sheet1!$K$4+[1]Sheet1!$L$4,IF(AND(OR(D645="T. domingensis",D645="T. latifolia"),J645&gt;0),J645*[1]Sheet1!$G$5+K645*[1]Sheet1!$H$5+L645*[1]Sheet1!$I$5+[1]Sheet1!$L$5,0)))))))</f>
        <v>12.661413488358724</v>
      </c>
    </row>
    <row r="646" spans="1:15">
      <c r="A646" s="2">
        <v>40732</v>
      </c>
      <c r="B646" s="3" t="s">
        <v>33</v>
      </c>
      <c r="C646">
        <v>12</v>
      </c>
      <c r="D646" s="6" t="s">
        <v>12</v>
      </c>
      <c r="E646">
        <v>248</v>
      </c>
      <c r="F646">
        <v>2</v>
      </c>
      <c r="G646">
        <v>0</v>
      </c>
      <c r="N646">
        <f t="shared" si="10"/>
        <v>259.70477333333332</v>
      </c>
      <c r="O646">
        <f>IF(AND(OR(D646="S. acutus",D646="S. californicus",D646="S. tabernaemontani"),G646=0),E646*[1]Sheet1!$D$7+[1]Sheet1!$L$7,IF(AND(OR(D646="S. acutus",D646="S. tabernaemontani"),G646&gt;0),E646*[1]Sheet1!$D$8+N646*[1]Sheet1!$E$8,IF(AND(D646="S. californicus",G646&gt;0),E646*[1]Sheet1!$D$9+N646*[1]Sheet1!$E$9,IF(D646="S. maritimus",F646*[1]Sheet1!$C$10+E646*[1]Sheet1!$D$10+G646*[1]Sheet1!$F$10+[1]Sheet1!$L$10,IF(D646="S. americanus",F646*[1]Sheet1!$C$6+E646*[1]Sheet1!$D$6+[1]Sheet1!$L$6,IF(AND(OR(D646="T. domingensis",D646="T. latifolia"),E646&gt;0),F646*[1]Sheet1!$C$4+E646*[1]Sheet1!$D$4+H646*[1]Sheet1!$J$4+I646*[1]Sheet1!$K$4+[1]Sheet1!$L$4,IF(AND(OR(D646="T. domingensis",D646="T. latifolia"),J646&gt;0),J646*[1]Sheet1!$G$5+K646*[1]Sheet1!$H$5+L646*[1]Sheet1!$I$5+[1]Sheet1!$L$5,0)))))))</f>
        <v>12.795443000000002</v>
      </c>
    </row>
    <row r="647" spans="1:15">
      <c r="A647" s="2">
        <v>40732</v>
      </c>
      <c r="B647" s="3" t="s">
        <v>33</v>
      </c>
      <c r="C647">
        <v>12</v>
      </c>
      <c r="D647" s="6" t="s">
        <v>12</v>
      </c>
      <c r="E647">
        <v>249</v>
      </c>
      <c r="F647">
        <v>1.25</v>
      </c>
      <c r="G647">
        <v>0</v>
      </c>
      <c r="N647">
        <f t="shared" si="10"/>
        <v>101.85623828124999</v>
      </c>
      <c r="O647">
        <f>IF(AND(OR(D647="S. acutus",D647="S. californicus",D647="S. tabernaemontani"),G647=0),E647*[1]Sheet1!$D$7+[1]Sheet1!$L$7,IF(AND(OR(D647="S. acutus",D647="S. tabernaemontani"),G647&gt;0),E647*[1]Sheet1!$D$8+N647*[1]Sheet1!$E$8,IF(AND(D647="S. californicus",G647&gt;0),E647*[1]Sheet1!$D$9+N647*[1]Sheet1!$E$9,IF(D647="S. maritimus",F647*[1]Sheet1!$C$10+E647*[1]Sheet1!$D$10+G647*[1]Sheet1!$F$10+[1]Sheet1!$L$10,IF(D647="S. americanus",F647*[1]Sheet1!$C$6+E647*[1]Sheet1!$D$6+[1]Sheet1!$L$6,IF(AND(OR(D647="T. domingensis",D647="T. latifolia"),E647&gt;0),F647*[1]Sheet1!$C$4+E647*[1]Sheet1!$D$4+H647*[1]Sheet1!$J$4+I647*[1]Sheet1!$K$4+[1]Sheet1!$L$4,IF(AND(OR(D647="T. domingensis",D647="T. latifolia"),J647&gt;0),J647*[1]Sheet1!$G$5+K647*[1]Sheet1!$H$5+L647*[1]Sheet1!$I$5+[1]Sheet1!$L$5,0)))))))</f>
        <v>12.865548</v>
      </c>
    </row>
    <row r="648" spans="1:15">
      <c r="A648" s="2">
        <v>40732</v>
      </c>
      <c r="B648" s="3" t="s">
        <v>33</v>
      </c>
      <c r="C648">
        <v>12</v>
      </c>
      <c r="D648" s="6" t="s">
        <v>12</v>
      </c>
      <c r="E648">
        <v>255</v>
      </c>
      <c r="F648">
        <v>1.62</v>
      </c>
      <c r="G648">
        <v>0</v>
      </c>
      <c r="N648">
        <f t="shared" si="10"/>
        <v>175.20176191500002</v>
      </c>
      <c r="O648">
        <f>IF(AND(OR(D648="S. acutus",D648="S. californicus",D648="S. tabernaemontani"),G648=0),E648*[1]Sheet1!$D$7+[1]Sheet1!$L$7,IF(AND(OR(D648="S. acutus",D648="S. tabernaemontani"),G648&gt;0),E648*[1]Sheet1!$D$8+N648*[1]Sheet1!$E$8,IF(AND(D648="S. californicus",G648&gt;0),E648*[1]Sheet1!$D$9+N648*[1]Sheet1!$E$9,IF(D648="S. maritimus",F648*[1]Sheet1!$C$10+E648*[1]Sheet1!$D$10+G648*[1]Sheet1!$F$10+[1]Sheet1!$L$10,IF(D648="S. americanus",F648*[1]Sheet1!$C$6+E648*[1]Sheet1!$D$6+[1]Sheet1!$L$6,IF(AND(OR(D648="T. domingensis",D648="T. latifolia"),E648&gt;0),F648*[1]Sheet1!$C$4+E648*[1]Sheet1!$D$4+H648*[1]Sheet1!$J$4+I648*[1]Sheet1!$K$4+[1]Sheet1!$L$4,IF(AND(OR(D648="T. domingensis",D648="T. latifolia"),J648&gt;0),J648*[1]Sheet1!$G$5+K648*[1]Sheet1!$H$5+L648*[1]Sheet1!$I$5+[1]Sheet1!$L$5,0)))))))</f>
        <v>13.286178</v>
      </c>
    </row>
    <row r="649" spans="1:15">
      <c r="A649" s="2">
        <v>40732</v>
      </c>
      <c r="B649" s="3" t="s">
        <v>33</v>
      </c>
      <c r="C649">
        <v>12</v>
      </c>
      <c r="D649" s="6" t="s">
        <v>12</v>
      </c>
      <c r="E649">
        <v>255</v>
      </c>
      <c r="F649">
        <v>1.8</v>
      </c>
      <c r="G649">
        <v>1</v>
      </c>
      <c r="N649">
        <f t="shared" si="10"/>
        <v>216.29847149999998</v>
      </c>
      <c r="O649">
        <f>IF(AND(OR(D649="S. acutus",D649="S. californicus",D649="S. tabernaemontani"),G649=0),E649*[1]Sheet1!$D$7+[1]Sheet1!$L$7,IF(AND(OR(D649="S. acutus",D649="S. tabernaemontani"),G649&gt;0),E649*[1]Sheet1!$D$8+N649*[1]Sheet1!$E$8,IF(AND(D649="S. californicus",G649&gt;0),E649*[1]Sheet1!$D$9+N649*[1]Sheet1!$E$9,IF(D649="S. maritimus",F649*[1]Sheet1!$C$10+E649*[1]Sheet1!$D$10+G649*[1]Sheet1!$F$10+[1]Sheet1!$L$10,IF(D649="S. americanus",F649*[1]Sheet1!$C$6+E649*[1]Sheet1!$D$6+[1]Sheet1!$L$6,IF(AND(OR(D649="T. domingensis",D649="T. latifolia"),E649&gt;0),F649*[1]Sheet1!$C$4+E649*[1]Sheet1!$D$4+H649*[1]Sheet1!$J$4+I649*[1]Sheet1!$K$4+[1]Sheet1!$L$4,IF(AND(OR(D649="T. domingensis",D649="T. latifolia"),J649&gt;0),J649*[1]Sheet1!$G$5+K649*[1]Sheet1!$H$5+L649*[1]Sheet1!$I$5+[1]Sheet1!$L$5,0)))))))</f>
        <v>16.784315950924348</v>
      </c>
    </row>
    <row r="650" spans="1:15">
      <c r="A650" s="2">
        <v>40732</v>
      </c>
      <c r="B650" s="3" t="s">
        <v>33</v>
      </c>
      <c r="C650">
        <v>12</v>
      </c>
      <c r="D650" s="6" t="s">
        <v>12</v>
      </c>
      <c r="E650">
        <v>267</v>
      </c>
      <c r="F650">
        <v>1.26</v>
      </c>
      <c r="G650">
        <v>0</v>
      </c>
      <c r="N650">
        <f t="shared" si="10"/>
        <v>110.97383931900001</v>
      </c>
      <c r="O650">
        <f>IF(AND(OR(D650="S. acutus",D650="S. californicus",D650="S. tabernaemontani"),G650=0),E650*[1]Sheet1!$D$7+[1]Sheet1!$L$7,IF(AND(OR(D650="S. acutus",D650="S. tabernaemontani"),G650&gt;0),E650*[1]Sheet1!$D$8+N650*[1]Sheet1!$E$8,IF(AND(D650="S. californicus",G650&gt;0),E650*[1]Sheet1!$D$9+N650*[1]Sheet1!$E$9,IF(D650="S. maritimus",F650*[1]Sheet1!$C$10+E650*[1]Sheet1!$D$10+G650*[1]Sheet1!$F$10+[1]Sheet1!$L$10,IF(D650="S. americanus",F650*[1]Sheet1!$C$6+E650*[1]Sheet1!$D$6+[1]Sheet1!$L$6,IF(AND(OR(D650="T. domingensis",D650="T. latifolia"),E650&gt;0),F650*[1]Sheet1!$C$4+E650*[1]Sheet1!$D$4+H650*[1]Sheet1!$J$4+I650*[1]Sheet1!$K$4+[1]Sheet1!$L$4,IF(AND(OR(D650="T. domingensis",D650="T. latifolia"),J650&gt;0),J650*[1]Sheet1!$G$5+K650*[1]Sheet1!$H$5+L650*[1]Sheet1!$I$5+[1]Sheet1!$L$5,0)))))))</f>
        <v>14.127438000000001</v>
      </c>
    </row>
    <row r="651" spans="1:15">
      <c r="A651" s="2">
        <v>40732</v>
      </c>
      <c r="B651" s="3" t="s">
        <v>33</v>
      </c>
      <c r="C651">
        <v>12</v>
      </c>
      <c r="D651" s="7" t="s">
        <v>12</v>
      </c>
      <c r="E651">
        <v>271</v>
      </c>
      <c r="F651">
        <v>2.31</v>
      </c>
      <c r="G651">
        <v>5</v>
      </c>
      <c r="N651">
        <f t="shared" si="10"/>
        <v>378.58335051074994</v>
      </c>
      <c r="O651">
        <f>IF(AND(OR(D651="S. acutus",D651="S. californicus",D651="S. tabernaemontani"),G651=0),E651*[1]Sheet1!$D$7+[1]Sheet1!$L$7,IF(AND(OR(D651="S. acutus",D651="S. tabernaemontani"),G651&gt;0),E651*[1]Sheet1!$D$8+N651*[1]Sheet1!$E$8,IF(AND(D651="S. californicus",G651&gt;0),E651*[1]Sheet1!$D$9+N651*[1]Sheet1!$E$9,IF(D651="S. maritimus",F651*[1]Sheet1!$C$10+E651*[1]Sheet1!$D$10+G651*[1]Sheet1!$F$10+[1]Sheet1!$L$10,IF(D651="S. americanus",F651*[1]Sheet1!$C$6+E651*[1]Sheet1!$D$6+[1]Sheet1!$L$6,IF(AND(OR(D651="T. domingensis",D651="T. latifolia"),E651&gt;0),F651*[1]Sheet1!$C$4+E651*[1]Sheet1!$D$4+H651*[1]Sheet1!$J$4+I651*[1]Sheet1!$K$4+[1]Sheet1!$L$4,IF(AND(OR(D651="T. domingensis",D651="T. latifolia"),J651&gt;0),J651*[1]Sheet1!$G$5+K651*[1]Sheet1!$H$5+L651*[1]Sheet1!$I$5+[1]Sheet1!$L$5,0)))))))</f>
        <v>22.626148711461607</v>
      </c>
    </row>
    <row r="652" spans="1:15">
      <c r="A652" s="2">
        <v>40732</v>
      </c>
      <c r="B652" s="3" t="s">
        <v>33</v>
      </c>
      <c r="C652">
        <v>12</v>
      </c>
      <c r="D652" s="6" t="s">
        <v>12</v>
      </c>
      <c r="E652">
        <v>276</v>
      </c>
      <c r="F652">
        <v>0.98</v>
      </c>
      <c r="G652">
        <v>4</v>
      </c>
      <c r="N652">
        <f t="shared" si="10"/>
        <v>69.395209827999992</v>
      </c>
      <c r="O652">
        <f>IF(AND(OR(D652="S. acutus",D652="S. californicus",D652="S. tabernaemontani"),G652=0),E652*[1]Sheet1!$D$7+[1]Sheet1!$L$7,IF(AND(OR(D652="S. acutus",D652="S. tabernaemontani"),G652&gt;0),E652*[1]Sheet1!$D$8+N652*[1]Sheet1!$E$8,IF(AND(D652="S. californicus",G652&gt;0),E652*[1]Sheet1!$D$9+N652*[1]Sheet1!$E$9,IF(D652="S. maritimus",F652*[1]Sheet1!$C$10+E652*[1]Sheet1!$D$10+G652*[1]Sheet1!$F$10+[1]Sheet1!$L$10,IF(D652="S. americanus",F652*[1]Sheet1!$C$6+E652*[1]Sheet1!$D$6+[1]Sheet1!$L$6,IF(AND(OR(D652="T. domingensis",D652="T. latifolia"),E652&gt;0),F652*[1]Sheet1!$C$4+E652*[1]Sheet1!$D$4+H652*[1]Sheet1!$J$4+I652*[1]Sheet1!$K$4+[1]Sheet1!$L$4,IF(AND(OR(D652="T. domingensis",D652="T. latifolia"),J652&gt;0),J652*[1]Sheet1!$G$5+K652*[1]Sheet1!$H$5+L652*[1]Sheet1!$I$5+[1]Sheet1!$L$5,0)))))))</f>
        <v>12.862547812150446</v>
      </c>
    </row>
    <row r="653" spans="1:15">
      <c r="A653" s="2">
        <v>40732</v>
      </c>
      <c r="B653" s="3" t="s">
        <v>33</v>
      </c>
      <c r="C653">
        <v>12</v>
      </c>
      <c r="D653" s="6" t="s">
        <v>23</v>
      </c>
      <c r="E653" s="15">
        <v>44</v>
      </c>
      <c r="F653">
        <v>0.52</v>
      </c>
      <c r="G653">
        <v>0</v>
      </c>
      <c r="O653">
        <f>IF(AND(OR(D653="S. acutus",D653="S. californicus",D653="S. tabernaemontani"),G653=0),E653*[1]Sheet1!$D$7+[1]Sheet1!$L$7,IF(AND(OR(D653="S. acutus",D653="S. tabernaemontani"),G653&gt;0),E653*[1]Sheet1!$D$8+N653*[1]Sheet1!$E$8,IF(AND(D653="S. californicus",G653&gt;0),E653*[1]Sheet1!$D$9+N653*[1]Sheet1!$E$9,IF(D653="S. maritimus",F653*[1]Sheet1!$C$10+E653*[1]Sheet1!$D$10+G653*[1]Sheet1!$F$10+[1]Sheet1!$L$10,IF(D653="S. americanus",F653*[1]Sheet1!$C$6+E653*[1]Sheet1!$D$6+[1]Sheet1!$L$6,IF(AND(OR(D653="T. domingensis",D653="T. latifolia"),E653&gt;0),F653*[1]Sheet1!$C$4+E653*[1]Sheet1!$D$4+H653*[1]Sheet1!$J$4+I653*[1]Sheet1!$K$4+[1]Sheet1!$L$4,IF(AND(OR(D653="T. domingensis",D653="T. latifolia"),J653&gt;0),J653*[1]Sheet1!$G$5+K653*[1]Sheet1!$H$5+L653*[1]Sheet1!$I$5+[1]Sheet1!$L$5,0)))))))</f>
        <v>0.48247511600000004</v>
      </c>
    </row>
    <row r="654" spans="1:15">
      <c r="A654" s="2">
        <v>40732</v>
      </c>
      <c r="B654" s="3" t="s">
        <v>33</v>
      </c>
      <c r="C654">
        <v>12</v>
      </c>
      <c r="D654" s="6" t="s">
        <v>19</v>
      </c>
      <c r="E654">
        <v>279</v>
      </c>
      <c r="F654">
        <v>2.68</v>
      </c>
      <c r="H654">
        <v>35</v>
      </c>
      <c r="I654">
        <v>2.6</v>
      </c>
      <c r="O654">
        <f>IF(AND(OR(D654="S. acutus",D654="S. californicus",D654="S. tabernaemontani"),G654=0),E654*[1]Sheet1!$D$7+[1]Sheet1!$L$7,IF(AND(OR(D654="S. acutus",D654="S. tabernaemontani"),G654&gt;0),E654*[1]Sheet1!$D$8+N654*[1]Sheet1!$E$8,IF(AND(D654="S. californicus",G654&gt;0),E654*[1]Sheet1!$D$9+N654*[1]Sheet1!$E$9,IF(D654="S. maritimus",F654*[1]Sheet1!$C$10+E654*[1]Sheet1!$D$10+G654*[1]Sheet1!$F$10+[1]Sheet1!$L$10,IF(D654="S. americanus",F654*[1]Sheet1!$C$6+E654*[1]Sheet1!$D$6+[1]Sheet1!$L$6,IF(AND(OR(D654="T. domingensis",D654="T. latifolia"),E654&gt;0),F654*[1]Sheet1!$C$4+E654*[1]Sheet1!$D$4+H654*[1]Sheet1!$J$4+I654*[1]Sheet1!$K$4+[1]Sheet1!$L$4,IF(AND(OR(D654="T. domingensis",D654="T. latifolia"),J654&gt;0),J654*[1]Sheet1!$G$5+K654*[1]Sheet1!$H$5+L654*[1]Sheet1!$I$5+[1]Sheet1!$L$5,0)))))))</f>
        <v>116.21444516000003</v>
      </c>
    </row>
    <row r="655" spans="1:15">
      <c r="A655" s="2">
        <v>40732</v>
      </c>
      <c r="B655" s="3" t="s">
        <v>33</v>
      </c>
      <c r="C655">
        <v>12</v>
      </c>
      <c r="D655" s="6" t="s">
        <v>19</v>
      </c>
      <c r="E655">
        <v>290</v>
      </c>
      <c r="F655">
        <v>2.5499999999999998</v>
      </c>
      <c r="H655">
        <v>26</v>
      </c>
      <c r="I655">
        <v>2.1</v>
      </c>
      <c r="O655">
        <f>IF(AND(OR(D655="S. acutus",D655="S. californicus",D655="S. tabernaemontani"),G655=0),E655*[1]Sheet1!$D$7+[1]Sheet1!$L$7,IF(AND(OR(D655="S. acutus",D655="S. tabernaemontani"),G655&gt;0),E655*[1]Sheet1!$D$8+N655*[1]Sheet1!$E$8,IF(AND(D655="S. californicus",G655&gt;0),E655*[1]Sheet1!$D$9+N655*[1]Sheet1!$E$9,IF(D655="S. maritimus",F655*[1]Sheet1!$C$10+E655*[1]Sheet1!$D$10+G655*[1]Sheet1!$F$10+[1]Sheet1!$L$10,IF(D655="S. americanus",F655*[1]Sheet1!$C$6+E655*[1]Sheet1!$D$6+[1]Sheet1!$L$6,IF(AND(OR(D655="T. domingensis",D655="T. latifolia"),E655&gt;0),F655*[1]Sheet1!$C$4+E655*[1]Sheet1!$D$4+H655*[1]Sheet1!$J$4+I655*[1]Sheet1!$K$4+[1]Sheet1!$L$4,IF(AND(OR(D655="T. domingensis",D655="T. latifolia"),J655&gt;0),J655*[1]Sheet1!$G$5+K655*[1]Sheet1!$H$5+L655*[1]Sheet1!$I$5+[1]Sheet1!$L$5,0)))))))</f>
        <v>99.94317534999999</v>
      </c>
    </row>
    <row r="656" spans="1:15">
      <c r="A656" s="2">
        <v>40732</v>
      </c>
      <c r="B656" s="3" t="s">
        <v>33</v>
      </c>
      <c r="C656">
        <v>12</v>
      </c>
      <c r="D656" s="6" t="s">
        <v>19</v>
      </c>
      <c r="F656">
        <v>0.75</v>
      </c>
      <c r="J656">
        <f>SUM(178,198,202)</f>
        <v>578</v>
      </c>
      <c r="K656">
        <v>3</v>
      </c>
      <c r="L656">
        <v>202</v>
      </c>
      <c r="O656">
        <f>IF(AND(OR(D656="S. acutus",D656="S. californicus",D656="S. tabernaemontani"),G656=0),E656*[1]Sheet1!$D$7+[1]Sheet1!$L$7,IF(AND(OR(D656="S. acutus",D656="S. tabernaemontani"),G656&gt;0),E656*[1]Sheet1!$D$8+N656*[1]Sheet1!$E$8,IF(AND(D656="S. californicus",G656&gt;0),E656*[1]Sheet1!$D$9+N656*[1]Sheet1!$E$9,IF(D656="S. maritimus",F656*[1]Sheet1!$C$10+E656*[1]Sheet1!$D$10+G656*[1]Sheet1!$F$10+[1]Sheet1!$L$10,IF(D656="S. americanus",F656*[1]Sheet1!$C$6+E656*[1]Sheet1!$D$6+[1]Sheet1!$L$6,IF(AND(OR(D656="T. domingensis",D656="T. latifolia"),E656&gt;0),F656*[1]Sheet1!$C$4+E656*[1]Sheet1!$D$4+H656*[1]Sheet1!$J$4+I656*[1]Sheet1!$K$4+[1]Sheet1!$L$4,IF(AND(OR(D656="T. domingensis",D656="T. latifolia"),J656&gt;0),J656*[1]Sheet1!$G$5+K656*[1]Sheet1!$H$5+L656*[1]Sheet1!$I$5+[1]Sheet1!$L$5,0)))))))</f>
        <v>5.3088249999999988</v>
      </c>
    </row>
    <row r="657" spans="1:15">
      <c r="A657" s="2">
        <v>40732</v>
      </c>
      <c r="B657" s="3" t="s">
        <v>33</v>
      </c>
      <c r="C657">
        <v>12</v>
      </c>
      <c r="D657" s="6" t="s">
        <v>19</v>
      </c>
      <c r="F657">
        <v>1.25</v>
      </c>
      <c r="J657">
        <f>SUM(162,197,217,229)</f>
        <v>805</v>
      </c>
      <c r="K657">
        <v>4</v>
      </c>
      <c r="L657">
        <v>229</v>
      </c>
      <c r="O657">
        <f>IF(AND(OR(D657="S. acutus",D657="S. californicus",D657="S. tabernaemontani"),G657=0),E657*[1]Sheet1!$D$7+[1]Sheet1!$L$7,IF(AND(OR(D657="S. acutus",D657="S. tabernaemontani"),G657&gt;0),E657*[1]Sheet1!$D$8+N657*[1]Sheet1!$E$8,IF(AND(D657="S. californicus",G657&gt;0),E657*[1]Sheet1!$D$9+N657*[1]Sheet1!$E$9,IF(D657="S. maritimus",F657*[1]Sheet1!$C$10+E657*[1]Sheet1!$D$10+G657*[1]Sheet1!$F$10+[1]Sheet1!$L$10,IF(D657="S. americanus",F657*[1]Sheet1!$C$6+E657*[1]Sheet1!$D$6+[1]Sheet1!$L$6,IF(AND(OR(D657="T. domingensis",D657="T. latifolia"),E657&gt;0),F657*[1]Sheet1!$C$4+E657*[1]Sheet1!$D$4+H657*[1]Sheet1!$J$4+I657*[1]Sheet1!$K$4+[1]Sheet1!$L$4,IF(AND(OR(D657="T. domingensis",D657="T. latifolia"),J657&gt;0),J657*[1]Sheet1!$G$5+K657*[1]Sheet1!$H$5+L657*[1]Sheet1!$I$5+[1]Sheet1!$L$5,0)))))))</f>
        <v>11.435242000000009</v>
      </c>
    </row>
    <row r="658" spans="1:15">
      <c r="A658" s="2">
        <v>40732</v>
      </c>
      <c r="B658" s="3" t="s">
        <v>33</v>
      </c>
      <c r="C658">
        <v>12</v>
      </c>
      <c r="D658" s="6" t="s">
        <v>19</v>
      </c>
      <c r="F658">
        <v>2.16</v>
      </c>
      <c r="J658">
        <f>110+154+188+224+255+240</f>
        <v>1171</v>
      </c>
      <c r="K658">
        <v>6</v>
      </c>
      <c r="L658">
        <v>255</v>
      </c>
      <c r="O658">
        <f>IF(AND(OR(D658="S. acutus",D658="S. californicus",D658="S. tabernaemontani"),G658=0),E658*[1]Sheet1!$D$7+[1]Sheet1!$L$7,IF(AND(OR(D658="S. acutus",D658="S. tabernaemontani"),G658&gt;0),E658*[1]Sheet1!$D$8+N658*[1]Sheet1!$E$8,IF(AND(D658="S. californicus",G658&gt;0),E658*[1]Sheet1!$D$9+N658*[1]Sheet1!$E$9,IF(D658="S. maritimus",F658*[1]Sheet1!$C$10+E658*[1]Sheet1!$D$10+G658*[1]Sheet1!$F$10+[1]Sheet1!$L$10,IF(D658="S. americanus",F658*[1]Sheet1!$C$6+E658*[1]Sheet1!$D$6+[1]Sheet1!$L$6,IF(AND(OR(D658="T. domingensis",D658="T. latifolia"),E658&gt;0),F658*[1]Sheet1!$C$4+E658*[1]Sheet1!$D$4+H658*[1]Sheet1!$J$4+I658*[1]Sheet1!$K$4+[1]Sheet1!$L$4,IF(AND(OR(D658="T. domingensis",D658="T. latifolia"),J658&gt;0),J658*[1]Sheet1!$G$5+K658*[1]Sheet1!$H$5+L658*[1]Sheet1!$I$5+[1]Sheet1!$L$5,0)))))))</f>
        <v>23.872496000000005</v>
      </c>
    </row>
    <row r="659" spans="1:15">
      <c r="A659" s="2">
        <v>40732</v>
      </c>
      <c r="B659" s="3" t="s">
        <v>33</v>
      </c>
      <c r="C659">
        <v>12</v>
      </c>
      <c r="D659" s="6" t="s">
        <v>19</v>
      </c>
      <c r="F659">
        <v>1.94</v>
      </c>
      <c r="J659">
        <f>SUM(124,158,188,218,252,243)</f>
        <v>1183</v>
      </c>
      <c r="K659">
        <v>6</v>
      </c>
      <c r="L659">
        <v>252</v>
      </c>
      <c r="O659">
        <f>IF(AND(OR(D659="S. acutus",D659="S. californicus",D659="S. tabernaemontani"),G659=0),E659*[1]Sheet1!$D$7+[1]Sheet1!$L$7,IF(AND(OR(D659="S. acutus",D659="S. tabernaemontani"),G659&gt;0),E659*[1]Sheet1!$D$8+N659*[1]Sheet1!$E$8,IF(AND(D659="S. californicus",G659&gt;0),E659*[1]Sheet1!$D$9+N659*[1]Sheet1!$E$9,IF(D659="S. maritimus",F659*[1]Sheet1!$C$10+E659*[1]Sheet1!$D$10+G659*[1]Sheet1!$F$10+[1]Sheet1!$L$10,IF(D659="S. americanus",F659*[1]Sheet1!$C$6+E659*[1]Sheet1!$D$6+[1]Sheet1!$L$6,IF(AND(OR(D659="T. domingensis",D659="T. latifolia"),E659&gt;0),F659*[1]Sheet1!$C$4+E659*[1]Sheet1!$D$4+H659*[1]Sheet1!$J$4+I659*[1]Sheet1!$K$4+[1]Sheet1!$L$4,IF(AND(OR(D659="T. domingensis",D659="T. latifolia"),J659&gt;0),J659*[1]Sheet1!$G$5+K659*[1]Sheet1!$H$5+L659*[1]Sheet1!$I$5+[1]Sheet1!$L$5,0)))))))</f>
        <v>25.901291000000008</v>
      </c>
    </row>
    <row r="660" spans="1:15">
      <c r="A660" s="2">
        <v>40732</v>
      </c>
      <c r="B660" s="3" t="s">
        <v>33</v>
      </c>
      <c r="C660">
        <v>12</v>
      </c>
      <c r="D660" s="6" t="s">
        <v>19</v>
      </c>
      <c r="F660">
        <v>2.42</v>
      </c>
      <c r="J660">
        <f>SUM(121,156,197,227,240,254)</f>
        <v>1195</v>
      </c>
      <c r="K660">
        <v>6</v>
      </c>
      <c r="L660">
        <v>254</v>
      </c>
      <c r="O660">
        <f>IF(AND(OR(D660="S. acutus",D660="S. californicus",D660="S. tabernaemontani"),G660=0),E660*[1]Sheet1!$D$7+[1]Sheet1!$L$7,IF(AND(OR(D660="S. acutus",D660="S. tabernaemontani"),G660&gt;0),E660*[1]Sheet1!$D$8+N660*[1]Sheet1!$E$8,IF(AND(D660="S. californicus",G660&gt;0),E660*[1]Sheet1!$D$9+N660*[1]Sheet1!$E$9,IF(D660="S. maritimus",F660*[1]Sheet1!$C$10+E660*[1]Sheet1!$D$10+G660*[1]Sheet1!$F$10+[1]Sheet1!$L$10,IF(D660="S. americanus",F660*[1]Sheet1!$C$6+E660*[1]Sheet1!$D$6+[1]Sheet1!$L$6,IF(AND(OR(D660="T. domingensis",D660="T. latifolia"),E660&gt;0),F660*[1]Sheet1!$C$4+E660*[1]Sheet1!$D$4+H660*[1]Sheet1!$J$4+I660*[1]Sheet1!$K$4+[1]Sheet1!$L$4,IF(AND(OR(D660="T. domingensis",D660="T. latifolia"),J660&gt;0),J660*[1]Sheet1!$G$5+K660*[1]Sheet1!$H$5+L660*[1]Sheet1!$I$5+[1]Sheet1!$L$5,0)))))))</f>
        <v>26.423861000000009</v>
      </c>
    </row>
    <row r="661" spans="1:15">
      <c r="A661" s="2">
        <v>40732</v>
      </c>
      <c r="B661" s="3" t="s">
        <v>33</v>
      </c>
      <c r="C661">
        <v>12</v>
      </c>
      <c r="D661" s="6" t="s">
        <v>19</v>
      </c>
      <c r="F661">
        <v>2.4</v>
      </c>
      <c r="J661">
        <f>SUM(132,167,195,226,246,258)</f>
        <v>1224</v>
      </c>
      <c r="K661">
        <v>6</v>
      </c>
      <c r="L661">
        <v>258</v>
      </c>
      <c r="O661">
        <f>IF(AND(OR(D661="S. acutus",D661="S. californicus",D661="S. tabernaemontani"),G661=0),E661*[1]Sheet1!$D$7+[1]Sheet1!$L$7,IF(AND(OR(D661="S. acutus",D661="S. tabernaemontani"),G661&gt;0),E661*[1]Sheet1!$D$8+N661*[1]Sheet1!$E$8,IF(AND(D661="S. californicus",G661&gt;0),E661*[1]Sheet1!$D$9+N661*[1]Sheet1!$E$9,IF(D661="S. maritimus",F661*[1]Sheet1!$C$10+E661*[1]Sheet1!$D$10+G661*[1]Sheet1!$F$10+[1]Sheet1!$L$10,IF(D661="S. americanus",F661*[1]Sheet1!$C$6+E661*[1]Sheet1!$D$6+[1]Sheet1!$L$6,IF(AND(OR(D661="T. domingensis",D661="T. latifolia"),E661&gt;0),F661*[1]Sheet1!$C$4+E661*[1]Sheet1!$D$4+H661*[1]Sheet1!$J$4+I661*[1]Sheet1!$K$4+[1]Sheet1!$L$4,IF(AND(OR(D661="T. domingensis",D661="T. latifolia"),J661&gt;0),J661*[1]Sheet1!$G$5+K661*[1]Sheet1!$H$5+L661*[1]Sheet1!$I$5+[1]Sheet1!$L$5,0)))))))</f>
        <v>27.937776000000007</v>
      </c>
    </row>
    <row r="662" spans="1:15">
      <c r="A662" s="2">
        <v>40732</v>
      </c>
      <c r="B662" s="3" t="s">
        <v>33</v>
      </c>
      <c r="C662">
        <v>12</v>
      </c>
      <c r="D662" s="6" t="s">
        <v>19</v>
      </c>
      <c r="F662">
        <v>2.14</v>
      </c>
      <c r="J662">
        <f>SUM(124,161,196,236,258,259)</f>
        <v>1234</v>
      </c>
      <c r="K662">
        <v>6</v>
      </c>
      <c r="L662">
        <v>259</v>
      </c>
      <c r="O662">
        <f>IF(AND(OR(D662="S. acutus",D662="S. californicus",D662="S. tabernaemontani"),G662=0),E662*[1]Sheet1!$D$7+[1]Sheet1!$L$7,IF(AND(OR(D662="S. acutus",D662="S. tabernaemontani"),G662&gt;0),E662*[1]Sheet1!$D$8+N662*[1]Sheet1!$E$8,IF(AND(D662="S. californicus",G662&gt;0),E662*[1]Sheet1!$D$9+N662*[1]Sheet1!$E$9,IF(D662="S. maritimus",F662*[1]Sheet1!$C$10+E662*[1]Sheet1!$D$10+G662*[1]Sheet1!$F$10+[1]Sheet1!$L$10,IF(D662="S. americanus",F662*[1]Sheet1!$C$6+E662*[1]Sheet1!$D$6+[1]Sheet1!$L$6,IF(AND(OR(D662="T. domingensis",D662="T. latifolia"),E662&gt;0),F662*[1]Sheet1!$C$4+E662*[1]Sheet1!$D$4+H662*[1]Sheet1!$J$4+I662*[1]Sheet1!$K$4+[1]Sheet1!$L$4,IF(AND(OR(D662="T. domingensis",D662="T. latifolia"),J662&gt;0),J662*[1]Sheet1!$G$5+K662*[1]Sheet1!$H$5+L662*[1]Sheet1!$I$5+[1]Sheet1!$L$5,0)))))))</f>
        <v>28.574081000000014</v>
      </c>
    </row>
    <row r="663" spans="1:15">
      <c r="A663" s="2">
        <v>40732</v>
      </c>
      <c r="B663" s="3" t="s">
        <v>33</v>
      </c>
      <c r="C663">
        <v>12</v>
      </c>
      <c r="D663" s="6" t="s">
        <v>19</v>
      </c>
      <c r="F663">
        <v>2.34</v>
      </c>
      <c r="J663">
        <f>SUM(146,183,227,261,263,274)</f>
        <v>1354</v>
      </c>
      <c r="K663">
        <v>6</v>
      </c>
      <c r="L663">
        <v>274</v>
      </c>
      <c r="O663">
        <f>IF(AND(OR(D663="S. acutus",D663="S. californicus",D663="S. tabernaemontani"),G663=0),E663*[1]Sheet1!$D$7+[1]Sheet1!$L$7,IF(AND(OR(D663="S. acutus",D663="S. tabernaemontani"),G663&gt;0),E663*[1]Sheet1!$D$8+N663*[1]Sheet1!$E$8,IF(AND(D663="S. californicus",G663&gt;0),E663*[1]Sheet1!$D$9+N663*[1]Sheet1!$E$9,IF(D663="S. maritimus",F663*[1]Sheet1!$C$10+E663*[1]Sheet1!$D$10+G663*[1]Sheet1!$F$10+[1]Sheet1!$L$10,IF(D663="S. americanus",F663*[1]Sheet1!$C$6+E663*[1]Sheet1!$D$6+[1]Sheet1!$L$6,IF(AND(OR(D663="T. domingensis",D663="T. latifolia"),E663&gt;0),F663*[1]Sheet1!$C$4+E663*[1]Sheet1!$D$4+H663*[1]Sheet1!$J$4+I663*[1]Sheet1!$K$4+[1]Sheet1!$L$4,IF(AND(OR(D663="T. domingensis",D663="T. latifolia"),J663&gt;0),J663*[1]Sheet1!$G$5+K663*[1]Sheet1!$H$5+L663*[1]Sheet1!$I$5+[1]Sheet1!$L$5,0)))))))</f>
        <v>35.306006000000004</v>
      </c>
    </row>
    <row r="664" spans="1:15">
      <c r="A664" s="2">
        <v>40732</v>
      </c>
      <c r="B664" s="3" t="s">
        <v>33</v>
      </c>
      <c r="C664">
        <v>12</v>
      </c>
      <c r="D664" s="6" t="s">
        <v>19</v>
      </c>
      <c r="F664">
        <v>3.2</v>
      </c>
      <c r="J664">
        <f>SUM(128,157,193,225,245,250,259)</f>
        <v>1457</v>
      </c>
      <c r="K664">
        <v>7</v>
      </c>
      <c r="L664">
        <v>259</v>
      </c>
      <c r="O664">
        <f>IF(AND(OR(D664="S. acutus",D664="S. californicus",D664="S. tabernaemontani"),G664=0),E664*[1]Sheet1!$D$7+[1]Sheet1!$L$7,IF(AND(OR(D664="S. acutus",D664="S. tabernaemontani"),G664&gt;0),E664*[1]Sheet1!$D$8+N664*[1]Sheet1!$E$8,IF(AND(D664="S. californicus",G664&gt;0),E664*[1]Sheet1!$D$9+N664*[1]Sheet1!$E$9,IF(D664="S. maritimus",F664*[1]Sheet1!$C$10+E664*[1]Sheet1!$D$10+G664*[1]Sheet1!$F$10+[1]Sheet1!$L$10,IF(D664="S. americanus",F664*[1]Sheet1!$C$6+E664*[1]Sheet1!$D$6+[1]Sheet1!$L$6,IF(AND(OR(D664="T. domingensis",D664="T. latifolia"),E664&gt;0),F664*[1]Sheet1!$C$4+E664*[1]Sheet1!$D$4+H664*[1]Sheet1!$J$4+I664*[1]Sheet1!$K$4+[1]Sheet1!$L$4,IF(AND(OR(D664="T. domingensis",D664="T. latifolia"),J664&gt;0),J664*[1]Sheet1!$G$5+K664*[1]Sheet1!$H$5+L664*[1]Sheet1!$I$5+[1]Sheet1!$L$5,0)))))))</f>
        <v>42.459093000000003</v>
      </c>
    </row>
    <row r="665" spans="1:15">
      <c r="A665" s="2">
        <v>40732</v>
      </c>
      <c r="B665" s="3" t="s">
        <v>33</v>
      </c>
      <c r="C665">
        <v>12</v>
      </c>
      <c r="D665" s="6" t="s">
        <v>19</v>
      </c>
      <c r="F665">
        <v>2.75</v>
      </c>
      <c r="J665">
        <f>SUM(132,169,196,225,242,248,257)</f>
        <v>1469</v>
      </c>
      <c r="K665">
        <v>7</v>
      </c>
      <c r="L665">
        <v>257</v>
      </c>
      <c r="O665">
        <f>IF(AND(OR(D665="S. acutus",D665="S. californicus",D665="S. tabernaemontani"),G665=0),E665*[1]Sheet1!$D$7+[1]Sheet1!$L$7,IF(AND(OR(D665="S. acutus",D665="S. tabernaemontani"),G665&gt;0),E665*[1]Sheet1!$D$8+N665*[1]Sheet1!$E$8,IF(AND(D665="S. californicus",G665&gt;0),E665*[1]Sheet1!$D$9+N665*[1]Sheet1!$E$9,IF(D665="S. maritimus",F665*[1]Sheet1!$C$10+E665*[1]Sheet1!$D$10+G665*[1]Sheet1!$F$10+[1]Sheet1!$L$10,IF(D665="S. americanus",F665*[1]Sheet1!$C$6+E665*[1]Sheet1!$D$6+[1]Sheet1!$L$6,IF(AND(OR(D665="T. domingensis",D665="T. latifolia"),E665&gt;0),F665*[1]Sheet1!$C$4+E665*[1]Sheet1!$D$4+H665*[1]Sheet1!$J$4+I665*[1]Sheet1!$K$4+[1]Sheet1!$L$4,IF(AND(OR(D665="T. domingensis",D665="T. latifolia"),J665&gt;0),J665*[1]Sheet1!$G$5+K665*[1]Sheet1!$H$5+L665*[1]Sheet1!$I$5+[1]Sheet1!$L$5,0)))))))</f>
        <v>44.186643000000025</v>
      </c>
    </row>
    <row r="666" spans="1:15">
      <c r="A666" s="2">
        <v>40732</v>
      </c>
      <c r="B666" s="3" t="s">
        <v>33</v>
      </c>
      <c r="C666">
        <v>14</v>
      </c>
      <c r="D666" s="6" t="s">
        <v>19</v>
      </c>
      <c r="E666">
        <v>256</v>
      </c>
      <c r="F666">
        <v>2.97</v>
      </c>
      <c r="H666">
        <v>15</v>
      </c>
      <c r="I666">
        <v>1.5</v>
      </c>
      <c r="O666">
        <f>IF(AND(OR(D666="S. acutus",D666="S. californicus",D666="S. tabernaemontani"),G666=0),E666*[1]Sheet1!$D$7+[1]Sheet1!$L$7,IF(AND(OR(D666="S. acutus",D666="S. tabernaemontani"),G666&gt;0),E666*[1]Sheet1!$D$8+N666*[1]Sheet1!$E$8,IF(AND(D666="S. californicus",G666&gt;0),E666*[1]Sheet1!$D$9+N666*[1]Sheet1!$E$9,IF(D666="S. maritimus",F666*[1]Sheet1!$C$10+E666*[1]Sheet1!$D$10+G666*[1]Sheet1!$F$10+[1]Sheet1!$L$10,IF(D666="S. americanus",F666*[1]Sheet1!$C$6+E666*[1]Sheet1!$D$6+[1]Sheet1!$L$6,IF(AND(OR(D666="T. domingensis",D666="T. latifolia"),E666&gt;0),F666*[1]Sheet1!$C$4+E666*[1]Sheet1!$D$4+H666*[1]Sheet1!$J$4+I666*[1]Sheet1!$K$4+[1]Sheet1!$L$4,IF(AND(OR(D666="T. domingensis",D666="T. latifolia"),J666&gt;0),J666*[1]Sheet1!$G$5+K666*[1]Sheet1!$H$5+L666*[1]Sheet1!$I$5+[1]Sheet1!$L$5,0)))))))</f>
        <v>76.983770690000028</v>
      </c>
    </row>
    <row r="667" spans="1:15">
      <c r="A667" s="2">
        <v>40732</v>
      </c>
      <c r="B667" s="3" t="s">
        <v>33</v>
      </c>
      <c r="C667">
        <v>14</v>
      </c>
      <c r="D667" s="6" t="s">
        <v>19</v>
      </c>
      <c r="E667">
        <v>258</v>
      </c>
      <c r="F667">
        <v>2.73</v>
      </c>
      <c r="H667">
        <v>16</v>
      </c>
      <c r="I667">
        <v>1.3</v>
      </c>
      <c r="O667">
        <f>IF(AND(OR(D667="S. acutus",D667="S. californicus",D667="S. tabernaemontani"),G667=0),E667*[1]Sheet1!$D$7+[1]Sheet1!$L$7,IF(AND(OR(D667="S. acutus",D667="S. tabernaemontani"),G667&gt;0),E667*[1]Sheet1!$D$8+N667*[1]Sheet1!$E$8,IF(AND(D667="S. californicus",G667&gt;0),E667*[1]Sheet1!$D$9+N667*[1]Sheet1!$E$9,IF(D667="S. maritimus",F667*[1]Sheet1!$C$10+E667*[1]Sheet1!$D$10+G667*[1]Sheet1!$F$10+[1]Sheet1!$L$10,IF(D667="S. americanus",F667*[1]Sheet1!$C$6+E667*[1]Sheet1!$D$6+[1]Sheet1!$L$6,IF(AND(OR(D667="T. domingensis",D667="T. latifolia"),E667&gt;0),F667*[1]Sheet1!$C$4+E667*[1]Sheet1!$D$4+H667*[1]Sheet1!$J$4+I667*[1]Sheet1!$K$4+[1]Sheet1!$L$4,IF(AND(OR(D667="T. domingensis",D667="T. latifolia"),J667&gt;0),J667*[1]Sheet1!$G$5+K667*[1]Sheet1!$H$5+L667*[1]Sheet1!$I$5+[1]Sheet1!$L$5,0)))))))</f>
        <v>70.403515609999999</v>
      </c>
    </row>
    <row r="668" spans="1:15">
      <c r="A668" s="2">
        <v>40732</v>
      </c>
      <c r="B668" s="3" t="s">
        <v>33</v>
      </c>
      <c r="C668">
        <v>14</v>
      </c>
      <c r="D668" s="6" t="s">
        <v>19</v>
      </c>
      <c r="E668">
        <v>262</v>
      </c>
      <c r="F668">
        <v>3.15</v>
      </c>
      <c r="H668">
        <v>22</v>
      </c>
      <c r="I668">
        <v>2</v>
      </c>
      <c r="O668">
        <f>IF(AND(OR(D668="S. acutus",D668="S. californicus",D668="S. tabernaemontani"),G668=0),E668*[1]Sheet1!$D$7+[1]Sheet1!$L$7,IF(AND(OR(D668="S. acutus",D668="S. tabernaemontani"),G668&gt;0),E668*[1]Sheet1!$D$8+N668*[1]Sheet1!$E$8,IF(AND(D668="S. californicus",G668&gt;0),E668*[1]Sheet1!$D$9+N668*[1]Sheet1!$E$9,IF(D668="S. maritimus",F668*[1]Sheet1!$C$10+E668*[1]Sheet1!$D$10+G668*[1]Sheet1!$F$10+[1]Sheet1!$L$10,IF(D668="S. americanus",F668*[1]Sheet1!$C$6+E668*[1]Sheet1!$D$6+[1]Sheet1!$L$6,IF(AND(OR(D668="T. domingensis",D668="T. latifolia"),E668&gt;0),F668*[1]Sheet1!$C$4+E668*[1]Sheet1!$D$4+H668*[1]Sheet1!$J$4+I668*[1]Sheet1!$K$4+[1]Sheet1!$L$4,IF(AND(OR(D668="T. domingensis",D668="T. latifolia"),J668&gt;0),J668*[1]Sheet1!$G$5+K668*[1]Sheet1!$H$5+L668*[1]Sheet1!$I$5+[1]Sheet1!$L$5,0)))))))</f>
        <v>97.523778349999986</v>
      </c>
    </row>
    <row r="669" spans="1:15">
      <c r="A669" s="2">
        <v>40732</v>
      </c>
      <c r="B669" s="3" t="s">
        <v>33</v>
      </c>
      <c r="C669">
        <v>14</v>
      </c>
      <c r="D669" s="6" t="s">
        <v>19</v>
      </c>
      <c r="E669">
        <v>276</v>
      </c>
      <c r="F669">
        <v>2.2799999999999998</v>
      </c>
      <c r="H669">
        <v>20</v>
      </c>
      <c r="I669">
        <v>1.6</v>
      </c>
      <c r="O669">
        <f>IF(AND(OR(D669="S. acutus",D669="S. californicus",D669="S. tabernaemontani"),G669=0),E669*[1]Sheet1!$D$7+[1]Sheet1!$L$7,IF(AND(OR(D669="S. acutus",D669="S. tabernaemontani"),G669&gt;0),E669*[1]Sheet1!$D$8+N669*[1]Sheet1!$E$8,IF(AND(D669="S. californicus",G669&gt;0),E669*[1]Sheet1!$D$9+N669*[1]Sheet1!$E$9,IF(D669="S. maritimus",F669*[1]Sheet1!$C$10+E669*[1]Sheet1!$D$10+G669*[1]Sheet1!$F$10+[1]Sheet1!$L$10,IF(D669="S. americanus",F669*[1]Sheet1!$C$6+E669*[1]Sheet1!$D$6+[1]Sheet1!$L$6,IF(AND(OR(D669="T. domingensis",D669="T. latifolia"),E669&gt;0),F669*[1]Sheet1!$C$4+E669*[1]Sheet1!$D$4+H669*[1]Sheet1!$J$4+I669*[1]Sheet1!$K$4+[1]Sheet1!$L$4,IF(AND(OR(D669="T. domingensis",D669="T. latifolia"),J669&gt;0),J669*[1]Sheet1!$G$5+K669*[1]Sheet1!$H$5+L669*[1]Sheet1!$I$5+[1]Sheet1!$L$5,0)))))))</f>
        <v>76.168644760000006</v>
      </c>
    </row>
    <row r="670" spans="1:15">
      <c r="A670" s="2">
        <v>40732</v>
      </c>
      <c r="B670" s="3" t="s">
        <v>33</v>
      </c>
      <c r="C670">
        <v>14</v>
      </c>
      <c r="D670" s="6" t="s">
        <v>19</v>
      </c>
      <c r="F670">
        <v>1.1499999999999999</v>
      </c>
      <c r="J670">
        <f>SUM(135,159,160)</f>
        <v>454</v>
      </c>
      <c r="K670">
        <v>3</v>
      </c>
      <c r="L670">
        <v>160</v>
      </c>
      <c r="O670">
        <f>IF(AND(OR(D670="S. acutus",D670="S. californicus",D670="S. tabernaemontani"),G670=0),E670*[1]Sheet1!$D$7+[1]Sheet1!$L$7,IF(AND(OR(D670="S. acutus",D670="S. tabernaemontani"),G670&gt;0),E670*[1]Sheet1!$D$8+N670*[1]Sheet1!$E$8,IF(AND(D670="S. californicus",G670&gt;0),E670*[1]Sheet1!$D$9+N670*[1]Sheet1!$E$9,IF(D670="S. maritimus",F670*[1]Sheet1!$C$10+E670*[1]Sheet1!$D$10+G670*[1]Sheet1!$F$10+[1]Sheet1!$L$10,IF(D670="S. americanus",F670*[1]Sheet1!$C$6+E670*[1]Sheet1!$D$6+[1]Sheet1!$L$6,IF(AND(OR(D670="T. domingensis",D670="T. latifolia"),E670&gt;0),F670*[1]Sheet1!$C$4+E670*[1]Sheet1!$D$4+H670*[1]Sheet1!$J$4+I670*[1]Sheet1!$K$4+[1]Sheet1!$L$4,IF(AND(OR(D670="T. domingensis",D670="T. latifolia"),J670&gt;0),J670*[1]Sheet1!$G$5+K670*[1]Sheet1!$H$5+L670*[1]Sheet1!$I$5+[1]Sheet1!$L$5,0)))))))</f>
        <v>6.3354950000000017</v>
      </c>
    </row>
    <row r="671" spans="1:15">
      <c r="A671" s="2">
        <v>40732</v>
      </c>
      <c r="B671" s="3" t="s">
        <v>33</v>
      </c>
      <c r="C671">
        <v>14</v>
      </c>
      <c r="D671" s="6" t="s">
        <v>19</v>
      </c>
      <c r="E671" s="6"/>
      <c r="F671">
        <v>2.09</v>
      </c>
      <c r="J671">
        <f>SUM(172,190,166,189)</f>
        <v>717</v>
      </c>
      <c r="K671">
        <v>4</v>
      </c>
      <c r="L671">
        <v>190</v>
      </c>
      <c r="O671">
        <f>IF(AND(OR(D671="S. acutus",D671="S. californicus",D671="S. tabernaemontani"),G671=0),E671*[1]Sheet1!$D$7+[1]Sheet1!$L$7,IF(AND(OR(D671="S. acutus",D671="S. tabernaemontani"),G671&gt;0),E671*[1]Sheet1!$D$8+N671*[1]Sheet1!$E$8,IF(AND(D671="S. californicus",G671&gt;0),E671*[1]Sheet1!$D$9+N671*[1]Sheet1!$E$9,IF(D671="S. maritimus",F671*[1]Sheet1!$C$10+E671*[1]Sheet1!$D$10+G671*[1]Sheet1!$F$10+[1]Sheet1!$L$10,IF(D671="S. americanus",F671*[1]Sheet1!$C$6+E671*[1]Sheet1!$D$6+[1]Sheet1!$L$6,IF(AND(OR(D671="T. domingensis",D671="T. latifolia"),E671&gt;0),F671*[1]Sheet1!$C$4+E671*[1]Sheet1!$D$4+H671*[1]Sheet1!$J$4+I671*[1]Sheet1!$K$4+[1]Sheet1!$L$4,IF(AND(OR(D671="T. domingensis",D671="T. latifolia"),J671&gt;0),J671*[1]Sheet1!$G$5+K671*[1]Sheet1!$H$5+L671*[1]Sheet1!$I$5+[1]Sheet1!$L$5,0)))))))</f>
        <v>14.933357000000008</v>
      </c>
    </row>
    <row r="672" spans="1:15">
      <c r="A672" s="2">
        <v>40732</v>
      </c>
      <c r="B672" s="3" t="s">
        <v>33</v>
      </c>
      <c r="C672">
        <v>14</v>
      </c>
      <c r="D672" s="6" t="s">
        <v>19</v>
      </c>
      <c r="F672">
        <v>3.73</v>
      </c>
      <c r="J672">
        <f>SUM(145,172,196,209,217,211)</f>
        <v>1150</v>
      </c>
      <c r="K672">
        <v>6</v>
      </c>
      <c r="L672">
        <v>217</v>
      </c>
      <c r="O672">
        <f>IF(AND(OR(D672="S. acutus",D672="S. californicus",D672="S. tabernaemontani"),G672=0),E672*[1]Sheet1!$D$7+[1]Sheet1!$L$7,IF(AND(OR(D672="S. acutus",D672="S. tabernaemontani"),G672&gt;0),E672*[1]Sheet1!$D$8+N672*[1]Sheet1!$E$8,IF(AND(D672="S. californicus",G672&gt;0),E672*[1]Sheet1!$D$9+N672*[1]Sheet1!$E$9,IF(D672="S. maritimus",F672*[1]Sheet1!$C$10+E672*[1]Sheet1!$D$10+G672*[1]Sheet1!$F$10+[1]Sheet1!$L$10,IF(D672="S. americanus",F672*[1]Sheet1!$C$6+E672*[1]Sheet1!$D$6+[1]Sheet1!$L$6,IF(AND(OR(D672="T. domingensis",D672="T. latifolia"),E672&gt;0),F672*[1]Sheet1!$C$4+E672*[1]Sheet1!$D$4+H672*[1]Sheet1!$J$4+I672*[1]Sheet1!$K$4+[1]Sheet1!$L$4,IF(AND(OR(D672="T. domingensis",D672="T. latifolia"),J672&gt;0),J672*[1]Sheet1!$G$5+K672*[1]Sheet1!$H$5+L672*[1]Sheet1!$I$5+[1]Sheet1!$L$5,0)))))))</f>
        <v>33.350951000000002</v>
      </c>
    </row>
    <row r="673" spans="1:15">
      <c r="A673" s="2">
        <v>40732</v>
      </c>
      <c r="B673" s="3" t="s">
        <v>33</v>
      </c>
      <c r="C673">
        <v>28</v>
      </c>
      <c r="D673" s="6" t="s">
        <v>29</v>
      </c>
      <c r="E673">
        <v>97</v>
      </c>
      <c r="F673">
        <v>0.57999999999999996</v>
      </c>
      <c r="O673">
        <f>IF(AND(OR(D673="S. acutus",D673="S. californicus",D673="S. tabernaemontani"),G673=0),E673*[1]Sheet1!$D$7+[1]Sheet1!$L$7,IF(AND(OR(D673="S. acutus",D673="S. tabernaemontani"),G673&gt;0),E673*[1]Sheet1!$D$8+N673*[1]Sheet1!$E$8,IF(AND(D673="S. californicus",G673&gt;0),E673*[1]Sheet1!$D$9+N673*[1]Sheet1!$E$9,IF(D673="S. maritimus",F673*[1]Sheet1!$C$10+E673*[1]Sheet1!$D$10+G673*[1]Sheet1!$F$10+[1]Sheet1!$L$10,IF(D673="S. americanus",F673*[1]Sheet1!$C$6+E673*[1]Sheet1!$D$6+[1]Sheet1!$L$6,IF(AND(OR(D673="T. domingensis",D673="T. latifolia"),E673&gt;0),F673*[1]Sheet1!$C$4+E673*[1]Sheet1!$D$4+H673*[1]Sheet1!$J$4+I673*[1]Sheet1!$K$4+[1]Sheet1!$L$4,IF(AND(OR(D673="T. domingensis",D673="T. latifolia"),J673&gt;0),J673*[1]Sheet1!$G$5+K673*[1]Sheet1!$H$5+L673*[1]Sheet1!$I$5+[1]Sheet1!$L$5,0)))))))</f>
        <v>1.2835430619999997</v>
      </c>
    </row>
    <row r="674" spans="1:15">
      <c r="A674" s="2">
        <v>40732</v>
      </c>
      <c r="B674" s="3" t="s">
        <v>33</v>
      </c>
      <c r="C674">
        <v>28</v>
      </c>
      <c r="D674" s="6" t="s">
        <v>29</v>
      </c>
      <c r="E674">
        <v>148</v>
      </c>
      <c r="F674">
        <v>0.47</v>
      </c>
      <c r="O674">
        <f>IF(AND(OR(D674="S. acutus",D674="S. californicus",D674="S. tabernaemontani"),G674=0),E674*[1]Sheet1!$D$7+[1]Sheet1!$L$7,IF(AND(OR(D674="S. acutus",D674="S. tabernaemontani"),G674&gt;0),E674*[1]Sheet1!$D$8+N674*[1]Sheet1!$E$8,IF(AND(D674="S. californicus",G674&gt;0),E674*[1]Sheet1!$D$9+N674*[1]Sheet1!$E$9,IF(D674="S. maritimus",F674*[1]Sheet1!$C$10+E674*[1]Sheet1!$D$10+G674*[1]Sheet1!$F$10+[1]Sheet1!$L$10,IF(D674="S. americanus",F674*[1]Sheet1!$C$6+E674*[1]Sheet1!$D$6+[1]Sheet1!$L$6,IF(AND(OR(D674="T. domingensis",D674="T. latifolia"),E674&gt;0),F674*[1]Sheet1!$C$4+E674*[1]Sheet1!$D$4+H674*[1]Sheet1!$J$4+I674*[1]Sheet1!$K$4+[1]Sheet1!$L$4,IF(AND(OR(D674="T. domingensis",D674="T. latifolia"),J674&gt;0),J674*[1]Sheet1!$G$5+K674*[1]Sheet1!$H$5+L674*[1]Sheet1!$I$5+[1]Sheet1!$L$5,0)))))))</f>
        <v>1.6924827829999995</v>
      </c>
    </row>
    <row r="675" spans="1:15">
      <c r="A675" s="2">
        <v>40732</v>
      </c>
      <c r="B675" s="3" t="s">
        <v>33</v>
      </c>
      <c r="C675">
        <v>28</v>
      </c>
      <c r="D675" s="6" t="s">
        <v>29</v>
      </c>
      <c r="E675">
        <v>151</v>
      </c>
      <c r="F675">
        <v>0.41</v>
      </c>
      <c r="O675">
        <f>IF(AND(OR(D675="S. acutus",D675="S. californicus",D675="S. tabernaemontani"),G675=0),E675*[1]Sheet1!$D$7+[1]Sheet1!$L$7,IF(AND(OR(D675="S. acutus",D675="S. tabernaemontani"),G675&gt;0),E675*[1]Sheet1!$D$8+N675*[1]Sheet1!$E$8,IF(AND(D675="S. californicus",G675&gt;0),E675*[1]Sheet1!$D$9+N675*[1]Sheet1!$E$9,IF(D675="S. maritimus",F675*[1]Sheet1!$C$10+E675*[1]Sheet1!$D$10+G675*[1]Sheet1!$F$10+[1]Sheet1!$L$10,IF(D675="S. americanus",F675*[1]Sheet1!$C$6+E675*[1]Sheet1!$D$6+[1]Sheet1!$L$6,IF(AND(OR(D675="T. domingensis",D675="T. latifolia"),E675&gt;0),F675*[1]Sheet1!$C$4+E675*[1]Sheet1!$D$4+H675*[1]Sheet1!$J$4+I675*[1]Sheet1!$K$4+[1]Sheet1!$L$4,IF(AND(OR(D675="T. domingensis",D675="T. latifolia"),J675&gt;0),J675*[1]Sheet1!$G$5+K675*[1]Sheet1!$H$5+L675*[1]Sheet1!$I$5+[1]Sheet1!$L$5,0)))))))</f>
        <v>1.5263743489999997</v>
      </c>
    </row>
    <row r="676" spans="1:15">
      <c r="A676" s="2">
        <v>40732</v>
      </c>
      <c r="B676" s="3" t="s">
        <v>33</v>
      </c>
      <c r="C676">
        <v>28</v>
      </c>
      <c r="D676" s="6" t="s">
        <v>29</v>
      </c>
      <c r="E676">
        <v>202</v>
      </c>
      <c r="F676">
        <v>0.56000000000000005</v>
      </c>
      <c r="O676">
        <f>IF(AND(OR(D676="S. acutus",D676="S. californicus",D676="S. tabernaemontani"),G676=0),E676*[1]Sheet1!$D$7+[1]Sheet1!$L$7,IF(AND(OR(D676="S. acutus",D676="S. tabernaemontani"),G676&gt;0),E676*[1]Sheet1!$D$8+N676*[1]Sheet1!$E$8,IF(AND(D676="S. californicus",G676&gt;0),E676*[1]Sheet1!$D$9+N676*[1]Sheet1!$E$9,IF(D676="S. maritimus",F676*[1]Sheet1!$C$10+E676*[1]Sheet1!$D$10+G676*[1]Sheet1!$F$10+[1]Sheet1!$L$10,IF(D676="S. americanus",F676*[1]Sheet1!$C$6+E676*[1]Sheet1!$D$6+[1]Sheet1!$L$6,IF(AND(OR(D676="T. domingensis",D676="T. latifolia"),E676&gt;0),F676*[1]Sheet1!$C$4+E676*[1]Sheet1!$D$4+H676*[1]Sheet1!$J$4+I676*[1]Sheet1!$K$4+[1]Sheet1!$L$4,IF(AND(OR(D676="T. domingensis",D676="T. latifolia"),J676&gt;0),J676*[1]Sheet1!$G$5+K676*[1]Sheet1!$H$5+L676*[1]Sheet1!$I$5+[1]Sheet1!$L$5,0)))))))</f>
        <v>2.8589663839999999</v>
      </c>
    </row>
    <row r="677" spans="1:15">
      <c r="A677" s="2">
        <v>40732</v>
      </c>
      <c r="B677" s="3" t="s">
        <v>33</v>
      </c>
      <c r="C677">
        <v>28</v>
      </c>
      <c r="D677" s="6" t="s">
        <v>29</v>
      </c>
      <c r="E677">
        <v>240</v>
      </c>
      <c r="F677">
        <v>0.41</v>
      </c>
      <c r="O677">
        <f>IF(AND(OR(D677="S. acutus",D677="S. californicus",D677="S. tabernaemontani"),G677=0),E677*[1]Sheet1!$D$7+[1]Sheet1!$L$7,IF(AND(OR(D677="S. acutus",D677="S. tabernaemontani"),G677&gt;0),E677*[1]Sheet1!$D$8+N677*[1]Sheet1!$E$8,IF(AND(D677="S. californicus",G677&gt;0),E677*[1]Sheet1!$D$9+N677*[1]Sheet1!$E$9,IF(D677="S. maritimus",F677*[1]Sheet1!$C$10+E677*[1]Sheet1!$D$10+G677*[1]Sheet1!$F$10+[1]Sheet1!$L$10,IF(D677="S. americanus",F677*[1]Sheet1!$C$6+E677*[1]Sheet1!$D$6+[1]Sheet1!$L$6,IF(AND(OR(D677="T. domingensis",D677="T. latifolia"),E677&gt;0),F677*[1]Sheet1!$C$4+E677*[1]Sheet1!$D$4+H677*[1]Sheet1!$J$4+I677*[1]Sheet1!$K$4+[1]Sheet1!$L$4,IF(AND(OR(D677="T. domingensis",D677="T. latifolia"),J677&gt;0),J677*[1]Sheet1!$G$5+K677*[1]Sheet1!$H$5+L677*[1]Sheet1!$I$5+[1]Sheet1!$L$5,0)))))))</f>
        <v>2.9219566489999997</v>
      </c>
    </row>
    <row r="678" spans="1:15">
      <c r="A678" s="2">
        <v>40732</v>
      </c>
      <c r="B678" s="3" t="s">
        <v>33</v>
      </c>
      <c r="C678">
        <v>28</v>
      </c>
      <c r="D678" s="6" t="s">
        <v>29</v>
      </c>
      <c r="E678">
        <v>247</v>
      </c>
      <c r="F678">
        <v>0.48</v>
      </c>
      <c r="O678">
        <f>IF(AND(OR(D678="S. acutus",D678="S. californicus",D678="S. tabernaemontani"),G678=0),E678*[1]Sheet1!$D$7+[1]Sheet1!$L$7,IF(AND(OR(D678="S. acutus",D678="S. tabernaemontani"),G678&gt;0),E678*[1]Sheet1!$D$8+N678*[1]Sheet1!$E$8,IF(AND(D678="S. californicus",G678&gt;0),E678*[1]Sheet1!$D$9+N678*[1]Sheet1!$E$9,IF(D678="S. maritimus",F678*[1]Sheet1!$C$10+E678*[1]Sheet1!$D$10+G678*[1]Sheet1!$F$10+[1]Sheet1!$L$10,IF(D678="S. americanus",F678*[1]Sheet1!$C$6+E678*[1]Sheet1!$D$6+[1]Sheet1!$L$6,IF(AND(OR(D678="T. domingensis",D678="T. latifolia"),E678&gt;0),F678*[1]Sheet1!$C$4+E678*[1]Sheet1!$D$4+H678*[1]Sheet1!$J$4+I678*[1]Sheet1!$K$4+[1]Sheet1!$L$4,IF(AND(OR(D678="T. domingensis",D678="T. latifolia"),J678&gt;0),J678*[1]Sheet1!$G$5+K678*[1]Sheet1!$H$5+L678*[1]Sheet1!$I$5+[1]Sheet1!$L$5,0)))))))</f>
        <v>3.2803971719999994</v>
      </c>
    </row>
    <row r="679" spans="1:15">
      <c r="A679" s="2">
        <v>40732</v>
      </c>
      <c r="B679" s="3" t="s">
        <v>33</v>
      </c>
      <c r="C679">
        <v>28</v>
      </c>
      <c r="D679" s="6" t="s">
        <v>29</v>
      </c>
      <c r="E679">
        <v>270</v>
      </c>
      <c r="F679">
        <v>0.59</v>
      </c>
      <c r="O679">
        <f>IF(AND(OR(D679="S. acutus",D679="S. californicus",D679="S. tabernaemontani"),G679=0),E679*[1]Sheet1!$D$7+[1]Sheet1!$L$7,IF(AND(OR(D679="S. acutus",D679="S. tabernaemontani"),G679&gt;0),E679*[1]Sheet1!$D$8+N679*[1]Sheet1!$E$8,IF(AND(D679="S. californicus",G679&gt;0),E679*[1]Sheet1!$D$9+N679*[1]Sheet1!$E$9,IF(D679="S. maritimus",F679*[1]Sheet1!$C$10+E679*[1]Sheet1!$D$10+G679*[1]Sheet1!$F$10+[1]Sheet1!$L$10,IF(D679="S. americanus",F679*[1]Sheet1!$C$6+E679*[1]Sheet1!$D$6+[1]Sheet1!$L$6,IF(AND(OR(D679="T. domingensis",D679="T. latifolia"),E679&gt;0),F679*[1]Sheet1!$C$4+E679*[1]Sheet1!$D$4+H679*[1]Sheet1!$J$4+I679*[1]Sheet1!$K$4+[1]Sheet1!$L$4,IF(AND(OR(D679="T. domingensis",D679="T. latifolia"),J679&gt;0),J679*[1]Sheet1!$G$5+K679*[1]Sheet1!$H$5+L679*[1]Sheet1!$I$5+[1]Sheet1!$L$5,0)))))))</f>
        <v>4.0318292509999996</v>
      </c>
    </row>
    <row r="680" spans="1:15">
      <c r="A680" s="2">
        <v>40732</v>
      </c>
      <c r="B680" s="3" t="s">
        <v>33</v>
      </c>
      <c r="C680">
        <v>28</v>
      </c>
      <c r="D680" s="6" t="s">
        <v>29</v>
      </c>
      <c r="E680">
        <v>271</v>
      </c>
      <c r="F680">
        <v>0.6</v>
      </c>
      <c r="O680">
        <f>IF(AND(OR(D680="S. acutus",D680="S. californicus",D680="S. tabernaemontani"),G680=0),E680*[1]Sheet1!$D$7+[1]Sheet1!$L$7,IF(AND(OR(D680="S. acutus",D680="S. tabernaemontani"),G680&gt;0),E680*[1]Sheet1!$D$8+N680*[1]Sheet1!$E$8,IF(AND(D680="S. californicus",G680&gt;0),E680*[1]Sheet1!$D$9+N680*[1]Sheet1!$E$9,IF(D680="S. maritimus",F680*[1]Sheet1!$C$10+E680*[1]Sheet1!$D$10+G680*[1]Sheet1!$F$10+[1]Sheet1!$L$10,IF(D680="S. americanus",F680*[1]Sheet1!$C$6+E680*[1]Sheet1!$D$6+[1]Sheet1!$L$6,IF(AND(OR(D680="T. domingensis",D680="T. latifolia"),E680&gt;0),F680*[1]Sheet1!$C$4+E680*[1]Sheet1!$D$4+H680*[1]Sheet1!$J$4+I680*[1]Sheet1!$K$4+[1]Sheet1!$L$4,IF(AND(OR(D680="T. domingensis",D680="T. latifolia"),J680&gt;0),J680*[1]Sheet1!$G$5+K680*[1]Sheet1!$H$5+L680*[1]Sheet1!$I$5+[1]Sheet1!$L$5,0)))))))</f>
        <v>4.0830350399999986</v>
      </c>
    </row>
    <row r="681" spans="1:15">
      <c r="A681" s="2">
        <v>40732</v>
      </c>
      <c r="B681" s="3" t="s">
        <v>33</v>
      </c>
      <c r="C681">
        <v>28</v>
      </c>
      <c r="D681" s="6" t="s">
        <v>29</v>
      </c>
      <c r="E681">
        <v>272</v>
      </c>
      <c r="F681">
        <v>0.68</v>
      </c>
      <c r="O681">
        <f>IF(AND(OR(D681="S. acutus",D681="S. californicus",D681="S. tabernaemontani"),G681=0),E681*[1]Sheet1!$D$7+[1]Sheet1!$L$7,IF(AND(OR(D681="S. acutus",D681="S. tabernaemontani"),G681&gt;0),E681*[1]Sheet1!$D$8+N681*[1]Sheet1!$E$8,IF(AND(D681="S. californicus",G681&gt;0),E681*[1]Sheet1!$D$9+N681*[1]Sheet1!$E$9,IF(D681="S. maritimus",F681*[1]Sheet1!$C$10+E681*[1]Sheet1!$D$10+G681*[1]Sheet1!$F$10+[1]Sheet1!$L$10,IF(D681="S. americanus",F681*[1]Sheet1!$C$6+E681*[1]Sheet1!$D$6+[1]Sheet1!$L$6,IF(AND(OR(D681="T. domingensis",D681="T. latifolia"),E681&gt;0),F681*[1]Sheet1!$C$4+E681*[1]Sheet1!$D$4+H681*[1]Sheet1!$J$4+I681*[1]Sheet1!$K$4+[1]Sheet1!$L$4,IF(AND(OR(D681="T. domingensis",D681="T. latifolia"),J681&gt;0),J681*[1]Sheet1!$G$5+K681*[1]Sheet1!$H$5+L681*[1]Sheet1!$I$5+[1]Sheet1!$L$5,0)))))))</f>
        <v>4.3829164519999999</v>
      </c>
    </row>
    <row r="682" spans="1:15">
      <c r="A682" s="2">
        <v>40732</v>
      </c>
      <c r="B682" s="3" t="s">
        <v>33</v>
      </c>
      <c r="C682">
        <v>28</v>
      </c>
      <c r="D682" s="6" t="s">
        <v>19</v>
      </c>
      <c r="E682">
        <v>285</v>
      </c>
      <c r="F682">
        <v>2.39</v>
      </c>
      <c r="H682">
        <v>24</v>
      </c>
      <c r="I682">
        <v>1.4</v>
      </c>
      <c r="O682">
        <f>IF(AND(OR(D682="S. acutus",D682="S. californicus",D682="S. tabernaemontani"),G682=0),E682*[1]Sheet1!$D$7+[1]Sheet1!$L$7,IF(AND(OR(D682="S. acutus",D682="S. tabernaemontani"),G682&gt;0),E682*[1]Sheet1!$D$8+N682*[1]Sheet1!$E$8,IF(AND(D682="S. californicus",G682&gt;0),E682*[1]Sheet1!$D$9+N682*[1]Sheet1!$E$9,IF(D682="S. maritimus",F682*[1]Sheet1!$C$10+E682*[1]Sheet1!$D$10+G682*[1]Sheet1!$F$10+[1]Sheet1!$L$10,IF(D682="S. americanus",F682*[1]Sheet1!$C$6+E682*[1]Sheet1!$D$6+[1]Sheet1!$L$6,IF(AND(OR(D682="T. domingensis",D682="T. latifolia"),E682&gt;0),F682*[1]Sheet1!$C$4+E682*[1]Sheet1!$D$4+H682*[1]Sheet1!$J$4+I682*[1]Sheet1!$K$4+[1]Sheet1!$L$4,IF(AND(OR(D682="T. domingensis",D682="T. latifolia"),J682&gt;0),J682*[1]Sheet1!$G$5+K682*[1]Sheet1!$H$5+L682*[1]Sheet1!$I$5+[1]Sheet1!$L$5,0)))))))</f>
        <v>81.248301629999986</v>
      </c>
    </row>
    <row r="683" spans="1:15">
      <c r="A683" s="2">
        <v>40732</v>
      </c>
      <c r="B683" s="3" t="s">
        <v>33</v>
      </c>
      <c r="C683">
        <v>28</v>
      </c>
      <c r="D683" s="6" t="s">
        <v>19</v>
      </c>
      <c r="E683">
        <v>294</v>
      </c>
      <c r="F683">
        <v>1.63</v>
      </c>
      <c r="H683">
        <v>20</v>
      </c>
      <c r="I683">
        <v>1.8</v>
      </c>
      <c r="O683">
        <f>IF(AND(OR(D683="S. acutus",D683="S. californicus",D683="S. tabernaemontani"),G683=0),E683*[1]Sheet1!$D$7+[1]Sheet1!$L$7,IF(AND(OR(D683="S. acutus",D683="S. tabernaemontani"),G683&gt;0),E683*[1]Sheet1!$D$8+N683*[1]Sheet1!$E$8,IF(AND(D683="S. californicus",G683&gt;0),E683*[1]Sheet1!$D$9+N683*[1]Sheet1!$E$9,IF(D683="S. maritimus",F683*[1]Sheet1!$C$10+E683*[1]Sheet1!$D$10+G683*[1]Sheet1!$F$10+[1]Sheet1!$L$10,IF(D683="S. americanus",F683*[1]Sheet1!$C$6+E683*[1]Sheet1!$D$6+[1]Sheet1!$L$6,IF(AND(OR(D683="T. domingensis",D683="T. latifolia"),E683&gt;0),F683*[1]Sheet1!$C$4+E683*[1]Sheet1!$D$4+H683*[1]Sheet1!$J$4+I683*[1]Sheet1!$K$4+[1]Sheet1!$L$4,IF(AND(OR(D683="T. domingensis",D683="T. latifolia"),J683&gt;0),J683*[1]Sheet1!$G$5+K683*[1]Sheet1!$H$5+L683*[1]Sheet1!$I$5+[1]Sheet1!$L$5,0)))))))</f>
        <v>72.612720910000007</v>
      </c>
    </row>
    <row r="684" spans="1:15">
      <c r="A684" s="2">
        <v>40732</v>
      </c>
      <c r="B684" s="3" t="s">
        <v>33</v>
      </c>
      <c r="C684">
        <v>28</v>
      </c>
      <c r="D684" s="6" t="s">
        <v>19</v>
      </c>
      <c r="E684">
        <v>296</v>
      </c>
      <c r="F684">
        <v>2.2999999999999998</v>
      </c>
      <c r="H684">
        <v>28</v>
      </c>
      <c r="I684">
        <v>2.5</v>
      </c>
      <c r="O684">
        <f>IF(AND(OR(D684="S. acutus",D684="S. californicus",D684="S. tabernaemontani"),G684=0),E684*[1]Sheet1!$D$7+[1]Sheet1!$L$7,IF(AND(OR(D684="S. acutus",D684="S. tabernaemontani"),G684&gt;0),E684*[1]Sheet1!$D$8+N684*[1]Sheet1!$E$8,IF(AND(D684="S. californicus",G684&gt;0),E684*[1]Sheet1!$D$9+N684*[1]Sheet1!$E$9,IF(D684="S. maritimus",F684*[1]Sheet1!$C$10+E684*[1]Sheet1!$D$10+G684*[1]Sheet1!$F$10+[1]Sheet1!$L$10,IF(D684="S. americanus",F684*[1]Sheet1!$C$6+E684*[1]Sheet1!$D$6+[1]Sheet1!$L$6,IF(AND(OR(D684="T. domingensis",D684="T. latifolia"),E684&gt;0),F684*[1]Sheet1!$C$4+E684*[1]Sheet1!$D$4+H684*[1]Sheet1!$J$4+I684*[1]Sheet1!$K$4+[1]Sheet1!$L$4,IF(AND(OR(D684="T. domingensis",D684="T. latifolia"),J684&gt;0),J684*[1]Sheet1!$G$5+K684*[1]Sheet1!$H$5+L684*[1]Sheet1!$I$5+[1]Sheet1!$L$5,0)))))))</f>
        <v>105.8014139</v>
      </c>
    </row>
    <row r="685" spans="1:15">
      <c r="A685" s="2">
        <v>40732</v>
      </c>
      <c r="B685" s="3" t="s">
        <v>33</v>
      </c>
      <c r="C685">
        <v>28</v>
      </c>
      <c r="D685" s="6" t="s">
        <v>19</v>
      </c>
      <c r="E685">
        <v>304</v>
      </c>
      <c r="F685">
        <v>1.99</v>
      </c>
      <c r="H685">
        <v>24</v>
      </c>
      <c r="I685">
        <v>2.2999999999999998</v>
      </c>
      <c r="O685">
        <f>IF(AND(OR(D685="S. acutus",D685="S. californicus",D685="S. tabernaemontani"),G685=0),E685*[1]Sheet1!$D$7+[1]Sheet1!$L$7,IF(AND(OR(D685="S. acutus",D685="S. tabernaemontani"),G685&gt;0),E685*[1]Sheet1!$D$8+N685*[1]Sheet1!$E$8,IF(AND(D685="S. californicus",G685&gt;0),E685*[1]Sheet1!$D$9+N685*[1]Sheet1!$E$9,IF(D685="S. maritimus",F685*[1]Sheet1!$C$10+E685*[1]Sheet1!$D$10+G685*[1]Sheet1!$F$10+[1]Sheet1!$L$10,IF(D685="S. americanus",F685*[1]Sheet1!$C$6+E685*[1]Sheet1!$D$6+[1]Sheet1!$L$6,IF(AND(OR(D685="T. domingensis",D685="T. latifolia"),E685&gt;0),F685*[1]Sheet1!$C$4+E685*[1]Sheet1!$D$4+H685*[1]Sheet1!$J$4+I685*[1]Sheet1!$K$4+[1]Sheet1!$L$4,IF(AND(OR(D685="T. domingensis",D685="T. latifolia"),J685&gt;0),J685*[1]Sheet1!$G$5+K685*[1]Sheet1!$H$5+L685*[1]Sheet1!$I$5+[1]Sheet1!$L$5,0)))))))</f>
        <v>95.044941829999999</v>
      </c>
    </row>
    <row r="686" spans="1:15">
      <c r="A686" s="2">
        <v>40732</v>
      </c>
      <c r="B686" s="3" t="s">
        <v>33</v>
      </c>
      <c r="C686">
        <v>28</v>
      </c>
      <c r="D686" s="6" t="s">
        <v>19</v>
      </c>
      <c r="E686">
        <v>342</v>
      </c>
      <c r="F686">
        <v>2.38</v>
      </c>
      <c r="H686">
        <v>29</v>
      </c>
      <c r="I686">
        <v>2.1</v>
      </c>
      <c r="O686">
        <f>IF(AND(OR(D686="S. acutus",D686="S. californicus",D686="S. tabernaemontani"),G686=0),E686*[1]Sheet1!$D$7+[1]Sheet1!$L$7,IF(AND(OR(D686="S. acutus",D686="S. tabernaemontani"),G686&gt;0),E686*[1]Sheet1!$D$8+N686*[1]Sheet1!$E$8,IF(AND(D686="S. californicus",G686&gt;0),E686*[1]Sheet1!$D$9+N686*[1]Sheet1!$E$9,IF(D686="S. maritimus",F686*[1]Sheet1!$C$10+E686*[1]Sheet1!$D$10+G686*[1]Sheet1!$F$10+[1]Sheet1!$L$10,IF(D686="S. americanus",F686*[1]Sheet1!$C$6+E686*[1]Sheet1!$D$6+[1]Sheet1!$L$6,IF(AND(OR(D686="T. domingensis",D686="T. latifolia"),E686&gt;0),F686*[1]Sheet1!$C$4+E686*[1]Sheet1!$D$4+H686*[1]Sheet1!$J$4+I686*[1]Sheet1!$K$4+[1]Sheet1!$L$4,IF(AND(OR(D686="T. domingensis",D686="T. latifolia"),J686&gt;0),J686*[1]Sheet1!$G$5+K686*[1]Sheet1!$H$5+L686*[1]Sheet1!$I$5+[1]Sheet1!$L$5,0)))))))</f>
        <v>115.26110746000001</v>
      </c>
    </row>
    <row r="687" spans="1:15">
      <c r="A687" s="2">
        <v>40732</v>
      </c>
      <c r="B687" s="3" t="s">
        <v>33</v>
      </c>
      <c r="C687">
        <v>28</v>
      </c>
      <c r="D687" s="6" t="s">
        <v>19</v>
      </c>
      <c r="E687">
        <v>349</v>
      </c>
      <c r="F687">
        <v>2.94</v>
      </c>
      <c r="H687">
        <v>33</v>
      </c>
      <c r="I687">
        <v>2.2999999999999998</v>
      </c>
      <c r="O687">
        <f>IF(AND(OR(D687="S. acutus",D687="S. californicus",D687="S. tabernaemontani"),G687=0),E687*[1]Sheet1!$D$7+[1]Sheet1!$L$7,IF(AND(OR(D687="S. acutus",D687="S. tabernaemontani"),G687&gt;0),E687*[1]Sheet1!$D$8+N687*[1]Sheet1!$E$8,IF(AND(D687="S. californicus",G687&gt;0),E687*[1]Sheet1!$D$9+N687*[1]Sheet1!$E$9,IF(D687="S. maritimus",F687*[1]Sheet1!$C$10+E687*[1]Sheet1!$D$10+G687*[1]Sheet1!$F$10+[1]Sheet1!$L$10,IF(D687="S. americanus",F687*[1]Sheet1!$C$6+E687*[1]Sheet1!$D$6+[1]Sheet1!$L$6,IF(AND(OR(D687="T. domingensis",D687="T. latifolia"),E687&gt;0),F687*[1]Sheet1!$C$4+E687*[1]Sheet1!$D$4+H687*[1]Sheet1!$J$4+I687*[1]Sheet1!$K$4+[1]Sheet1!$L$4,IF(AND(OR(D687="T. domingensis",D687="T. latifolia"),J687&gt;0),J687*[1]Sheet1!$G$5+K687*[1]Sheet1!$H$5+L687*[1]Sheet1!$I$5+[1]Sheet1!$L$5,0)))))))</f>
        <v>135.39159678000001</v>
      </c>
    </row>
    <row r="688" spans="1:15">
      <c r="A688" s="2">
        <v>40732</v>
      </c>
      <c r="B688" s="3" t="s">
        <v>33</v>
      </c>
      <c r="C688">
        <v>28</v>
      </c>
      <c r="D688" s="6" t="s">
        <v>19</v>
      </c>
      <c r="F688">
        <v>1.32</v>
      </c>
      <c r="J688">
        <f>SUM(134,196,227,238,259)</f>
        <v>1054</v>
      </c>
      <c r="K688">
        <v>5</v>
      </c>
      <c r="L688">
        <v>259</v>
      </c>
      <c r="O688">
        <f>IF(AND(OR(D688="S. acutus",D688="S. californicus",D688="S. tabernaemontani"),G688=0),E688*[1]Sheet1!$D$7+[1]Sheet1!$L$7,IF(AND(OR(D688="S. acutus",D688="S. tabernaemontani"),G688&gt;0),E688*[1]Sheet1!$D$8+N688*[1]Sheet1!$E$8,IF(AND(D688="S. californicus",G688&gt;0),E688*[1]Sheet1!$D$9+N688*[1]Sheet1!$E$9,IF(D688="S. maritimus",F688*[1]Sheet1!$C$10+E688*[1]Sheet1!$D$10+G688*[1]Sheet1!$F$10+[1]Sheet1!$L$10,IF(D688="S. americanus",F688*[1]Sheet1!$C$6+E688*[1]Sheet1!$D$6+[1]Sheet1!$L$6,IF(AND(OR(D688="T. domingensis",D688="T. latifolia"),E688&gt;0),F688*[1]Sheet1!$C$4+E688*[1]Sheet1!$D$4+H688*[1]Sheet1!$J$4+I688*[1]Sheet1!$K$4+[1]Sheet1!$L$4,IF(AND(OR(D688="T. domingensis",D688="T. latifolia"),J688&gt;0),J688*[1]Sheet1!$G$5+K688*[1]Sheet1!$H$5+L688*[1]Sheet1!$I$5+[1]Sheet1!$L$5,0)))))))</f>
        <v>18.720534000000015</v>
      </c>
    </row>
    <row r="689" spans="1:15">
      <c r="A689" s="2">
        <v>40732</v>
      </c>
      <c r="B689" s="3" t="s">
        <v>33</v>
      </c>
      <c r="C689">
        <v>28</v>
      </c>
      <c r="D689" s="6" t="s">
        <v>19</v>
      </c>
      <c r="F689">
        <v>1.53</v>
      </c>
      <c r="J689">
        <f>SUM(145,147,157,206,254,264,276)</f>
        <v>1449</v>
      </c>
      <c r="K689">
        <v>7</v>
      </c>
      <c r="L689">
        <v>276</v>
      </c>
      <c r="O689">
        <f>IF(AND(OR(D689="S. acutus",D689="S. californicus",D689="S. tabernaemontani"),G689=0),E689*[1]Sheet1!$D$7+[1]Sheet1!$L$7,IF(AND(OR(D689="S. acutus",D689="S. tabernaemontani"),G689&gt;0),E689*[1]Sheet1!$D$8+N689*[1]Sheet1!$E$8,IF(AND(D689="S. californicus",G689&gt;0),E689*[1]Sheet1!$D$9+N689*[1]Sheet1!$E$9,IF(D689="S. maritimus",F689*[1]Sheet1!$C$10+E689*[1]Sheet1!$D$10+G689*[1]Sheet1!$F$10+[1]Sheet1!$L$10,IF(D689="S. americanus",F689*[1]Sheet1!$C$6+E689*[1]Sheet1!$D$6+[1]Sheet1!$L$6,IF(AND(OR(D689="T. domingensis",D689="T. latifolia"),E689&gt;0),F689*[1]Sheet1!$C$4+E689*[1]Sheet1!$D$4+H689*[1]Sheet1!$J$4+I689*[1]Sheet1!$K$4+[1]Sheet1!$L$4,IF(AND(OR(D689="T. domingensis",D689="T. latifolia"),J689&gt;0),J689*[1]Sheet1!$G$5+K689*[1]Sheet1!$H$5+L689*[1]Sheet1!$I$5+[1]Sheet1!$L$5,0)))))))</f>
        <v>36.587888000000014</v>
      </c>
    </row>
    <row r="690" spans="1:15">
      <c r="A690" s="2">
        <v>40732</v>
      </c>
      <c r="B690" s="3" t="s">
        <v>33</v>
      </c>
      <c r="C690">
        <v>28</v>
      </c>
      <c r="D690" s="6" t="s">
        <v>19</v>
      </c>
      <c r="F690">
        <v>1.94</v>
      </c>
      <c r="J690">
        <f>SUM(161,220,268,282,283,287)</f>
        <v>1501</v>
      </c>
      <c r="K690">
        <v>6</v>
      </c>
      <c r="L690">
        <v>287</v>
      </c>
      <c r="O690">
        <f>IF(AND(OR(D690="S. acutus",D690="S. californicus",D690="S. tabernaemontani"),G690=0),E690*[1]Sheet1!$D$7+[1]Sheet1!$L$7,IF(AND(OR(D690="S. acutus",D690="S. tabernaemontani"),G690&gt;0),E690*[1]Sheet1!$D$8+N690*[1]Sheet1!$E$8,IF(AND(D690="S. californicus",G690&gt;0),E690*[1]Sheet1!$D$9+N690*[1]Sheet1!$E$9,IF(D690="S. maritimus",F690*[1]Sheet1!$C$10+E690*[1]Sheet1!$D$10+G690*[1]Sheet1!$F$10+[1]Sheet1!$L$10,IF(D690="S. americanus",F690*[1]Sheet1!$C$6+E690*[1]Sheet1!$D$6+[1]Sheet1!$L$6,IF(AND(OR(D690="T. domingensis",D690="T. latifolia"),E690&gt;0),F690*[1]Sheet1!$C$4+E690*[1]Sheet1!$D$4+H690*[1]Sheet1!$J$4+I690*[1]Sheet1!$K$4+[1]Sheet1!$L$4,IF(AND(OR(D690="T. domingensis",D690="T. latifolia"),J690&gt;0),J690*[1]Sheet1!$G$5+K690*[1]Sheet1!$H$5+L690*[1]Sheet1!$I$5+[1]Sheet1!$L$5,0)))))))</f>
        <v>45.171806000000011</v>
      </c>
    </row>
    <row r="691" spans="1:15">
      <c r="A691" s="2">
        <v>40732</v>
      </c>
      <c r="B691" s="3" t="s">
        <v>33</v>
      </c>
      <c r="C691">
        <v>28</v>
      </c>
      <c r="D691" s="6" t="s">
        <v>19</v>
      </c>
      <c r="F691">
        <v>1.92</v>
      </c>
      <c r="J691">
        <f>SUM(184,246,298,329,352,355)</f>
        <v>1764</v>
      </c>
      <c r="K691">
        <v>6</v>
      </c>
      <c r="L691">
        <v>355</v>
      </c>
      <c r="O691">
        <f>IF(AND(OR(D691="S. acutus",D691="S. californicus",D691="S. tabernaemontani"),G691=0),E691*[1]Sheet1!$D$7+[1]Sheet1!$L$7,IF(AND(OR(D691="S. acutus",D691="S. tabernaemontani"),G691&gt;0),E691*[1]Sheet1!$D$8+N691*[1]Sheet1!$E$8,IF(AND(D691="S. californicus",G691&gt;0),E691*[1]Sheet1!$D$9+N691*[1]Sheet1!$E$9,IF(D691="S. maritimus",F691*[1]Sheet1!$C$10+E691*[1]Sheet1!$D$10+G691*[1]Sheet1!$F$10+[1]Sheet1!$L$10,IF(D691="S. americanus",F691*[1]Sheet1!$C$6+E691*[1]Sheet1!$D$6+[1]Sheet1!$L$6,IF(AND(OR(D691="T. domingensis",D691="T. latifolia"),E691&gt;0),F691*[1]Sheet1!$C$4+E691*[1]Sheet1!$D$4+H691*[1]Sheet1!$J$4+I691*[1]Sheet1!$K$4+[1]Sheet1!$L$4,IF(AND(OR(D691="T. domingensis",D691="T. latifolia"),J691&gt;0),J691*[1]Sheet1!$G$5+K691*[1]Sheet1!$H$5+L691*[1]Sheet1!$I$5+[1]Sheet1!$L$5,0)))))))</f>
        <v>49.344711000000011</v>
      </c>
    </row>
    <row r="692" spans="1:15">
      <c r="A692" s="2">
        <v>40732</v>
      </c>
      <c r="B692" s="3" t="s">
        <v>33</v>
      </c>
      <c r="C692">
        <v>28</v>
      </c>
      <c r="D692" s="6" t="s">
        <v>19</v>
      </c>
      <c r="F692">
        <v>1.77</v>
      </c>
      <c r="J692">
        <f>SUM(208,263,273,298,304,309,314)</f>
        <v>1969</v>
      </c>
      <c r="K692">
        <v>7</v>
      </c>
      <c r="L692">
        <v>314</v>
      </c>
      <c r="O692">
        <f>IF(AND(OR(D692="S. acutus",D692="S. californicus",D692="S. tabernaemontani"),G692=0),E692*[1]Sheet1!$D$7+[1]Sheet1!$L$7,IF(AND(OR(D692="S. acutus",D692="S. tabernaemontani"),G692&gt;0),E692*[1]Sheet1!$D$8+N692*[1]Sheet1!$E$8,IF(AND(D692="S. californicus",G692&gt;0),E692*[1]Sheet1!$D$9+N692*[1]Sheet1!$E$9,IF(D692="S. maritimus",F692*[1]Sheet1!$C$10+E692*[1]Sheet1!$D$10+G692*[1]Sheet1!$F$10+[1]Sheet1!$L$10,IF(D692="S. americanus",F692*[1]Sheet1!$C$6+E692*[1]Sheet1!$D$6+[1]Sheet1!$L$6,IF(AND(OR(D692="T. domingensis",D692="T. latifolia"),E692&gt;0),F692*[1]Sheet1!$C$4+E692*[1]Sheet1!$D$4+H692*[1]Sheet1!$J$4+I692*[1]Sheet1!$K$4+[1]Sheet1!$L$4,IF(AND(OR(D692="T. domingensis",D692="T. latifolia"),J692&gt;0),J692*[1]Sheet1!$G$5+K692*[1]Sheet1!$H$5+L692*[1]Sheet1!$I$5+[1]Sheet1!$L$5,0)))))))</f>
        <v>73.893178000000034</v>
      </c>
    </row>
    <row r="693" spans="1:15">
      <c r="A693" s="2">
        <v>40732</v>
      </c>
      <c r="B693" s="3" t="s">
        <v>33</v>
      </c>
      <c r="C693">
        <v>33</v>
      </c>
      <c r="D693" s="7" t="s">
        <v>29</v>
      </c>
      <c r="E693">
        <v>24</v>
      </c>
      <c r="F693">
        <v>0.53</v>
      </c>
      <c r="M693" t="s">
        <v>34</v>
      </c>
      <c r="O693">
        <f>IF(AND(OR(D693="S. acutus",D693="S. californicus",D693="S. tabernaemontani"),G693=0),E693*[1]Sheet1!$D$7+[1]Sheet1!$L$7,IF(AND(OR(D693="S. acutus",D693="S. tabernaemontani"),G693&gt;0),E693*[1]Sheet1!$D$8+N693*[1]Sheet1!$E$8,IF(AND(D693="S. californicus",G693&gt;0),E693*[1]Sheet1!$D$9+N693*[1]Sheet1!$E$9,IF(D693="S. maritimus",F693*[1]Sheet1!$C$10+E693*[1]Sheet1!$D$10+G693*[1]Sheet1!$F$10+[1]Sheet1!$L$10,IF(D693="S. americanus",F693*[1]Sheet1!$C$6+E693*[1]Sheet1!$D$6+[1]Sheet1!$L$6,IF(AND(OR(D693="T. domingensis",D693="T. latifolia"),E693&gt;0),F693*[1]Sheet1!$C$4+E693*[1]Sheet1!$D$4+H693*[1]Sheet1!$J$4+I693*[1]Sheet1!$K$4+[1]Sheet1!$L$4,IF(AND(OR(D693="T. domingensis",D693="T. latifolia"),J693&gt;0),J693*[1]Sheet1!$G$5+K693*[1]Sheet1!$H$5+L693*[1]Sheet1!$I$5+[1]Sheet1!$L$5,0)))))))</f>
        <v>-3.8773482999999942E-2</v>
      </c>
    </row>
    <row r="694" spans="1:15">
      <c r="A694" s="2">
        <v>40732</v>
      </c>
      <c r="B694" s="3" t="s">
        <v>33</v>
      </c>
      <c r="C694">
        <v>33</v>
      </c>
      <c r="D694" s="7" t="s">
        <v>29</v>
      </c>
      <c r="E694">
        <v>26</v>
      </c>
      <c r="F694">
        <v>0.22</v>
      </c>
      <c r="M694" t="s">
        <v>34</v>
      </c>
      <c r="O694">
        <f>IF(AND(OR(D694="S. acutus",D694="S. californicus",D694="S. tabernaemontani"),G694=0),E694*[1]Sheet1!$D$7+[1]Sheet1!$L$7,IF(AND(OR(D694="S. acutus",D694="S. tabernaemontani"),G694&gt;0),E694*[1]Sheet1!$D$8+N694*[1]Sheet1!$E$8,IF(AND(D694="S. californicus",G694&gt;0),E694*[1]Sheet1!$D$9+N694*[1]Sheet1!$E$9,IF(D694="S. maritimus",F694*[1]Sheet1!$C$10+E694*[1]Sheet1!$D$10+G694*[1]Sheet1!$F$10+[1]Sheet1!$L$10,IF(D694="S. americanus",F694*[1]Sheet1!$C$6+E694*[1]Sheet1!$D$6+[1]Sheet1!$L$6,IF(AND(OR(D694="T. domingensis",D694="T. latifolia"),E694&gt;0),F694*[1]Sheet1!$C$4+E694*[1]Sheet1!$D$4+H694*[1]Sheet1!$J$4+I694*[1]Sheet1!$K$4+[1]Sheet1!$L$4,IF(AND(OR(D694="T. domingensis",D694="T. latifolia"),J694&gt;0),J694*[1]Sheet1!$G$5+K694*[1]Sheet1!$H$5+L694*[1]Sheet1!$I$5+[1]Sheet1!$L$5,0)))))))</f>
        <v>-1.1086898420000002</v>
      </c>
    </row>
    <row r="695" spans="1:15">
      <c r="A695" s="2">
        <v>40732</v>
      </c>
      <c r="B695" s="3" t="s">
        <v>33</v>
      </c>
      <c r="C695">
        <v>33</v>
      </c>
      <c r="D695" s="7" t="s">
        <v>29</v>
      </c>
      <c r="E695">
        <v>28</v>
      </c>
      <c r="F695">
        <v>0.45</v>
      </c>
      <c r="M695" t="s">
        <v>34</v>
      </c>
      <c r="O695">
        <f>IF(AND(OR(D695="S. acutus",D695="S. californicus",D695="S. tabernaemontani"),G695=0),E695*[1]Sheet1!$D$7+[1]Sheet1!$L$7,IF(AND(OR(D695="S. acutus",D695="S. tabernaemontani"),G695&gt;0),E695*[1]Sheet1!$D$8+N695*[1]Sheet1!$E$8,IF(AND(D695="S. californicus",G695&gt;0),E695*[1]Sheet1!$D$9+N695*[1]Sheet1!$E$9,IF(D695="S. maritimus",F695*[1]Sheet1!$C$10+E695*[1]Sheet1!$D$10+G695*[1]Sheet1!$F$10+[1]Sheet1!$L$10,IF(D695="S. americanus",F695*[1]Sheet1!$C$6+E695*[1]Sheet1!$D$6+[1]Sheet1!$L$6,IF(AND(OR(D695="T. domingensis",D695="T. latifolia"),E695&gt;0),F695*[1]Sheet1!$C$4+E695*[1]Sheet1!$D$4+H695*[1]Sheet1!$J$4+I695*[1]Sheet1!$K$4+[1]Sheet1!$L$4,IF(AND(OR(D695="T. domingensis",D695="T. latifolia"),J695&gt;0),J695*[1]Sheet1!$G$5+K695*[1]Sheet1!$H$5+L695*[1]Sheet1!$I$5+[1]Sheet1!$L$5,0)))))))</f>
        <v>-0.26025139500000005</v>
      </c>
    </row>
    <row r="696" spans="1:15">
      <c r="A696" s="2">
        <v>40732</v>
      </c>
      <c r="B696" s="3" t="s">
        <v>33</v>
      </c>
      <c r="C696">
        <v>33</v>
      </c>
      <c r="D696" s="7" t="s">
        <v>29</v>
      </c>
      <c r="E696">
        <v>31</v>
      </c>
      <c r="F696">
        <v>0.5</v>
      </c>
      <c r="M696" t="s">
        <v>34</v>
      </c>
      <c r="O696">
        <f>IF(AND(OR(D696="S. acutus",D696="S. californicus",D696="S. tabernaemontani"),G696=0),E696*[1]Sheet1!$D$7+[1]Sheet1!$L$7,IF(AND(OR(D696="S. acutus",D696="S. tabernaemontani"),G696&gt;0),E696*[1]Sheet1!$D$8+N696*[1]Sheet1!$E$8,IF(AND(D696="S. californicus",G696&gt;0),E696*[1]Sheet1!$D$9+N696*[1]Sheet1!$E$9,IF(D696="S. maritimus",F696*[1]Sheet1!$C$10+E696*[1]Sheet1!$D$10+G696*[1]Sheet1!$F$10+[1]Sheet1!$L$10,IF(D696="S. americanus",F696*[1]Sheet1!$C$6+E696*[1]Sheet1!$D$6+[1]Sheet1!$L$6,IF(AND(OR(D696="T. domingensis",D696="T. latifolia"),E696&gt;0),F696*[1]Sheet1!$C$4+E696*[1]Sheet1!$D$4+H696*[1]Sheet1!$J$4+I696*[1]Sheet1!$K$4+[1]Sheet1!$L$4,IF(AND(OR(D696="T. domingensis",D696="T. latifolia"),J696&gt;0),J696*[1]Sheet1!$G$5+K696*[1]Sheet1!$H$5+L696*[1]Sheet1!$I$5+[1]Sheet1!$L$5,0)))))))</f>
        <v>-3.5583850000000083E-2</v>
      </c>
    </row>
    <row r="697" spans="1:15">
      <c r="A697" s="2">
        <v>40732</v>
      </c>
      <c r="B697" s="3" t="s">
        <v>33</v>
      </c>
      <c r="C697">
        <v>33</v>
      </c>
      <c r="D697" s="7" t="s">
        <v>29</v>
      </c>
      <c r="E697">
        <v>33</v>
      </c>
      <c r="F697">
        <v>0.42</v>
      </c>
      <c r="M697" t="s">
        <v>34</v>
      </c>
      <c r="O697">
        <f>IF(AND(OR(D697="S. acutus",D697="S. californicus",D697="S. tabernaemontani"),G697=0),E697*[1]Sheet1!$D$7+[1]Sheet1!$L$7,IF(AND(OR(D697="S. acutus",D697="S. tabernaemontani"),G697&gt;0),E697*[1]Sheet1!$D$8+N697*[1]Sheet1!$E$8,IF(AND(D697="S. californicus",G697&gt;0),E697*[1]Sheet1!$D$9+N697*[1]Sheet1!$E$9,IF(D697="S. maritimus",F697*[1]Sheet1!$C$10+E697*[1]Sheet1!$D$10+G697*[1]Sheet1!$F$10+[1]Sheet1!$L$10,IF(D697="S. americanus",F697*[1]Sheet1!$C$6+E697*[1]Sheet1!$D$6+[1]Sheet1!$L$6,IF(AND(OR(D697="T. domingensis",D697="T. latifolia"),E697&gt;0),F697*[1]Sheet1!$C$4+E697*[1]Sheet1!$D$4+H697*[1]Sheet1!$J$4+I697*[1]Sheet1!$K$4+[1]Sheet1!$L$4,IF(AND(OR(D697="T. domingensis",D697="T. latifolia"),J697&gt;0),J697*[1]Sheet1!$G$5+K697*[1]Sheet1!$H$5+L697*[1]Sheet1!$I$5+[1]Sheet1!$L$5,0)))))))</f>
        <v>-0.2884231620000004</v>
      </c>
    </row>
    <row r="698" spans="1:15">
      <c r="A698" s="2">
        <v>40732</v>
      </c>
      <c r="B698" s="3" t="s">
        <v>33</v>
      </c>
      <c r="C698">
        <v>33</v>
      </c>
      <c r="D698" s="7" t="s">
        <v>29</v>
      </c>
      <c r="E698">
        <v>40</v>
      </c>
      <c r="F698">
        <v>0.9</v>
      </c>
      <c r="M698" t="s">
        <v>34</v>
      </c>
      <c r="O698">
        <f>IF(AND(OR(D698="S. acutus",D698="S. californicus",D698="S. tabernaemontani"),G698=0),E698*[1]Sheet1!$D$7+[1]Sheet1!$L$7,IF(AND(OR(D698="S. acutus",D698="S. tabernaemontani"),G698&gt;0),E698*[1]Sheet1!$D$8+N698*[1]Sheet1!$E$8,IF(AND(D698="S. californicus",G698&gt;0),E698*[1]Sheet1!$D$9+N698*[1]Sheet1!$E$9,IF(D698="S. maritimus",F698*[1]Sheet1!$C$10+E698*[1]Sheet1!$D$10+G698*[1]Sheet1!$F$10+[1]Sheet1!$L$10,IF(D698="S. americanus",F698*[1]Sheet1!$C$6+E698*[1]Sheet1!$D$6+[1]Sheet1!$L$6,IF(AND(OR(D698="T. domingensis",D698="T. latifolia"),E698&gt;0),F698*[1]Sheet1!$C$4+E698*[1]Sheet1!$D$4+H698*[1]Sheet1!$J$4+I698*[1]Sheet1!$K$4+[1]Sheet1!$L$4,IF(AND(OR(D698="T. domingensis",D698="T. latifolia"),J698&gt;0),J698*[1]Sheet1!$G$5+K698*[1]Sheet1!$H$5+L698*[1]Sheet1!$I$5+[1]Sheet1!$L$5,0)))))))</f>
        <v>1.5265460100000001</v>
      </c>
    </row>
    <row r="699" spans="1:15">
      <c r="A699" s="2">
        <v>40732</v>
      </c>
      <c r="B699" s="3" t="s">
        <v>33</v>
      </c>
      <c r="C699">
        <v>33</v>
      </c>
      <c r="D699" s="7" t="s">
        <v>29</v>
      </c>
      <c r="E699">
        <v>44</v>
      </c>
      <c r="F699">
        <v>0.4</v>
      </c>
      <c r="M699" t="s">
        <v>34</v>
      </c>
      <c r="O699">
        <f>IF(AND(OR(D699="S. acutus",D699="S. californicus",D699="S. tabernaemontani"),G699=0),E699*[1]Sheet1!$D$7+[1]Sheet1!$L$7,IF(AND(OR(D699="S. acutus",D699="S. tabernaemontani"),G699&gt;0),E699*[1]Sheet1!$D$8+N699*[1]Sheet1!$E$8,IF(AND(D699="S. californicus",G699&gt;0),E699*[1]Sheet1!$D$9+N699*[1]Sheet1!$E$9,IF(D699="S. maritimus",F699*[1]Sheet1!$C$10+E699*[1]Sheet1!$D$10+G699*[1]Sheet1!$F$10+[1]Sheet1!$L$10,IF(D699="S. americanus",F699*[1]Sheet1!$C$6+E699*[1]Sheet1!$D$6+[1]Sheet1!$L$6,IF(AND(OR(D699="T. domingensis",D699="T. latifolia"),E699&gt;0),F699*[1]Sheet1!$C$4+E699*[1]Sheet1!$D$4+H699*[1]Sheet1!$J$4+I699*[1]Sheet1!$K$4+[1]Sheet1!$L$4,IF(AND(OR(D699="T. domingensis",D699="T. latifolia"),J699&gt;0),J699*[1]Sheet1!$G$5+K699*[1]Sheet1!$H$5+L699*[1]Sheet1!$I$5+[1]Sheet1!$L$5,0)))))))</f>
        <v>-0.18698564000000006</v>
      </c>
    </row>
    <row r="700" spans="1:15">
      <c r="A700" s="2">
        <v>40732</v>
      </c>
      <c r="B700" s="3" t="s">
        <v>33</v>
      </c>
      <c r="C700">
        <v>33</v>
      </c>
      <c r="D700" s="7" t="s">
        <v>29</v>
      </c>
      <c r="E700">
        <v>46</v>
      </c>
      <c r="F700">
        <v>0.64</v>
      </c>
      <c r="M700" t="s">
        <v>34</v>
      </c>
      <c r="O700">
        <f>IF(AND(OR(D700="S. acutus",D700="S. californicus",D700="S. tabernaemontani"),G700=0),E700*[1]Sheet1!$D$7+[1]Sheet1!$L$7,IF(AND(OR(D700="S. acutus",D700="S. tabernaemontani"),G700&gt;0),E700*[1]Sheet1!$D$8+N700*[1]Sheet1!$E$8,IF(AND(D700="S. californicus",G700&gt;0),E700*[1]Sheet1!$D$9+N700*[1]Sheet1!$E$9,IF(D700="S. maritimus",F700*[1]Sheet1!$C$10+E700*[1]Sheet1!$D$10+G700*[1]Sheet1!$F$10+[1]Sheet1!$L$10,IF(D700="S. americanus",F700*[1]Sheet1!$C$6+E700*[1]Sheet1!$D$6+[1]Sheet1!$L$6,IF(AND(OR(D700="T. domingensis",D700="T. latifolia"),E700&gt;0),F700*[1]Sheet1!$C$4+E700*[1]Sheet1!$D$4+H700*[1]Sheet1!$J$4+I700*[1]Sheet1!$K$4+[1]Sheet1!$L$4,IF(AND(OR(D700="T. domingensis",D700="T. latifolia"),J700&gt;0),J700*[1]Sheet1!$G$5+K700*[1]Sheet1!$H$5+L700*[1]Sheet1!$I$5+[1]Sheet1!$L$5,0)))))))</f>
        <v>0.69697789599999993</v>
      </c>
    </row>
    <row r="701" spans="1:15">
      <c r="A701" s="2">
        <v>40732</v>
      </c>
      <c r="B701" s="3" t="s">
        <v>33</v>
      </c>
      <c r="C701">
        <v>33</v>
      </c>
      <c r="D701" s="7" t="s">
        <v>29</v>
      </c>
      <c r="E701">
        <v>48</v>
      </c>
      <c r="F701">
        <v>0.51</v>
      </c>
      <c r="M701" t="s">
        <v>34</v>
      </c>
      <c r="O701">
        <f>IF(AND(OR(D701="S. acutus",D701="S. californicus",D701="S. tabernaemontani"),G701=0),E701*[1]Sheet1!$D$7+[1]Sheet1!$L$7,IF(AND(OR(D701="S. acutus",D701="S. tabernaemontani"),G701&gt;0),E701*[1]Sheet1!$D$8+N701*[1]Sheet1!$E$8,IF(AND(D701="S. californicus",G701&gt;0),E701*[1]Sheet1!$D$9+N701*[1]Sheet1!$E$9,IF(D701="S. maritimus",F701*[1]Sheet1!$C$10+E701*[1]Sheet1!$D$10+G701*[1]Sheet1!$F$10+[1]Sheet1!$L$10,IF(D701="S. americanus",F701*[1]Sheet1!$C$6+E701*[1]Sheet1!$D$6+[1]Sheet1!$L$6,IF(AND(OR(D701="T. domingensis",D701="T. latifolia"),E701&gt;0),F701*[1]Sheet1!$C$4+E701*[1]Sheet1!$D$4+H701*[1]Sheet1!$J$4+I701*[1]Sheet1!$K$4+[1]Sheet1!$L$4,IF(AND(OR(D701="T. domingensis",D701="T. latifolia"),J701&gt;0),J701*[1]Sheet1!$G$5+K701*[1]Sheet1!$H$5+L701*[1]Sheet1!$I$5+[1]Sheet1!$L$5,0)))))))</f>
        <v>0.26651313899999973</v>
      </c>
    </row>
    <row r="702" spans="1:15">
      <c r="A702" s="2">
        <v>40732</v>
      </c>
      <c r="B702" s="3" t="s">
        <v>33</v>
      </c>
      <c r="C702">
        <v>33</v>
      </c>
      <c r="D702" s="7" t="s">
        <v>29</v>
      </c>
      <c r="E702">
        <v>52</v>
      </c>
      <c r="F702">
        <v>0.5</v>
      </c>
      <c r="M702" t="s">
        <v>34</v>
      </c>
      <c r="O702">
        <f>IF(AND(OR(D702="S. acutus",D702="S. californicus",D702="S. tabernaemontani"),G702=0),E702*[1]Sheet1!$D$7+[1]Sheet1!$L$7,IF(AND(OR(D702="S. acutus",D702="S. tabernaemontani"),G702&gt;0),E702*[1]Sheet1!$D$8+N702*[1]Sheet1!$E$8,IF(AND(D702="S. californicus",G702&gt;0),E702*[1]Sheet1!$D$9+N702*[1]Sheet1!$E$9,IF(D702="S. maritimus",F702*[1]Sheet1!$C$10+E702*[1]Sheet1!$D$10+G702*[1]Sheet1!$F$10+[1]Sheet1!$L$10,IF(D702="S. americanus",F702*[1]Sheet1!$C$6+E702*[1]Sheet1!$D$6+[1]Sheet1!$L$6,IF(AND(OR(D702="T. domingensis",D702="T. latifolia"),E702&gt;0),F702*[1]Sheet1!$C$4+E702*[1]Sheet1!$D$4+H702*[1]Sheet1!$J$4+I702*[1]Sheet1!$K$4+[1]Sheet1!$L$4,IF(AND(OR(D702="T. domingensis",D702="T. latifolia"),J702&gt;0),J702*[1]Sheet1!$G$5+K702*[1]Sheet1!$H$5+L702*[1]Sheet1!$I$5+[1]Sheet1!$L$5,0)))))))</f>
        <v>0.29371084999999963</v>
      </c>
    </row>
    <row r="703" spans="1:15">
      <c r="A703" s="2">
        <v>40732</v>
      </c>
      <c r="B703" s="3" t="s">
        <v>33</v>
      </c>
      <c r="C703">
        <v>33</v>
      </c>
      <c r="D703" s="7" t="s">
        <v>29</v>
      </c>
      <c r="E703">
        <v>53</v>
      </c>
      <c r="F703">
        <v>0.56000000000000005</v>
      </c>
      <c r="M703" t="s">
        <v>34</v>
      </c>
      <c r="O703">
        <f>IF(AND(OR(D703="S. acutus",D703="S. californicus",D703="S. tabernaemontani"),G703=0),E703*[1]Sheet1!$D$7+[1]Sheet1!$L$7,IF(AND(OR(D703="S. acutus",D703="S. tabernaemontani"),G703&gt;0),E703*[1]Sheet1!$D$8+N703*[1]Sheet1!$E$8,IF(AND(D703="S. californicus",G703&gt;0),E703*[1]Sheet1!$D$9+N703*[1]Sheet1!$E$9,IF(D703="S. maritimus",F703*[1]Sheet1!$C$10+E703*[1]Sheet1!$D$10+G703*[1]Sheet1!$F$10+[1]Sheet1!$L$10,IF(D703="S. americanus",F703*[1]Sheet1!$C$6+E703*[1]Sheet1!$D$6+[1]Sheet1!$L$6,IF(AND(OR(D703="T. domingensis",D703="T. latifolia"),E703&gt;0),F703*[1]Sheet1!$C$4+E703*[1]Sheet1!$D$4+H703*[1]Sheet1!$J$4+I703*[1]Sheet1!$K$4+[1]Sheet1!$L$4,IF(AND(OR(D703="T. domingensis",D703="T. latifolia"),J703&gt;0),J703*[1]Sheet1!$G$5+K703*[1]Sheet1!$H$5+L703*[1]Sheet1!$I$5+[1]Sheet1!$L$5,0)))))))</f>
        <v>0.52254208399999991</v>
      </c>
    </row>
    <row r="704" spans="1:15">
      <c r="A704" s="2">
        <v>40732</v>
      </c>
      <c r="B704" s="3" t="s">
        <v>33</v>
      </c>
      <c r="C704">
        <v>33</v>
      </c>
      <c r="D704" s="7" t="s">
        <v>29</v>
      </c>
      <c r="E704">
        <v>54</v>
      </c>
      <c r="F704">
        <v>0.64</v>
      </c>
      <c r="M704" t="s">
        <v>34</v>
      </c>
      <c r="O704">
        <f>IF(AND(OR(D704="S. acutus",D704="S. californicus",D704="S. tabernaemontani"),G704=0),E704*[1]Sheet1!$D$7+[1]Sheet1!$L$7,IF(AND(OR(D704="S. acutus",D704="S. tabernaemontani"),G704&gt;0),E704*[1]Sheet1!$D$8+N704*[1]Sheet1!$E$8,IF(AND(D704="S. californicus",G704&gt;0),E704*[1]Sheet1!$D$9+N704*[1]Sheet1!$E$9,IF(D704="S. maritimus",F704*[1]Sheet1!$C$10+E704*[1]Sheet1!$D$10+G704*[1]Sheet1!$F$10+[1]Sheet1!$L$10,IF(D704="S. americanus",F704*[1]Sheet1!$C$6+E704*[1]Sheet1!$D$6+[1]Sheet1!$L$6,IF(AND(OR(D704="T. domingensis",D704="T. latifolia"),E704&gt;0),F704*[1]Sheet1!$C$4+E704*[1]Sheet1!$D$4+H704*[1]Sheet1!$J$4+I704*[1]Sheet1!$K$4+[1]Sheet1!$L$4,IF(AND(OR(D704="T. domingensis",D704="T. latifolia"),J704&gt;0),J704*[1]Sheet1!$G$5+K704*[1]Sheet1!$H$5+L704*[1]Sheet1!$I$5+[1]Sheet1!$L$5,0)))))))</f>
        <v>0.82242349599999987</v>
      </c>
    </row>
    <row r="705" spans="1:15">
      <c r="A705" s="2">
        <v>40732</v>
      </c>
      <c r="B705" s="3" t="s">
        <v>33</v>
      </c>
      <c r="C705">
        <v>33</v>
      </c>
      <c r="D705" s="7" t="s">
        <v>29</v>
      </c>
      <c r="E705">
        <v>58</v>
      </c>
      <c r="F705">
        <v>0.51</v>
      </c>
      <c r="M705" t="s">
        <v>34</v>
      </c>
      <c r="O705">
        <f>IF(AND(OR(D705="S. acutus",D705="S. californicus",D705="S. tabernaemontani"),G705=0),E705*[1]Sheet1!$D$7+[1]Sheet1!$L$7,IF(AND(OR(D705="S. acutus",D705="S. tabernaemontani"),G705&gt;0),E705*[1]Sheet1!$D$8+N705*[1]Sheet1!$E$8,IF(AND(D705="S. californicus",G705&gt;0),E705*[1]Sheet1!$D$9+N705*[1]Sheet1!$E$9,IF(D705="S. maritimus",F705*[1]Sheet1!$C$10+E705*[1]Sheet1!$D$10+G705*[1]Sheet1!$F$10+[1]Sheet1!$L$10,IF(D705="S. americanus",F705*[1]Sheet1!$C$6+E705*[1]Sheet1!$D$6+[1]Sheet1!$L$6,IF(AND(OR(D705="T. domingensis",D705="T. latifolia"),E705&gt;0),F705*[1]Sheet1!$C$4+E705*[1]Sheet1!$D$4+H705*[1]Sheet1!$J$4+I705*[1]Sheet1!$K$4+[1]Sheet1!$L$4,IF(AND(OR(D705="T. domingensis",D705="T. latifolia"),J705&gt;0),J705*[1]Sheet1!$G$5+K705*[1]Sheet1!$H$5+L705*[1]Sheet1!$I$5+[1]Sheet1!$L$5,0)))))))</f>
        <v>0.42332013899999987</v>
      </c>
    </row>
    <row r="706" spans="1:15">
      <c r="A706" s="2">
        <v>40732</v>
      </c>
      <c r="B706" s="3" t="s">
        <v>33</v>
      </c>
      <c r="C706">
        <v>33</v>
      </c>
      <c r="D706" s="7" t="s">
        <v>29</v>
      </c>
      <c r="E706">
        <v>58</v>
      </c>
      <c r="F706">
        <v>0.52</v>
      </c>
      <c r="M706" t="s">
        <v>34</v>
      </c>
      <c r="O706">
        <f>IF(AND(OR(D706="S. acutus",D706="S. californicus",D706="S. tabernaemontani"),G706=0),E706*[1]Sheet1!$D$7+[1]Sheet1!$L$7,IF(AND(OR(D706="S. acutus",D706="S. tabernaemontani"),G706&gt;0),E706*[1]Sheet1!$D$8+N706*[1]Sheet1!$E$8,IF(AND(D706="S. californicus",G706&gt;0),E706*[1]Sheet1!$D$9+N706*[1]Sheet1!$E$9,IF(D706="S. maritimus",F706*[1]Sheet1!$C$10+E706*[1]Sheet1!$D$10+G706*[1]Sheet1!$F$10+[1]Sheet1!$L$10,IF(D706="S. americanus",F706*[1]Sheet1!$C$6+E706*[1]Sheet1!$D$6+[1]Sheet1!$L$6,IF(AND(OR(D706="T. domingensis",D706="T. latifolia"),E706&gt;0),F706*[1]Sheet1!$C$4+E706*[1]Sheet1!$D$4+H706*[1]Sheet1!$J$4+I706*[1]Sheet1!$K$4+[1]Sheet1!$L$4,IF(AND(OR(D706="T. domingensis",D706="T. latifolia"),J706&gt;0),J706*[1]Sheet1!$G$5+K706*[1]Sheet1!$H$5+L706*[1]Sheet1!$I$5+[1]Sheet1!$L$5,0)))))))</f>
        <v>0.45884522799999994</v>
      </c>
    </row>
    <row r="707" spans="1:15">
      <c r="A707" s="2">
        <v>40732</v>
      </c>
      <c r="B707" s="3" t="s">
        <v>33</v>
      </c>
      <c r="C707">
        <v>33</v>
      </c>
      <c r="D707" s="7" t="s">
        <v>29</v>
      </c>
      <c r="E707">
        <v>60</v>
      </c>
      <c r="F707" s="8">
        <v>0.52</v>
      </c>
      <c r="M707" t="s">
        <v>34</v>
      </c>
      <c r="O707">
        <f>IF(AND(OR(D707="S. acutus",D707="S. californicus",D707="S. tabernaemontani"),G707=0),E707*[1]Sheet1!$D$7+[1]Sheet1!$L$7,IF(AND(OR(D707="S. acutus",D707="S. tabernaemontani"),G707&gt;0),E707*[1]Sheet1!$D$8+N707*[1]Sheet1!$E$8,IF(AND(D707="S. californicus",G707&gt;0),E707*[1]Sheet1!$D$9+N707*[1]Sheet1!$E$9,IF(D707="S. maritimus",F707*[1]Sheet1!$C$10+E707*[1]Sheet1!$D$10+G707*[1]Sheet1!$F$10+[1]Sheet1!$L$10,IF(D707="S. americanus",F707*[1]Sheet1!$C$6+E707*[1]Sheet1!$D$6+[1]Sheet1!$L$6,IF(AND(OR(D707="T. domingensis",D707="T. latifolia"),E707&gt;0),F707*[1]Sheet1!$C$4+E707*[1]Sheet1!$D$4+H707*[1]Sheet1!$J$4+I707*[1]Sheet1!$K$4+[1]Sheet1!$L$4,IF(AND(OR(D707="T. domingensis",D707="T. latifolia"),J707&gt;0),J707*[1]Sheet1!$G$5+K707*[1]Sheet1!$H$5+L707*[1]Sheet1!$I$5+[1]Sheet1!$L$5,0)))))))</f>
        <v>0.4902066279999997</v>
      </c>
    </row>
    <row r="708" spans="1:15">
      <c r="A708" s="2">
        <v>40732</v>
      </c>
      <c r="B708" s="3" t="s">
        <v>33</v>
      </c>
      <c r="C708">
        <v>33</v>
      </c>
      <c r="D708" s="7" t="s">
        <v>29</v>
      </c>
      <c r="E708">
        <v>61</v>
      </c>
      <c r="F708">
        <v>0.56999999999999995</v>
      </c>
      <c r="M708" t="s">
        <v>34</v>
      </c>
      <c r="O708">
        <f>IF(AND(OR(D708="S. acutus",D708="S. californicus",D708="S. tabernaemontani"),G708=0),E708*[1]Sheet1!$D$7+[1]Sheet1!$L$7,IF(AND(OR(D708="S. acutus",D708="S. tabernaemontani"),G708&gt;0),E708*[1]Sheet1!$D$8+N708*[1]Sheet1!$E$8,IF(AND(D708="S. californicus",G708&gt;0),E708*[1]Sheet1!$D$9+N708*[1]Sheet1!$E$9,IF(D708="S. maritimus",F708*[1]Sheet1!$C$10+E708*[1]Sheet1!$D$10+G708*[1]Sheet1!$F$10+[1]Sheet1!$L$10,IF(D708="S. americanus",F708*[1]Sheet1!$C$6+E708*[1]Sheet1!$D$6+[1]Sheet1!$L$6,IF(AND(OR(D708="T. domingensis",D708="T. latifolia"),E708&gt;0),F708*[1]Sheet1!$C$4+E708*[1]Sheet1!$D$4+H708*[1]Sheet1!$J$4+I708*[1]Sheet1!$K$4+[1]Sheet1!$L$4,IF(AND(OR(D708="T. domingensis",D708="T. latifolia"),J708&gt;0),J708*[1]Sheet1!$G$5+K708*[1]Sheet1!$H$5+L708*[1]Sheet1!$I$5+[1]Sheet1!$L$5,0)))))))</f>
        <v>0.68351277299999946</v>
      </c>
    </row>
    <row r="709" spans="1:15">
      <c r="A709" s="2">
        <v>40732</v>
      </c>
      <c r="B709" s="3" t="s">
        <v>33</v>
      </c>
      <c r="C709">
        <v>33</v>
      </c>
      <c r="D709" s="7" t="s">
        <v>29</v>
      </c>
      <c r="E709">
        <v>62</v>
      </c>
      <c r="F709">
        <v>0.44</v>
      </c>
      <c r="M709" t="s">
        <v>34</v>
      </c>
      <c r="O709">
        <f>IF(AND(OR(D709="S. acutus",D709="S. californicus",D709="S. tabernaemontani"),G709=0),E709*[1]Sheet1!$D$7+[1]Sheet1!$L$7,IF(AND(OR(D709="S. acutus",D709="S. tabernaemontani"),G709&gt;0),E709*[1]Sheet1!$D$8+N709*[1]Sheet1!$E$8,IF(AND(D709="S. californicus",G709&gt;0),E709*[1]Sheet1!$D$9+N709*[1]Sheet1!$E$9,IF(D709="S. maritimus",F709*[1]Sheet1!$C$10+E709*[1]Sheet1!$D$10+G709*[1]Sheet1!$F$10+[1]Sheet1!$L$10,IF(D709="S. americanus",F709*[1]Sheet1!$C$6+E709*[1]Sheet1!$D$6+[1]Sheet1!$L$6,IF(AND(OR(D709="T. domingensis",D709="T. latifolia"),E709&gt;0),F709*[1]Sheet1!$C$4+E709*[1]Sheet1!$D$4+H709*[1]Sheet1!$J$4+I709*[1]Sheet1!$K$4+[1]Sheet1!$L$4,IF(AND(OR(D709="T. domingensis",D709="T. latifolia"),J709&gt;0),J709*[1]Sheet1!$G$5+K709*[1]Sheet1!$H$5+L709*[1]Sheet1!$I$5+[1]Sheet1!$L$5,0)))))))</f>
        <v>0.23736731599999983</v>
      </c>
    </row>
    <row r="710" spans="1:15">
      <c r="A710" s="2">
        <v>40732</v>
      </c>
      <c r="B710" s="3" t="s">
        <v>33</v>
      </c>
      <c r="C710">
        <v>33</v>
      </c>
      <c r="D710" s="7" t="s">
        <v>29</v>
      </c>
      <c r="E710">
        <v>63</v>
      </c>
      <c r="F710">
        <v>0.46</v>
      </c>
      <c r="M710" t="s">
        <v>34</v>
      </c>
      <c r="O710">
        <f>IF(AND(OR(D710="S. acutus",D710="S. californicus",D710="S. tabernaemontani"),G710=0),E710*[1]Sheet1!$D$7+[1]Sheet1!$L$7,IF(AND(OR(D710="S. acutus",D710="S. tabernaemontani"),G710&gt;0),E710*[1]Sheet1!$D$8+N710*[1]Sheet1!$E$8,IF(AND(D710="S. californicus",G710&gt;0),E710*[1]Sheet1!$D$9+N710*[1]Sheet1!$E$9,IF(D710="S. maritimus",F710*[1]Sheet1!$C$10+E710*[1]Sheet1!$D$10+G710*[1]Sheet1!$F$10+[1]Sheet1!$L$10,IF(D710="S. americanus",F710*[1]Sheet1!$C$6+E710*[1]Sheet1!$D$6+[1]Sheet1!$L$6,IF(AND(OR(D710="T. domingensis",D710="T. latifolia"),E710&gt;0),F710*[1]Sheet1!$C$4+E710*[1]Sheet1!$D$4+H710*[1]Sheet1!$J$4+I710*[1]Sheet1!$K$4+[1]Sheet1!$L$4,IF(AND(OR(D710="T. domingensis",D710="T. latifolia"),J710&gt;0),J710*[1]Sheet1!$G$5+K710*[1]Sheet1!$H$5+L710*[1]Sheet1!$I$5+[1]Sheet1!$L$5,0)))))))</f>
        <v>0.32409819399999984</v>
      </c>
    </row>
    <row r="711" spans="1:15">
      <c r="A711" s="2">
        <v>40732</v>
      </c>
      <c r="B711" s="3" t="s">
        <v>33</v>
      </c>
      <c r="C711">
        <v>33</v>
      </c>
      <c r="D711" s="7" t="s">
        <v>29</v>
      </c>
      <c r="E711">
        <v>64</v>
      </c>
      <c r="F711">
        <v>0.45</v>
      </c>
      <c r="M711" t="s">
        <v>34</v>
      </c>
      <c r="O711">
        <f>IF(AND(OR(D711="S. acutus",D711="S. californicus",D711="S. tabernaemontani"),G711=0),E711*[1]Sheet1!$D$7+[1]Sheet1!$L$7,IF(AND(OR(D711="S. acutus",D711="S. tabernaemontani"),G711&gt;0),E711*[1]Sheet1!$D$8+N711*[1]Sheet1!$E$8,IF(AND(D711="S. californicus",G711&gt;0),E711*[1]Sheet1!$D$9+N711*[1]Sheet1!$E$9,IF(D711="S. maritimus",F711*[1]Sheet1!$C$10+E711*[1]Sheet1!$D$10+G711*[1]Sheet1!$F$10+[1]Sheet1!$L$10,IF(D711="S. americanus",F711*[1]Sheet1!$C$6+E711*[1]Sheet1!$D$6+[1]Sheet1!$L$6,IF(AND(OR(D711="T. domingensis",D711="T. latifolia"),E711&gt;0),F711*[1]Sheet1!$C$4+E711*[1]Sheet1!$D$4+H711*[1]Sheet1!$J$4+I711*[1]Sheet1!$K$4+[1]Sheet1!$L$4,IF(AND(OR(D711="T. domingensis",D711="T. latifolia"),J711&gt;0),J711*[1]Sheet1!$G$5+K711*[1]Sheet1!$H$5+L711*[1]Sheet1!$I$5+[1]Sheet1!$L$5,0)))))))</f>
        <v>0.30425380499999966</v>
      </c>
    </row>
    <row r="712" spans="1:15">
      <c r="A712" s="2">
        <v>40732</v>
      </c>
      <c r="B712" s="3" t="s">
        <v>33</v>
      </c>
      <c r="C712">
        <v>33</v>
      </c>
      <c r="D712" s="7" t="s">
        <v>29</v>
      </c>
      <c r="E712">
        <v>68</v>
      </c>
      <c r="F712">
        <v>0.35</v>
      </c>
      <c r="M712" t="s">
        <v>34</v>
      </c>
      <c r="O712">
        <f>IF(AND(OR(D712="S. acutus",D712="S. californicus",D712="S. tabernaemontani"),G712=0),E712*[1]Sheet1!$D$7+[1]Sheet1!$L$7,IF(AND(OR(D712="S. acutus",D712="S. tabernaemontani"),G712&gt;0),E712*[1]Sheet1!$D$8+N712*[1]Sheet1!$E$8,IF(AND(D712="S. californicus",G712&gt;0),E712*[1]Sheet1!$D$9+N712*[1]Sheet1!$E$9,IF(D712="S. maritimus",F712*[1]Sheet1!$C$10+E712*[1]Sheet1!$D$10+G712*[1]Sheet1!$F$10+[1]Sheet1!$L$10,IF(D712="S. americanus",F712*[1]Sheet1!$C$6+E712*[1]Sheet1!$D$6+[1]Sheet1!$L$6,IF(AND(OR(D712="T. domingensis",D712="T. latifolia"),E712&gt;0),F712*[1]Sheet1!$C$4+E712*[1]Sheet1!$D$4+H712*[1]Sheet1!$J$4+I712*[1]Sheet1!$K$4+[1]Sheet1!$L$4,IF(AND(OR(D712="T. domingensis",D712="T. latifolia"),J712&gt;0),J712*[1]Sheet1!$G$5+K712*[1]Sheet1!$H$5+L712*[1]Sheet1!$I$5+[1]Sheet1!$L$5,0)))))))</f>
        <v>1.1725714999999415E-2</v>
      </c>
    </row>
    <row r="713" spans="1:15">
      <c r="A713" s="2">
        <v>40732</v>
      </c>
      <c r="B713" s="3" t="s">
        <v>33</v>
      </c>
      <c r="C713">
        <v>33</v>
      </c>
      <c r="D713" s="7" t="s">
        <v>29</v>
      </c>
      <c r="E713">
        <v>68</v>
      </c>
      <c r="F713">
        <v>0.7</v>
      </c>
      <c r="M713" t="s">
        <v>34</v>
      </c>
      <c r="O713">
        <f>IF(AND(OR(D713="S. acutus",D713="S. californicus",D713="S. tabernaemontani"),G713=0),E713*[1]Sheet1!$D$7+[1]Sheet1!$L$7,IF(AND(OR(D713="S. acutus",D713="S. tabernaemontani"),G713&gt;0),E713*[1]Sheet1!$D$8+N713*[1]Sheet1!$E$8,IF(AND(D713="S. californicus",G713&gt;0),E713*[1]Sheet1!$D$9+N713*[1]Sheet1!$E$9,IF(D713="S. maritimus",F713*[1]Sheet1!$C$10+E713*[1]Sheet1!$D$10+G713*[1]Sheet1!$F$10+[1]Sheet1!$L$10,IF(D713="S. americanus",F713*[1]Sheet1!$C$6+E713*[1]Sheet1!$D$6+[1]Sheet1!$L$6,IF(AND(OR(D713="T. domingensis",D713="T. latifolia"),E713&gt;0),F713*[1]Sheet1!$C$4+E713*[1]Sheet1!$D$4+H713*[1]Sheet1!$J$4+I713*[1]Sheet1!$K$4+[1]Sheet1!$L$4,IF(AND(OR(D713="T. domingensis",D713="T. latifolia"),J713&gt;0),J713*[1]Sheet1!$G$5+K713*[1]Sheet1!$H$5+L713*[1]Sheet1!$I$5+[1]Sheet1!$L$5,0)))))))</f>
        <v>1.2551038299999995</v>
      </c>
    </row>
    <row r="714" spans="1:15">
      <c r="A714" s="2">
        <v>40732</v>
      </c>
      <c r="B714" s="3" t="s">
        <v>33</v>
      </c>
      <c r="C714">
        <v>33</v>
      </c>
      <c r="D714" s="7" t="s">
        <v>29</v>
      </c>
      <c r="E714">
        <v>71</v>
      </c>
      <c r="F714">
        <v>0.46</v>
      </c>
      <c r="M714" t="s">
        <v>34</v>
      </c>
      <c r="O714">
        <f>IF(AND(OR(D714="S. acutus",D714="S. californicus",D714="S. tabernaemontani"),G714=0),E714*[1]Sheet1!$D$7+[1]Sheet1!$L$7,IF(AND(OR(D714="S. acutus",D714="S. tabernaemontani"),G714&gt;0),E714*[1]Sheet1!$D$8+N714*[1]Sheet1!$E$8,IF(AND(D714="S. californicus",G714&gt;0),E714*[1]Sheet1!$D$9+N714*[1]Sheet1!$E$9,IF(D714="S. maritimus",F714*[1]Sheet1!$C$10+E714*[1]Sheet1!$D$10+G714*[1]Sheet1!$F$10+[1]Sheet1!$L$10,IF(D714="S. americanus",F714*[1]Sheet1!$C$6+E714*[1]Sheet1!$D$6+[1]Sheet1!$L$6,IF(AND(OR(D714="T. domingensis",D714="T. latifolia"),E714&gt;0),F714*[1]Sheet1!$C$4+E714*[1]Sheet1!$D$4+H714*[1]Sheet1!$J$4+I714*[1]Sheet1!$K$4+[1]Sheet1!$L$4,IF(AND(OR(D714="T. domingensis",D714="T. latifolia"),J714&gt;0),J714*[1]Sheet1!$G$5+K714*[1]Sheet1!$H$5+L714*[1]Sheet1!$I$5+[1]Sheet1!$L$5,0)))))))</f>
        <v>0.44954379399999977</v>
      </c>
    </row>
    <row r="715" spans="1:15">
      <c r="A715" s="2">
        <v>40732</v>
      </c>
      <c r="B715" s="3" t="s">
        <v>33</v>
      </c>
      <c r="C715">
        <v>33</v>
      </c>
      <c r="D715" s="7" t="s">
        <v>29</v>
      </c>
      <c r="E715">
        <v>73</v>
      </c>
      <c r="F715">
        <v>0.92</v>
      </c>
      <c r="M715" t="s">
        <v>34</v>
      </c>
      <c r="O715">
        <f>IF(AND(OR(D715="S. acutus",D715="S. californicus",D715="S. tabernaemontani"),G715=0),E715*[1]Sheet1!$D$7+[1]Sheet1!$L$7,IF(AND(OR(D715="S. acutus",D715="S. tabernaemontani"),G715&gt;0),E715*[1]Sheet1!$D$8+N715*[1]Sheet1!$E$8,IF(AND(D715="S. californicus",G715&gt;0),E715*[1]Sheet1!$D$9+N715*[1]Sheet1!$E$9,IF(D715="S. maritimus",F715*[1]Sheet1!$C$10+E715*[1]Sheet1!$D$10+G715*[1]Sheet1!$F$10+[1]Sheet1!$L$10,IF(D715="S. americanus",F715*[1]Sheet1!$C$6+E715*[1]Sheet1!$D$6+[1]Sheet1!$L$6,IF(AND(OR(D715="T. domingensis",D715="T. latifolia"),E715&gt;0),F715*[1]Sheet1!$C$4+E715*[1]Sheet1!$D$4+H715*[1]Sheet1!$J$4+I715*[1]Sheet1!$K$4+[1]Sheet1!$L$4,IF(AND(OR(D715="T. domingensis",D715="T. latifolia"),J715&gt;0),J715*[1]Sheet1!$G$5+K715*[1]Sheet1!$H$5+L715*[1]Sheet1!$I$5+[1]Sheet1!$L$5,0)))))))</f>
        <v>2.1150592879999999</v>
      </c>
    </row>
    <row r="716" spans="1:15">
      <c r="A716" s="2">
        <v>40732</v>
      </c>
      <c r="B716" s="3" t="s">
        <v>33</v>
      </c>
      <c r="C716">
        <v>33</v>
      </c>
      <c r="D716" s="7" t="s">
        <v>29</v>
      </c>
      <c r="E716">
        <v>74</v>
      </c>
      <c r="F716">
        <v>0.4</v>
      </c>
      <c r="M716" t="s">
        <v>34</v>
      </c>
      <c r="O716">
        <f>IF(AND(OR(D716="S. acutus",D716="S. californicus",D716="S. tabernaemontani"),G716=0),E716*[1]Sheet1!$D$7+[1]Sheet1!$L$7,IF(AND(OR(D716="S. acutus",D716="S. tabernaemontani"),G716&gt;0),E716*[1]Sheet1!$D$8+N716*[1]Sheet1!$E$8,IF(AND(D716="S. californicus",G716&gt;0),E716*[1]Sheet1!$D$9+N716*[1]Sheet1!$E$9,IF(D716="S. maritimus",F716*[1]Sheet1!$C$10+E716*[1]Sheet1!$D$10+G716*[1]Sheet1!$F$10+[1]Sheet1!$L$10,IF(D716="S. americanus",F716*[1]Sheet1!$C$6+E716*[1]Sheet1!$D$6+[1]Sheet1!$L$6,IF(AND(OR(D716="T. domingensis",D716="T. latifolia"),E716&gt;0),F716*[1]Sheet1!$C$4+E716*[1]Sheet1!$D$4+H716*[1]Sheet1!$J$4+I716*[1]Sheet1!$K$4+[1]Sheet1!$L$4,IF(AND(OR(D716="T. domingensis",D716="T. latifolia"),J716&gt;0),J716*[1]Sheet1!$G$5+K716*[1]Sheet1!$H$5+L716*[1]Sheet1!$I$5+[1]Sheet1!$L$5,0)))))))</f>
        <v>0.28343535999999991</v>
      </c>
    </row>
    <row r="717" spans="1:15">
      <c r="A717" s="2">
        <v>40732</v>
      </c>
      <c r="B717" s="3" t="s">
        <v>33</v>
      </c>
      <c r="C717">
        <v>33</v>
      </c>
      <c r="D717" s="7" t="s">
        <v>29</v>
      </c>
      <c r="E717">
        <v>75</v>
      </c>
      <c r="F717">
        <v>0.54</v>
      </c>
      <c r="M717" t="s">
        <v>34</v>
      </c>
      <c r="O717">
        <f>IF(AND(OR(D717="S. acutus",D717="S. californicus",D717="S. tabernaemontani"),G717=0),E717*[1]Sheet1!$D$7+[1]Sheet1!$L$7,IF(AND(OR(D717="S. acutus",D717="S. tabernaemontani"),G717&gt;0),E717*[1]Sheet1!$D$8+N717*[1]Sheet1!$E$8,IF(AND(D717="S. californicus",G717&gt;0),E717*[1]Sheet1!$D$9+N717*[1]Sheet1!$E$9,IF(D717="S. maritimus",F717*[1]Sheet1!$C$10+E717*[1]Sheet1!$D$10+G717*[1]Sheet1!$F$10+[1]Sheet1!$L$10,IF(D717="S. americanus",F717*[1]Sheet1!$C$6+E717*[1]Sheet1!$D$6+[1]Sheet1!$L$6,IF(AND(OR(D717="T. domingensis",D717="T. latifolia"),E717&gt;0),F717*[1]Sheet1!$C$4+E717*[1]Sheet1!$D$4+H717*[1]Sheet1!$J$4+I717*[1]Sheet1!$K$4+[1]Sheet1!$L$4,IF(AND(OR(D717="T. domingensis",D717="T. latifolia"),J717&gt;0),J717*[1]Sheet1!$G$5+K717*[1]Sheet1!$H$5+L717*[1]Sheet1!$I$5+[1]Sheet1!$L$5,0)))))))</f>
        <v>0.79646730599999982</v>
      </c>
    </row>
    <row r="718" spans="1:15">
      <c r="A718" s="2">
        <v>40732</v>
      </c>
      <c r="B718" s="3" t="s">
        <v>33</v>
      </c>
      <c r="C718">
        <v>33</v>
      </c>
      <c r="D718" s="7" t="s">
        <v>29</v>
      </c>
      <c r="E718">
        <v>78</v>
      </c>
      <c r="F718">
        <v>0.54</v>
      </c>
      <c r="M718" t="s">
        <v>34</v>
      </c>
      <c r="O718">
        <f>IF(AND(OR(D718="S. acutus",D718="S. californicus",D718="S. tabernaemontani"),G718=0),E718*[1]Sheet1!$D$7+[1]Sheet1!$L$7,IF(AND(OR(D718="S. acutus",D718="S. tabernaemontani"),G718&gt;0),E718*[1]Sheet1!$D$8+N718*[1]Sheet1!$E$8,IF(AND(D718="S. californicus",G718&gt;0),E718*[1]Sheet1!$D$9+N718*[1]Sheet1!$E$9,IF(D718="S. maritimus",F718*[1]Sheet1!$C$10+E718*[1]Sheet1!$D$10+G718*[1]Sheet1!$F$10+[1]Sheet1!$L$10,IF(D718="S. americanus",F718*[1]Sheet1!$C$6+E718*[1]Sheet1!$D$6+[1]Sheet1!$L$6,IF(AND(OR(D718="T. domingensis",D718="T. latifolia"),E718&gt;0),F718*[1]Sheet1!$C$4+E718*[1]Sheet1!$D$4+H718*[1]Sheet1!$J$4+I718*[1]Sheet1!$K$4+[1]Sheet1!$L$4,IF(AND(OR(D718="T. domingensis",D718="T. latifolia"),J718&gt;0),J718*[1]Sheet1!$G$5+K718*[1]Sheet1!$H$5+L718*[1]Sheet1!$I$5+[1]Sheet1!$L$5,0)))))))</f>
        <v>0.84350940599999946</v>
      </c>
    </row>
    <row r="719" spans="1:15">
      <c r="A719" s="2">
        <v>40732</v>
      </c>
      <c r="B719" s="3" t="s">
        <v>33</v>
      </c>
      <c r="C719">
        <v>33</v>
      </c>
      <c r="D719" s="7" t="s">
        <v>29</v>
      </c>
      <c r="E719">
        <v>81</v>
      </c>
      <c r="F719">
        <v>0.8</v>
      </c>
      <c r="M719" t="s">
        <v>34</v>
      </c>
      <c r="O719">
        <f>IF(AND(OR(D719="S. acutus",D719="S. californicus",D719="S. tabernaemontani"),G719=0),E719*[1]Sheet1!$D$7+[1]Sheet1!$L$7,IF(AND(OR(D719="S. acutus",D719="S. tabernaemontani"),G719&gt;0),E719*[1]Sheet1!$D$8+N719*[1]Sheet1!$E$8,IF(AND(D719="S. californicus",G719&gt;0),E719*[1]Sheet1!$D$9+N719*[1]Sheet1!$E$9,IF(D719="S. maritimus",F719*[1]Sheet1!$C$10+E719*[1]Sheet1!$D$10+G719*[1]Sheet1!$F$10+[1]Sheet1!$L$10,IF(D719="S. americanus",F719*[1]Sheet1!$C$6+E719*[1]Sheet1!$D$6+[1]Sheet1!$L$6,IF(AND(OR(D719="T. domingensis",D719="T. latifolia"),E719&gt;0),F719*[1]Sheet1!$C$4+E719*[1]Sheet1!$D$4+H719*[1]Sheet1!$J$4+I719*[1]Sheet1!$K$4+[1]Sheet1!$L$4,IF(AND(OR(D719="T. domingensis",D719="T. latifolia"),J719&gt;0),J719*[1]Sheet1!$G$5+K719*[1]Sheet1!$H$5+L719*[1]Sheet1!$I$5+[1]Sheet1!$L$5,0)))))))</f>
        <v>1.8142038199999999</v>
      </c>
    </row>
    <row r="720" spans="1:15">
      <c r="A720" s="2">
        <v>40732</v>
      </c>
      <c r="B720" s="3" t="s">
        <v>33</v>
      </c>
      <c r="C720">
        <v>33</v>
      </c>
      <c r="D720" s="7" t="s">
        <v>29</v>
      </c>
      <c r="E720">
        <v>83</v>
      </c>
      <c r="F720">
        <v>0.4</v>
      </c>
      <c r="M720" t="s">
        <v>34</v>
      </c>
      <c r="O720">
        <f>IF(AND(OR(D720="S. acutus",D720="S. californicus",D720="S. tabernaemontani"),G720=0),E720*[1]Sheet1!$D$7+[1]Sheet1!$L$7,IF(AND(OR(D720="S. acutus",D720="S. tabernaemontani"),G720&gt;0),E720*[1]Sheet1!$D$8+N720*[1]Sheet1!$E$8,IF(AND(D720="S. californicus",G720&gt;0),E720*[1]Sheet1!$D$9+N720*[1]Sheet1!$E$9,IF(D720="S. maritimus",F720*[1]Sheet1!$C$10+E720*[1]Sheet1!$D$10+G720*[1]Sheet1!$F$10+[1]Sheet1!$L$10,IF(D720="S. americanus",F720*[1]Sheet1!$C$6+E720*[1]Sheet1!$D$6+[1]Sheet1!$L$6,IF(AND(OR(D720="T. domingensis",D720="T. latifolia"),E720&gt;0),F720*[1]Sheet1!$C$4+E720*[1]Sheet1!$D$4+H720*[1]Sheet1!$J$4+I720*[1]Sheet1!$K$4+[1]Sheet1!$L$4,IF(AND(OR(D720="T. domingensis",D720="T. latifolia"),J720&gt;0),J720*[1]Sheet1!$G$5+K720*[1]Sheet1!$H$5+L720*[1]Sheet1!$I$5+[1]Sheet1!$L$5,0)))))))</f>
        <v>0.42456165999999973</v>
      </c>
    </row>
    <row r="721" spans="1:15">
      <c r="A721" s="2">
        <v>40732</v>
      </c>
      <c r="B721" s="3" t="s">
        <v>33</v>
      </c>
      <c r="C721">
        <v>33</v>
      </c>
      <c r="D721" s="7" t="s">
        <v>29</v>
      </c>
      <c r="E721">
        <v>85</v>
      </c>
      <c r="F721">
        <v>0.64</v>
      </c>
      <c r="M721" t="s">
        <v>34</v>
      </c>
      <c r="O721">
        <f>IF(AND(OR(D721="S. acutus",D721="S. californicus",D721="S. tabernaemontani"),G721=0),E721*[1]Sheet1!$D$7+[1]Sheet1!$L$7,IF(AND(OR(D721="S. acutus",D721="S. tabernaemontani"),G721&gt;0),E721*[1]Sheet1!$D$8+N721*[1]Sheet1!$E$8,IF(AND(D721="S. californicus",G721&gt;0),E721*[1]Sheet1!$D$9+N721*[1]Sheet1!$E$9,IF(D721="S. maritimus",F721*[1]Sheet1!$C$10+E721*[1]Sheet1!$D$10+G721*[1]Sheet1!$F$10+[1]Sheet1!$L$10,IF(D721="S. americanus",F721*[1]Sheet1!$C$6+E721*[1]Sheet1!$D$6+[1]Sheet1!$L$6,IF(AND(OR(D721="T. domingensis",D721="T. latifolia"),E721&gt;0),F721*[1]Sheet1!$C$4+E721*[1]Sheet1!$D$4+H721*[1]Sheet1!$J$4+I721*[1]Sheet1!$K$4+[1]Sheet1!$L$4,IF(AND(OR(D721="T. domingensis",D721="T. latifolia"),J721&gt;0),J721*[1]Sheet1!$G$5+K721*[1]Sheet1!$H$5+L721*[1]Sheet1!$I$5+[1]Sheet1!$L$5,0)))))))</f>
        <v>1.3085251960000002</v>
      </c>
    </row>
    <row r="722" spans="1:15">
      <c r="A722" s="2">
        <v>40732</v>
      </c>
      <c r="B722" s="3" t="s">
        <v>33</v>
      </c>
      <c r="C722">
        <v>33</v>
      </c>
      <c r="D722" s="7" t="s">
        <v>29</v>
      </c>
      <c r="E722">
        <v>86</v>
      </c>
      <c r="F722">
        <v>0.76</v>
      </c>
      <c r="M722" t="s">
        <v>34</v>
      </c>
      <c r="O722">
        <f>IF(AND(OR(D722="S. acutus",D722="S. californicus",D722="S. tabernaemontani"),G722=0),E722*[1]Sheet1!$D$7+[1]Sheet1!$L$7,IF(AND(OR(D722="S. acutus",D722="S. tabernaemontani"),G722&gt;0),E722*[1]Sheet1!$D$8+N722*[1]Sheet1!$E$8,IF(AND(D722="S. californicus",G722&gt;0),E722*[1]Sheet1!$D$9+N722*[1]Sheet1!$E$9,IF(D722="S. maritimus",F722*[1]Sheet1!$C$10+E722*[1]Sheet1!$D$10+G722*[1]Sheet1!$F$10+[1]Sheet1!$L$10,IF(D722="S. americanus",F722*[1]Sheet1!$C$6+E722*[1]Sheet1!$D$6+[1]Sheet1!$L$6,IF(AND(OR(D722="T. domingensis",D722="T. latifolia"),E722&gt;0),F722*[1]Sheet1!$C$4+E722*[1]Sheet1!$D$4+H722*[1]Sheet1!$J$4+I722*[1]Sheet1!$K$4+[1]Sheet1!$L$4,IF(AND(OR(D722="T. domingensis",D722="T. latifolia"),J722&gt;0),J722*[1]Sheet1!$G$5+K722*[1]Sheet1!$H$5+L722*[1]Sheet1!$I$5+[1]Sheet1!$L$5,0)))))))</f>
        <v>1.7505069639999999</v>
      </c>
    </row>
    <row r="723" spans="1:15">
      <c r="A723" s="2">
        <v>40732</v>
      </c>
      <c r="B723" s="3" t="s">
        <v>33</v>
      </c>
      <c r="C723">
        <v>33</v>
      </c>
      <c r="D723" s="7" t="s">
        <v>29</v>
      </c>
      <c r="E723">
        <v>89</v>
      </c>
      <c r="F723">
        <v>0.62</v>
      </c>
      <c r="M723" t="s">
        <v>34</v>
      </c>
      <c r="O723">
        <f>IF(AND(OR(D723="S. acutus",D723="S. californicus",D723="S. tabernaemontani"),G723=0),E723*[1]Sheet1!$D$7+[1]Sheet1!$L$7,IF(AND(OR(D723="S. acutus",D723="S. tabernaemontani"),G723&gt;0),E723*[1]Sheet1!$D$8+N723*[1]Sheet1!$E$8,IF(AND(D723="S. californicus",G723&gt;0),E723*[1]Sheet1!$D$9+N723*[1]Sheet1!$E$9,IF(D723="S. maritimus",F723*[1]Sheet1!$C$10+E723*[1]Sheet1!$D$10+G723*[1]Sheet1!$F$10+[1]Sheet1!$L$10,IF(D723="S. americanus",F723*[1]Sheet1!$C$6+E723*[1]Sheet1!$D$6+[1]Sheet1!$L$6,IF(AND(OR(D723="T. domingensis",D723="T. latifolia"),E723&gt;0),F723*[1]Sheet1!$C$4+E723*[1]Sheet1!$D$4+H723*[1]Sheet1!$J$4+I723*[1]Sheet1!$K$4+[1]Sheet1!$L$4,IF(AND(OR(D723="T. domingensis",D723="T. latifolia"),J723&gt;0),J723*[1]Sheet1!$G$5+K723*[1]Sheet1!$H$5+L723*[1]Sheet1!$I$5+[1]Sheet1!$L$5,0)))))))</f>
        <v>1.3001978179999996</v>
      </c>
    </row>
    <row r="724" spans="1:15">
      <c r="A724" s="2">
        <v>40732</v>
      </c>
      <c r="B724" s="3" t="s">
        <v>33</v>
      </c>
      <c r="C724">
        <v>33</v>
      </c>
      <c r="D724" s="7" t="s">
        <v>29</v>
      </c>
      <c r="E724">
        <v>91</v>
      </c>
      <c r="F724">
        <v>0.84</v>
      </c>
      <c r="M724" t="s">
        <v>34</v>
      </c>
      <c r="O724">
        <f>IF(AND(OR(D724="S. acutus",D724="S. californicus",D724="S. tabernaemontani"),G724=0),E724*[1]Sheet1!$D$7+[1]Sheet1!$L$7,IF(AND(OR(D724="S. acutus",D724="S. tabernaemontani"),G724&gt;0),E724*[1]Sheet1!$D$8+N724*[1]Sheet1!$E$8,IF(AND(D724="S. californicus",G724&gt;0),E724*[1]Sheet1!$D$9+N724*[1]Sheet1!$E$9,IF(D724="S. maritimus",F724*[1]Sheet1!$C$10+E724*[1]Sheet1!$D$10+G724*[1]Sheet1!$F$10+[1]Sheet1!$L$10,IF(D724="S. americanus",F724*[1]Sheet1!$C$6+E724*[1]Sheet1!$D$6+[1]Sheet1!$L$6,IF(AND(OR(D724="T. domingensis",D724="T. latifolia"),E724&gt;0),F724*[1]Sheet1!$C$4+E724*[1]Sheet1!$D$4+H724*[1]Sheet1!$J$4+I724*[1]Sheet1!$K$4+[1]Sheet1!$L$4,IF(AND(OR(D724="T. domingensis",D724="T. latifolia"),J724&gt;0),J724*[1]Sheet1!$G$5+K724*[1]Sheet1!$H$5+L724*[1]Sheet1!$I$5+[1]Sheet1!$L$5,0)))))))</f>
        <v>2.113111175999999</v>
      </c>
    </row>
    <row r="725" spans="1:15">
      <c r="A725" s="2">
        <v>40732</v>
      </c>
      <c r="B725" s="3" t="s">
        <v>33</v>
      </c>
      <c r="C725">
        <v>33</v>
      </c>
      <c r="D725" s="7" t="s">
        <v>29</v>
      </c>
      <c r="E725">
        <v>92</v>
      </c>
      <c r="F725">
        <v>0.59</v>
      </c>
      <c r="M725" t="s">
        <v>34</v>
      </c>
      <c r="O725">
        <f>IF(AND(OR(D725="S. acutus",D725="S. californicus",D725="S. tabernaemontani"),G725=0),E725*[1]Sheet1!$D$7+[1]Sheet1!$L$7,IF(AND(OR(D725="S. acutus",D725="S. tabernaemontani"),G725&gt;0),E725*[1]Sheet1!$D$8+N725*[1]Sheet1!$E$8,IF(AND(D725="S. californicus",G725&gt;0),E725*[1]Sheet1!$D$9+N725*[1]Sheet1!$E$9,IF(D725="S. maritimus",F725*[1]Sheet1!$C$10+E725*[1]Sheet1!$D$10+G725*[1]Sheet1!$F$10+[1]Sheet1!$L$10,IF(D725="S. americanus",F725*[1]Sheet1!$C$6+E725*[1]Sheet1!$D$6+[1]Sheet1!$L$6,IF(AND(OR(D725="T. domingensis",D725="T. latifolia"),E725&gt;0),F725*[1]Sheet1!$C$4+E725*[1]Sheet1!$D$4+H725*[1]Sheet1!$J$4+I725*[1]Sheet1!$K$4+[1]Sheet1!$L$4,IF(AND(OR(D725="T. domingensis",D725="T. latifolia"),J725&gt;0),J725*[1]Sheet1!$G$5+K725*[1]Sheet1!$H$5+L725*[1]Sheet1!$I$5+[1]Sheet1!$L$5,0)))))))</f>
        <v>1.2406646509999999</v>
      </c>
    </row>
    <row r="726" spans="1:15">
      <c r="A726" s="2">
        <v>40732</v>
      </c>
      <c r="B726" s="3" t="s">
        <v>33</v>
      </c>
      <c r="C726">
        <v>33</v>
      </c>
      <c r="D726" s="7" t="s">
        <v>29</v>
      </c>
      <c r="E726">
        <v>108</v>
      </c>
      <c r="F726">
        <v>0.24</v>
      </c>
      <c r="M726" t="s">
        <v>34</v>
      </c>
      <c r="O726">
        <f>IF(AND(OR(D726="S. acutus",D726="S. californicus",D726="S. tabernaemontani"),G726=0),E726*[1]Sheet1!$D$7+[1]Sheet1!$L$7,IF(AND(OR(D726="S. acutus",D726="S. tabernaemontani"),G726&gt;0),E726*[1]Sheet1!$D$8+N726*[1]Sheet1!$E$8,IF(AND(D726="S. californicus",G726&gt;0),E726*[1]Sheet1!$D$9+N726*[1]Sheet1!$E$9,IF(D726="S. maritimus",F726*[1]Sheet1!$C$10+E726*[1]Sheet1!$D$10+G726*[1]Sheet1!$F$10+[1]Sheet1!$L$10,IF(D726="S. americanus",F726*[1]Sheet1!$C$6+E726*[1]Sheet1!$D$6+[1]Sheet1!$L$6,IF(AND(OR(D726="T. domingensis",D726="T. latifolia"),E726&gt;0),F726*[1]Sheet1!$C$4+E726*[1]Sheet1!$D$4+H726*[1]Sheet1!$J$4+I726*[1]Sheet1!$K$4+[1]Sheet1!$L$4,IF(AND(OR(D726="T. domingensis",D726="T. latifolia"),J726&gt;0),J726*[1]Sheet1!$G$5+K726*[1]Sheet1!$H$5+L726*[1]Sheet1!$I$5+[1]Sheet1!$L$5,0)))))))</f>
        <v>0.2481777359999997</v>
      </c>
    </row>
    <row r="727" spans="1:15">
      <c r="A727" s="2">
        <v>40732</v>
      </c>
      <c r="B727" s="3" t="s">
        <v>33</v>
      </c>
      <c r="C727">
        <v>33</v>
      </c>
      <c r="D727" s="7" t="s">
        <v>29</v>
      </c>
      <c r="E727">
        <v>109</v>
      </c>
      <c r="F727">
        <v>0.6</v>
      </c>
      <c r="M727" t="s">
        <v>34</v>
      </c>
      <c r="O727">
        <f>IF(AND(OR(D727="S. acutus",D727="S. californicus",D727="S. tabernaemontani"),G727=0),E727*[1]Sheet1!$D$7+[1]Sheet1!$L$7,IF(AND(OR(D727="S. acutus",D727="S. tabernaemontani"),G727&gt;0),E727*[1]Sheet1!$D$8+N727*[1]Sheet1!$E$8,IF(AND(D727="S. californicus",G727&gt;0),E727*[1]Sheet1!$D$9+N727*[1]Sheet1!$E$9,IF(D727="S. maritimus",F727*[1]Sheet1!$C$10+E727*[1]Sheet1!$D$10+G727*[1]Sheet1!$F$10+[1]Sheet1!$L$10,IF(D727="S. americanus",F727*[1]Sheet1!$C$6+E727*[1]Sheet1!$D$6+[1]Sheet1!$L$6,IF(AND(OR(D727="T. domingensis",D727="T. latifolia"),E727&gt;0),F727*[1]Sheet1!$C$4+E727*[1]Sheet1!$D$4+H727*[1]Sheet1!$J$4+I727*[1]Sheet1!$K$4+[1]Sheet1!$L$4,IF(AND(OR(D727="T. domingensis",D727="T. latifolia"),J727&gt;0),J727*[1]Sheet1!$G$5+K727*[1]Sheet1!$H$5+L727*[1]Sheet1!$I$5+[1]Sheet1!$L$5,0)))))))</f>
        <v>1.5427616399999997</v>
      </c>
    </row>
    <row r="728" spans="1:15">
      <c r="A728" s="2">
        <v>40732</v>
      </c>
      <c r="B728" s="3" t="s">
        <v>33</v>
      </c>
      <c r="C728">
        <v>33</v>
      </c>
      <c r="D728" s="7" t="s">
        <v>29</v>
      </c>
      <c r="E728">
        <v>110</v>
      </c>
      <c r="F728">
        <v>0.39</v>
      </c>
      <c r="M728" t="s">
        <v>34</v>
      </c>
      <c r="O728">
        <f>IF(AND(OR(D728="S. acutus",D728="S. californicus",D728="S. tabernaemontani"),G728=0),E728*[1]Sheet1!$D$7+[1]Sheet1!$L$7,IF(AND(OR(D728="S. acutus",D728="S. tabernaemontani"),G728&gt;0),E728*[1]Sheet1!$D$8+N728*[1]Sheet1!$E$8,IF(AND(D728="S. californicus",G728&gt;0),E728*[1]Sheet1!$D$9+N728*[1]Sheet1!$E$9,IF(D728="S. maritimus",F728*[1]Sheet1!$C$10+E728*[1]Sheet1!$D$10+G728*[1]Sheet1!$F$10+[1]Sheet1!$L$10,IF(D728="S. americanus",F728*[1]Sheet1!$C$6+E728*[1]Sheet1!$D$6+[1]Sheet1!$L$6,IF(AND(OR(D728="T. domingensis",D728="T. latifolia"),E728&gt;0),F728*[1]Sheet1!$C$4+E728*[1]Sheet1!$D$4+H728*[1]Sheet1!$J$4+I728*[1]Sheet1!$K$4+[1]Sheet1!$L$4,IF(AND(OR(D728="T. domingensis",D728="T. latifolia"),J728&gt;0),J728*[1]Sheet1!$G$5+K728*[1]Sheet1!$H$5+L728*[1]Sheet1!$I$5+[1]Sheet1!$L$5,0)))))))</f>
        <v>0.812415471</v>
      </c>
    </row>
    <row r="729" spans="1:15">
      <c r="A729" s="2">
        <v>40732</v>
      </c>
      <c r="B729" s="3" t="s">
        <v>33</v>
      </c>
      <c r="C729">
        <v>33</v>
      </c>
      <c r="D729" s="7" t="s">
        <v>29</v>
      </c>
      <c r="E729">
        <v>110</v>
      </c>
      <c r="F729">
        <v>0.54</v>
      </c>
      <c r="M729" t="s">
        <v>34</v>
      </c>
      <c r="O729">
        <f>IF(AND(OR(D729="S. acutus",D729="S. californicus",D729="S. tabernaemontani"),G729=0),E729*[1]Sheet1!$D$7+[1]Sheet1!$L$7,IF(AND(OR(D729="S. acutus",D729="S. tabernaemontani"),G729&gt;0),E729*[1]Sheet1!$D$8+N729*[1]Sheet1!$E$8,IF(AND(D729="S. californicus",G729&gt;0),E729*[1]Sheet1!$D$9+N729*[1]Sheet1!$E$9,IF(D729="S. maritimus",F729*[1]Sheet1!$C$10+E729*[1]Sheet1!$D$10+G729*[1]Sheet1!$F$10+[1]Sheet1!$L$10,IF(D729="S. americanus",F729*[1]Sheet1!$C$6+E729*[1]Sheet1!$D$6+[1]Sheet1!$L$6,IF(AND(OR(D729="T. domingensis",D729="T. latifolia"),E729&gt;0),F729*[1]Sheet1!$C$4+E729*[1]Sheet1!$D$4+H729*[1]Sheet1!$J$4+I729*[1]Sheet1!$K$4+[1]Sheet1!$L$4,IF(AND(OR(D729="T. domingensis",D729="T. latifolia"),J729&gt;0),J729*[1]Sheet1!$G$5+K729*[1]Sheet1!$H$5+L729*[1]Sheet1!$I$5+[1]Sheet1!$L$5,0)))))))</f>
        <v>1.3452918059999996</v>
      </c>
    </row>
    <row r="730" spans="1:15">
      <c r="A730" s="2">
        <v>40732</v>
      </c>
      <c r="B730" s="3" t="s">
        <v>33</v>
      </c>
      <c r="C730">
        <v>33</v>
      </c>
      <c r="D730" s="7" t="s">
        <v>29</v>
      </c>
      <c r="E730">
        <v>114</v>
      </c>
      <c r="F730">
        <v>0.4</v>
      </c>
      <c r="M730" t="s">
        <v>34</v>
      </c>
      <c r="O730">
        <f>IF(AND(OR(D730="S. acutus",D730="S. californicus",D730="S. tabernaemontani"),G730=0),E730*[1]Sheet1!$D$7+[1]Sheet1!$L$7,IF(AND(OR(D730="S. acutus",D730="S. tabernaemontani"),G730&gt;0),E730*[1]Sheet1!$D$8+N730*[1]Sheet1!$E$8,IF(AND(D730="S. californicus",G730&gt;0),E730*[1]Sheet1!$D$9+N730*[1]Sheet1!$E$9,IF(D730="S. maritimus",F730*[1]Sheet1!$C$10+E730*[1]Sheet1!$D$10+G730*[1]Sheet1!$F$10+[1]Sheet1!$L$10,IF(D730="S. americanus",F730*[1]Sheet1!$C$6+E730*[1]Sheet1!$D$6+[1]Sheet1!$L$6,IF(AND(OR(D730="T. domingensis",D730="T. latifolia"),E730&gt;0),F730*[1]Sheet1!$C$4+E730*[1]Sheet1!$D$4+H730*[1]Sheet1!$J$4+I730*[1]Sheet1!$K$4+[1]Sheet1!$L$4,IF(AND(OR(D730="T. domingensis",D730="T. latifolia"),J730&gt;0),J730*[1]Sheet1!$G$5+K730*[1]Sheet1!$H$5+L730*[1]Sheet1!$I$5+[1]Sheet1!$L$5,0)))))))</f>
        <v>0.91066335999999959</v>
      </c>
    </row>
    <row r="731" spans="1:15">
      <c r="A731" s="2">
        <v>40732</v>
      </c>
      <c r="B731" s="3" t="s">
        <v>33</v>
      </c>
      <c r="C731">
        <v>33</v>
      </c>
      <c r="D731" s="7" t="s">
        <v>29</v>
      </c>
      <c r="E731">
        <v>114</v>
      </c>
      <c r="F731">
        <v>0.52</v>
      </c>
      <c r="M731" t="s">
        <v>34</v>
      </c>
      <c r="O731">
        <f>IF(AND(OR(D731="S. acutus",D731="S. californicus",D731="S. tabernaemontani"),G731=0),E731*[1]Sheet1!$D$7+[1]Sheet1!$L$7,IF(AND(OR(D731="S. acutus",D731="S. tabernaemontani"),G731&gt;0),E731*[1]Sheet1!$D$8+N731*[1]Sheet1!$E$8,IF(AND(D731="S. californicus",G731&gt;0),E731*[1]Sheet1!$D$9+N731*[1]Sheet1!$E$9,IF(D731="S. maritimus",F731*[1]Sheet1!$C$10+E731*[1]Sheet1!$D$10+G731*[1]Sheet1!$F$10+[1]Sheet1!$L$10,IF(D731="S. americanus",F731*[1]Sheet1!$C$6+E731*[1]Sheet1!$D$6+[1]Sheet1!$L$6,IF(AND(OR(D731="T. domingensis",D731="T. latifolia"),E731&gt;0),F731*[1]Sheet1!$C$4+E731*[1]Sheet1!$D$4+H731*[1]Sheet1!$J$4+I731*[1]Sheet1!$K$4+[1]Sheet1!$L$4,IF(AND(OR(D731="T. domingensis",D731="T. latifolia"),J731&gt;0),J731*[1]Sheet1!$G$5+K731*[1]Sheet1!$H$5+L731*[1]Sheet1!$I$5+[1]Sheet1!$L$5,0)))))))</f>
        <v>1.3369644279999999</v>
      </c>
    </row>
    <row r="732" spans="1:15">
      <c r="A732" s="2">
        <v>40732</v>
      </c>
      <c r="B732" s="3" t="s">
        <v>33</v>
      </c>
      <c r="C732">
        <v>33</v>
      </c>
      <c r="D732" s="7" t="s">
        <v>29</v>
      </c>
      <c r="E732">
        <v>115</v>
      </c>
      <c r="F732">
        <v>0.92</v>
      </c>
      <c r="M732" t="s">
        <v>34</v>
      </c>
      <c r="O732">
        <f>IF(AND(OR(D732="S. acutus",D732="S. californicus",D732="S. tabernaemontani"),G732=0),E732*[1]Sheet1!$D$7+[1]Sheet1!$L$7,IF(AND(OR(D732="S. acutus",D732="S. tabernaemontani"),G732&gt;0),E732*[1]Sheet1!$D$8+N732*[1]Sheet1!$E$8,IF(AND(D732="S. californicus",G732&gt;0),E732*[1]Sheet1!$D$9+N732*[1]Sheet1!$E$9,IF(D732="S. maritimus",F732*[1]Sheet1!$C$10+E732*[1]Sheet1!$D$10+G732*[1]Sheet1!$F$10+[1]Sheet1!$L$10,IF(D732="S. americanus",F732*[1]Sheet1!$C$6+E732*[1]Sheet1!$D$6+[1]Sheet1!$L$6,IF(AND(OR(D732="T. domingensis",D732="T. latifolia"),E732&gt;0),F732*[1]Sheet1!$C$4+E732*[1]Sheet1!$D$4+H732*[1]Sheet1!$J$4+I732*[1]Sheet1!$K$4+[1]Sheet1!$L$4,IF(AND(OR(D732="T. domingensis",D732="T. latifolia"),J732&gt;0),J732*[1]Sheet1!$G$5+K732*[1]Sheet1!$H$5+L732*[1]Sheet1!$I$5+[1]Sheet1!$L$5,0)))))))</f>
        <v>2.7736486880000002</v>
      </c>
    </row>
    <row r="733" spans="1:15">
      <c r="A733" s="2">
        <v>40732</v>
      </c>
      <c r="B733" s="3" t="s">
        <v>33</v>
      </c>
      <c r="C733">
        <v>33</v>
      </c>
      <c r="D733" s="7" t="s">
        <v>29</v>
      </c>
      <c r="E733">
        <v>120</v>
      </c>
      <c r="F733">
        <v>0.72</v>
      </c>
      <c r="M733" t="s">
        <v>34</v>
      </c>
      <c r="O733">
        <f>IF(AND(OR(D733="S. acutus",D733="S. californicus",D733="S. tabernaemontani"),G733=0),E733*[1]Sheet1!$D$7+[1]Sheet1!$L$7,IF(AND(OR(D733="S. acutus",D733="S. tabernaemontani"),G733&gt;0),E733*[1]Sheet1!$D$8+N733*[1]Sheet1!$E$8,IF(AND(D733="S. californicus",G733&gt;0),E733*[1]Sheet1!$D$9+N733*[1]Sheet1!$E$9,IF(D733="S. maritimus",F733*[1]Sheet1!$C$10+E733*[1]Sheet1!$D$10+G733*[1]Sheet1!$F$10+[1]Sheet1!$L$10,IF(D733="S. americanus",F733*[1]Sheet1!$C$6+E733*[1]Sheet1!$D$6+[1]Sheet1!$L$6,IF(AND(OR(D733="T. domingensis",D733="T. latifolia"),E733&gt;0),F733*[1]Sheet1!$C$4+E733*[1]Sheet1!$D$4+H733*[1]Sheet1!$J$4+I733*[1]Sheet1!$K$4+[1]Sheet1!$L$4,IF(AND(OR(D733="T. domingensis",D733="T. latifolia"),J733&gt;0),J733*[1]Sheet1!$G$5+K733*[1]Sheet1!$H$5+L733*[1]Sheet1!$I$5+[1]Sheet1!$L$5,0)))))))</f>
        <v>2.1415504079999992</v>
      </c>
    </row>
    <row r="734" spans="1:15">
      <c r="A734" s="2">
        <v>40732</v>
      </c>
      <c r="B734" s="3" t="s">
        <v>33</v>
      </c>
      <c r="C734">
        <v>33</v>
      </c>
      <c r="D734" s="7" t="s">
        <v>29</v>
      </c>
      <c r="E734">
        <v>125</v>
      </c>
      <c r="F734">
        <v>0.46</v>
      </c>
      <c r="M734" t="s">
        <v>34</v>
      </c>
      <c r="O734">
        <f>IF(AND(OR(D734="S. acutus",D734="S. californicus",D734="S. tabernaemontani"),G734=0),E734*[1]Sheet1!$D$7+[1]Sheet1!$L$7,IF(AND(OR(D734="S. acutus",D734="S. tabernaemontani"),G734&gt;0),E734*[1]Sheet1!$D$8+N734*[1]Sheet1!$E$8,IF(AND(D734="S. californicus",G734&gt;0),E734*[1]Sheet1!$D$9+N734*[1]Sheet1!$E$9,IF(D734="S. maritimus",F734*[1]Sheet1!$C$10+E734*[1]Sheet1!$D$10+G734*[1]Sheet1!$F$10+[1]Sheet1!$L$10,IF(D734="S. americanus",F734*[1]Sheet1!$C$6+E734*[1]Sheet1!$D$6+[1]Sheet1!$L$6,IF(AND(OR(D734="T. domingensis",D734="T. latifolia"),E734&gt;0),F734*[1]Sheet1!$C$4+E734*[1]Sheet1!$D$4+H734*[1]Sheet1!$J$4+I734*[1]Sheet1!$K$4+[1]Sheet1!$L$4,IF(AND(OR(D734="T. domingensis",D734="T. latifolia"),J734&gt;0),J734*[1]Sheet1!$G$5+K734*[1]Sheet1!$H$5+L734*[1]Sheet1!$I$5+[1]Sheet1!$L$5,0)))))))</f>
        <v>1.2963015939999996</v>
      </c>
    </row>
    <row r="735" spans="1:15">
      <c r="A735" s="2">
        <v>40732</v>
      </c>
      <c r="B735" s="3" t="s">
        <v>33</v>
      </c>
      <c r="C735">
        <v>33</v>
      </c>
      <c r="D735" s="7" t="s">
        <v>29</v>
      </c>
      <c r="E735">
        <v>126</v>
      </c>
      <c r="F735">
        <v>0.71</v>
      </c>
      <c r="M735" t="s">
        <v>34</v>
      </c>
      <c r="O735">
        <f>IF(AND(OR(D735="S. acutus",D735="S. californicus",D735="S. tabernaemontani"),G735=0),E735*[1]Sheet1!$D$7+[1]Sheet1!$L$7,IF(AND(OR(D735="S. acutus",D735="S. tabernaemontani"),G735&gt;0),E735*[1]Sheet1!$D$8+N735*[1]Sheet1!$E$8,IF(AND(D735="S. californicus",G735&gt;0),E735*[1]Sheet1!$D$9+N735*[1]Sheet1!$E$9,IF(D735="S. maritimus",F735*[1]Sheet1!$C$10+E735*[1]Sheet1!$D$10+G735*[1]Sheet1!$F$10+[1]Sheet1!$L$10,IF(D735="S. americanus",F735*[1]Sheet1!$C$6+E735*[1]Sheet1!$D$6+[1]Sheet1!$L$6,IF(AND(OR(D735="T. domingensis",D735="T. latifolia"),E735&gt;0),F735*[1]Sheet1!$C$4+E735*[1]Sheet1!$D$4+H735*[1]Sheet1!$J$4+I735*[1]Sheet1!$K$4+[1]Sheet1!$L$4,IF(AND(OR(D735="T. domingensis",D735="T. latifolia"),J735&gt;0),J735*[1]Sheet1!$G$5+K735*[1]Sheet1!$H$5+L735*[1]Sheet1!$I$5+[1]Sheet1!$L$5,0)))))))</f>
        <v>2.2001095189999993</v>
      </c>
    </row>
    <row r="736" spans="1:15">
      <c r="A736" s="2">
        <v>40732</v>
      </c>
      <c r="B736" s="3" t="s">
        <v>33</v>
      </c>
      <c r="C736">
        <v>33</v>
      </c>
      <c r="D736" s="7" t="s">
        <v>29</v>
      </c>
      <c r="E736">
        <v>130</v>
      </c>
      <c r="F736">
        <v>0.71</v>
      </c>
      <c r="M736" t="s">
        <v>34</v>
      </c>
      <c r="O736">
        <f>IF(AND(OR(D736="S. acutus",D736="S. californicus",D736="S. tabernaemontani"),G736=0),E736*[1]Sheet1!$D$7+[1]Sheet1!$L$7,IF(AND(OR(D736="S. acutus",D736="S. tabernaemontani"),G736&gt;0),E736*[1]Sheet1!$D$8+N736*[1]Sheet1!$E$8,IF(AND(D736="S. californicus",G736&gt;0),E736*[1]Sheet1!$D$9+N736*[1]Sheet1!$E$9,IF(D736="S. maritimus",F736*[1]Sheet1!$C$10+E736*[1]Sheet1!$D$10+G736*[1]Sheet1!$F$10+[1]Sheet1!$L$10,IF(D736="S. americanus",F736*[1]Sheet1!$C$6+E736*[1]Sheet1!$D$6+[1]Sheet1!$L$6,IF(AND(OR(D736="T. domingensis",D736="T. latifolia"),E736&gt;0),F736*[1]Sheet1!$C$4+E736*[1]Sheet1!$D$4+H736*[1]Sheet1!$J$4+I736*[1]Sheet1!$K$4+[1]Sheet1!$L$4,IF(AND(OR(D736="T. domingensis",D736="T. latifolia"),J736&gt;0),J736*[1]Sheet1!$G$5+K736*[1]Sheet1!$H$5+L736*[1]Sheet1!$I$5+[1]Sheet1!$L$5,0)))))))</f>
        <v>2.2628323189999997</v>
      </c>
    </row>
    <row r="737" spans="1:15">
      <c r="A737" s="2">
        <v>40732</v>
      </c>
      <c r="B737" s="3" t="s">
        <v>33</v>
      </c>
      <c r="C737">
        <v>33</v>
      </c>
      <c r="D737" s="7" t="s">
        <v>29</v>
      </c>
      <c r="E737">
        <v>140</v>
      </c>
      <c r="F737">
        <v>0.59</v>
      </c>
      <c r="M737" t="s">
        <v>34</v>
      </c>
      <c r="O737">
        <f>IF(AND(OR(D737="S. acutus",D737="S. californicus",D737="S. tabernaemontani"),G737=0),E737*[1]Sheet1!$D$7+[1]Sheet1!$L$7,IF(AND(OR(D737="S. acutus",D737="S. tabernaemontani"),G737&gt;0),E737*[1]Sheet1!$D$8+N737*[1]Sheet1!$E$8,IF(AND(D737="S. californicus",G737&gt;0),E737*[1]Sheet1!$D$9+N737*[1]Sheet1!$E$9,IF(D737="S. maritimus",F737*[1]Sheet1!$C$10+E737*[1]Sheet1!$D$10+G737*[1]Sheet1!$F$10+[1]Sheet1!$L$10,IF(D737="S. americanus",F737*[1]Sheet1!$C$6+E737*[1]Sheet1!$D$6+[1]Sheet1!$L$6,IF(AND(OR(D737="T. domingensis",D737="T. latifolia"),E737&gt;0),F737*[1]Sheet1!$C$4+E737*[1]Sheet1!$D$4+H737*[1]Sheet1!$J$4+I737*[1]Sheet1!$K$4+[1]Sheet1!$L$4,IF(AND(OR(D737="T. domingensis",D737="T. latifolia"),J737&gt;0),J737*[1]Sheet1!$G$5+K737*[1]Sheet1!$H$5+L737*[1]Sheet1!$I$5+[1]Sheet1!$L$5,0)))))))</f>
        <v>1.9933382509999995</v>
      </c>
    </row>
    <row r="738" spans="1:15">
      <c r="A738" s="2">
        <v>40732</v>
      </c>
      <c r="B738" s="3" t="s">
        <v>33</v>
      </c>
      <c r="C738">
        <v>33</v>
      </c>
      <c r="D738" s="7" t="s">
        <v>29</v>
      </c>
      <c r="E738">
        <v>144</v>
      </c>
      <c r="F738">
        <v>0.53</v>
      </c>
      <c r="M738" t="s">
        <v>34</v>
      </c>
      <c r="O738">
        <f>IF(AND(OR(D738="S. acutus",D738="S. californicus",D738="S. tabernaemontani"),G738=0),E738*[1]Sheet1!$D$7+[1]Sheet1!$L$7,IF(AND(OR(D738="S. acutus",D738="S. tabernaemontani"),G738&gt;0),E738*[1]Sheet1!$D$8+N738*[1]Sheet1!$E$8,IF(AND(D738="S. californicus",G738&gt;0),E738*[1]Sheet1!$D$9+N738*[1]Sheet1!$E$9,IF(D738="S. maritimus",F738*[1]Sheet1!$C$10+E738*[1]Sheet1!$D$10+G738*[1]Sheet1!$F$10+[1]Sheet1!$L$10,IF(D738="S. americanus",F738*[1]Sheet1!$C$6+E738*[1]Sheet1!$D$6+[1]Sheet1!$L$6,IF(AND(OR(D738="T. domingensis",D738="T. latifolia"),E738&gt;0),F738*[1]Sheet1!$C$4+E738*[1]Sheet1!$D$4+H738*[1]Sheet1!$J$4+I738*[1]Sheet1!$K$4+[1]Sheet1!$L$4,IF(AND(OR(D738="T. domingensis",D738="T. latifolia"),J738&gt;0),J738*[1]Sheet1!$G$5+K738*[1]Sheet1!$H$5+L738*[1]Sheet1!$I$5+[1]Sheet1!$L$5,0)))))))</f>
        <v>1.8429105169999995</v>
      </c>
    </row>
    <row r="739" spans="1:15">
      <c r="A739" s="2">
        <v>40732</v>
      </c>
      <c r="B739" s="3" t="s">
        <v>33</v>
      </c>
      <c r="C739">
        <v>33</v>
      </c>
      <c r="D739" s="7" t="s">
        <v>29</v>
      </c>
      <c r="E739">
        <v>152</v>
      </c>
      <c r="F739">
        <v>0.92</v>
      </c>
      <c r="M739" t="s">
        <v>34</v>
      </c>
      <c r="O739">
        <f>IF(AND(OR(D739="S. acutus",D739="S. californicus",D739="S. tabernaemontani"),G739=0),E739*[1]Sheet1!$D$7+[1]Sheet1!$L$7,IF(AND(OR(D739="S. acutus",D739="S. tabernaemontani"),G739&gt;0),E739*[1]Sheet1!$D$8+N739*[1]Sheet1!$E$8,IF(AND(D739="S. californicus",G739&gt;0),E739*[1]Sheet1!$D$9+N739*[1]Sheet1!$E$9,IF(D739="S. maritimus",F739*[1]Sheet1!$C$10+E739*[1]Sheet1!$D$10+G739*[1]Sheet1!$F$10+[1]Sheet1!$L$10,IF(D739="S. americanus",F739*[1]Sheet1!$C$6+E739*[1]Sheet1!$D$6+[1]Sheet1!$L$6,IF(AND(OR(D739="T. domingensis",D739="T. latifolia"),E739&gt;0),F739*[1]Sheet1!$C$4+E739*[1]Sheet1!$D$4+H739*[1]Sheet1!$J$4+I739*[1]Sheet1!$K$4+[1]Sheet1!$L$4,IF(AND(OR(D739="T. domingensis",D739="T. latifolia"),J739&gt;0),J739*[1]Sheet1!$G$5+K739*[1]Sheet1!$H$5+L739*[1]Sheet1!$I$5+[1]Sheet1!$L$5,0)))))))</f>
        <v>3.3538345880000002</v>
      </c>
    </row>
    <row r="740" spans="1:15">
      <c r="A740" s="2">
        <v>40732</v>
      </c>
      <c r="B740" s="3" t="s">
        <v>33</v>
      </c>
      <c r="C740">
        <v>33</v>
      </c>
      <c r="D740" s="7" t="s">
        <v>29</v>
      </c>
      <c r="E740">
        <v>158</v>
      </c>
      <c r="F740">
        <v>0.44</v>
      </c>
      <c r="M740" t="s">
        <v>34</v>
      </c>
      <c r="O740">
        <f>IF(AND(OR(D740="S. acutus",D740="S. californicus",D740="S. tabernaemontani"),G740=0),E740*[1]Sheet1!$D$7+[1]Sheet1!$L$7,IF(AND(OR(D740="S. acutus",D740="S. tabernaemontani"),G740&gt;0),E740*[1]Sheet1!$D$8+N740*[1]Sheet1!$E$8,IF(AND(D740="S. californicus",G740&gt;0),E740*[1]Sheet1!$D$9+N740*[1]Sheet1!$E$9,IF(D740="S. maritimus",F740*[1]Sheet1!$C$10+E740*[1]Sheet1!$D$10+G740*[1]Sheet1!$F$10+[1]Sheet1!$L$10,IF(D740="S. americanus",F740*[1]Sheet1!$C$6+E740*[1]Sheet1!$D$6+[1]Sheet1!$L$6,IF(AND(OR(D740="T. domingensis",D740="T. latifolia"),E740&gt;0),F740*[1]Sheet1!$C$4+E740*[1]Sheet1!$D$4+H740*[1]Sheet1!$J$4+I740*[1]Sheet1!$K$4+[1]Sheet1!$L$4,IF(AND(OR(D740="T. domingensis",D740="T. latifolia"),J740&gt;0),J740*[1]Sheet1!$G$5+K740*[1]Sheet1!$H$5+L740*[1]Sheet1!$I$5+[1]Sheet1!$L$5,0)))))))</f>
        <v>1.7427145159999999</v>
      </c>
    </row>
    <row r="741" spans="1:15">
      <c r="A741" s="2">
        <v>40732</v>
      </c>
      <c r="B741" s="3" t="s">
        <v>33</v>
      </c>
      <c r="C741">
        <v>33</v>
      </c>
      <c r="D741" s="7" t="s">
        <v>29</v>
      </c>
      <c r="E741">
        <v>170</v>
      </c>
      <c r="F741">
        <v>0.8</v>
      </c>
      <c r="M741" t="s">
        <v>34</v>
      </c>
      <c r="O741">
        <f>IF(AND(OR(D741="S. acutus",D741="S. californicus",D741="S. tabernaemontani"),G741=0),E741*[1]Sheet1!$D$7+[1]Sheet1!$L$7,IF(AND(OR(D741="S. acutus",D741="S. tabernaemontani"),G741&gt;0),E741*[1]Sheet1!$D$8+N741*[1]Sheet1!$E$8,IF(AND(D741="S. californicus",G741&gt;0),E741*[1]Sheet1!$D$9+N741*[1]Sheet1!$E$9,IF(D741="S. maritimus",F741*[1]Sheet1!$C$10+E741*[1]Sheet1!$D$10+G741*[1]Sheet1!$F$10+[1]Sheet1!$L$10,IF(D741="S. americanus",F741*[1]Sheet1!$C$6+E741*[1]Sheet1!$D$6+[1]Sheet1!$L$6,IF(AND(OR(D741="T. domingensis",D741="T. latifolia"),E741&gt;0),F741*[1]Sheet1!$C$4+E741*[1]Sheet1!$D$4+H741*[1]Sheet1!$J$4+I741*[1]Sheet1!$K$4+[1]Sheet1!$L$4,IF(AND(OR(D741="T. domingensis",D741="T. latifolia"),J741&gt;0),J741*[1]Sheet1!$G$5+K741*[1]Sheet1!$H$5+L741*[1]Sheet1!$I$5+[1]Sheet1!$L$5,0)))))))</f>
        <v>3.2097861199999991</v>
      </c>
    </row>
    <row r="742" spans="1:15">
      <c r="A742" s="2">
        <v>40732</v>
      </c>
      <c r="B742" s="3" t="s">
        <v>33</v>
      </c>
      <c r="C742">
        <v>33</v>
      </c>
      <c r="D742" s="7" t="s">
        <v>29</v>
      </c>
      <c r="E742">
        <v>172</v>
      </c>
      <c r="F742">
        <v>0.47</v>
      </c>
      <c r="M742" t="s">
        <v>34</v>
      </c>
      <c r="O742">
        <f>IF(AND(OR(D742="S. acutus",D742="S. californicus",D742="S. tabernaemontani"),G742=0),E742*[1]Sheet1!$D$7+[1]Sheet1!$L$7,IF(AND(OR(D742="S. acutus",D742="S. tabernaemontani"),G742&gt;0),E742*[1]Sheet1!$D$8+N742*[1]Sheet1!$E$8,IF(AND(D742="S. californicus",G742&gt;0),E742*[1]Sheet1!$D$9+N742*[1]Sheet1!$E$9,IF(D742="S. maritimus",F742*[1]Sheet1!$C$10+E742*[1]Sheet1!$D$10+G742*[1]Sheet1!$F$10+[1]Sheet1!$L$10,IF(D742="S. americanus",F742*[1]Sheet1!$C$6+E742*[1]Sheet1!$D$6+[1]Sheet1!$L$6,IF(AND(OR(D742="T. domingensis",D742="T. latifolia"),E742&gt;0),F742*[1]Sheet1!$C$4+E742*[1]Sheet1!$D$4+H742*[1]Sheet1!$J$4+I742*[1]Sheet1!$K$4+[1]Sheet1!$L$4,IF(AND(OR(D742="T. domingensis",D742="T. latifolia"),J742&gt;0),J742*[1]Sheet1!$G$5+K742*[1]Sheet1!$H$5+L742*[1]Sheet1!$I$5+[1]Sheet1!$L$5,0)))))))</f>
        <v>2.0688195829999994</v>
      </c>
    </row>
    <row r="743" spans="1:15">
      <c r="A743" s="2">
        <v>40732</v>
      </c>
      <c r="B743" s="3" t="s">
        <v>33</v>
      </c>
      <c r="C743">
        <v>33</v>
      </c>
      <c r="D743" s="7" t="s">
        <v>29</v>
      </c>
      <c r="E743">
        <v>174</v>
      </c>
      <c r="F743">
        <v>0.75</v>
      </c>
      <c r="M743" t="s">
        <v>34</v>
      </c>
      <c r="O743">
        <f>IF(AND(OR(D743="S. acutus",D743="S. californicus",D743="S. tabernaemontani"),G743=0),E743*[1]Sheet1!$D$7+[1]Sheet1!$L$7,IF(AND(OR(D743="S. acutus",D743="S. tabernaemontani"),G743&gt;0),E743*[1]Sheet1!$D$8+N743*[1]Sheet1!$E$8,IF(AND(D743="S. californicus",G743&gt;0),E743*[1]Sheet1!$D$9+N743*[1]Sheet1!$E$9,IF(D743="S. maritimus",F743*[1]Sheet1!$C$10+E743*[1]Sheet1!$D$10+G743*[1]Sheet1!$F$10+[1]Sheet1!$L$10,IF(D743="S. americanus",F743*[1]Sheet1!$C$6+E743*[1]Sheet1!$D$6+[1]Sheet1!$L$6,IF(AND(OR(D743="T. domingensis",D743="T. latifolia"),E743&gt;0),F743*[1]Sheet1!$C$4+E743*[1]Sheet1!$D$4+H743*[1]Sheet1!$J$4+I743*[1]Sheet1!$K$4+[1]Sheet1!$L$4,IF(AND(OR(D743="T. domingensis",D743="T. latifolia"),J743&gt;0),J743*[1]Sheet1!$G$5+K743*[1]Sheet1!$H$5+L743*[1]Sheet1!$I$5+[1]Sheet1!$L$5,0)))))))</f>
        <v>3.0948834750000001</v>
      </c>
    </row>
    <row r="744" spans="1:15">
      <c r="A744" s="2">
        <v>40732</v>
      </c>
      <c r="B744" s="3" t="s">
        <v>33</v>
      </c>
      <c r="C744">
        <v>33</v>
      </c>
      <c r="D744" s="7" t="s">
        <v>29</v>
      </c>
      <c r="E744">
        <v>175</v>
      </c>
      <c r="F744">
        <v>0.43</v>
      </c>
      <c r="M744" t="s">
        <v>34</v>
      </c>
      <c r="O744">
        <f>IF(AND(OR(D744="S. acutus",D744="S. californicus",D744="S. tabernaemontani"),G744=0),E744*[1]Sheet1!$D$7+[1]Sheet1!$L$7,IF(AND(OR(D744="S. acutus",D744="S. tabernaemontani"),G744&gt;0),E744*[1]Sheet1!$D$8+N744*[1]Sheet1!$E$8,IF(AND(D744="S. californicus",G744&gt;0),E744*[1]Sheet1!$D$9+N744*[1]Sheet1!$E$9,IF(D744="S. maritimus",F744*[1]Sheet1!$C$10+E744*[1]Sheet1!$D$10+G744*[1]Sheet1!$F$10+[1]Sheet1!$L$10,IF(D744="S. americanus",F744*[1]Sheet1!$C$6+E744*[1]Sheet1!$D$6+[1]Sheet1!$L$6,IF(AND(OR(D744="T. domingensis",D744="T. latifolia"),E744&gt;0),F744*[1]Sheet1!$C$4+E744*[1]Sheet1!$D$4+H744*[1]Sheet1!$J$4+I744*[1]Sheet1!$K$4+[1]Sheet1!$L$4,IF(AND(OR(D744="T. domingensis",D744="T. latifolia"),J744&gt;0),J744*[1]Sheet1!$G$5+K744*[1]Sheet1!$H$5+L744*[1]Sheet1!$I$5+[1]Sheet1!$L$5,0)))))))</f>
        <v>1.9737613269999996</v>
      </c>
    </row>
    <row r="745" spans="1:15">
      <c r="A745" s="2">
        <v>40732</v>
      </c>
      <c r="B745" s="3" t="s">
        <v>33</v>
      </c>
      <c r="C745">
        <v>33</v>
      </c>
      <c r="D745" s="7" t="s">
        <v>29</v>
      </c>
      <c r="E745">
        <v>183</v>
      </c>
      <c r="F745">
        <v>0.49</v>
      </c>
      <c r="M745" t="s">
        <v>34</v>
      </c>
      <c r="O745">
        <f>IF(AND(OR(D745="S. acutus",D745="S. californicus",D745="S. tabernaemontani"),G745=0),E745*[1]Sheet1!$D$7+[1]Sheet1!$L$7,IF(AND(OR(D745="S. acutus",D745="S. tabernaemontani"),G745&gt;0),E745*[1]Sheet1!$D$8+N745*[1]Sheet1!$E$8,IF(AND(D745="S. californicus",G745&gt;0),E745*[1]Sheet1!$D$9+N745*[1]Sheet1!$E$9,IF(D745="S. maritimus",F745*[1]Sheet1!$C$10+E745*[1]Sheet1!$D$10+G745*[1]Sheet1!$F$10+[1]Sheet1!$L$10,IF(D745="S. americanus",F745*[1]Sheet1!$C$6+E745*[1]Sheet1!$D$6+[1]Sheet1!$L$6,IF(AND(OR(D745="T. domingensis",D745="T. latifolia"),E745&gt;0),F745*[1]Sheet1!$C$4+E745*[1]Sheet1!$D$4+H745*[1]Sheet1!$J$4+I745*[1]Sheet1!$K$4+[1]Sheet1!$L$4,IF(AND(OR(D745="T. domingensis",D745="T. latifolia"),J745&gt;0),J745*[1]Sheet1!$G$5+K745*[1]Sheet1!$H$5+L745*[1]Sheet1!$I$5+[1]Sheet1!$L$5,0)))))))</f>
        <v>2.3123574609999999</v>
      </c>
    </row>
    <row r="746" spans="1:15">
      <c r="A746" s="2">
        <v>40732</v>
      </c>
      <c r="B746" s="3" t="s">
        <v>33</v>
      </c>
      <c r="C746">
        <v>33</v>
      </c>
      <c r="D746" s="7" t="s">
        <v>29</v>
      </c>
      <c r="E746">
        <v>183</v>
      </c>
      <c r="F746">
        <v>0.55000000000000004</v>
      </c>
      <c r="M746" t="s">
        <v>34</v>
      </c>
      <c r="O746">
        <f>IF(AND(OR(D746="S. acutus",D746="S. californicus",D746="S. tabernaemontani"),G746=0),E746*[1]Sheet1!$D$7+[1]Sheet1!$L$7,IF(AND(OR(D746="S. acutus",D746="S. tabernaemontani"),G746&gt;0),E746*[1]Sheet1!$D$8+N746*[1]Sheet1!$E$8,IF(AND(D746="S. californicus",G746&gt;0),E746*[1]Sheet1!$D$9+N746*[1]Sheet1!$E$9,IF(D746="S. maritimus",F746*[1]Sheet1!$C$10+E746*[1]Sheet1!$D$10+G746*[1]Sheet1!$F$10+[1]Sheet1!$L$10,IF(D746="S. americanus",F746*[1]Sheet1!$C$6+E746*[1]Sheet1!$D$6+[1]Sheet1!$L$6,IF(AND(OR(D746="T. domingensis",D746="T. latifolia"),E746&gt;0),F746*[1]Sheet1!$C$4+E746*[1]Sheet1!$D$4+H746*[1]Sheet1!$J$4+I746*[1]Sheet1!$K$4+[1]Sheet1!$L$4,IF(AND(OR(D746="T. domingensis",D746="T. latifolia"),J746&gt;0),J746*[1]Sheet1!$G$5+K746*[1]Sheet1!$H$5+L746*[1]Sheet1!$I$5+[1]Sheet1!$L$5,0)))))))</f>
        <v>2.5255079950000003</v>
      </c>
    </row>
    <row r="747" spans="1:15">
      <c r="A747" s="2">
        <v>40732</v>
      </c>
      <c r="B747" s="3" t="s">
        <v>33</v>
      </c>
      <c r="C747">
        <v>33</v>
      </c>
      <c r="D747" s="7" t="s">
        <v>29</v>
      </c>
      <c r="E747">
        <v>185</v>
      </c>
      <c r="F747">
        <v>0.54</v>
      </c>
      <c r="M747" t="s">
        <v>34</v>
      </c>
      <c r="O747">
        <f>IF(AND(OR(D747="S. acutus",D747="S. californicus",D747="S. tabernaemontani"),G747=0),E747*[1]Sheet1!$D$7+[1]Sheet1!$L$7,IF(AND(OR(D747="S. acutus",D747="S. tabernaemontani"),G747&gt;0),E747*[1]Sheet1!$D$8+N747*[1]Sheet1!$E$8,IF(AND(D747="S. californicus",G747&gt;0),E747*[1]Sheet1!$D$9+N747*[1]Sheet1!$E$9,IF(D747="S. maritimus",F747*[1]Sheet1!$C$10+E747*[1]Sheet1!$D$10+G747*[1]Sheet1!$F$10+[1]Sheet1!$L$10,IF(D747="S. americanus",F747*[1]Sheet1!$C$6+E747*[1]Sheet1!$D$6+[1]Sheet1!$L$6,IF(AND(OR(D747="T. domingensis",D747="T. latifolia"),E747&gt;0),F747*[1]Sheet1!$C$4+E747*[1]Sheet1!$D$4+H747*[1]Sheet1!$J$4+I747*[1]Sheet1!$K$4+[1]Sheet1!$L$4,IF(AND(OR(D747="T. domingensis",D747="T. latifolia"),J747&gt;0),J747*[1]Sheet1!$G$5+K747*[1]Sheet1!$H$5+L747*[1]Sheet1!$I$5+[1]Sheet1!$L$5,0)))))))</f>
        <v>2.521344306</v>
      </c>
    </row>
    <row r="748" spans="1:15">
      <c r="A748" s="2">
        <v>40732</v>
      </c>
      <c r="B748" s="3" t="s">
        <v>33</v>
      </c>
      <c r="C748">
        <v>33</v>
      </c>
      <c r="D748" s="7" t="s">
        <v>29</v>
      </c>
      <c r="E748">
        <v>223</v>
      </c>
      <c r="F748">
        <v>0.54</v>
      </c>
      <c r="M748" t="s">
        <v>34</v>
      </c>
      <c r="O748">
        <f>IF(AND(OR(D748="S. acutus",D748="S. californicus",D748="S. tabernaemontani"),G748=0),E748*[1]Sheet1!$D$7+[1]Sheet1!$L$7,IF(AND(OR(D748="S. acutus",D748="S. tabernaemontani"),G748&gt;0),E748*[1]Sheet1!$D$8+N748*[1]Sheet1!$E$8,IF(AND(D748="S. californicus",G748&gt;0),E748*[1]Sheet1!$D$9+N748*[1]Sheet1!$E$9,IF(D748="S. maritimus",F748*[1]Sheet1!$C$10+E748*[1]Sheet1!$D$10+G748*[1]Sheet1!$F$10+[1]Sheet1!$L$10,IF(D748="S. americanus",F748*[1]Sheet1!$C$6+E748*[1]Sheet1!$D$6+[1]Sheet1!$L$6,IF(AND(OR(D748="T. domingensis",D748="T. latifolia"),E748&gt;0),F748*[1]Sheet1!$C$4+E748*[1]Sheet1!$D$4+H748*[1]Sheet1!$J$4+I748*[1]Sheet1!$K$4+[1]Sheet1!$L$4,IF(AND(OR(D748="T. domingensis",D748="T. latifolia"),J748&gt;0),J748*[1]Sheet1!$G$5+K748*[1]Sheet1!$H$5+L748*[1]Sheet1!$I$5+[1]Sheet1!$L$5,0)))))))</f>
        <v>3.1172109059999991</v>
      </c>
    </row>
    <row r="749" spans="1:15">
      <c r="A749" s="2">
        <v>40732</v>
      </c>
      <c r="B749" s="3" t="s">
        <v>33</v>
      </c>
      <c r="C749">
        <v>33</v>
      </c>
      <c r="D749" s="7" t="s">
        <v>29</v>
      </c>
      <c r="E749">
        <v>233</v>
      </c>
      <c r="F749">
        <v>0.46</v>
      </c>
      <c r="M749" t="s">
        <v>34</v>
      </c>
      <c r="O749">
        <f>IF(AND(OR(D749="S. acutus",D749="S. californicus",D749="S. tabernaemontani"),G749=0),E749*[1]Sheet1!$D$7+[1]Sheet1!$L$7,IF(AND(OR(D749="S. acutus",D749="S. tabernaemontani"),G749&gt;0),E749*[1]Sheet1!$D$8+N749*[1]Sheet1!$E$8,IF(AND(D749="S. californicus",G749&gt;0),E749*[1]Sheet1!$D$9+N749*[1]Sheet1!$E$9,IF(D749="S. maritimus",F749*[1]Sheet1!$C$10+E749*[1]Sheet1!$D$10+G749*[1]Sheet1!$F$10+[1]Sheet1!$L$10,IF(D749="S. americanus",F749*[1]Sheet1!$C$6+E749*[1]Sheet1!$D$6+[1]Sheet1!$L$6,IF(AND(OR(D749="T. domingensis",D749="T. latifolia"),E749&gt;0),F749*[1]Sheet1!$C$4+E749*[1]Sheet1!$D$4+H749*[1]Sheet1!$J$4+I749*[1]Sheet1!$K$4+[1]Sheet1!$L$4,IF(AND(OR(D749="T. domingensis",D749="T. latifolia"),J749&gt;0),J749*[1]Sheet1!$G$5+K749*[1]Sheet1!$H$5+L749*[1]Sheet1!$I$5+[1]Sheet1!$L$5,0)))))))</f>
        <v>2.989817194</v>
      </c>
    </row>
    <row r="750" spans="1:15">
      <c r="A750" s="2">
        <v>40732</v>
      </c>
      <c r="B750" s="3" t="s">
        <v>33</v>
      </c>
      <c r="C750">
        <v>33</v>
      </c>
      <c r="D750" s="7" t="s">
        <v>29</v>
      </c>
      <c r="E750">
        <v>244</v>
      </c>
      <c r="F750">
        <v>0.65</v>
      </c>
      <c r="M750" t="s">
        <v>34</v>
      </c>
      <c r="O750">
        <f>IF(AND(OR(D750="S. acutus",D750="S. californicus",D750="S. tabernaemontani"),G750=0),E750*[1]Sheet1!$D$7+[1]Sheet1!$L$7,IF(AND(OR(D750="S. acutus",D750="S. tabernaemontani"),G750&gt;0),E750*[1]Sheet1!$D$8+N750*[1]Sheet1!$E$8,IF(AND(D750="S. californicus",G750&gt;0),E750*[1]Sheet1!$D$9+N750*[1]Sheet1!$E$9,IF(D750="S. maritimus",F750*[1]Sheet1!$C$10+E750*[1]Sheet1!$D$10+G750*[1]Sheet1!$F$10+[1]Sheet1!$L$10,IF(D750="S. americanus",F750*[1]Sheet1!$C$6+E750*[1]Sheet1!$D$6+[1]Sheet1!$L$6,IF(AND(OR(D750="T. domingensis",D750="T. latifolia"),E750&gt;0),F750*[1]Sheet1!$C$4+E750*[1]Sheet1!$D$4+H750*[1]Sheet1!$J$4+I750*[1]Sheet1!$K$4+[1]Sheet1!$L$4,IF(AND(OR(D750="T. domingensis",D750="T. latifolia"),J750&gt;0),J750*[1]Sheet1!$G$5+K750*[1]Sheet1!$H$5+L750*[1]Sheet1!$I$5+[1]Sheet1!$L$5,0)))))))</f>
        <v>3.8372815849999999</v>
      </c>
    </row>
    <row r="751" spans="1:15">
      <c r="A751" s="2">
        <v>40732</v>
      </c>
      <c r="B751" s="3" t="s">
        <v>33</v>
      </c>
      <c r="C751">
        <v>33</v>
      </c>
      <c r="D751" s="7" t="s">
        <v>29</v>
      </c>
      <c r="E751">
        <v>250</v>
      </c>
      <c r="F751">
        <v>0.55000000000000004</v>
      </c>
      <c r="M751" t="s">
        <v>34</v>
      </c>
      <c r="O751">
        <f>IF(AND(OR(D751="S. acutus",D751="S. californicus",D751="S. tabernaemontani"),G751=0),E751*[1]Sheet1!$D$7+[1]Sheet1!$L$7,IF(AND(OR(D751="S. acutus",D751="S. tabernaemontani"),G751&gt;0),E751*[1]Sheet1!$D$8+N751*[1]Sheet1!$E$8,IF(AND(D751="S. californicus",G751&gt;0),E751*[1]Sheet1!$D$9+N751*[1]Sheet1!$E$9,IF(D751="S. maritimus",F751*[1]Sheet1!$C$10+E751*[1]Sheet1!$D$10+G751*[1]Sheet1!$F$10+[1]Sheet1!$L$10,IF(D751="S. americanus",F751*[1]Sheet1!$C$6+E751*[1]Sheet1!$D$6+[1]Sheet1!$L$6,IF(AND(OR(D751="T. domingensis",D751="T. latifolia"),E751&gt;0),F751*[1]Sheet1!$C$4+E751*[1]Sheet1!$D$4+H751*[1]Sheet1!$J$4+I751*[1]Sheet1!$K$4+[1]Sheet1!$L$4,IF(AND(OR(D751="T. domingensis",D751="T. latifolia"),J751&gt;0),J751*[1]Sheet1!$G$5+K751*[1]Sheet1!$H$5+L751*[1]Sheet1!$I$5+[1]Sheet1!$L$5,0)))))))</f>
        <v>3.5761148949999995</v>
      </c>
    </row>
    <row r="752" spans="1:15">
      <c r="A752" s="2">
        <v>40732</v>
      </c>
      <c r="B752" s="3" t="s">
        <v>33</v>
      </c>
      <c r="C752">
        <v>33</v>
      </c>
      <c r="D752" s="6" t="s">
        <v>19</v>
      </c>
      <c r="E752">
        <v>312</v>
      </c>
      <c r="F752">
        <v>3.3</v>
      </c>
      <c r="H752">
        <v>39</v>
      </c>
      <c r="I752">
        <v>2.6</v>
      </c>
      <c r="O752">
        <f>IF(AND(OR(D752="S. acutus",D752="S. californicus",D752="S. tabernaemontani"),G752=0),E752*[1]Sheet1!$D$7+[1]Sheet1!$L$7,IF(AND(OR(D752="S. acutus",D752="S. tabernaemontani"),G752&gt;0),E752*[1]Sheet1!$D$8+N752*[1]Sheet1!$E$8,IF(AND(D752="S. californicus",G752&gt;0),E752*[1]Sheet1!$D$9+N752*[1]Sheet1!$E$9,IF(D752="S. maritimus",F752*[1]Sheet1!$C$10+E752*[1]Sheet1!$D$10+G752*[1]Sheet1!$F$10+[1]Sheet1!$L$10,IF(D752="S. americanus",F752*[1]Sheet1!$C$6+E752*[1]Sheet1!$D$6+[1]Sheet1!$L$6,IF(AND(OR(D752="T. domingensis",D752="T. latifolia"),E752&gt;0),F752*[1]Sheet1!$C$4+E752*[1]Sheet1!$D$4+H752*[1]Sheet1!$J$4+I752*[1]Sheet1!$K$4+[1]Sheet1!$L$4,IF(AND(OR(D752="T. domingensis",D752="T. latifolia"),J752&gt;0),J752*[1]Sheet1!$G$5+K752*[1]Sheet1!$H$5+L752*[1]Sheet1!$I$5+[1]Sheet1!$L$5,0)))))))</f>
        <v>141.90658310000001</v>
      </c>
    </row>
    <row r="753" spans="1:15">
      <c r="A753" s="2">
        <v>40732</v>
      </c>
      <c r="B753" s="3" t="s">
        <v>33</v>
      </c>
      <c r="C753">
        <v>33</v>
      </c>
      <c r="D753" s="6" t="s">
        <v>19</v>
      </c>
      <c r="E753">
        <v>316</v>
      </c>
      <c r="F753">
        <v>3.71</v>
      </c>
      <c r="H753">
        <v>33</v>
      </c>
      <c r="I753">
        <v>2.5</v>
      </c>
      <c r="O753">
        <f>IF(AND(OR(D753="S. acutus",D753="S. californicus",D753="S. tabernaemontani"),G753=0),E753*[1]Sheet1!$D$7+[1]Sheet1!$L$7,IF(AND(OR(D753="S. acutus",D753="S. tabernaemontani"),G753&gt;0),E753*[1]Sheet1!$D$8+N753*[1]Sheet1!$E$8,IF(AND(D753="S. californicus",G753&gt;0),E753*[1]Sheet1!$D$9+N753*[1]Sheet1!$E$9,IF(D753="S. maritimus",F753*[1]Sheet1!$C$10+E753*[1]Sheet1!$D$10+G753*[1]Sheet1!$F$10+[1]Sheet1!$L$10,IF(D753="S. americanus",F753*[1]Sheet1!$C$6+E753*[1]Sheet1!$D$6+[1]Sheet1!$L$6,IF(AND(OR(D753="T. domingensis",D753="T. latifolia"),E753&gt;0),F753*[1]Sheet1!$C$4+E753*[1]Sheet1!$D$4+H753*[1]Sheet1!$J$4+I753*[1]Sheet1!$K$4+[1]Sheet1!$L$4,IF(AND(OR(D753="T. domingensis",D753="T. latifolia"),J753&gt;0),J753*[1]Sheet1!$G$5+K753*[1]Sheet1!$H$5+L753*[1]Sheet1!$I$5+[1]Sheet1!$L$5,0)))))))</f>
        <v>143.69106287</v>
      </c>
    </row>
    <row r="754" spans="1:15">
      <c r="A754" s="2">
        <v>40732</v>
      </c>
      <c r="B754" s="3" t="s">
        <v>33</v>
      </c>
      <c r="C754">
        <v>33</v>
      </c>
      <c r="D754" s="6" t="s">
        <v>19</v>
      </c>
      <c r="F754">
        <v>2</v>
      </c>
      <c r="J754">
        <f>SUM(88,133,154,185)</f>
        <v>560</v>
      </c>
      <c r="K754">
        <v>4</v>
      </c>
      <c r="L754">
        <v>185</v>
      </c>
      <c r="O754">
        <f>IF(AND(OR(D754="S. acutus",D754="S. californicus",D754="S. tabernaemontani"),G754=0),E754*[1]Sheet1!$D$7+[1]Sheet1!$L$7,IF(AND(OR(D754="S. acutus",D754="S. tabernaemontani"),G754&gt;0),E754*[1]Sheet1!$D$8+N754*[1]Sheet1!$E$8,IF(AND(D754="S. californicus",G754&gt;0),E754*[1]Sheet1!$D$9+N754*[1]Sheet1!$E$9,IF(D754="S. maritimus",F754*[1]Sheet1!$C$10+E754*[1]Sheet1!$D$10+G754*[1]Sheet1!$F$10+[1]Sheet1!$L$10,IF(D754="S. americanus",F754*[1]Sheet1!$C$6+E754*[1]Sheet1!$D$6+[1]Sheet1!$L$6,IF(AND(OR(D754="T. domingensis",D754="T. latifolia"),E754&gt;0),F754*[1]Sheet1!$C$4+E754*[1]Sheet1!$D$4+H754*[1]Sheet1!$J$4+I754*[1]Sheet1!$K$4+[1]Sheet1!$L$4,IF(AND(OR(D754="T. domingensis",D754="T. latifolia"),J754&gt;0),J754*[1]Sheet1!$G$5+K754*[1]Sheet1!$H$5+L754*[1]Sheet1!$I$5+[1]Sheet1!$L$5,0)))))))</f>
        <v>1.7200469999999974</v>
      </c>
    </row>
    <row r="755" spans="1:15">
      <c r="A755" s="2">
        <v>40732</v>
      </c>
      <c r="B755" s="3" t="s">
        <v>33</v>
      </c>
      <c r="C755">
        <v>33</v>
      </c>
      <c r="D755" s="6" t="s">
        <v>19</v>
      </c>
      <c r="F755">
        <v>2.78</v>
      </c>
      <c r="J755">
        <f>SUM(178,189,274,327,362)</f>
        <v>1330</v>
      </c>
      <c r="K755">
        <v>5</v>
      </c>
      <c r="L755">
        <v>362</v>
      </c>
      <c r="O755">
        <f>IF(AND(OR(D755="S. acutus",D755="S. californicus",D755="S. tabernaemontani"),G755=0),E755*[1]Sheet1!$D$7+[1]Sheet1!$L$7,IF(AND(OR(D755="S. acutus",D755="S. tabernaemontani"),G755&gt;0),E755*[1]Sheet1!$D$8+N755*[1]Sheet1!$E$8,IF(AND(D755="S. californicus",G755&gt;0),E755*[1]Sheet1!$D$9+N755*[1]Sheet1!$E$9,IF(D755="S. maritimus",F755*[1]Sheet1!$C$10+E755*[1]Sheet1!$D$10+G755*[1]Sheet1!$F$10+[1]Sheet1!$L$10,IF(D755="S. americanus",F755*[1]Sheet1!$C$6+E755*[1]Sheet1!$D$6+[1]Sheet1!$L$6,IF(AND(OR(D755="T. domingensis",D755="T. latifolia"),E755&gt;0),F755*[1]Sheet1!$C$4+E755*[1]Sheet1!$D$4+H755*[1]Sheet1!$J$4+I755*[1]Sheet1!$K$4+[1]Sheet1!$L$4,IF(AND(OR(D755="T. domingensis",D755="T. latifolia"),J755&gt;0),J755*[1]Sheet1!$G$5+K755*[1]Sheet1!$H$5+L755*[1]Sheet1!$I$5+[1]Sheet1!$L$5,0)))))))</f>
        <v>13.568679000000024</v>
      </c>
    </row>
    <row r="756" spans="1:15">
      <c r="A756" s="2">
        <v>40732</v>
      </c>
      <c r="B756" s="3" t="s">
        <v>33</v>
      </c>
      <c r="C756">
        <v>33</v>
      </c>
      <c r="D756" s="6" t="s">
        <v>19</v>
      </c>
      <c r="F756">
        <v>2.52</v>
      </c>
      <c r="J756">
        <f>SUM(197,248,298,310,338,367)</f>
        <v>1758</v>
      </c>
      <c r="K756">
        <v>6</v>
      </c>
      <c r="L756">
        <v>367</v>
      </c>
      <c r="O756">
        <f>IF(AND(OR(D756="S. acutus",D756="S. californicus",D756="S. tabernaemontani"),G756=0),E756*[1]Sheet1!$D$7+[1]Sheet1!$L$7,IF(AND(OR(D756="S. acutus",D756="S. tabernaemontani"),G756&gt;0),E756*[1]Sheet1!$D$8+N756*[1]Sheet1!$E$8,IF(AND(D756="S. californicus",G756&gt;0),E756*[1]Sheet1!$D$9+N756*[1]Sheet1!$E$9,IF(D756="S. maritimus",F756*[1]Sheet1!$C$10+E756*[1]Sheet1!$D$10+G756*[1]Sheet1!$F$10+[1]Sheet1!$L$10,IF(D756="S. americanus",F756*[1]Sheet1!$C$6+E756*[1]Sheet1!$D$6+[1]Sheet1!$L$6,IF(AND(OR(D756="T. domingensis",D756="T. latifolia"),E756&gt;0),F756*[1]Sheet1!$C$4+E756*[1]Sheet1!$D$4+H756*[1]Sheet1!$J$4+I756*[1]Sheet1!$K$4+[1]Sheet1!$L$4,IF(AND(OR(D756="T. domingensis",D756="T. latifolia"),J756&gt;0),J756*[1]Sheet1!$G$5+K756*[1]Sheet1!$H$5+L756*[1]Sheet1!$I$5+[1]Sheet1!$L$5,0)))))))</f>
        <v>45.167241000000011</v>
      </c>
    </row>
    <row r="757" spans="1:15">
      <c r="A757" s="2">
        <v>40732</v>
      </c>
      <c r="B757" s="3" t="s">
        <v>33</v>
      </c>
      <c r="C757">
        <v>33</v>
      </c>
      <c r="D757" s="6" t="s">
        <v>19</v>
      </c>
      <c r="F757">
        <v>3.7</v>
      </c>
      <c r="J757">
        <f>SUM(164,351,353,372,253,264,216)</f>
        <v>1973</v>
      </c>
      <c r="K757">
        <v>7</v>
      </c>
      <c r="L757">
        <v>372</v>
      </c>
      <c r="O757">
        <f>IF(AND(OR(D757="S. acutus",D757="S. californicus",D757="S. tabernaemontani"),G757=0),E757*[1]Sheet1!$D$7+[1]Sheet1!$L$7,IF(AND(OR(D757="S. acutus",D757="S. tabernaemontani"),G757&gt;0),E757*[1]Sheet1!$D$8+N757*[1]Sheet1!$E$8,IF(AND(D757="S. californicus",G757&gt;0),E757*[1]Sheet1!$D$9+N757*[1]Sheet1!$E$9,IF(D757="S. maritimus",F757*[1]Sheet1!$C$10+E757*[1]Sheet1!$D$10+G757*[1]Sheet1!$F$10+[1]Sheet1!$L$10,IF(D757="S. americanus",F757*[1]Sheet1!$C$6+E757*[1]Sheet1!$D$6+[1]Sheet1!$L$6,IF(AND(OR(D757="T. domingensis",D757="T. latifolia"),E757&gt;0),F757*[1]Sheet1!$C$4+E757*[1]Sheet1!$D$4+H757*[1]Sheet1!$J$4+I757*[1]Sheet1!$K$4+[1]Sheet1!$L$4,IF(AND(OR(D757="T. domingensis",D757="T. latifolia"),J757&gt;0),J757*[1]Sheet1!$G$5+K757*[1]Sheet1!$H$5+L757*[1]Sheet1!$I$5+[1]Sheet1!$L$5,0)))))))</f>
        <v>56.795988000000044</v>
      </c>
    </row>
    <row r="758" spans="1:15">
      <c r="A758" s="2">
        <v>40732</v>
      </c>
      <c r="B758" s="3" t="s">
        <v>33</v>
      </c>
      <c r="C758">
        <v>35</v>
      </c>
      <c r="D758" s="6" t="s">
        <v>12</v>
      </c>
      <c r="E758">
        <v>134</v>
      </c>
      <c r="F758">
        <v>0.76</v>
      </c>
      <c r="G758">
        <v>0</v>
      </c>
      <c r="N758">
        <f>(1/3)*(3.14159)*((F758/2)^2)*E758</f>
        <v>20.262836621333332</v>
      </c>
      <c r="O758">
        <f>IF(AND(OR(D758="S. acutus",D758="S. californicus",D758="S. tabernaemontani"),G758=0),E758*[1]Sheet1!$D$7+[1]Sheet1!$L$7,IF(AND(OR(D758="S. acutus",D758="S. tabernaemontani"),G758&gt;0),E758*[1]Sheet1!$D$8+N758*[1]Sheet1!$E$8,IF(AND(D758="S. californicus",G758&gt;0),E758*[1]Sheet1!$D$9+N758*[1]Sheet1!$E$9,IF(D758="S. maritimus",F758*[1]Sheet1!$C$10+E758*[1]Sheet1!$D$10+G758*[1]Sheet1!$F$10+[1]Sheet1!$L$10,IF(D758="S. americanus",F758*[1]Sheet1!$C$6+E758*[1]Sheet1!$D$6+[1]Sheet1!$L$6,IF(AND(OR(D758="T. domingensis",D758="T. latifolia"),E758&gt;0),F758*[1]Sheet1!$C$4+E758*[1]Sheet1!$D$4+H758*[1]Sheet1!$J$4+I758*[1]Sheet1!$K$4+[1]Sheet1!$L$4,IF(AND(OR(D758="T. domingensis",D758="T. latifolia"),J758&gt;0),J758*[1]Sheet1!$G$5+K758*[1]Sheet1!$H$5+L758*[1]Sheet1!$I$5+[1]Sheet1!$L$5,0)))))))</f>
        <v>4.8034729999999994</v>
      </c>
    </row>
    <row r="759" spans="1:15">
      <c r="A759" s="2">
        <v>40732</v>
      </c>
      <c r="B759" s="3" t="s">
        <v>33</v>
      </c>
      <c r="C759">
        <v>35</v>
      </c>
      <c r="D759" s="6" t="s">
        <v>29</v>
      </c>
      <c r="E759">
        <v>122</v>
      </c>
      <c r="F759">
        <v>0.48</v>
      </c>
      <c r="O759">
        <f>IF(AND(OR(D759="S. acutus",D759="S. californicus",D759="S. tabernaemontani"),G759=0),E759*[1]Sheet1!$D$7+[1]Sheet1!$L$7,IF(AND(OR(D759="S. acutus",D759="S. tabernaemontani"),G759&gt;0),E759*[1]Sheet1!$D$8+N759*[1]Sheet1!$E$8,IF(AND(D759="S. californicus",G759&gt;0),E759*[1]Sheet1!$D$9+N759*[1]Sheet1!$E$9,IF(D759="S. maritimus",F759*[1]Sheet1!$C$10+E759*[1]Sheet1!$D$10+G759*[1]Sheet1!$F$10+[1]Sheet1!$L$10,IF(D759="S. americanus",F759*[1]Sheet1!$C$6+E759*[1]Sheet1!$D$6+[1]Sheet1!$L$6,IF(AND(OR(D759="T. domingensis",D759="T. latifolia"),E759&gt;0),F759*[1]Sheet1!$C$4+E759*[1]Sheet1!$D$4+H759*[1]Sheet1!$J$4+I759*[1]Sheet1!$K$4+[1]Sheet1!$L$4,IF(AND(OR(D759="T. domingensis",D759="T. latifolia"),J759&gt;0),J759*[1]Sheet1!$G$5+K759*[1]Sheet1!$H$5+L759*[1]Sheet1!$I$5+[1]Sheet1!$L$5,0)))))))</f>
        <v>1.3203096719999996</v>
      </c>
    </row>
    <row r="760" spans="1:15">
      <c r="A760" s="2">
        <v>40732</v>
      </c>
      <c r="B760" s="3" t="s">
        <v>33</v>
      </c>
      <c r="C760">
        <v>35</v>
      </c>
      <c r="D760" s="6" t="s">
        <v>29</v>
      </c>
      <c r="E760">
        <v>131</v>
      </c>
      <c r="F760">
        <v>0.45</v>
      </c>
      <c r="O760">
        <f>IF(AND(OR(D760="S. acutus",D760="S. californicus",D760="S. tabernaemontani"),G760=0),E760*[1]Sheet1!$D$7+[1]Sheet1!$L$7,IF(AND(OR(D760="S. acutus",D760="S. tabernaemontani"),G760&gt;0),E760*[1]Sheet1!$D$8+N760*[1]Sheet1!$E$8,IF(AND(D760="S. californicus",G760&gt;0),E760*[1]Sheet1!$D$9+N760*[1]Sheet1!$E$9,IF(D760="S. maritimus",F760*[1]Sheet1!$C$10+E760*[1]Sheet1!$D$10+G760*[1]Sheet1!$F$10+[1]Sheet1!$L$10,IF(D760="S. americanus",F760*[1]Sheet1!$C$6+E760*[1]Sheet1!$D$6+[1]Sheet1!$L$6,IF(AND(OR(D760="T. domingensis",D760="T. latifolia"),E760&gt;0),F760*[1]Sheet1!$C$4+E760*[1]Sheet1!$D$4+H760*[1]Sheet1!$J$4+I760*[1]Sheet1!$K$4+[1]Sheet1!$L$4,IF(AND(OR(D760="T. domingensis",D760="T. latifolia"),J760&gt;0),J760*[1]Sheet1!$G$5+K760*[1]Sheet1!$H$5+L760*[1]Sheet1!$I$5+[1]Sheet1!$L$5,0)))))))</f>
        <v>1.3548607049999997</v>
      </c>
    </row>
    <row r="761" spans="1:15">
      <c r="A761" s="2">
        <v>40732</v>
      </c>
      <c r="B761" s="3" t="s">
        <v>33</v>
      </c>
      <c r="C761">
        <v>35</v>
      </c>
      <c r="D761" s="6" t="s">
        <v>29</v>
      </c>
      <c r="E761">
        <v>131</v>
      </c>
      <c r="F761">
        <v>0.48</v>
      </c>
      <c r="O761">
        <f>IF(AND(OR(D761="S. acutus",D761="S. californicus",D761="S. tabernaemontani"),G761=0),E761*[1]Sheet1!$D$7+[1]Sheet1!$L$7,IF(AND(OR(D761="S. acutus",D761="S. tabernaemontani"),G761&gt;0),E761*[1]Sheet1!$D$8+N761*[1]Sheet1!$E$8,IF(AND(D761="S. californicus",G761&gt;0),E761*[1]Sheet1!$D$9+N761*[1]Sheet1!$E$9,IF(D761="S. maritimus",F761*[1]Sheet1!$C$10+E761*[1]Sheet1!$D$10+G761*[1]Sheet1!$F$10+[1]Sheet1!$L$10,IF(D761="S. americanus",F761*[1]Sheet1!$C$6+E761*[1]Sheet1!$D$6+[1]Sheet1!$L$6,IF(AND(OR(D761="T. domingensis",D761="T. latifolia"),E761&gt;0),F761*[1]Sheet1!$C$4+E761*[1]Sheet1!$D$4+H761*[1]Sheet1!$J$4+I761*[1]Sheet1!$K$4+[1]Sheet1!$L$4,IF(AND(OR(D761="T. domingensis",D761="T. latifolia"),J761&gt;0),J761*[1]Sheet1!$G$5+K761*[1]Sheet1!$H$5+L761*[1]Sheet1!$I$5+[1]Sheet1!$L$5,0)))))))</f>
        <v>1.4614359719999999</v>
      </c>
    </row>
    <row r="762" spans="1:15">
      <c r="A762" s="2">
        <v>40732</v>
      </c>
      <c r="B762" s="3" t="s">
        <v>33</v>
      </c>
      <c r="C762">
        <v>35</v>
      </c>
      <c r="D762" s="6" t="s">
        <v>29</v>
      </c>
      <c r="E762">
        <v>132</v>
      </c>
      <c r="F762">
        <v>0.32</v>
      </c>
      <c r="O762">
        <f>IF(AND(OR(D762="S. acutus",D762="S. californicus",D762="S. tabernaemontani"),G762=0),E762*[1]Sheet1!$D$7+[1]Sheet1!$L$7,IF(AND(OR(D762="S. acutus",D762="S. tabernaemontani"),G762&gt;0),E762*[1]Sheet1!$D$8+N762*[1]Sheet1!$E$8,IF(AND(D762="S. californicus",G762&gt;0),E762*[1]Sheet1!$D$9+N762*[1]Sheet1!$E$9,IF(D762="S. maritimus",F762*[1]Sheet1!$C$10+E762*[1]Sheet1!$D$10+G762*[1]Sheet1!$F$10+[1]Sheet1!$L$10,IF(D762="S. americanus",F762*[1]Sheet1!$C$6+E762*[1]Sheet1!$D$6+[1]Sheet1!$L$6,IF(AND(OR(D762="T. domingensis",D762="T. latifolia"),E762&gt;0),F762*[1]Sheet1!$C$4+E762*[1]Sheet1!$D$4+H762*[1]Sheet1!$J$4+I762*[1]Sheet1!$K$4+[1]Sheet1!$L$4,IF(AND(OR(D762="T. domingensis",D762="T. latifolia"),J762&gt;0),J762*[1]Sheet1!$G$5+K762*[1]Sheet1!$H$5+L762*[1]Sheet1!$I$5+[1]Sheet1!$L$5,0)))))))</f>
        <v>0.90871524799999959</v>
      </c>
    </row>
    <row r="763" spans="1:15">
      <c r="A763" s="2">
        <v>40732</v>
      </c>
      <c r="B763" s="3" t="s">
        <v>33</v>
      </c>
      <c r="C763">
        <v>35</v>
      </c>
      <c r="D763" s="6" t="s">
        <v>29</v>
      </c>
      <c r="E763">
        <v>133</v>
      </c>
      <c r="F763">
        <v>0.32</v>
      </c>
      <c r="O763">
        <f>IF(AND(OR(D763="S. acutus",D763="S. californicus",D763="S. tabernaemontani"),G763=0),E763*[1]Sheet1!$D$7+[1]Sheet1!$L$7,IF(AND(OR(D763="S. acutus",D763="S. tabernaemontani"),G763&gt;0),E763*[1]Sheet1!$D$8+N763*[1]Sheet1!$E$8,IF(AND(D763="S. californicus",G763&gt;0),E763*[1]Sheet1!$D$9+N763*[1]Sheet1!$E$9,IF(D763="S. maritimus",F763*[1]Sheet1!$C$10+E763*[1]Sheet1!$D$10+G763*[1]Sheet1!$F$10+[1]Sheet1!$L$10,IF(D763="S. americanus",F763*[1]Sheet1!$C$6+E763*[1]Sheet1!$D$6+[1]Sheet1!$L$6,IF(AND(OR(D763="T. domingensis",D763="T. latifolia"),E763&gt;0),F763*[1]Sheet1!$C$4+E763*[1]Sheet1!$D$4+H763*[1]Sheet1!$J$4+I763*[1]Sheet1!$K$4+[1]Sheet1!$L$4,IF(AND(OR(D763="T. domingensis",D763="T. latifolia"),J763&gt;0),J763*[1]Sheet1!$G$5+K763*[1]Sheet1!$H$5+L763*[1]Sheet1!$I$5+[1]Sheet1!$L$5,0)))))))</f>
        <v>0.92439594799999947</v>
      </c>
    </row>
    <row r="764" spans="1:15">
      <c r="A764" s="2">
        <v>40732</v>
      </c>
      <c r="B764" s="3" t="s">
        <v>33</v>
      </c>
      <c r="C764">
        <v>35</v>
      </c>
      <c r="D764" s="6" t="s">
        <v>29</v>
      </c>
      <c r="E764">
        <v>133</v>
      </c>
      <c r="F764">
        <v>0.44</v>
      </c>
      <c r="O764">
        <f>IF(AND(OR(D764="S. acutus",D764="S. californicus",D764="S. tabernaemontani"),G764=0),E764*[1]Sheet1!$D$7+[1]Sheet1!$L$7,IF(AND(OR(D764="S. acutus",D764="S. tabernaemontani"),G764&gt;0),E764*[1]Sheet1!$D$8+N764*[1]Sheet1!$E$8,IF(AND(D764="S. californicus",G764&gt;0),E764*[1]Sheet1!$D$9+N764*[1]Sheet1!$E$9,IF(D764="S. maritimus",F764*[1]Sheet1!$C$10+E764*[1]Sheet1!$D$10+G764*[1]Sheet1!$F$10+[1]Sheet1!$L$10,IF(D764="S. americanus",F764*[1]Sheet1!$C$6+E764*[1]Sheet1!$D$6+[1]Sheet1!$L$6,IF(AND(OR(D764="T. domingensis",D764="T. latifolia"),E764&gt;0),F764*[1]Sheet1!$C$4+E764*[1]Sheet1!$D$4+H764*[1]Sheet1!$J$4+I764*[1]Sheet1!$K$4+[1]Sheet1!$L$4,IF(AND(OR(D764="T. domingensis",D764="T. latifolia"),J764&gt;0),J764*[1]Sheet1!$G$5+K764*[1]Sheet1!$H$5+L764*[1]Sheet1!$I$5+[1]Sheet1!$L$5,0)))))))</f>
        <v>1.3506970159999994</v>
      </c>
    </row>
    <row r="765" spans="1:15">
      <c r="A765" s="2">
        <v>40732</v>
      </c>
      <c r="B765" s="3" t="s">
        <v>33</v>
      </c>
      <c r="C765">
        <v>35</v>
      </c>
      <c r="D765" s="6" t="s">
        <v>29</v>
      </c>
      <c r="E765">
        <v>134</v>
      </c>
      <c r="F765">
        <v>0.5</v>
      </c>
      <c r="O765">
        <f>IF(AND(OR(D765="S. acutus",D765="S. californicus",D765="S. tabernaemontani"),G765=0),E765*[1]Sheet1!$D$7+[1]Sheet1!$L$7,IF(AND(OR(D765="S. acutus",D765="S. tabernaemontani"),G765&gt;0),E765*[1]Sheet1!$D$8+N765*[1]Sheet1!$E$8,IF(AND(D765="S. californicus",G765&gt;0),E765*[1]Sheet1!$D$9+N765*[1]Sheet1!$E$9,IF(D765="S. maritimus",F765*[1]Sheet1!$C$10+E765*[1]Sheet1!$D$10+G765*[1]Sheet1!$F$10+[1]Sheet1!$L$10,IF(D765="S. americanus",F765*[1]Sheet1!$C$6+E765*[1]Sheet1!$D$6+[1]Sheet1!$L$6,IF(AND(OR(D765="T. domingensis",D765="T. latifolia"),E765&gt;0),F765*[1]Sheet1!$C$4+E765*[1]Sheet1!$D$4+H765*[1]Sheet1!$J$4+I765*[1]Sheet1!$K$4+[1]Sheet1!$L$4,IF(AND(OR(D765="T. domingensis",D765="T. latifolia"),J765&gt;0),J765*[1]Sheet1!$G$5+K765*[1]Sheet1!$H$5+L765*[1]Sheet1!$I$5+[1]Sheet1!$L$5,0)))))))</f>
        <v>1.5795282499999996</v>
      </c>
    </row>
    <row r="766" spans="1:15">
      <c r="A766" s="2">
        <v>40732</v>
      </c>
      <c r="B766" s="3" t="s">
        <v>33</v>
      </c>
      <c r="C766">
        <v>35</v>
      </c>
      <c r="D766" s="6" t="s">
        <v>29</v>
      </c>
      <c r="E766">
        <v>136</v>
      </c>
      <c r="F766">
        <v>0.73</v>
      </c>
      <c r="O766">
        <f>IF(AND(OR(D766="S. acutus",D766="S. californicus",D766="S. tabernaemontani"),G766=0),E766*[1]Sheet1!$D$7+[1]Sheet1!$L$7,IF(AND(OR(D766="S. acutus",D766="S. tabernaemontani"),G766&gt;0),E766*[1]Sheet1!$D$8+N766*[1]Sheet1!$E$8,IF(AND(D766="S. californicus",G766&gt;0),E766*[1]Sheet1!$D$9+N766*[1]Sheet1!$E$9,IF(D766="S. maritimus",F766*[1]Sheet1!$C$10+E766*[1]Sheet1!$D$10+G766*[1]Sheet1!$F$10+[1]Sheet1!$L$10,IF(D766="S. americanus",F766*[1]Sheet1!$C$6+E766*[1]Sheet1!$D$6+[1]Sheet1!$L$6,IF(AND(OR(D766="T. domingensis",D766="T. latifolia"),E766&gt;0),F766*[1]Sheet1!$C$4+E766*[1]Sheet1!$D$4+H766*[1]Sheet1!$J$4+I766*[1]Sheet1!$K$4+[1]Sheet1!$L$4,IF(AND(OR(D766="T. domingensis",D766="T. latifolia"),J766&gt;0),J766*[1]Sheet1!$G$5+K766*[1]Sheet1!$H$5+L766*[1]Sheet1!$I$5+[1]Sheet1!$L$5,0)))))))</f>
        <v>2.4279666969999991</v>
      </c>
    </row>
    <row r="767" spans="1:15">
      <c r="A767" s="2">
        <v>40732</v>
      </c>
      <c r="B767" s="3" t="s">
        <v>33</v>
      </c>
      <c r="C767">
        <v>35</v>
      </c>
      <c r="D767" s="6" t="s">
        <v>29</v>
      </c>
      <c r="E767">
        <v>138</v>
      </c>
      <c r="F767">
        <v>0.5</v>
      </c>
      <c r="O767">
        <f>IF(AND(OR(D767="S. acutus",D767="S. californicus",D767="S. tabernaemontani"),G767=0),E767*[1]Sheet1!$D$7+[1]Sheet1!$L$7,IF(AND(OR(D767="S. acutus",D767="S. tabernaemontani"),G767&gt;0),E767*[1]Sheet1!$D$8+N767*[1]Sheet1!$E$8,IF(AND(D767="S. californicus",G767&gt;0),E767*[1]Sheet1!$D$9+N767*[1]Sheet1!$E$9,IF(D767="S. maritimus",F767*[1]Sheet1!$C$10+E767*[1]Sheet1!$D$10+G767*[1]Sheet1!$F$10+[1]Sheet1!$L$10,IF(D767="S. americanus",F767*[1]Sheet1!$C$6+E767*[1]Sheet1!$D$6+[1]Sheet1!$L$6,IF(AND(OR(D767="T. domingensis",D767="T. latifolia"),E767&gt;0),F767*[1]Sheet1!$C$4+E767*[1]Sheet1!$D$4+H767*[1]Sheet1!$J$4+I767*[1]Sheet1!$K$4+[1]Sheet1!$L$4,IF(AND(OR(D767="T. domingensis",D767="T. latifolia"),J767&gt;0),J767*[1]Sheet1!$G$5+K767*[1]Sheet1!$H$5+L767*[1]Sheet1!$I$5+[1]Sheet1!$L$5,0)))))))</f>
        <v>1.64225105</v>
      </c>
    </row>
    <row r="768" spans="1:15">
      <c r="A768" s="2">
        <v>40732</v>
      </c>
      <c r="B768" s="3" t="s">
        <v>33</v>
      </c>
      <c r="C768">
        <v>35</v>
      </c>
      <c r="D768" s="6" t="s">
        <v>29</v>
      </c>
      <c r="E768">
        <v>138</v>
      </c>
      <c r="F768">
        <v>0.77</v>
      </c>
      <c r="O768">
        <f>IF(AND(OR(D768="S. acutus",D768="S. californicus",D768="S. tabernaemontani"),G768=0),E768*[1]Sheet1!$D$7+[1]Sheet1!$L$7,IF(AND(OR(D768="S. acutus",D768="S. tabernaemontani"),G768&gt;0),E768*[1]Sheet1!$D$8+N768*[1]Sheet1!$E$8,IF(AND(D768="S. californicus",G768&gt;0),E768*[1]Sheet1!$D$9+N768*[1]Sheet1!$E$9,IF(D768="S. maritimus",F768*[1]Sheet1!$C$10+E768*[1]Sheet1!$D$10+G768*[1]Sheet1!$F$10+[1]Sheet1!$L$10,IF(D768="S. americanus",F768*[1]Sheet1!$C$6+E768*[1]Sheet1!$D$6+[1]Sheet1!$L$6,IF(AND(OR(D768="T. domingensis",D768="T. latifolia"),E768&gt;0),F768*[1]Sheet1!$C$4+E768*[1]Sheet1!$D$4+H768*[1]Sheet1!$J$4+I768*[1]Sheet1!$K$4+[1]Sheet1!$L$4,IF(AND(OR(D768="T. domingensis",D768="T. latifolia"),J768&gt;0),J768*[1]Sheet1!$G$5+K768*[1]Sheet1!$H$5+L768*[1]Sheet1!$I$5+[1]Sheet1!$L$5,0)))))))</f>
        <v>2.601428453</v>
      </c>
    </row>
    <row r="769" spans="1:15">
      <c r="A769" s="2">
        <v>40732</v>
      </c>
      <c r="B769" s="3" t="s">
        <v>33</v>
      </c>
      <c r="C769">
        <v>35</v>
      </c>
      <c r="D769" s="6" t="s">
        <v>29</v>
      </c>
      <c r="E769">
        <v>142</v>
      </c>
      <c r="F769">
        <v>0.49</v>
      </c>
      <c r="O769">
        <f>IF(AND(OR(D769="S. acutus",D769="S. californicus",D769="S. tabernaemontani"),G769=0),E769*[1]Sheet1!$D$7+[1]Sheet1!$L$7,IF(AND(OR(D769="S. acutus",D769="S. tabernaemontani"),G769&gt;0),E769*[1]Sheet1!$D$8+N769*[1]Sheet1!$E$8,IF(AND(D769="S. californicus",G769&gt;0),E769*[1]Sheet1!$D$9+N769*[1]Sheet1!$E$9,IF(D769="S. maritimus",F769*[1]Sheet1!$C$10+E769*[1]Sheet1!$D$10+G769*[1]Sheet1!$F$10+[1]Sheet1!$L$10,IF(D769="S. americanus",F769*[1]Sheet1!$C$6+E769*[1]Sheet1!$D$6+[1]Sheet1!$L$6,IF(AND(OR(D769="T. domingensis",D769="T. latifolia"),E769&gt;0),F769*[1]Sheet1!$C$4+E769*[1]Sheet1!$D$4+H769*[1]Sheet1!$J$4+I769*[1]Sheet1!$K$4+[1]Sheet1!$L$4,IF(AND(OR(D769="T. domingensis",D769="T. latifolia"),J769&gt;0),J769*[1]Sheet1!$G$5+K769*[1]Sheet1!$H$5+L769*[1]Sheet1!$I$5+[1]Sheet1!$L$5,0)))))))</f>
        <v>1.6694487609999995</v>
      </c>
    </row>
    <row r="770" spans="1:15">
      <c r="A770" s="2">
        <v>40732</v>
      </c>
      <c r="B770" s="3" t="s">
        <v>33</v>
      </c>
      <c r="C770">
        <v>35</v>
      </c>
      <c r="D770" s="6" t="s">
        <v>29</v>
      </c>
      <c r="E770">
        <v>143</v>
      </c>
      <c r="F770">
        <v>0.53</v>
      </c>
      <c r="O770">
        <f>IF(AND(OR(D770="S. acutus",D770="S. californicus",D770="S. tabernaemontani"),G770=0),E770*[1]Sheet1!$D$7+[1]Sheet1!$L$7,IF(AND(OR(D770="S. acutus",D770="S. tabernaemontani"),G770&gt;0),E770*[1]Sheet1!$D$8+N770*[1]Sheet1!$E$8,IF(AND(D770="S. californicus",G770&gt;0),E770*[1]Sheet1!$D$9+N770*[1]Sheet1!$E$9,IF(D770="S. maritimus",F770*[1]Sheet1!$C$10+E770*[1]Sheet1!$D$10+G770*[1]Sheet1!$F$10+[1]Sheet1!$L$10,IF(D770="S. americanus",F770*[1]Sheet1!$C$6+E770*[1]Sheet1!$D$6+[1]Sheet1!$L$6,IF(AND(OR(D770="T. domingensis",D770="T. latifolia"),E770&gt;0),F770*[1]Sheet1!$C$4+E770*[1]Sheet1!$D$4+H770*[1]Sheet1!$J$4+I770*[1]Sheet1!$K$4+[1]Sheet1!$L$4,IF(AND(OR(D770="T. domingensis",D770="T. latifolia"),J770&gt;0),J770*[1]Sheet1!$G$5+K770*[1]Sheet1!$H$5+L770*[1]Sheet1!$I$5+[1]Sheet1!$L$5,0)))))))</f>
        <v>1.8272298169999996</v>
      </c>
    </row>
    <row r="771" spans="1:15">
      <c r="A771" s="2">
        <v>40732</v>
      </c>
      <c r="B771" s="3" t="s">
        <v>33</v>
      </c>
      <c r="C771">
        <v>35</v>
      </c>
      <c r="D771" s="6" t="s">
        <v>29</v>
      </c>
      <c r="E771">
        <v>151</v>
      </c>
      <c r="F771">
        <v>0.74</v>
      </c>
      <c r="O771">
        <f>IF(AND(OR(D771="S. acutus",D771="S. californicus",D771="S. tabernaemontani"),G771=0),E771*[1]Sheet1!$D$7+[1]Sheet1!$L$7,IF(AND(OR(D771="S. acutus",D771="S. tabernaemontani"),G771&gt;0),E771*[1]Sheet1!$D$8+N771*[1]Sheet1!$E$8,IF(AND(D771="S. californicus",G771&gt;0),E771*[1]Sheet1!$D$9+N771*[1]Sheet1!$E$9,IF(D771="S. maritimus",F771*[1]Sheet1!$C$10+E771*[1]Sheet1!$D$10+G771*[1]Sheet1!$F$10+[1]Sheet1!$L$10,IF(D771="S. americanus",F771*[1]Sheet1!$C$6+E771*[1]Sheet1!$D$6+[1]Sheet1!$L$6,IF(AND(OR(D771="T. domingensis",D771="T. latifolia"),E771&gt;0),F771*[1]Sheet1!$C$4+E771*[1]Sheet1!$D$4+H771*[1]Sheet1!$J$4+I771*[1]Sheet1!$K$4+[1]Sheet1!$L$4,IF(AND(OR(D771="T. domingensis",D771="T. latifolia"),J771&gt;0),J771*[1]Sheet1!$G$5+K771*[1]Sheet1!$H$5+L771*[1]Sheet1!$I$5+[1]Sheet1!$L$5,0)))))))</f>
        <v>2.6987022860000001</v>
      </c>
    </row>
    <row r="772" spans="1:15">
      <c r="A772" s="2">
        <v>40732</v>
      </c>
      <c r="B772" s="3" t="s">
        <v>33</v>
      </c>
      <c r="C772">
        <v>35</v>
      </c>
      <c r="D772" s="6" t="s">
        <v>29</v>
      </c>
      <c r="E772">
        <v>163</v>
      </c>
      <c r="F772">
        <v>0.4</v>
      </c>
      <c r="O772">
        <f>IF(AND(OR(D772="S. acutus",D772="S. californicus",D772="S. tabernaemontani"),G772=0),E772*[1]Sheet1!$D$7+[1]Sheet1!$L$7,IF(AND(OR(D772="S. acutus",D772="S. tabernaemontani"),G772&gt;0),E772*[1]Sheet1!$D$8+N772*[1]Sheet1!$E$8,IF(AND(D772="S. californicus",G772&gt;0),E772*[1]Sheet1!$D$9+N772*[1]Sheet1!$E$9,IF(D772="S. maritimus",F772*[1]Sheet1!$C$10+E772*[1]Sheet1!$D$10+G772*[1]Sheet1!$F$10+[1]Sheet1!$L$10,IF(D772="S. americanus",F772*[1]Sheet1!$C$6+E772*[1]Sheet1!$D$6+[1]Sheet1!$L$6,IF(AND(OR(D772="T. domingensis",D772="T. latifolia"),E772&gt;0),F772*[1]Sheet1!$C$4+E772*[1]Sheet1!$D$4+H772*[1]Sheet1!$J$4+I772*[1]Sheet1!$K$4+[1]Sheet1!$L$4,IF(AND(OR(D772="T. domingensis",D772="T. latifolia"),J772&gt;0),J772*[1]Sheet1!$G$5+K772*[1]Sheet1!$H$5+L772*[1]Sheet1!$I$5+[1]Sheet1!$L$5,0)))))))</f>
        <v>1.6790176599999995</v>
      </c>
    </row>
    <row r="773" spans="1:15">
      <c r="A773" s="2">
        <v>40732</v>
      </c>
      <c r="B773" s="3" t="s">
        <v>33</v>
      </c>
      <c r="C773">
        <v>35</v>
      </c>
      <c r="D773" s="6" t="s">
        <v>29</v>
      </c>
      <c r="E773">
        <v>166</v>
      </c>
      <c r="F773">
        <v>0.31</v>
      </c>
      <c r="O773">
        <f>IF(AND(OR(D773="S. acutus",D773="S. californicus",D773="S. tabernaemontani"),G773=0),E773*[1]Sheet1!$D$7+[1]Sheet1!$L$7,IF(AND(OR(D773="S. acutus",D773="S. tabernaemontani"),G773&gt;0),E773*[1]Sheet1!$D$8+N773*[1]Sheet1!$E$8,IF(AND(D773="S. californicus",G773&gt;0),E773*[1]Sheet1!$D$9+N773*[1]Sheet1!$E$9,IF(D773="S. maritimus",F773*[1]Sheet1!$C$10+E773*[1]Sheet1!$D$10+G773*[1]Sheet1!$F$10+[1]Sheet1!$L$10,IF(D773="S. americanus",F773*[1]Sheet1!$C$6+E773*[1]Sheet1!$D$6+[1]Sheet1!$L$6,IF(AND(OR(D773="T. domingensis",D773="T. latifolia"),E773&gt;0),F773*[1]Sheet1!$C$4+E773*[1]Sheet1!$D$4+H773*[1]Sheet1!$J$4+I773*[1]Sheet1!$K$4+[1]Sheet1!$L$4,IF(AND(OR(D773="T. domingensis",D773="T. latifolia"),J773&gt;0),J773*[1]Sheet1!$G$5+K773*[1]Sheet1!$H$5+L773*[1]Sheet1!$I$5+[1]Sheet1!$L$5,0)))))))</f>
        <v>1.4063339589999999</v>
      </c>
    </row>
    <row r="774" spans="1:15">
      <c r="A774" s="2">
        <v>40732</v>
      </c>
      <c r="B774" s="3" t="s">
        <v>33</v>
      </c>
      <c r="C774">
        <v>35</v>
      </c>
      <c r="D774" s="6" t="s">
        <v>29</v>
      </c>
      <c r="E774">
        <v>168</v>
      </c>
      <c r="F774">
        <v>0.44</v>
      </c>
      <c r="O774">
        <f>IF(AND(OR(D774="S. acutus",D774="S. californicus",D774="S. tabernaemontani"),G774=0),E774*[1]Sheet1!$D$7+[1]Sheet1!$L$7,IF(AND(OR(D774="S. acutus",D774="S. tabernaemontani"),G774&gt;0),E774*[1]Sheet1!$D$8+N774*[1]Sheet1!$E$8,IF(AND(D774="S. californicus",G774&gt;0),E774*[1]Sheet1!$D$9+N774*[1]Sheet1!$E$9,IF(D774="S. maritimus",F774*[1]Sheet1!$C$10+E774*[1]Sheet1!$D$10+G774*[1]Sheet1!$F$10+[1]Sheet1!$L$10,IF(D774="S. americanus",F774*[1]Sheet1!$C$6+E774*[1]Sheet1!$D$6+[1]Sheet1!$L$6,IF(AND(OR(D774="T. domingensis",D774="T. latifolia"),E774&gt;0),F774*[1]Sheet1!$C$4+E774*[1]Sheet1!$D$4+H774*[1]Sheet1!$J$4+I774*[1]Sheet1!$K$4+[1]Sheet1!$L$4,IF(AND(OR(D774="T. domingensis",D774="T. latifolia"),J774&gt;0),J774*[1]Sheet1!$G$5+K774*[1]Sheet1!$H$5+L774*[1]Sheet1!$I$5+[1]Sheet1!$L$5,0)))))))</f>
        <v>1.8995215159999996</v>
      </c>
    </row>
    <row r="775" spans="1:15">
      <c r="A775" s="2">
        <v>40732</v>
      </c>
      <c r="B775" s="3" t="s">
        <v>33</v>
      </c>
      <c r="C775">
        <v>35</v>
      </c>
      <c r="D775" s="6" t="s">
        <v>29</v>
      </c>
      <c r="E775">
        <v>169</v>
      </c>
      <c r="F775">
        <v>0.71</v>
      </c>
      <c r="O775">
        <f>IF(AND(OR(D775="S. acutus",D775="S. californicus",D775="S. tabernaemontani"),G775=0),E775*[1]Sheet1!$D$7+[1]Sheet1!$L$7,IF(AND(OR(D775="S. acutus",D775="S. tabernaemontani"),G775&gt;0),E775*[1]Sheet1!$D$8+N775*[1]Sheet1!$E$8,IF(AND(D775="S. californicus",G775&gt;0),E775*[1]Sheet1!$D$9+N775*[1]Sheet1!$E$9,IF(D775="S. maritimus",F775*[1]Sheet1!$C$10+E775*[1]Sheet1!$D$10+G775*[1]Sheet1!$F$10+[1]Sheet1!$L$10,IF(D775="S. americanus",F775*[1]Sheet1!$C$6+E775*[1]Sheet1!$D$6+[1]Sheet1!$L$6,IF(AND(OR(D775="T. domingensis",D775="T. latifolia"),E775&gt;0),F775*[1]Sheet1!$C$4+E775*[1]Sheet1!$D$4+H775*[1]Sheet1!$J$4+I775*[1]Sheet1!$K$4+[1]Sheet1!$L$4,IF(AND(OR(D775="T. domingensis",D775="T. latifolia"),J775&gt;0),J775*[1]Sheet1!$G$5+K775*[1]Sheet1!$H$5+L775*[1]Sheet1!$I$5+[1]Sheet1!$L$5,0)))))))</f>
        <v>2.8743796189999995</v>
      </c>
    </row>
    <row r="776" spans="1:15">
      <c r="A776" s="2">
        <v>40732</v>
      </c>
      <c r="B776" s="3" t="s">
        <v>33</v>
      </c>
      <c r="C776">
        <v>35</v>
      </c>
      <c r="D776" s="6" t="s">
        <v>29</v>
      </c>
      <c r="E776">
        <v>169</v>
      </c>
      <c r="F776">
        <v>0.72</v>
      </c>
      <c r="O776">
        <f>IF(AND(OR(D776="S. acutus",D776="S. californicus",D776="S. tabernaemontani"),G776=0),E776*[1]Sheet1!$D$7+[1]Sheet1!$L$7,IF(AND(OR(D776="S. acutus",D776="S. tabernaemontani"),G776&gt;0),E776*[1]Sheet1!$D$8+N776*[1]Sheet1!$E$8,IF(AND(D776="S. californicus",G776&gt;0),E776*[1]Sheet1!$D$9+N776*[1]Sheet1!$E$9,IF(D776="S. maritimus",F776*[1]Sheet1!$C$10+E776*[1]Sheet1!$D$10+G776*[1]Sheet1!$F$10+[1]Sheet1!$L$10,IF(D776="S. americanus",F776*[1]Sheet1!$C$6+E776*[1]Sheet1!$D$6+[1]Sheet1!$L$6,IF(AND(OR(D776="T. domingensis",D776="T. latifolia"),E776&gt;0),F776*[1]Sheet1!$C$4+E776*[1]Sheet1!$D$4+H776*[1]Sheet1!$J$4+I776*[1]Sheet1!$K$4+[1]Sheet1!$L$4,IF(AND(OR(D776="T. domingensis",D776="T. latifolia"),J776&gt;0),J776*[1]Sheet1!$G$5+K776*[1]Sheet1!$H$5+L776*[1]Sheet1!$I$5+[1]Sheet1!$L$5,0)))))))</f>
        <v>2.9099047079999996</v>
      </c>
    </row>
    <row r="777" spans="1:15">
      <c r="A777" s="2">
        <v>40732</v>
      </c>
      <c r="B777" s="3" t="s">
        <v>33</v>
      </c>
      <c r="C777">
        <v>35</v>
      </c>
      <c r="D777" s="6" t="s">
        <v>29</v>
      </c>
      <c r="E777">
        <v>170</v>
      </c>
      <c r="F777">
        <v>0.82</v>
      </c>
      <c r="O777">
        <f>IF(AND(OR(D777="S. acutus",D777="S. californicus",D777="S. tabernaemontani"),G777=0),E777*[1]Sheet1!$D$7+[1]Sheet1!$L$7,IF(AND(OR(D777="S. acutus",D777="S. tabernaemontani"),G777&gt;0),E777*[1]Sheet1!$D$8+N777*[1]Sheet1!$E$8,IF(AND(D777="S. californicus",G777&gt;0),E777*[1]Sheet1!$D$9+N777*[1]Sheet1!$E$9,IF(D777="S. maritimus",F777*[1]Sheet1!$C$10+E777*[1]Sheet1!$D$10+G777*[1]Sheet1!$F$10+[1]Sheet1!$L$10,IF(D777="S. americanus",F777*[1]Sheet1!$C$6+E777*[1]Sheet1!$D$6+[1]Sheet1!$L$6,IF(AND(OR(D777="T. domingensis",D777="T. latifolia"),E777&gt;0),F777*[1]Sheet1!$C$4+E777*[1]Sheet1!$D$4+H777*[1]Sheet1!$J$4+I777*[1]Sheet1!$K$4+[1]Sheet1!$L$4,IF(AND(OR(D777="T. domingensis",D777="T. latifolia"),J777&gt;0),J777*[1]Sheet1!$G$5+K777*[1]Sheet1!$H$5+L777*[1]Sheet1!$I$5+[1]Sheet1!$L$5,0)))))))</f>
        <v>3.2808362979999992</v>
      </c>
    </row>
    <row r="778" spans="1:15">
      <c r="A778" s="2">
        <v>40732</v>
      </c>
      <c r="B778" s="3" t="s">
        <v>33</v>
      </c>
      <c r="C778">
        <v>35</v>
      </c>
      <c r="D778" s="6" t="s">
        <v>29</v>
      </c>
      <c r="E778">
        <v>173</v>
      </c>
      <c r="F778">
        <v>0.72</v>
      </c>
      <c r="O778">
        <f>IF(AND(OR(D778="S. acutus",D778="S. californicus",D778="S. tabernaemontani"),G778=0),E778*[1]Sheet1!$D$7+[1]Sheet1!$L$7,IF(AND(OR(D778="S. acutus",D778="S. tabernaemontani"),G778&gt;0),E778*[1]Sheet1!$D$8+N778*[1]Sheet1!$E$8,IF(AND(D778="S. californicus",G778&gt;0),E778*[1]Sheet1!$D$9+N778*[1]Sheet1!$E$9,IF(D778="S. maritimus",F778*[1]Sheet1!$C$10+E778*[1]Sheet1!$D$10+G778*[1]Sheet1!$F$10+[1]Sheet1!$L$10,IF(D778="S. americanus",F778*[1]Sheet1!$C$6+E778*[1]Sheet1!$D$6+[1]Sheet1!$L$6,IF(AND(OR(D778="T. domingensis",D778="T. latifolia"),E778&gt;0),F778*[1]Sheet1!$C$4+E778*[1]Sheet1!$D$4+H778*[1]Sheet1!$J$4+I778*[1]Sheet1!$K$4+[1]Sheet1!$L$4,IF(AND(OR(D778="T. domingensis",D778="T. latifolia"),J778&gt;0),J778*[1]Sheet1!$G$5+K778*[1]Sheet1!$H$5+L778*[1]Sheet1!$I$5+[1]Sheet1!$L$5,0)))))))</f>
        <v>2.9726275079999991</v>
      </c>
    </row>
    <row r="779" spans="1:15">
      <c r="A779" s="2">
        <v>40732</v>
      </c>
      <c r="B779" s="3" t="s">
        <v>33</v>
      </c>
      <c r="C779">
        <v>35</v>
      </c>
      <c r="D779" s="6" t="s">
        <v>29</v>
      </c>
      <c r="E779">
        <v>185</v>
      </c>
      <c r="F779">
        <v>0.57999999999999996</v>
      </c>
      <c r="O779">
        <f>IF(AND(OR(D779="S. acutus",D779="S. californicus",D779="S. tabernaemontani"),G779=0),E779*[1]Sheet1!$D$7+[1]Sheet1!$L$7,IF(AND(OR(D779="S. acutus",D779="S. tabernaemontani"),G779&gt;0),E779*[1]Sheet1!$D$8+N779*[1]Sheet1!$E$8,IF(AND(D779="S. californicus",G779&gt;0),E779*[1]Sheet1!$D$9+N779*[1]Sheet1!$E$9,IF(D779="S. maritimus",F779*[1]Sheet1!$C$10+E779*[1]Sheet1!$D$10+G779*[1]Sheet1!$F$10+[1]Sheet1!$L$10,IF(D779="S. americanus",F779*[1]Sheet1!$C$6+E779*[1]Sheet1!$D$6+[1]Sheet1!$L$6,IF(AND(OR(D779="T. domingensis",D779="T. latifolia"),E779&gt;0),F779*[1]Sheet1!$C$4+E779*[1]Sheet1!$D$4+H779*[1]Sheet1!$J$4+I779*[1]Sheet1!$K$4+[1]Sheet1!$L$4,IF(AND(OR(D779="T. domingensis",D779="T. latifolia"),J779&gt;0),J779*[1]Sheet1!$G$5+K779*[1]Sheet1!$H$5+L779*[1]Sheet1!$I$5+[1]Sheet1!$L$5,0)))))))</f>
        <v>2.6634446619999994</v>
      </c>
    </row>
    <row r="780" spans="1:15">
      <c r="A780" s="2">
        <v>40732</v>
      </c>
      <c r="B780" s="3" t="s">
        <v>33</v>
      </c>
      <c r="C780">
        <v>35</v>
      </c>
      <c r="D780" s="6" t="s">
        <v>29</v>
      </c>
      <c r="E780">
        <v>198</v>
      </c>
      <c r="F780">
        <v>0.7</v>
      </c>
      <c r="O780">
        <f>IF(AND(OR(D780="S. acutus",D780="S. californicus",D780="S. tabernaemontani"),G780=0),E780*[1]Sheet1!$D$7+[1]Sheet1!$L$7,IF(AND(OR(D780="S. acutus",D780="S. tabernaemontani"),G780&gt;0),E780*[1]Sheet1!$D$8+N780*[1]Sheet1!$E$8,IF(AND(D780="S. californicus",G780&gt;0),E780*[1]Sheet1!$D$9+N780*[1]Sheet1!$E$9,IF(D780="S. maritimus",F780*[1]Sheet1!$C$10+E780*[1]Sheet1!$D$10+G780*[1]Sheet1!$F$10+[1]Sheet1!$L$10,IF(D780="S. americanus",F780*[1]Sheet1!$C$6+E780*[1]Sheet1!$D$6+[1]Sheet1!$L$6,IF(AND(OR(D780="T. domingensis",D780="T. latifolia"),E780&gt;0),F780*[1]Sheet1!$C$4+E780*[1]Sheet1!$D$4+H780*[1]Sheet1!$J$4+I780*[1]Sheet1!$K$4+[1]Sheet1!$L$4,IF(AND(OR(D780="T. domingensis",D780="T. latifolia"),J780&gt;0),J780*[1]Sheet1!$G$5+K780*[1]Sheet1!$H$5+L780*[1]Sheet1!$I$5+[1]Sheet1!$L$5,0)))))))</f>
        <v>3.2935948299999995</v>
      </c>
    </row>
    <row r="781" spans="1:15">
      <c r="A781" s="2">
        <v>40732</v>
      </c>
      <c r="B781" s="3" t="s">
        <v>33</v>
      </c>
      <c r="C781">
        <v>35</v>
      </c>
      <c r="D781" s="6" t="s">
        <v>29</v>
      </c>
      <c r="E781" s="15">
        <v>199</v>
      </c>
      <c r="F781">
        <v>0.8</v>
      </c>
      <c r="O781">
        <f>IF(AND(OR(D781="S. acutus",D781="S. californicus",D781="S. tabernaemontani"),G781=0),E781*[1]Sheet1!$D$7+[1]Sheet1!$L$7,IF(AND(OR(D781="S. acutus",D781="S. tabernaemontani"),G781&gt;0),E781*[1]Sheet1!$D$8+N781*[1]Sheet1!$E$8,IF(AND(D781="S. californicus",G781&gt;0),E781*[1]Sheet1!$D$9+N781*[1]Sheet1!$E$9,IF(D781="S. maritimus",F781*[1]Sheet1!$C$10+E781*[1]Sheet1!$D$10+G781*[1]Sheet1!$F$10+[1]Sheet1!$L$10,IF(D781="S. americanus",F781*[1]Sheet1!$C$6+E781*[1]Sheet1!$D$6+[1]Sheet1!$L$6,IF(AND(OR(D781="T. domingensis",D781="T. latifolia"),E781&gt;0),F781*[1]Sheet1!$C$4+E781*[1]Sheet1!$D$4+H781*[1]Sheet1!$J$4+I781*[1]Sheet1!$K$4+[1]Sheet1!$L$4,IF(AND(OR(D781="T. domingensis",D781="T. latifolia"),J781&gt;0),J781*[1]Sheet1!$G$5+K781*[1]Sheet1!$H$5+L781*[1]Sheet1!$I$5+[1]Sheet1!$L$5,0)))))))</f>
        <v>3.6645264200000001</v>
      </c>
    </row>
    <row r="782" spans="1:15">
      <c r="A782" s="2">
        <v>40732</v>
      </c>
      <c r="B782" s="3" t="s">
        <v>33</v>
      </c>
      <c r="C782">
        <v>35</v>
      </c>
      <c r="D782" s="6" t="s">
        <v>29</v>
      </c>
      <c r="E782">
        <v>201</v>
      </c>
      <c r="F782">
        <v>0.45</v>
      </c>
      <c r="O782">
        <f>IF(AND(OR(D782="S. acutus",D782="S. californicus",D782="S. tabernaemontani"),G782=0),E782*[1]Sheet1!$D$7+[1]Sheet1!$L$7,IF(AND(OR(D782="S. acutus",D782="S. tabernaemontani"),G782&gt;0),E782*[1]Sheet1!$D$8+N782*[1]Sheet1!$E$8,IF(AND(D782="S. californicus",G782&gt;0),E782*[1]Sheet1!$D$9+N782*[1]Sheet1!$E$9,IF(D782="S. maritimus",F782*[1]Sheet1!$C$10+E782*[1]Sheet1!$D$10+G782*[1]Sheet1!$F$10+[1]Sheet1!$L$10,IF(D782="S. americanus",F782*[1]Sheet1!$C$6+E782*[1]Sheet1!$D$6+[1]Sheet1!$L$6,IF(AND(OR(D782="T. domingensis",D782="T. latifolia"),E782&gt;0),F782*[1]Sheet1!$C$4+E782*[1]Sheet1!$D$4+H782*[1]Sheet1!$J$4+I782*[1]Sheet1!$K$4+[1]Sheet1!$L$4,IF(AND(OR(D782="T. domingensis",D782="T. latifolia"),J782&gt;0),J782*[1]Sheet1!$G$5+K782*[1]Sheet1!$H$5+L782*[1]Sheet1!$I$5+[1]Sheet1!$L$5,0)))))))</f>
        <v>2.4525097049999993</v>
      </c>
    </row>
    <row r="783" spans="1:15">
      <c r="A783" s="2">
        <v>40732</v>
      </c>
      <c r="B783" s="3" t="s">
        <v>33</v>
      </c>
      <c r="C783">
        <v>35</v>
      </c>
      <c r="D783" s="6" t="s">
        <v>29</v>
      </c>
      <c r="E783">
        <v>210</v>
      </c>
      <c r="F783">
        <v>0.74</v>
      </c>
      <c r="O783">
        <f>IF(AND(OR(D783="S. acutus",D783="S. californicus",D783="S. tabernaemontani"),G783=0),E783*[1]Sheet1!$D$7+[1]Sheet1!$L$7,IF(AND(OR(D783="S. acutus",D783="S. tabernaemontani"),G783&gt;0),E783*[1]Sheet1!$D$8+N783*[1]Sheet1!$E$8,IF(AND(D783="S. californicus",G783&gt;0),E783*[1]Sheet1!$D$9+N783*[1]Sheet1!$E$9,IF(D783="S. maritimus",F783*[1]Sheet1!$C$10+E783*[1]Sheet1!$D$10+G783*[1]Sheet1!$F$10+[1]Sheet1!$L$10,IF(D783="S. americanus",F783*[1]Sheet1!$C$6+E783*[1]Sheet1!$D$6+[1]Sheet1!$L$6,IF(AND(OR(D783="T. domingensis",D783="T. latifolia"),E783&gt;0),F783*[1]Sheet1!$C$4+E783*[1]Sheet1!$D$4+H783*[1]Sheet1!$J$4+I783*[1]Sheet1!$K$4+[1]Sheet1!$L$4,IF(AND(OR(D783="T. domingensis",D783="T. latifolia"),J783&gt;0),J783*[1]Sheet1!$G$5+K783*[1]Sheet1!$H$5+L783*[1]Sheet1!$I$5+[1]Sheet1!$L$5,0)))))))</f>
        <v>3.6238635859999992</v>
      </c>
    </row>
    <row r="784" spans="1:15">
      <c r="A784" s="2">
        <v>40732</v>
      </c>
      <c r="B784" s="3" t="s">
        <v>33</v>
      </c>
      <c r="C784">
        <v>35</v>
      </c>
      <c r="D784" s="6" t="s">
        <v>29</v>
      </c>
      <c r="E784">
        <v>211</v>
      </c>
      <c r="F784">
        <v>0.6</v>
      </c>
      <c r="O784">
        <f>IF(AND(OR(D784="S. acutus",D784="S. californicus",D784="S. tabernaemontani"),G784=0),E784*[1]Sheet1!$D$7+[1]Sheet1!$L$7,IF(AND(OR(D784="S. acutus",D784="S. tabernaemontani"),G784&gt;0),E784*[1]Sheet1!$D$8+N784*[1]Sheet1!$E$8,IF(AND(D784="S. californicus",G784&gt;0),E784*[1]Sheet1!$D$9+N784*[1]Sheet1!$E$9,IF(D784="S. maritimus",F784*[1]Sheet1!$C$10+E784*[1]Sheet1!$D$10+G784*[1]Sheet1!$F$10+[1]Sheet1!$L$10,IF(D784="S. americanus",F784*[1]Sheet1!$C$6+E784*[1]Sheet1!$D$6+[1]Sheet1!$L$6,IF(AND(OR(D784="T. domingensis",D784="T. latifolia"),E784&gt;0),F784*[1]Sheet1!$C$4+E784*[1]Sheet1!$D$4+H784*[1]Sheet1!$J$4+I784*[1]Sheet1!$K$4+[1]Sheet1!$L$4,IF(AND(OR(D784="T. domingensis",D784="T. latifolia"),J784&gt;0),J784*[1]Sheet1!$G$5+K784*[1]Sheet1!$H$5+L784*[1]Sheet1!$I$5+[1]Sheet1!$L$5,0)))))))</f>
        <v>3.1421930399999991</v>
      </c>
    </row>
    <row r="785" spans="1:15">
      <c r="A785" s="2">
        <v>40732</v>
      </c>
      <c r="B785" s="3" t="s">
        <v>33</v>
      </c>
      <c r="C785">
        <v>35</v>
      </c>
      <c r="D785" s="6" t="s">
        <v>29</v>
      </c>
      <c r="E785">
        <v>217</v>
      </c>
      <c r="F785">
        <v>0.69</v>
      </c>
      <c r="O785">
        <f>IF(AND(OR(D785="S. acutus",D785="S. californicus",D785="S. tabernaemontani"),G785=0),E785*[1]Sheet1!$D$7+[1]Sheet1!$L$7,IF(AND(OR(D785="S. acutus",D785="S. tabernaemontani"),G785&gt;0),E785*[1]Sheet1!$D$8+N785*[1]Sheet1!$E$8,IF(AND(D785="S. californicus",G785&gt;0),E785*[1]Sheet1!$D$9+N785*[1]Sheet1!$E$9,IF(D785="S. maritimus",F785*[1]Sheet1!$C$10+E785*[1]Sheet1!$D$10+G785*[1]Sheet1!$F$10+[1]Sheet1!$L$10,IF(D785="S. americanus",F785*[1]Sheet1!$C$6+E785*[1]Sheet1!$D$6+[1]Sheet1!$L$6,IF(AND(OR(D785="T. domingensis",D785="T. latifolia"),E785&gt;0),F785*[1]Sheet1!$C$4+E785*[1]Sheet1!$D$4+H785*[1]Sheet1!$J$4+I785*[1]Sheet1!$K$4+[1]Sheet1!$L$4,IF(AND(OR(D785="T. domingensis",D785="T. latifolia"),J785&gt;0),J785*[1]Sheet1!$G$5+K785*[1]Sheet1!$H$5+L785*[1]Sheet1!$I$5+[1]Sheet1!$L$5,0)))))))</f>
        <v>3.556003040999999</v>
      </c>
    </row>
    <row r="786" spans="1:15">
      <c r="A786" s="2">
        <v>40732</v>
      </c>
      <c r="B786" s="3" t="s">
        <v>33</v>
      </c>
      <c r="C786">
        <v>35</v>
      </c>
      <c r="D786" s="6" t="s">
        <v>29</v>
      </c>
      <c r="E786">
        <v>219</v>
      </c>
      <c r="F786">
        <v>0.5</v>
      </c>
      <c r="O786">
        <f>IF(AND(OR(D786="S. acutus",D786="S. californicus",D786="S. tabernaemontani"),G786=0),E786*[1]Sheet1!$D$7+[1]Sheet1!$L$7,IF(AND(OR(D786="S. acutus",D786="S. tabernaemontani"),G786&gt;0),E786*[1]Sheet1!$D$8+N786*[1]Sheet1!$E$8,IF(AND(D786="S. californicus",G786&gt;0),E786*[1]Sheet1!$D$9+N786*[1]Sheet1!$E$9,IF(D786="S. maritimus",F786*[1]Sheet1!$C$10+E786*[1]Sheet1!$D$10+G786*[1]Sheet1!$F$10+[1]Sheet1!$L$10,IF(D786="S. americanus",F786*[1]Sheet1!$C$6+E786*[1]Sheet1!$D$6+[1]Sheet1!$L$6,IF(AND(OR(D786="T. domingensis",D786="T. latifolia"),E786&gt;0),F786*[1]Sheet1!$C$4+E786*[1]Sheet1!$D$4+H786*[1]Sheet1!$J$4+I786*[1]Sheet1!$K$4+[1]Sheet1!$L$4,IF(AND(OR(D786="T. domingensis",D786="T. latifolia"),J786&gt;0),J786*[1]Sheet1!$G$5+K786*[1]Sheet1!$H$5+L786*[1]Sheet1!$I$5+[1]Sheet1!$L$5,0)))))))</f>
        <v>2.9123877499999993</v>
      </c>
    </row>
    <row r="787" spans="1:15">
      <c r="A787" s="2">
        <v>40732</v>
      </c>
      <c r="B787" s="3" t="s">
        <v>33</v>
      </c>
      <c r="C787">
        <v>35</v>
      </c>
      <c r="D787" s="6" t="s">
        <v>29</v>
      </c>
      <c r="E787" s="15">
        <v>236</v>
      </c>
      <c r="F787">
        <v>0.67</v>
      </c>
      <c r="O787">
        <f>IF(AND(OR(D787="S. acutus",D787="S. californicus",D787="S. tabernaemontani"),G787=0),E787*[1]Sheet1!$D$7+[1]Sheet1!$L$7,IF(AND(OR(D787="S. acutus",D787="S. tabernaemontani"),G787&gt;0),E787*[1]Sheet1!$D$8+N787*[1]Sheet1!$E$8,IF(AND(D787="S. californicus",G787&gt;0),E787*[1]Sheet1!$D$9+N787*[1]Sheet1!$E$9,IF(D787="S. maritimus",F787*[1]Sheet1!$C$10+E787*[1]Sheet1!$D$10+G787*[1]Sheet1!$F$10+[1]Sheet1!$L$10,IF(D787="S. americanus",F787*[1]Sheet1!$C$6+E787*[1]Sheet1!$D$6+[1]Sheet1!$L$6,IF(AND(OR(D787="T. domingensis",D787="T. latifolia"),E787&gt;0),F787*[1]Sheet1!$C$4+E787*[1]Sheet1!$D$4+H787*[1]Sheet1!$J$4+I787*[1]Sheet1!$K$4+[1]Sheet1!$L$4,IF(AND(OR(D787="T. domingensis",D787="T. latifolia"),J787&gt;0),J787*[1]Sheet1!$G$5+K787*[1]Sheet1!$H$5+L787*[1]Sheet1!$I$5+[1]Sheet1!$L$5,0)))))))</f>
        <v>3.7828861629999992</v>
      </c>
    </row>
    <row r="788" spans="1:15">
      <c r="A788" s="2">
        <v>40732</v>
      </c>
      <c r="B788" s="3" t="s">
        <v>33</v>
      </c>
      <c r="C788">
        <v>35</v>
      </c>
      <c r="D788" s="6" t="s">
        <v>29</v>
      </c>
      <c r="E788">
        <v>247</v>
      </c>
      <c r="F788">
        <v>0.53</v>
      </c>
      <c r="O788">
        <f>IF(AND(OR(D788="S. acutus",D788="S. californicus",D788="S. tabernaemontani"),G788=0),E788*[1]Sheet1!$D$7+[1]Sheet1!$L$7,IF(AND(OR(D788="S. acutus",D788="S. tabernaemontani"),G788&gt;0),E788*[1]Sheet1!$D$8+N788*[1]Sheet1!$E$8,IF(AND(D788="S. californicus",G788&gt;0),E788*[1]Sheet1!$D$9+N788*[1]Sheet1!$E$9,IF(D788="S. maritimus",F788*[1]Sheet1!$C$10+E788*[1]Sheet1!$D$10+G788*[1]Sheet1!$F$10+[1]Sheet1!$L$10,IF(D788="S. americanus",F788*[1]Sheet1!$C$6+E788*[1]Sheet1!$D$6+[1]Sheet1!$L$6,IF(AND(OR(D788="T. domingensis",D788="T. latifolia"),E788&gt;0),F788*[1]Sheet1!$C$4+E788*[1]Sheet1!$D$4+H788*[1]Sheet1!$J$4+I788*[1]Sheet1!$K$4+[1]Sheet1!$L$4,IF(AND(OR(D788="T. domingensis",D788="T. latifolia"),J788&gt;0),J788*[1]Sheet1!$G$5+K788*[1]Sheet1!$H$5+L788*[1]Sheet1!$I$5+[1]Sheet1!$L$5,0)))))))</f>
        <v>3.4580226169999997</v>
      </c>
    </row>
    <row r="789" spans="1:15">
      <c r="A789" s="2">
        <v>40732</v>
      </c>
      <c r="B789" s="3" t="s">
        <v>33</v>
      </c>
      <c r="C789">
        <v>35</v>
      </c>
      <c r="D789" s="6" t="s">
        <v>29</v>
      </c>
      <c r="E789">
        <v>258</v>
      </c>
      <c r="F789">
        <v>0.77</v>
      </c>
      <c r="O789">
        <f>IF(AND(OR(D789="S. acutus",D789="S. californicus",D789="S. tabernaemontani"),G789=0),E789*[1]Sheet1!$D$7+[1]Sheet1!$L$7,IF(AND(OR(D789="S. acutus",D789="S. tabernaemontani"),G789&gt;0),E789*[1]Sheet1!$D$8+N789*[1]Sheet1!$E$8,IF(AND(D789="S. californicus",G789&gt;0),E789*[1]Sheet1!$D$9+N789*[1]Sheet1!$E$9,IF(D789="S. maritimus",F789*[1]Sheet1!$C$10+E789*[1]Sheet1!$D$10+G789*[1]Sheet1!$F$10+[1]Sheet1!$L$10,IF(D789="S. americanus",F789*[1]Sheet1!$C$6+E789*[1]Sheet1!$D$6+[1]Sheet1!$L$6,IF(AND(OR(D789="T. domingensis",D789="T. latifolia"),E789&gt;0),F789*[1]Sheet1!$C$4+E789*[1]Sheet1!$D$4+H789*[1]Sheet1!$J$4+I789*[1]Sheet1!$K$4+[1]Sheet1!$L$4,IF(AND(OR(D789="T. domingensis",D789="T. latifolia"),J789&gt;0),J789*[1]Sheet1!$G$5+K789*[1]Sheet1!$H$5+L789*[1]Sheet1!$I$5+[1]Sheet1!$L$5,0)))))))</f>
        <v>4.4831124529999986</v>
      </c>
    </row>
    <row r="790" spans="1:15">
      <c r="A790" s="2">
        <v>40731</v>
      </c>
      <c r="B790" s="3" t="s">
        <v>28</v>
      </c>
      <c r="C790">
        <v>2</v>
      </c>
      <c r="D790" s="6" t="s">
        <v>19</v>
      </c>
      <c r="E790">
        <v>144</v>
      </c>
      <c r="F790">
        <v>2.35</v>
      </c>
      <c r="H790">
        <v>24</v>
      </c>
      <c r="I790">
        <v>0.7</v>
      </c>
      <c r="O790">
        <f>IF(AND(OR(D790="S. acutus",D790="S. californicus",D790="S. tabernaemontani"),G790=0),E790*[1]Sheet1!$D$7+[1]Sheet1!$L$7,IF(AND(OR(D790="S. acutus",D790="S. tabernaemontani"),G790&gt;0),E790*[1]Sheet1!$D$8+N790*[1]Sheet1!$E$8,IF(AND(D790="S. californicus",G790&gt;0),E790*[1]Sheet1!$D$9+N790*[1]Sheet1!$E$9,IF(D790="S. maritimus",F790*[1]Sheet1!$C$10+E790*[1]Sheet1!$D$10+G790*[1]Sheet1!$F$10+[1]Sheet1!$L$10,IF(D790="S. americanus",F790*[1]Sheet1!$C$6+E790*[1]Sheet1!$D$6+[1]Sheet1!$L$6,IF(AND(OR(D790="T. domingensis",D790="T. latifolia"),E790&gt;0),F790*[1]Sheet1!$C$4+E790*[1]Sheet1!$D$4+H790*[1]Sheet1!$J$4+I790*[1]Sheet1!$K$4+[1]Sheet1!$L$4,IF(AND(OR(D790="T. domingensis",D790="T. latifolia"),J790&gt;0),J790*[1]Sheet1!$G$5+K790*[1]Sheet1!$H$5+L790*[1]Sheet1!$I$5+[1]Sheet1!$L$5,0)))))))</f>
        <v>25.397183150000004</v>
      </c>
    </row>
    <row r="791" spans="1:15">
      <c r="A791" s="2">
        <v>40731</v>
      </c>
      <c r="B791" s="3" t="s">
        <v>28</v>
      </c>
      <c r="C791">
        <v>2</v>
      </c>
      <c r="D791" s="6" t="s">
        <v>19</v>
      </c>
      <c r="E791">
        <v>151</v>
      </c>
      <c r="F791">
        <v>3.1</v>
      </c>
      <c r="H791">
        <v>28</v>
      </c>
      <c r="I791">
        <v>0.8</v>
      </c>
      <c r="O791">
        <f>IF(AND(OR(D791="S. acutus",D791="S. californicus",D791="S. tabernaemontani"),G791=0),E791*[1]Sheet1!$D$7+[1]Sheet1!$L$7,IF(AND(OR(D791="S. acutus",D791="S. tabernaemontani"),G791&gt;0),E791*[1]Sheet1!$D$8+N791*[1]Sheet1!$E$8,IF(AND(D791="S. californicus",G791&gt;0),E791*[1]Sheet1!$D$9+N791*[1]Sheet1!$E$9,IF(D791="S. maritimus",F791*[1]Sheet1!$C$10+E791*[1]Sheet1!$D$10+G791*[1]Sheet1!$F$10+[1]Sheet1!$L$10,IF(D791="S. americanus",F791*[1]Sheet1!$C$6+E791*[1]Sheet1!$D$6+[1]Sheet1!$L$6,IF(AND(OR(D791="T. domingensis",D791="T. latifolia"),E791&gt;0),F791*[1]Sheet1!$C$4+E791*[1]Sheet1!$D$4+H791*[1]Sheet1!$J$4+I791*[1]Sheet1!$K$4+[1]Sheet1!$L$4,IF(AND(OR(D791="T. domingensis",D791="T. latifolia"),J791&gt;0),J791*[1]Sheet1!$G$5+K791*[1]Sheet1!$H$5+L791*[1]Sheet1!$I$5+[1]Sheet1!$L$5,0)))))))</f>
        <v>47.440084899999988</v>
      </c>
    </row>
    <row r="792" spans="1:15">
      <c r="A792" s="2">
        <v>40731</v>
      </c>
      <c r="B792" s="3" t="s">
        <v>28</v>
      </c>
      <c r="C792">
        <v>2</v>
      </c>
      <c r="D792" s="6" t="s">
        <v>19</v>
      </c>
      <c r="E792">
        <v>212</v>
      </c>
      <c r="F792">
        <v>2.12</v>
      </c>
      <c r="H792">
        <v>17</v>
      </c>
      <c r="I792">
        <v>1.7</v>
      </c>
      <c r="O792">
        <f>IF(AND(OR(D792="S. acutus",D792="S. californicus",D792="S. tabernaemontani"),G792=0),E792*[1]Sheet1!$D$7+[1]Sheet1!$L$7,IF(AND(OR(D792="S. acutus",D792="S. tabernaemontani"),G792&gt;0),E792*[1]Sheet1!$D$8+N792*[1]Sheet1!$E$8,IF(AND(D792="S. californicus",G792&gt;0),E792*[1]Sheet1!$D$9+N792*[1]Sheet1!$E$9,IF(D792="S. maritimus",F792*[1]Sheet1!$C$10+E792*[1]Sheet1!$D$10+G792*[1]Sheet1!$F$10+[1]Sheet1!$L$10,IF(D792="S. americanus",F792*[1]Sheet1!$C$6+E792*[1]Sheet1!$D$6+[1]Sheet1!$L$6,IF(AND(OR(D792="T. domingensis",D792="T. latifolia"),E792&gt;0),F792*[1]Sheet1!$C$4+E792*[1]Sheet1!$D$4+H792*[1]Sheet1!$J$4+I792*[1]Sheet1!$K$4+[1]Sheet1!$L$4,IF(AND(OR(D792="T. domingensis",D792="T. latifolia"),J792&gt;0),J792*[1]Sheet1!$G$5+K792*[1]Sheet1!$H$5+L792*[1]Sheet1!$I$5+[1]Sheet1!$L$5,0)))))))</f>
        <v>52.594867440000002</v>
      </c>
    </row>
    <row r="793" spans="1:15">
      <c r="A793" s="2">
        <v>40731</v>
      </c>
      <c r="B793" s="3" t="s">
        <v>28</v>
      </c>
      <c r="C793">
        <v>2</v>
      </c>
      <c r="D793" s="6" t="s">
        <v>19</v>
      </c>
      <c r="E793">
        <v>222</v>
      </c>
      <c r="F793">
        <v>2.0499999999999998</v>
      </c>
      <c r="H793">
        <v>26</v>
      </c>
      <c r="I793">
        <v>2.5</v>
      </c>
      <c r="O793">
        <f>IF(AND(OR(D793="S. acutus",D793="S. californicus",D793="S. tabernaemontani"),G793=0),E793*[1]Sheet1!$D$7+[1]Sheet1!$L$7,IF(AND(OR(D793="S. acutus",D793="S. tabernaemontani"),G793&gt;0),E793*[1]Sheet1!$D$8+N793*[1]Sheet1!$E$8,IF(AND(D793="S. californicus",G793&gt;0),E793*[1]Sheet1!$D$9+N793*[1]Sheet1!$E$9,IF(D793="S. maritimus",F793*[1]Sheet1!$C$10+E793*[1]Sheet1!$D$10+G793*[1]Sheet1!$F$10+[1]Sheet1!$L$10,IF(D793="S. americanus",F793*[1]Sheet1!$C$6+E793*[1]Sheet1!$D$6+[1]Sheet1!$L$6,IF(AND(OR(D793="T. domingensis",D793="T. latifolia"),E793&gt;0),F793*[1]Sheet1!$C$4+E793*[1]Sheet1!$D$4+H793*[1]Sheet1!$J$4+I793*[1]Sheet1!$K$4+[1]Sheet1!$L$4,IF(AND(OR(D793="T. domingensis",D793="T. latifolia"),J793&gt;0),J793*[1]Sheet1!$G$5+K793*[1]Sheet1!$H$5+L793*[1]Sheet1!$I$5+[1]Sheet1!$L$5,0)))))))</f>
        <v>76.637784449999998</v>
      </c>
    </row>
    <row r="794" spans="1:15">
      <c r="A794" s="2">
        <v>40731</v>
      </c>
      <c r="B794" s="3" t="s">
        <v>28</v>
      </c>
      <c r="C794">
        <v>2</v>
      </c>
      <c r="D794" s="6" t="s">
        <v>19</v>
      </c>
      <c r="E794">
        <v>233</v>
      </c>
      <c r="F794">
        <v>2.48</v>
      </c>
      <c r="H794">
        <v>24</v>
      </c>
      <c r="I794">
        <v>2</v>
      </c>
      <c r="O794">
        <f>IF(AND(OR(D794="S. acutus",D794="S. californicus",D794="S. tabernaemontani"),G794=0),E794*[1]Sheet1!$D$7+[1]Sheet1!$L$7,IF(AND(OR(D794="S. acutus",D794="S. tabernaemontani"),G794&gt;0),E794*[1]Sheet1!$D$8+N794*[1]Sheet1!$E$8,IF(AND(D794="S. californicus",G794&gt;0),E794*[1]Sheet1!$D$9+N794*[1]Sheet1!$E$9,IF(D794="S. maritimus",F794*[1]Sheet1!$C$10+E794*[1]Sheet1!$D$10+G794*[1]Sheet1!$F$10+[1]Sheet1!$L$10,IF(D794="S. americanus",F794*[1]Sheet1!$C$6+E794*[1]Sheet1!$D$6+[1]Sheet1!$L$6,IF(AND(OR(D794="T. domingensis",D794="T. latifolia"),E794&gt;0),F794*[1]Sheet1!$C$4+E794*[1]Sheet1!$D$4+H794*[1]Sheet1!$J$4+I794*[1]Sheet1!$K$4+[1]Sheet1!$L$4,IF(AND(OR(D794="T. domingensis",D794="T. latifolia"),J794&gt;0),J794*[1]Sheet1!$G$5+K794*[1]Sheet1!$H$5+L794*[1]Sheet1!$I$5+[1]Sheet1!$L$5,0)))))))</f>
        <v>77.665359560000013</v>
      </c>
    </row>
    <row r="795" spans="1:15">
      <c r="A795" s="2">
        <v>40731</v>
      </c>
      <c r="B795" s="3" t="s">
        <v>28</v>
      </c>
      <c r="C795">
        <v>2</v>
      </c>
      <c r="D795" s="6" t="s">
        <v>19</v>
      </c>
      <c r="E795">
        <v>243</v>
      </c>
      <c r="F795">
        <v>3</v>
      </c>
      <c r="H795">
        <v>32</v>
      </c>
      <c r="I795">
        <v>2</v>
      </c>
      <c r="O795">
        <f>IF(AND(OR(D795="S. acutus",D795="S. californicus",D795="S. tabernaemontani"),G795=0),E795*[1]Sheet1!$D$7+[1]Sheet1!$L$7,IF(AND(OR(D795="S. acutus",D795="S. tabernaemontani"),G795&gt;0),E795*[1]Sheet1!$D$8+N795*[1]Sheet1!$E$8,IF(AND(D795="S. californicus",G795&gt;0),E795*[1]Sheet1!$D$9+N795*[1]Sheet1!$E$9,IF(D795="S. maritimus",F795*[1]Sheet1!$C$10+E795*[1]Sheet1!$D$10+G795*[1]Sheet1!$F$10+[1]Sheet1!$L$10,IF(D795="S. americanus",F795*[1]Sheet1!$C$6+E795*[1]Sheet1!$D$6+[1]Sheet1!$L$6,IF(AND(OR(D795="T. domingensis",D795="T. latifolia"),E795&gt;0),F795*[1]Sheet1!$C$4+E795*[1]Sheet1!$D$4+H795*[1]Sheet1!$J$4+I795*[1]Sheet1!$K$4+[1]Sheet1!$L$4,IF(AND(OR(D795="T. domingensis",D795="T. latifolia"),J795&gt;0),J795*[1]Sheet1!$G$5+K795*[1]Sheet1!$H$5+L795*[1]Sheet1!$I$5+[1]Sheet1!$L$5,0)))))))</f>
        <v>98.162748000000022</v>
      </c>
    </row>
    <row r="796" spans="1:15">
      <c r="A796" s="2">
        <v>40731</v>
      </c>
      <c r="B796" s="3" t="s">
        <v>28</v>
      </c>
      <c r="C796">
        <v>2</v>
      </c>
      <c r="D796" s="6" t="s">
        <v>19</v>
      </c>
      <c r="E796">
        <v>263</v>
      </c>
      <c r="F796">
        <v>3.02</v>
      </c>
      <c r="H796">
        <v>27</v>
      </c>
      <c r="I796">
        <v>2.4</v>
      </c>
      <c r="O796">
        <f>IF(AND(OR(D796="S. acutus",D796="S. californicus",D796="S. tabernaemontani"),G796=0),E796*[1]Sheet1!$D$7+[1]Sheet1!$L$7,IF(AND(OR(D796="S. acutus",D796="S. tabernaemontani"),G796&gt;0),E796*[1]Sheet1!$D$8+N796*[1]Sheet1!$E$8,IF(AND(D796="S. californicus",G796&gt;0),E796*[1]Sheet1!$D$9+N796*[1]Sheet1!$E$9,IF(D796="S. maritimus",F796*[1]Sheet1!$C$10+E796*[1]Sheet1!$D$10+G796*[1]Sheet1!$F$10+[1]Sheet1!$L$10,IF(D796="S. americanus",F796*[1]Sheet1!$C$6+E796*[1]Sheet1!$D$6+[1]Sheet1!$L$6,IF(AND(OR(D796="T. domingensis",D796="T. latifolia"),E796&gt;0),F796*[1]Sheet1!$C$4+E796*[1]Sheet1!$D$4+H796*[1]Sheet1!$J$4+I796*[1]Sheet1!$K$4+[1]Sheet1!$L$4,IF(AND(OR(D796="T. domingensis",D796="T. latifolia"),J796&gt;0),J796*[1]Sheet1!$G$5+K796*[1]Sheet1!$H$5+L796*[1]Sheet1!$I$5+[1]Sheet1!$L$5,0)))))))</f>
        <v>106.96482454</v>
      </c>
    </row>
    <row r="797" spans="1:15">
      <c r="A797" s="2">
        <v>40731</v>
      </c>
      <c r="B797" s="3" t="s">
        <v>28</v>
      </c>
      <c r="C797">
        <v>2</v>
      </c>
      <c r="D797" s="6" t="s">
        <v>19</v>
      </c>
      <c r="F797">
        <v>0.85</v>
      </c>
      <c r="J797">
        <f>SUM(161,161,102)</f>
        <v>424</v>
      </c>
      <c r="K797">
        <v>3</v>
      </c>
      <c r="L797">
        <v>161</v>
      </c>
      <c r="O797">
        <f>IF(AND(OR(D797="S. acutus",D797="S. californicus",D797="S. tabernaemontani"),G797=0),E797*[1]Sheet1!$D$7+[1]Sheet1!$L$7,IF(AND(OR(D797="S. acutus",D797="S. tabernaemontani"),G797&gt;0),E797*[1]Sheet1!$D$8+N797*[1]Sheet1!$E$8,IF(AND(D797="S. californicus",G797&gt;0),E797*[1]Sheet1!$D$9+N797*[1]Sheet1!$E$9,IF(D797="S. maritimus",F797*[1]Sheet1!$C$10+E797*[1]Sheet1!$D$10+G797*[1]Sheet1!$F$10+[1]Sheet1!$L$10,IF(D797="S. americanus",F797*[1]Sheet1!$C$6+E797*[1]Sheet1!$D$6+[1]Sheet1!$L$6,IF(AND(OR(D797="T. domingensis",D797="T. latifolia"),E797&gt;0),F797*[1]Sheet1!$C$4+E797*[1]Sheet1!$D$4+H797*[1]Sheet1!$J$4+I797*[1]Sheet1!$K$4+[1]Sheet1!$L$4,IF(AND(OR(D797="T. domingensis",D797="T. latifolia"),J797&gt;0),J797*[1]Sheet1!$G$5+K797*[1]Sheet1!$H$5+L797*[1]Sheet1!$I$5+[1]Sheet1!$L$5,0)))))))</f>
        <v>3.2216000000000022</v>
      </c>
    </row>
    <row r="798" spans="1:15">
      <c r="A798" s="2">
        <v>40731</v>
      </c>
      <c r="B798" s="3" t="s">
        <v>28</v>
      </c>
      <c r="C798">
        <v>2</v>
      </c>
      <c r="D798" s="6" t="s">
        <v>19</v>
      </c>
      <c r="F798">
        <v>2.17</v>
      </c>
      <c r="J798">
        <f>SUM(170,200,78,141,143,176)</f>
        <v>908</v>
      </c>
      <c r="K798">
        <v>6</v>
      </c>
      <c r="L798">
        <v>200</v>
      </c>
      <c r="O798">
        <f>IF(AND(OR(D798="S. acutus",D798="S. californicus",D798="S. tabernaemontani"),G798=0),E798*[1]Sheet1!$D$7+[1]Sheet1!$L$7,IF(AND(OR(D798="S. acutus",D798="S. tabernaemontani"),G798&gt;0),E798*[1]Sheet1!$D$8+N798*[1]Sheet1!$E$8,IF(AND(D798="S. californicus",G798&gt;0),E798*[1]Sheet1!$D$9+N798*[1]Sheet1!$E$9,IF(D798="S. maritimus",F798*[1]Sheet1!$C$10+E798*[1]Sheet1!$D$10+G798*[1]Sheet1!$F$10+[1]Sheet1!$L$10,IF(D798="S. americanus",F798*[1]Sheet1!$C$6+E798*[1]Sheet1!$D$6+[1]Sheet1!$L$6,IF(AND(OR(D798="T. domingensis",D798="T. latifolia"),E798&gt;0),F798*[1]Sheet1!$C$4+E798*[1]Sheet1!$D$4+H798*[1]Sheet1!$J$4+I798*[1]Sheet1!$K$4+[1]Sheet1!$L$4,IF(AND(OR(D798="T. domingensis",D798="T. latifolia"),J798&gt;0),J798*[1]Sheet1!$G$5+K798*[1]Sheet1!$H$5+L798*[1]Sheet1!$I$5+[1]Sheet1!$L$5,0)))))))</f>
        <v>15.783406000000006</v>
      </c>
    </row>
    <row r="799" spans="1:15">
      <c r="A799" s="2">
        <v>40731</v>
      </c>
      <c r="B799" s="3" t="s">
        <v>28</v>
      </c>
      <c r="C799">
        <v>19</v>
      </c>
      <c r="D799" s="6" t="s">
        <v>12</v>
      </c>
      <c r="E799">
        <v>228</v>
      </c>
      <c r="F799">
        <v>1.2</v>
      </c>
      <c r="G799">
        <v>8</v>
      </c>
      <c r="N799">
        <f>(1/3)*(3.14159)*((F799/2)^2)*E799</f>
        <v>85.95390239999999</v>
      </c>
      <c r="O799">
        <f>IF(AND(OR(D799="S. acutus",D799="S. californicus",D799="S. tabernaemontani"),G799=0),E799*[1]Sheet1!$D$7+[1]Sheet1!$L$7,IF(AND(OR(D799="S. acutus",D799="S. tabernaemontani"),G799&gt;0),E799*[1]Sheet1!$D$8+N799*[1]Sheet1!$E$8,IF(AND(D799="S. californicus",G799&gt;0),E799*[1]Sheet1!$D$9+N799*[1]Sheet1!$E$9,IF(D799="S. maritimus",F799*[1]Sheet1!$C$10+E799*[1]Sheet1!$D$10+G799*[1]Sheet1!$F$10+[1]Sheet1!$L$10,IF(D799="S. americanus",F799*[1]Sheet1!$C$6+E799*[1]Sheet1!$D$6+[1]Sheet1!$L$6,IF(AND(OR(D799="T. domingensis",D799="T. latifolia"),E799&gt;0),F799*[1]Sheet1!$C$4+E799*[1]Sheet1!$D$4+H799*[1]Sheet1!$J$4+I799*[1]Sheet1!$K$4+[1]Sheet1!$L$4,IF(AND(OR(D799="T. domingensis",D799="T. latifolia"),J799&gt;0),J799*[1]Sheet1!$G$5+K799*[1]Sheet1!$H$5+L799*[1]Sheet1!$I$5+[1]Sheet1!$L$5,0)))))))</f>
        <v>11.547411815792159</v>
      </c>
    </row>
    <row r="800" spans="1:15">
      <c r="A800" s="2">
        <v>40731</v>
      </c>
      <c r="B800" s="3" t="s">
        <v>28</v>
      </c>
      <c r="C800">
        <v>19</v>
      </c>
      <c r="D800" s="6" t="s">
        <v>12</v>
      </c>
      <c r="E800">
        <v>260</v>
      </c>
      <c r="F800">
        <v>1.26</v>
      </c>
      <c r="G800">
        <v>11</v>
      </c>
      <c r="N800">
        <f>(1/3)*(3.14159)*((F800/2)^2)*E800</f>
        <v>108.06441282</v>
      </c>
      <c r="O800">
        <f>IF(AND(OR(D800="S. acutus",D800="S. californicus",D800="S. tabernaemontani"),G800=0),E800*[1]Sheet1!$D$7+[1]Sheet1!$L$7,IF(AND(OR(D800="S. acutus",D800="S. tabernaemontani"),G800&gt;0),E800*[1]Sheet1!$D$8+N800*[1]Sheet1!$E$8,IF(AND(D800="S. californicus",G800&gt;0),E800*[1]Sheet1!$D$9+N800*[1]Sheet1!$E$9,IF(D800="S. maritimus",F800*[1]Sheet1!$C$10+E800*[1]Sheet1!$D$10+G800*[1]Sheet1!$F$10+[1]Sheet1!$L$10,IF(D800="S. americanus",F800*[1]Sheet1!$C$6+E800*[1]Sheet1!$D$6+[1]Sheet1!$L$6,IF(AND(OR(D800="T. domingensis",D800="T. latifolia"),E800&gt;0),F800*[1]Sheet1!$C$4+E800*[1]Sheet1!$D$4+H800*[1]Sheet1!$J$4+I800*[1]Sheet1!$K$4+[1]Sheet1!$L$4,IF(AND(OR(D800="T. domingensis",D800="T. latifolia"),J800&gt;0),J800*[1]Sheet1!$G$5+K800*[1]Sheet1!$H$5+L800*[1]Sheet1!$I$5+[1]Sheet1!$L$5,0)))))))</f>
        <v>13.491617350775538</v>
      </c>
    </row>
    <row r="801" spans="1:15">
      <c r="A801" s="2">
        <v>40731</v>
      </c>
      <c r="B801" s="3" t="s">
        <v>28</v>
      </c>
      <c r="C801">
        <v>19</v>
      </c>
      <c r="D801" s="6" t="s">
        <v>12</v>
      </c>
      <c r="E801">
        <v>274</v>
      </c>
      <c r="F801">
        <v>0.84</v>
      </c>
      <c r="G801">
        <v>0</v>
      </c>
      <c r="N801">
        <f>(1/3)*(3.14159)*((F801/2)^2)*E801</f>
        <v>50.614784807999989</v>
      </c>
      <c r="O801">
        <f>IF(AND(OR(D801="S. acutus",D801="S. californicus",D801="S. tabernaemontani"),G801=0),E801*[1]Sheet1!$D$7+[1]Sheet1!$L$7,IF(AND(OR(D801="S. acutus",D801="S. tabernaemontani"),G801&gt;0),E801*[1]Sheet1!$D$8+N801*[1]Sheet1!$E$8,IF(AND(D801="S. californicus",G801&gt;0),E801*[1]Sheet1!$D$9+N801*[1]Sheet1!$E$9,IF(D801="S. maritimus",F801*[1]Sheet1!$C$10+E801*[1]Sheet1!$D$10+G801*[1]Sheet1!$F$10+[1]Sheet1!$L$10,IF(D801="S. americanus",F801*[1]Sheet1!$C$6+E801*[1]Sheet1!$D$6+[1]Sheet1!$L$6,IF(AND(OR(D801="T. domingensis",D801="T. latifolia"),E801&gt;0),F801*[1]Sheet1!$C$4+E801*[1]Sheet1!$D$4+H801*[1]Sheet1!$J$4+I801*[1]Sheet1!$K$4+[1]Sheet1!$L$4,IF(AND(OR(D801="T. domingensis",D801="T. latifolia"),J801&gt;0),J801*[1]Sheet1!$G$5+K801*[1]Sheet1!$H$5+L801*[1]Sheet1!$I$5+[1]Sheet1!$L$5,0)))))))</f>
        <v>14.618173000000002</v>
      </c>
    </row>
    <row r="802" spans="1:15">
      <c r="A802" s="2">
        <v>40731</v>
      </c>
      <c r="B802" s="3" t="s">
        <v>28</v>
      </c>
      <c r="C802">
        <v>19</v>
      </c>
      <c r="D802" s="6" t="s">
        <v>12</v>
      </c>
      <c r="E802">
        <v>292</v>
      </c>
      <c r="F802">
        <v>1.5</v>
      </c>
      <c r="G802">
        <v>4</v>
      </c>
      <c r="N802">
        <f>(1/3)*(3.14159)*((F802/2)^2)*E802</f>
        <v>172.00205249999999</v>
      </c>
      <c r="O802">
        <f>IF(AND(OR(D802="S. acutus",D802="S. californicus",D802="S. tabernaemontani"),G802=0),E802*[1]Sheet1!$D$7+[1]Sheet1!$L$7,IF(AND(OR(D802="S. acutus",D802="S. tabernaemontani"),G802&gt;0),E802*[1]Sheet1!$D$8+N802*[1]Sheet1!$E$8,IF(AND(D802="S. californicus",G802&gt;0),E802*[1]Sheet1!$D$9+N802*[1]Sheet1!$E$9,IF(D802="S. maritimus",F802*[1]Sheet1!$C$10+E802*[1]Sheet1!$D$10+G802*[1]Sheet1!$F$10+[1]Sheet1!$L$10,IF(D802="S. americanus",F802*[1]Sheet1!$C$6+E802*[1]Sheet1!$D$6+[1]Sheet1!$L$6,IF(AND(OR(D802="T. domingensis",D802="T. latifolia"),E802&gt;0),F802*[1]Sheet1!$C$4+E802*[1]Sheet1!$D$4+H802*[1]Sheet1!$J$4+I802*[1]Sheet1!$K$4+[1]Sheet1!$L$4,IF(AND(OR(D802="T. domingensis",D802="T. latifolia"),J802&gt;0),J802*[1]Sheet1!$G$5+K802*[1]Sheet1!$H$5+L802*[1]Sheet1!$I$5+[1]Sheet1!$L$5,0)))))))</f>
        <v>16.782694092347249</v>
      </c>
    </row>
    <row r="803" spans="1:15">
      <c r="A803" s="2">
        <v>40731</v>
      </c>
      <c r="B803" s="3" t="s">
        <v>28</v>
      </c>
      <c r="C803">
        <v>19</v>
      </c>
      <c r="D803" s="6" t="s">
        <v>12</v>
      </c>
      <c r="E803">
        <v>325</v>
      </c>
      <c r="F803">
        <v>1.75</v>
      </c>
      <c r="G803">
        <v>10</v>
      </c>
      <c r="N803">
        <f>(1/3)*(3.14159)*((F803/2)^2)*E803</f>
        <v>260.57198307291662</v>
      </c>
      <c r="O803">
        <f>IF(AND(OR(D803="S. acutus",D803="S. californicus",D803="S. tabernaemontani"),G803=0),E803*[1]Sheet1!$D$7+[1]Sheet1!$L$7,IF(AND(OR(D803="S. acutus",D803="S. tabernaemontani"),G803&gt;0),E803*[1]Sheet1!$D$8+N803*[1]Sheet1!$E$8,IF(AND(D803="S. californicus",G803&gt;0),E803*[1]Sheet1!$D$9+N803*[1]Sheet1!$E$9,IF(D803="S. maritimus",F803*[1]Sheet1!$C$10+E803*[1]Sheet1!$D$10+G803*[1]Sheet1!$F$10+[1]Sheet1!$L$10,IF(D803="S. americanus",F803*[1]Sheet1!$C$6+E803*[1]Sheet1!$D$6+[1]Sheet1!$L$6,IF(AND(OR(D803="T. domingensis",D803="T. latifolia"),E803&gt;0),F803*[1]Sheet1!$C$4+E803*[1]Sheet1!$D$4+H803*[1]Sheet1!$J$4+I803*[1]Sheet1!$K$4+[1]Sheet1!$L$4,IF(AND(OR(D803="T. domingensis",D803="T. latifolia"),J803&gt;0),J803*[1]Sheet1!$G$5+K803*[1]Sheet1!$H$5+L803*[1]Sheet1!$I$5+[1]Sheet1!$L$5,0)))))))</f>
        <v>20.905459869732681</v>
      </c>
    </row>
    <row r="804" spans="1:15">
      <c r="A804" s="2">
        <v>40731</v>
      </c>
      <c r="B804" s="3" t="s">
        <v>28</v>
      </c>
      <c r="C804">
        <v>19</v>
      </c>
      <c r="D804" s="6" t="s">
        <v>16</v>
      </c>
      <c r="E804">
        <v>71</v>
      </c>
      <c r="F804">
        <v>1.05</v>
      </c>
      <c r="G804">
        <v>0</v>
      </c>
      <c r="N804">
        <f t="shared" ref="N804:N813" si="11">((1/3)*(3.14159)*((F804/2)^2)*E804)</f>
        <v>20.49298426875</v>
      </c>
      <c r="O804">
        <f>IF(AND(OR(D804="S. acutus",D804="S. californicus",D804="S. tabernaemontani"),G804=0),E804*[1]Sheet1!$D$7+[1]Sheet1!$L$7,IF(AND(OR(D804="S. acutus",D804="S. tabernaemontani"),G804&gt;0),E804*[1]Sheet1!$D$8+N804*[1]Sheet1!$E$8,IF(AND(D804="S. californicus",G804&gt;0),E804*[1]Sheet1!$D$9+N804*[1]Sheet1!$E$9,IF(D804="S. maritimus",F804*[1]Sheet1!$C$10+E804*[1]Sheet1!$D$10+G804*[1]Sheet1!$F$10+[1]Sheet1!$L$10,IF(D804="S. americanus",F804*[1]Sheet1!$C$6+E804*[1]Sheet1!$D$6+[1]Sheet1!$L$6,IF(AND(OR(D804="T. domingensis",D804="T. latifolia"),E804&gt;0),F804*[1]Sheet1!$C$4+E804*[1]Sheet1!$D$4+H804*[1]Sheet1!$J$4+I804*[1]Sheet1!$K$4+[1]Sheet1!$L$4,IF(AND(OR(D804="T. domingensis",D804="T. latifolia"),J804&gt;0),J804*[1]Sheet1!$G$5+K804*[1]Sheet1!$H$5+L804*[1]Sheet1!$I$5+[1]Sheet1!$L$5,0)))))))</f>
        <v>0.38685800000000015</v>
      </c>
    </row>
    <row r="805" spans="1:15">
      <c r="A805" s="2">
        <v>40731</v>
      </c>
      <c r="B805" s="3" t="s">
        <v>28</v>
      </c>
      <c r="C805">
        <v>19</v>
      </c>
      <c r="D805" s="6" t="s">
        <v>16</v>
      </c>
      <c r="E805">
        <v>155</v>
      </c>
      <c r="F805">
        <v>0.9</v>
      </c>
      <c r="G805">
        <v>0</v>
      </c>
      <c r="N805">
        <f t="shared" si="11"/>
        <v>32.868885374999998</v>
      </c>
      <c r="O805">
        <f>IF(AND(OR(D805="S. acutus",D805="S. californicus",D805="S. tabernaemontani"),G805=0),E805*[1]Sheet1!$D$7+[1]Sheet1!$L$7,IF(AND(OR(D805="S. acutus",D805="S. tabernaemontani"),G805&gt;0),E805*[1]Sheet1!$D$8+N805*[1]Sheet1!$E$8,IF(AND(D805="S. californicus",G805&gt;0),E805*[1]Sheet1!$D$9+N805*[1]Sheet1!$E$9,IF(D805="S. maritimus",F805*[1]Sheet1!$C$10+E805*[1]Sheet1!$D$10+G805*[1]Sheet1!$F$10+[1]Sheet1!$L$10,IF(D805="S. americanus",F805*[1]Sheet1!$C$6+E805*[1]Sheet1!$D$6+[1]Sheet1!$L$6,IF(AND(OR(D805="T. domingensis",D805="T. latifolia"),E805&gt;0),F805*[1]Sheet1!$C$4+E805*[1]Sheet1!$D$4+H805*[1]Sheet1!$J$4+I805*[1]Sheet1!$K$4+[1]Sheet1!$L$4,IF(AND(OR(D805="T. domingensis",D805="T. latifolia"),J805&gt;0),J805*[1]Sheet1!$G$5+K805*[1]Sheet1!$H$5+L805*[1]Sheet1!$I$5+[1]Sheet1!$L$5,0)))))))</f>
        <v>6.2756780000000001</v>
      </c>
    </row>
    <row r="806" spans="1:15">
      <c r="A806" s="2">
        <v>40731</v>
      </c>
      <c r="B806" s="3" t="s">
        <v>28</v>
      </c>
      <c r="C806">
        <v>19</v>
      </c>
      <c r="D806" s="6" t="s">
        <v>16</v>
      </c>
      <c r="E806">
        <v>184</v>
      </c>
      <c r="F806">
        <v>0.98</v>
      </c>
      <c r="G806">
        <v>0</v>
      </c>
      <c r="N806">
        <f t="shared" si="11"/>
        <v>46.263473218666654</v>
      </c>
      <c r="O806">
        <f>IF(AND(OR(D806="S. acutus",D806="S. californicus",D806="S. tabernaemontani"),G806=0),E806*[1]Sheet1!$D$7+[1]Sheet1!$L$7,IF(AND(OR(D806="S. acutus",D806="S. tabernaemontani"),G806&gt;0),E806*[1]Sheet1!$D$8+N806*[1]Sheet1!$E$8,IF(AND(D806="S. californicus",G806&gt;0),E806*[1]Sheet1!$D$9+N806*[1]Sheet1!$E$9,IF(D806="S. maritimus",F806*[1]Sheet1!$C$10+E806*[1]Sheet1!$D$10+G806*[1]Sheet1!$F$10+[1]Sheet1!$L$10,IF(D806="S. americanus",F806*[1]Sheet1!$C$6+E806*[1]Sheet1!$D$6+[1]Sheet1!$L$6,IF(AND(OR(D806="T. domingensis",D806="T. latifolia"),E806&gt;0),F806*[1]Sheet1!$C$4+E806*[1]Sheet1!$D$4+H806*[1]Sheet1!$J$4+I806*[1]Sheet1!$K$4+[1]Sheet1!$L$4,IF(AND(OR(D806="T. domingensis",D806="T. latifolia"),J806&gt;0),J806*[1]Sheet1!$G$5+K806*[1]Sheet1!$H$5+L806*[1]Sheet1!$I$5+[1]Sheet1!$L$5,0)))))))</f>
        <v>8.3087230000000005</v>
      </c>
    </row>
    <row r="807" spans="1:15">
      <c r="A807" s="2">
        <v>40731</v>
      </c>
      <c r="B807" s="3" t="s">
        <v>28</v>
      </c>
      <c r="C807">
        <v>19</v>
      </c>
      <c r="D807" s="6" t="s">
        <v>16</v>
      </c>
      <c r="E807">
        <v>242</v>
      </c>
      <c r="F807">
        <v>1.29</v>
      </c>
      <c r="G807">
        <v>0</v>
      </c>
      <c r="N807">
        <f t="shared" si="11"/>
        <v>105.4297183665</v>
      </c>
      <c r="O807">
        <f>IF(AND(OR(D807="S. acutus",D807="S. californicus",D807="S. tabernaemontani"),G807=0),E807*[1]Sheet1!$D$7+[1]Sheet1!$L$7,IF(AND(OR(D807="S. acutus",D807="S. tabernaemontani"),G807&gt;0),E807*[1]Sheet1!$D$8+N807*[1]Sheet1!$E$8,IF(AND(D807="S. californicus",G807&gt;0),E807*[1]Sheet1!$D$9+N807*[1]Sheet1!$E$9,IF(D807="S. maritimus",F807*[1]Sheet1!$C$10+E807*[1]Sheet1!$D$10+G807*[1]Sheet1!$F$10+[1]Sheet1!$L$10,IF(D807="S. americanus",F807*[1]Sheet1!$C$6+E807*[1]Sheet1!$D$6+[1]Sheet1!$L$6,IF(AND(OR(D807="T. domingensis",D807="T. latifolia"),E807&gt;0),F807*[1]Sheet1!$C$4+E807*[1]Sheet1!$D$4+H807*[1]Sheet1!$J$4+I807*[1]Sheet1!$K$4+[1]Sheet1!$L$4,IF(AND(OR(D807="T. domingensis",D807="T. latifolia"),J807&gt;0),J807*[1]Sheet1!$G$5+K807*[1]Sheet1!$H$5+L807*[1]Sheet1!$I$5+[1]Sheet1!$L$5,0)))))))</f>
        <v>12.374813</v>
      </c>
    </row>
    <row r="808" spans="1:15">
      <c r="A808" s="2">
        <v>40731</v>
      </c>
      <c r="B808" s="3" t="s">
        <v>28</v>
      </c>
      <c r="C808">
        <v>19</v>
      </c>
      <c r="D808" s="6" t="s">
        <v>16</v>
      </c>
      <c r="E808">
        <v>248</v>
      </c>
      <c r="F808">
        <v>1.32</v>
      </c>
      <c r="G808">
        <v>8</v>
      </c>
      <c r="N808">
        <f t="shared" si="11"/>
        <v>113.127399264</v>
      </c>
      <c r="O808">
        <f>IF(AND(OR(D808="S. acutus",D808="S. californicus",D808="S. tabernaemontani"),G808=0),E808*[1]Sheet1!$D$7+[1]Sheet1!$L$7,IF(AND(OR(D808="S. acutus",D808="S. tabernaemontani"),G808&gt;0),E808*[1]Sheet1!$D$8+N808*[1]Sheet1!$E$8,IF(AND(D808="S. californicus",G808&gt;0),E808*[1]Sheet1!$D$9+N808*[1]Sheet1!$E$9,IF(D808="S. maritimus",F808*[1]Sheet1!$C$10+E808*[1]Sheet1!$D$10+G808*[1]Sheet1!$F$10+[1]Sheet1!$L$10,IF(D808="S. americanus",F808*[1]Sheet1!$C$6+E808*[1]Sheet1!$D$6+[1]Sheet1!$L$6,IF(AND(OR(D808="T. domingensis",D808="T. latifolia"),E808&gt;0),F808*[1]Sheet1!$C$4+E808*[1]Sheet1!$D$4+H808*[1]Sheet1!$J$4+I808*[1]Sheet1!$K$4+[1]Sheet1!$L$4,IF(AND(OR(D808="T. domingensis",D808="T. latifolia"),J808&gt;0),J808*[1]Sheet1!$G$5+K808*[1]Sheet1!$H$5+L808*[1]Sheet1!$I$5+[1]Sheet1!$L$5,0)))))))</f>
        <v>13.192564870960139</v>
      </c>
    </row>
    <row r="809" spans="1:15">
      <c r="A809" s="2">
        <v>40731</v>
      </c>
      <c r="B809" s="3" t="s">
        <v>28</v>
      </c>
      <c r="C809">
        <v>19</v>
      </c>
      <c r="D809" s="6" t="s">
        <v>16</v>
      </c>
      <c r="E809">
        <v>250</v>
      </c>
      <c r="F809">
        <v>1.17</v>
      </c>
      <c r="G809">
        <v>0</v>
      </c>
      <c r="N809">
        <f t="shared" si="11"/>
        <v>89.594219812499972</v>
      </c>
      <c r="O809">
        <f>IF(AND(OR(D809="S. acutus",D809="S. californicus",D809="S. tabernaemontani"),G809=0),E809*[1]Sheet1!$D$7+[1]Sheet1!$L$7,IF(AND(OR(D809="S. acutus",D809="S. tabernaemontani"),G809&gt;0),E809*[1]Sheet1!$D$8+N809*[1]Sheet1!$E$8,IF(AND(D809="S. californicus",G809&gt;0),E809*[1]Sheet1!$D$9+N809*[1]Sheet1!$E$9,IF(D809="S. maritimus",F809*[1]Sheet1!$C$10+E809*[1]Sheet1!$D$10+G809*[1]Sheet1!$F$10+[1]Sheet1!$L$10,IF(D809="S. americanus",F809*[1]Sheet1!$C$6+E809*[1]Sheet1!$D$6+[1]Sheet1!$L$6,IF(AND(OR(D809="T. domingensis",D809="T. latifolia"),E809&gt;0),F809*[1]Sheet1!$C$4+E809*[1]Sheet1!$D$4+H809*[1]Sheet1!$J$4+I809*[1]Sheet1!$K$4+[1]Sheet1!$L$4,IF(AND(OR(D809="T. domingensis",D809="T. latifolia"),J809&gt;0),J809*[1]Sheet1!$G$5+K809*[1]Sheet1!$H$5+L809*[1]Sheet1!$I$5+[1]Sheet1!$L$5,0)))))))</f>
        <v>12.935653000000002</v>
      </c>
    </row>
    <row r="810" spans="1:15">
      <c r="A810" s="2">
        <v>40731</v>
      </c>
      <c r="B810" s="3" t="s">
        <v>28</v>
      </c>
      <c r="C810">
        <v>19</v>
      </c>
      <c r="D810" s="6" t="s">
        <v>16</v>
      </c>
      <c r="E810">
        <v>251</v>
      </c>
      <c r="F810">
        <v>1.45</v>
      </c>
      <c r="G810">
        <v>12</v>
      </c>
      <c r="N810">
        <f t="shared" si="11"/>
        <v>138.15861972708333</v>
      </c>
      <c r="O810">
        <f>IF(AND(OR(D810="S. acutus",D810="S. californicus",D810="S. tabernaemontani"),G810=0),E810*[1]Sheet1!$D$7+[1]Sheet1!$L$7,IF(AND(OR(D810="S. acutus",D810="S. tabernaemontani"),G810&gt;0),E810*[1]Sheet1!$D$8+N810*[1]Sheet1!$E$8,IF(AND(D810="S. californicus",G810&gt;0),E810*[1]Sheet1!$D$9+N810*[1]Sheet1!$E$9,IF(D810="S. maritimus",F810*[1]Sheet1!$C$10+E810*[1]Sheet1!$D$10+G810*[1]Sheet1!$F$10+[1]Sheet1!$L$10,IF(D810="S. americanus",F810*[1]Sheet1!$C$6+E810*[1]Sheet1!$D$6+[1]Sheet1!$L$6,IF(AND(OR(D810="T. domingensis",D810="T. latifolia"),E810&gt;0),F810*[1]Sheet1!$C$4+E810*[1]Sheet1!$D$4+H810*[1]Sheet1!$J$4+I810*[1]Sheet1!$K$4+[1]Sheet1!$L$4,IF(AND(OR(D810="T. domingensis",D810="T. latifolia"),J810&gt;0),J810*[1]Sheet1!$G$5+K810*[1]Sheet1!$H$5+L810*[1]Sheet1!$I$5+[1]Sheet1!$L$5,0)))))))</f>
        <v>14.114113997969838</v>
      </c>
    </row>
    <row r="811" spans="1:15">
      <c r="A811" s="2">
        <v>40731</v>
      </c>
      <c r="B811" s="3" t="s">
        <v>28</v>
      </c>
      <c r="C811">
        <v>19</v>
      </c>
      <c r="D811" s="6" t="s">
        <v>16</v>
      </c>
      <c r="E811">
        <v>252</v>
      </c>
      <c r="F811">
        <v>1.5</v>
      </c>
      <c r="G811">
        <v>0</v>
      </c>
      <c r="N811">
        <f t="shared" si="11"/>
        <v>148.44012749999999</v>
      </c>
      <c r="O811">
        <f>IF(AND(OR(D811="S. acutus",D811="S. californicus",D811="S. tabernaemontani"),G811=0),E811*[1]Sheet1!$D$7+[1]Sheet1!$L$7,IF(AND(OR(D811="S. acutus",D811="S. tabernaemontani"),G811&gt;0),E811*[1]Sheet1!$D$8+N811*[1]Sheet1!$E$8,IF(AND(D811="S. californicus",G811&gt;0),E811*[1]Sheet1!$D$9+N811*[1]Sheet1!$E$9,IF(D811="S. maritimus",F811*[1]Sheet1!$C$10+E811*[1]Sheet1!$D$10+G811*[1]Sheet1!$F$10+[1]Sheet1!$L$10,IF(D811="S. americanus",F811*[1]Sheet1!$C$6+E811*[1]Sheet1!$D$6+[1]Sheet1!$L$6,IF(AND(OR(D811="T. domingensis",D811="T. latifolia"),E811&gt;0),F811*[1]Sheet1!$C$4+E811*[1]Sheet1!$D$4+H811*[1]Sheet1!$J$4+I811*[1]Sheet1!$K$4+[1]Sheet1!$L$4,IF(AND(OR(D811="T. domingensis",D811="T. latifolia"),J811&gt;0),J811*[1]Sheet1!$G$5+K811*[1]Sheet1!$H$5+L811*[1]Sheet1!$I$5+[1]Sheet1!$L$5,0)))))))</f>
        <v>13.075863000000002</v>
      </c>
    </row>
    <row r="812" spans="1:15">
      <c r="A812" s="2">
        <v>40731</v>
      </c>
      <c r="B812" s="3" t="s">
        <v>28</v>
      </c>
      <c r="C812">
        <v>19</v>
      </c>
      <c r="D812" s="6" t="s">
        <v>16</v>
      </c>
      <c r="E812">
        <v>254</v>
      </c>
      <c r="F812">
        <v>1.33</v>
      </c>
      <c r="G812">
        <v>1</v>
      </c>
      <c r="N812">
        <f t="shared" si="11"/>
        <v>117.62652266283334</v>
      </c>
      <c r="O812">
        <f>IF(AND(OR(D812="S. acutus",D812="S. californicus",D812="S. tabernaemontani"),G812=0),E812*[1]Sheet1!$D$7+[1]Sheet1!$L$7,IF(AND(OR(D812="S. acutus",D812="S. tabernaemontani"),G812&gt;0),E812*[1]Sheet1!$D$8+N812*[1]Sheet1!$E$8,IF(AND(D812="S. californicus",G812&gt;0),E812*[1]Sheet1!$D$9+N812*[1]Sheet1!$E$9,IF(D812="S. maritimus",F812*[1]Sheet1!$C$10+E812*[1]Sheet1!$D$10+G812*[1]Sheet1!$F$10+[1]Sheet1!$L$10,IF(D812="S. americanus",F812*[1]Sheet1!$C$6+E812*[1]Sheet1!$D$6+[1]Sheet1!$L$6,IF(AND(OR(D812="T. domingensis",D812="T. latifolia"),E812&gt;0),F812*[1]Sheet1!$C$4+E812*[1]Sheet1!$D$4+H812*[1]Sheet1!$J$4+I812*[1]Sheet1!$K$4+[1]Sheet1!$L$4,IF(AND(OR(D812="T. domingensis",D812="T. latifolia"),J812&gt;0),J812*[1]Sheet1!$G$5+K812*[1]Sheet1!$H$5+L812*[1]Sheet1!$I$5+[1]Sheet1!$L$5,0)))))))</f>
        <v>13.56848329361363</v>
      </c>
    </row>
    <row r="813" spans="1:15">
      <c r="A813" s="2">
        <v>40731</v>
      </c>
      <c r="B813" s="3" t="s">
        <v>28</v>
      </c>
      <c r="C813">
        <v>19</v>
      </c>
      <c r="D813" s="6" t="s">
        <v>16</v>
      </c>
      <c r="E813">
        <v>300</v>
      </c>
      <c r="F813">
        <v>1.4</v>
      </c>
      <c r="G813">
        <v>2</v>
      </c>
      <c r="N813">
        <f t="shared" si="11"/>
        <v>153.93790999999996</v>
      </c>
      <c r="O813">
        <f>IF(AND(OR(D813="S. acutus",D813="S. californicus",D813="S. tabernaemontani"),G813=0),E813*[1]Sheet1!$D$7+[1]Sheet1!$L$7,IF(AND(OR(D813="S. acutus",D813="S. tabernaemontani"),G813&gt;0),E813*[1]Sheet1!$D$8+N813*[1]Sheet1!$E$8,IF(AND(D813="S. californicus",G813&gt;0),E813*[1]Sheet1!$D$9+N813*[1]Sheet1!$E$9,IF(D813="S. maritimus",F813*[1]Sheet1!$C$10+E813*[1]Sheet1!$D$10+G813*[1]Sheet1!$F$10+[1]Sheet1!$L$10,IF(D813="S. americanus",F813*[1]Sheet1!$C$6+E813*[1]Sheet1!$D$6+[1]Sheet1!$L$6,IF(AND(OR(D813="T. domingensis",D813="T. latifolia"),E813&gt;0),F813*[1]Sheet1!$C$4+E813*[1]Sheet1!$D$4+H813*[1]Sheet1!$J$4+I813*[1]Sheet1!$K$4+[1]Sheet1!$L$4,IF(AND(OR(D813="T. domingensis",D813="T. latifolia"),J813&gt;0),J813*[1]Sheet1!$G$5+K813*[1]Sheet1!$H$5+L813*[1]Sheet1!$I$5+[1]Sheet1!$L$5,0)))))))</f>
        <v>16.509069246118997</v>
      </c>
    </row>
    <row r="814" spans="1:15">
      <c r="A814" s="2">
        <v>40731</v>
      </c>
      <c r="B814" s="3" t="s">
        <v>28</v>
      </c>
      <c r="C814">
        <v>19</v>
      </c>
      <c r="D814" s="6" t="s">
        <v>19</v>
      </c>
      <c r="E814">
        <v>246</v>
      </c>
      <c r="F814">
        <v>2.0699999999999998</v>
      </c>
      <c r="H814">
        <v>29</v>
      </c>
      <c r="I814">
        <v>2</v>
      </c>
      <c r="O814">
        <f>IF(AND(OR(D814="S. acutus",D814="S. californicus",D814="S. tabernaemontani"),G814=0),E814*[1]Sheet1!$D$7+[1]Sheet1!$L$7,IF(AND(OR(D814="S. acutus",D814="S. tabernaemontani"),G814&gt;0),E814*[1]Sheet1!$D$8+N814*[1]Sheet1!$E$8,IF(AND(D814="S. californicus",G814&gt;0),E814*[1]Sheet1!$D$9+N814*[1]Sheet1!$E$9,IF(D814="S. maritimus",F814*[1]Sheet1!$C$10+E814*[1]Sheet1!$D$10+G814*[1]Sheet1!$F$10+[1]Sheet1!$L$10,IF(D814="S. americanus",F814*[1]Sheet1!$C$6+E814*[1]Sheet1!$D$6+[1]Sheet1!$L$6,IF(AND(OR(D814="T. domingensis",D814="T. latifolia"),E814&gt;0),F814*[1]Sheet1!$C$4+E814*[1]Sheet1!$D$4+H814*[1]Sheet1!$J$4+I814*[1]Sheet1!$K$4+[1]Sheet1!$L$4,IF(AND(OR(D814="T. domingensis",D814="T. latifolia"),J814&gt;0),J814*[1]Sheet1!$G$5+K814*[1]Sheet1!$H$5+L814*[1]Sheet1!$I$5+[1]Sheet1!$L$5,0)))))))</f>
        <v>78.369128189999969</v>
      </c>
    </row>
    <row r="815" spans="1:15">
      <c r="A815" s="2">
        <v>40731</v>
      </c>
      <c r="B815" s="3" t="s">
        <v>28</v>
      </c>
      <c r="C815">
        <v>19</v>
      </c>
      <c r="D815" s="6" t="s">
        <v>19</v>
      </c>
      <c r="E815">
        <v>258</v>
      </c>
      <c r="F815">
        <v>1.72</v>
      </c>
      <c r="H815">
        <v>18</v>
      </c>
      <c r="I815">
        <v>2.1</v>
      </c>
      <c r="O815">
        <f>IF(AND(OR(D815="S. acutus",D815="S. californicus",D815="S. tabernaemontani"),G815=0),E815*[1]Sheet1!$D$7+[1]Sheet1!$L$7,IF(AND(OR(D815="S. acutus",D815="S. tabernaemontani"),G815&gt;0),E815*[1]Sheet1!$D$8+N815*[1]Sheet1!$E$8,IF(AND(D815="S. californicus",G815&gt;0),E815*[1]Sheet1!$D$9+N815*[1]Sheet1!$E$9,IF(D815="S. maritimus",F815*[1]Sheet1!$C$10+E815*[1]Sheet1!$D$10+G815*[1]Sheet1!$F$10+[1]Sheet1!$L$10,IF(D815="S. americanus",F815*[1]Sheet1!$C$6+E815*[1]Sheet1!$D$6+[1]Sheet1!$L$6,IF(AND(OR(D815="T. domingensis",D815="T. latifolia"),E815&gt;0),F815*[1]Sheet1!$C$4+E815*[1]Sheet1!$D$4+H815*[1]Sheet1!$J$4+I815*[1]Sheet1!$K$4+[1]Sheet1!$L$4,IF(AND(OR(D815="T. domingensis",D815="T. latifolia"),J815&gt;0),J815*[1]Sheet1!$G$5+K815*[1]Sheet1!$H$5+L815*[1]Sheet1!$I$5+[1]Sheet1!$L$5,0)))))))</f>
        <v>66.788799240000003</v>
      </c>
    </row>
    <row r="816" spans="1:15">
      <c r="A816" s="2">
        <v>40731</v>
      </c>
      <c r="B816" s="3" t="s">
        <v>28</v>
      </c>
      <c r="C816">
        <v>19</v>
      </c>
      <c r="D816" s="6" t="s">
        <v>19</v>
      </c>
      <c r="E816">
        <v>268</v>
      </c>
      <c r="F816">
        <v>2.0099999999999998</v>
      </c>
      <c r="H816">
        <v>23</v>
      </c>
      <c r="I816">
        <v>2.6</v>
      </c>
      <c r="O816">
        <f>IF(AND(OR(D816="S. acutus",D816="S. californicus",D816="S. tabernaemontani"),G816=0),E816*[1]Sheet1!$D$7+[1]Sheet1!$L$7,IF(AND(OR(D816="S. acutus",D816="S. tabernaemontani"),G816&gt;0),E816*[1]Sheet1!$D$8+N816*[1]Sheet1!$E$8,IF(AND(D816="S. californicus",G816&gt;0),E816*[1]Sheet1!$D$9+N816*[1]Sheet1!$E$9,IF(D816="S. maritimus",F816*[1]Sheet1!$C$10+E816*[1]Sheet1!$D$10+G816*[1]Sheet1!$F$10+[1]Sheet1!$L$10,IF(D816="S. americanus",F816*[1]Sheet1!$C$6+E816*[1]Sheet1!$D$6+[1]Sheet1!$L$6,IF(AND(OR(D816="T. domingensis",D816="T. latifolia"),E816&gt;0),F816*[1]Sheet1!$C$4+E816*[1]Sheet1!$D$4+H816*[1]Sheet1!$J$4+I816*[1]Sheet1!$K$4+[1]Sheet1!$L$4,IF(AND(OR(D816="T. domingensis",D816="T. latifolia"),J816&gt;0),J816*[1]Sheet1!$G$5+K816*[1]Sheet1!$H$5+L816*[1]Sheet1!$I$5+[1]Sheet1!$L$5,0)))))))</f>
        <v>88.80283116999999</v>
      </c>
    </row>
    <row r="817" spans="1:15">
      <c r="A817" s="2">
        <v>40731</v>
      </c>
      <c r="B817" s="3" t="s">
        <v>28</v>
      </c>
      <c r="C817">
        <v>19</v>
      </c>
      <c r="D817" s="6" t="s">
        <v>19</v>
      </c>
      <c r="E817">
        <v>272</v>
      </c>
      <c r="F817">
        <v>2.11</v>
      </c>
      <c r="H817">
        <v>28</v>
      </c>
      <c r="I817">
        <v>2.2999999999999998</v>
      </c>
      <c r="O817">
        <f>IF(AND(OR(D817="S. acutus",D817="S. californicus",D817="S. tabernaemontani"),G817=0),E817*[1]Sheet1!$D$7+[1]Sheet1!$L$7,IF(AND(OR(D817="S. acutus",D817="S. tabernaemontani"),G817&gt;0),E817*[1]Sheet1!$D$8+N817*[1]Sheet1!$E$8,IF(AND(D817="S. californicus",G817&gt;0),E817*[1]Sheet1!$D$9+N817*[1]Sheet1!$E$9,IF(D817="S. maritimus",F817*[1]Sheet1!$C$10+E817*[1]Sheet1!$D$10+G817*[1]Sheet1!$F$10+[1]Sheet1!$L$10,IF(D817="S. americanus",F817*[1]Sheet1!$C$6+E817*[1]Sheet1!$D$6+[1]Sheet1!$L$6,IF(AND(OR(D817="T. domingensis",D817="T. latifolia"),E817&gt;0),F817*[1]Sheet1!$C$4+E817*[1]Sheet1!$D$4+H817*[1]Sheet1!$J$4+I817*[1]Sheet1!$K$4+[1]Sheet1!$L$4,IF(AND(OR(D817="T. domingensis",D817="T. latifolia"),J817&gt;0),J817*[1]Sheet1!$G$5+K817*[1]Sheet1!$H$5+L817*[1]Sheet1!$I$5+[1]Sheet1!$L$5,0)))))))</f>
        <v>91.353098269999975</v>
      </c>
    </row>
    <row r="818" spans="1:15">
      <c r="A818" s="2">
        <v>40731</v>
      </c>
      <c r="B818" s="3" t="s">
        <v>28</v>
      </c>
      <c r="C818">
        <v>19</v>
      </c>
      <c r="D818" s="6" t="s">
        <v>19</v>
      </c>
      <c r="E818">
        <v>290</v>
      </c>
      <c r="F818">
        <v>1.75</v>
      </c>
      <c r="H818">
        <v>21</v>
      </c>
      <c r="I818">
        <v>2.2999999999999998</v>
      </c>
      <c r="O818">
        <f>IF(AND(OR(D818="S. acutus",D818="S. californicus",D818="S. tabernaemontani"),G818=0),E818*[1]Sheet1!$D$7+[1]Sheet1!$L$7,IF(AND(OR(D818="S. acutus",D818="S. tabernaemontani"),G818&gt;0),E818*[1]Sheet1!$D$8+N818*[1]Sheet1!$E$8,IF(AND(D818="S. californicus",G818&gt;0),E818*[1]Sheet1!$D$9+N818*[1]Sheet1!$E$9,IF(D818="S. maritimus",F818*[1]Sheet1!$C$10+E818*[1]Sheet1!$D$10+G818*[1]Sheet1!$F$10+[1]Sheet1!$L$10,IF(D818="S. americanus",F818*[1]Sheet1!$C$6+E818*[1]Sheet1!$D$6+[1]Sheet1!$L$6,IF(AND(OR(D818="T. domingensis",D818="T. latifolia"),E818&gt;0),F818*[1]Sheet1!$C$4+E818*[1]Sheet1!$D$4+H818*[1]Sheet1!$J$4+I818*[1]Sheet1!$K$4+[1]Sheet1!$L$4,IF(AND(OR(D818="T. domingensis",D818="T. latifolia"),J818&gt;0),J818*[1]Sheet1!$G$5+K818*[1]Sheet1!$H$5+L818*[1]Sheet1!$I$5+[1]Sheet1!$L$5,0)))))))</f>
        <v>83.37677235000001</v>
      </c>
    </row>
    <row r="819" spans="1:15">
      <c r="A819" s="2">
        <v>40731</v>
      </c>
      <c r="B819" s="3" t="s">
        <v>28</v>
      </c>
      <c r="C819">
        <v>19</v>
      </c>
      <c r="D819" s="6" t="s">
        <v>19</v>
      </c>
      <c r="E819">
        <v>297</v>
      </c>
      <c r="F819">
        <v>1.05</v>
      </c>
      <c r="H819">
        <v>32</v>
      </c>
      <c r="I819">
        <v>2.5</v>
      </c>
      <c r="O819">
        <f>IF(AND(OR(D819="S. acutus",D819="S. californicus",D819="S. tabernaemontani"),G819=0),E819*[1]Sheet1!$D$7+[1]Sheet1!$L$7,IF(AND(OR(D819="S. acutus",D819="S. tabernaemontani"),G819&gt;0),E819*[1]Sheet1!$D$8+N819*[1]Sheet1!$E$8,IF(AND(D819="S. californicus",G819&gt;0),E819*[1]Sheet1!$D$9+N819*[1]Sheet1!$E$9,IF(D819="S. maritimus",F819*[1]Sheet1!$C$10+E819*[1]Sheet1!$D$10+G819*[1]Sheet1!$F$10+[1]Sheet1!$L$10,IF(D819="S. americanus",F819*[1]Sheet1!$C$6+E819*[1]Sheet1!$D$6+[1]Sheet1!$L$6,IF(AND(OR(D819="T. domingensis",D819="T. latifolia"),E819&gt;0),F819*[1]Sheet1!$C$4+E819*[1]Sheet1!$D$4+H819*[1]Sheet1!$J$4+I819*[1]Sheet1!$K$4+[1]Sheet1!$L$4,IF(AND(OR(D819="T. domingensis",D819="T. latifolia"),J819&gt;0),J819*[1]Sheet1!$G$5+K819*[1]Sheet1!$H$5+L819*[1]Sheet1!$I$5+[1]Sheet1!$L$5,0)))))))</f>
        <v>85.747415649999994</v>
      </c>
    </row>
    <row r="820" spans="1:15">
      <c r="A820" s="2">
        <v>40731</v>
      </c>
      <c r="B820" s="3" t="s">
        <v>28</v>
      </c>
      <c r="C820">
        <v>19</v>
      </c>
      <c r="D820" s="6" t="s">
        <v>19</v>
      </c>
      <c r="E820">
        <v>297</v>
      </c>
      <c r="F820">
        <v>2</v>
      </c>
      <c r="H820">
        <v>23</v>
      </c>
      <c r="I820">
        <v>2.4</v>
      </c>
      <c r="O820">
        <f>IF(AND(OR(D820="S. acutus",D820="S. californicus",D820="S. tabernaemontani"),G820=0),E820*[1]Sheet1!$D$7+[1]Sheet1!$L$7,IF(AND(OR(D820="S. acutus",D820="S. tabernaemontani"),G820&gt;0),E820*[1]Sheet1!$D$8+N820*[1]Sheet1!$E$8,IF(AND(D820="S. californicus",G820&gt;0),E820*[1]Sheet1!$D$9+N820*[1]Sheet1!$E$9,IF(D820="S. maritimus",F820*[1]Sheet1!$C$10+E820*[1]Sheet1!$D$10+G820*[1]Sheet1!$F$10+[1]Sheet1!$L$10,IF(D820="S. americanus",F820*[1]Sheet1!$C$6+E820*[1]Sheet1!$D$6+[1]Sheet1!$L$6,IF(AND(OR(D820="T. domingensis",D820="T. latifolia"),E820&gt;0),F820*[1]Sheet1!$C$4+E820*[1]Sheet1!$D$4+H820*[1]Sheet1!$J$4+I820*[1]Sheet1!$K$4+[1]Sheet1!$L$4,IF(AND(OR(D820="T. domingensis",D820="T. latifolia"),J820&gt;0),J820*[1]Sheet1!$G$5+K820*[1]Sheet1!$H$5+L820*[1]Sheet1!$I$5+[1]Sheet1!$L$5,0)))))))</f>
        <v>93.927721200000008</v>
      </c>
    </row>
    <row r="821" spans="1:15">
      <c r="A821" s="2">
        <v>40731</v>
      </c>
      <c r="B821" s="3" t="s">
        <v>28</v>
      </c>
      <c r="C821">
        <v>19</v>
      </c>
      <c r="D821" s="6" t="s">
        <v>19</v>
      </c>
      <c r="E821">
        <v>341</v>
      </c>
      <c r="F821">
        <v>2.4500000000000002</v>
      </c>
      <c r="H821">
        <v>29</v>
      </c>
      <c r="I821">
        <v>2.8</v>
      </c>
      <c r="O821">
        <f>IF(AND(OR(D821="S. acutus",D821="S. californicus",D821="S. tabernaemontani"),G821=0),E821*[1]Sheet1!$D$7+[1]Sheet1!$L$7,IF(AND(OR(D821="S. acutus",D821="S. tabernaemontani"),G821&gt;0),E821*[1]Sheet1!$D$8+N821*[1]Sheet1!$E$8,IF(AND(D821="S. californicus",G821&gt;0),E821*[1]Sheet1!$D$9+N821*[1]Sheet1!$E$9,IF(D821="S. maritimus",F821*[1]Sheet1!$C$10+E821*[1]Sheet1!$D$10+G821*[1]Sheet1!$F$10+[1]Sheet1!$L$10,IF(D821="S. americanus",F821*[1]Sheet1!$C$6+E821*[1]Sheet1!$D$6+[1]Sheet1!$L$6,IF(AND(OR(D821="T. domingensis",D821="T. latifolia"),E821&gt;0),F821*[1]Sheet1!$C$4+E821*[1]Sheet1!$D$4+H821*[1]Sheet1!$J$4+I821*[1]Sheet1!$K$4+[1]Sheet1!$L$4,IF(AND(OR(D821="T. domingensis",D821="T. latifolia"),J821&gt;0),J821*[1]Sheet1!$G$5+K821*[1]Sheet1!$H$5+L821*[1]Sheet1!$I$5+[1]Sheet1!$L$5,0)))))))</f>
        <v>128.53856005</v>
      </c>
    </row>
    <row r="822" spans="1:15">
      <c r="A822" s="2">
        <v>40731</v>
      </c>
      <c r="B822" s="3" t="s">
        <v>28</v>
      </c>
      <c r="C822">
        <v>19</v>
      </c>
      <c r="D822" s="6" t="s">
        <v>19</v>
      </c>
      <c r="E822">
        <v>355</v>
      </c>
      <c r="F822">
        <v>2.5</v>
      </c>
      <c r="H822">
        <v>28</v>
      </c>
      <c r="I822">
        <v>2.5</v>
      </c>
      <c r="O822">
        <f>IF(AND(OR(D822="S. acutus",D822="S. californicus",D822="S. tabernaemontani"),G822=0),E822*[1]Sheet1!$D$7+[1]Sheet1!$L$7,IF(AND(OR(D822="S. acutus",D822="S. tabernaemontani"),G822&gt;0),E822*[1]Sheet1!$D$8+N822*[1]Sheet1!$E$8,IF(AND(D822="S. californicus",G822&gt;0),E822*[1]Sheet1!$D$9+N822*[1]Sheet1!$E$9,IF(D822="S. maritimus",F822*[1]Sheet1!$C$10+E822*[1]Sheet1!$D$10+G822*[1]Sheet1!$F$10+[1]Sheet1!$L$10,IF(D822="S. americanus",F822*[1]Sheet1!$C$6+E822*[1]Sheet1!$D$6+[1]Sheet1!$L$6,IF(AND(OR(D822="T. domingensis",D822="T. latifolia"),E822&gt;0),F822*[1]Sheet1!$C$4+E822*[1]Sheet1!$D$4+H822*[1]Sheet1!$J$4+I822*[1]Sheet1!$K$4+[1]Sheet1!$L$4,IF(AND(OR(D822="T. domingensis",D822="T. latifolia"),J822&gt;0),J822*[1]Sheet1!$G$5+K822*[1]Sheet1!$H$5+L822*[1]Sheet1!$I$5+[1]Sheet1!$L$5,0)))))))</f>
        <v>127.58318509999998</v>
      </c>
    </row>
    <row r="823" spans="1:15">
      <c r="A823" s="2">
        <v>40731</v>
      </c>
      <c r="B823" s="3" t="s">
        <v>28</v>
      </c>
      <c r="C823">
        <v>19</v>
      </c>
      <c r="D823" s="6" t="s">
        <v>19</v>
      </c>
      <c r="F823">
        <v>0.98</v>
      </c>
      <c r="J823">
        <f>SUM(165,187,210,248)</f>
        <v>810</v>
      </c>
      <c r="K823">
        <v>4</v>
      </c>
      <c r="L823">
        <v>248</v>
      </c>
      <c r="O823">
        <f>IF(AND(OR(D823="S. acutus",D823="S. californicus",D823="S. tabernaemontani"),G823=0),E823*[1]Sheet1!$D$7+[1]Sheet1!$L$7,IF(AND(OR(D823="S. acutus",D823="S. tabernaemontani"),G823&gt;0),E823*[1]Sheet1!$D$8+N823*[1]Sheet1!$E$8,IF(AND(D823="S. californicus",G823&gt;0),E823*[1]Sheet1!$D$9+N823*[1]Sheet1!$E$9,IF(D823="S. maritimus",F823*[1]Sheet1!$C$10+E823*[1]Sheet1!$D$10+G823*[1]Sheet1!$F$10+[1]Sheet1!$L$10,IF(D823="S. americanus",F823*[1]Sheet1!$C$6+E823*[1]Sheet1!$D$6+[1]Sheet1!$L$6,IF(AND(OR(D823="T. domingensis",D823="T. latifolia"),E823&gt;0),F823*[1]Sheet1!$C$4+E823*[1]Sheet1!$D$4+H823*[1]Sheet1!$J$4+I823*[1]Sheet1!$K$4+[1]Sheet1!$L$4,IF(AND(OR(D823="T. domingensis",D823="T. latifolia"),J823&gt;0),J823*[1]Sheet1!$G$5+K823*[1]Sheet1!$H$5+L823*[1]Sheet1!$I$5+[1]Sheet1!$L$5,0)))))))</f>
        <v>6.1803620000000095</v>
      </c>
    </row>
    <row r="824" spans="1:15">
      <c r="A824" s="2">
        <v>40731</v>
      </c>
      <c r="B824" s="3" t="s">
        <v>28</v>
      </c>
      <c r="C824">
        <v>19</v>
      </c>
      <c r="D824" s="6" t="s">
        <v>19</v>
      </c>
      <c r="F824">
        <v>0.85</v>
      </c>
      <c r="J824">
        <f>SUM(179,207,241,259)</f>
        <v>886</v>
      </c>
      <c r="K824">
        <v>4</v>
      </c>
      <c r="L824">
        <v>259</v>
      </c>
      <c r="O824">
        <f>IF(AND(OR(D824="S. acutus",D824="S. californicus",D824="S. tabernaemontani"),G824=0),E824*[1]Sheet1!$D$7+[1]Sheet1!$L$7,IF(AND(OR(D824="S. acutus",D824="S. tabernaemontani"),G824&gt;0),E824*[1]Sheet1!$D$8+N824*[1]Sheet1!$E$8,IF(AND(D824="S. californicus",G824&gt;0),E824*[1]Sheet1!$D$9+N824*[1]Sheet1!$E$9,IF(D824="S. maritimus",F824*[1]Sheet1!$C$10+E824*[1]Sheet1!$D$10+G824*[1]Sheet1!$F$10+[1]Sheet1!$L$10,IF(D824="S. americanus",F824*[1]Sheet1!$C$6+E824*[1]Sheet1!$D$6+[1]Sheet1!$L$6,IF(AND(OR(D824="T. domingensis",D824="T. latifolia"),E824&gt;0),F824*[1]Sheet1!$C$4+E824*[1]Sheet1!$D$4+H824*[1]Sheet1!$J$4+I824*[1]Sheet1!$K$4+[1]Sheet1!$L$4,IF(AND(OR(D824="T. domingensis",D824="T. latifolia"),J824&gt;0),J824*[1]Sheet1!$G$5+K824*[1]Sheet1!$H$5+L824*[1]Sheet1!$I$5+[1]Sheet1!$L$5,0)))))))</f>
        <v>9.9920470000000066</v>
      </c>
    </row>
    <row r="825" spans="1:15">
      <c r="A825" s="2">
        <v>40731</v>
      </c>
      <c r="B825" s="3" t="s">
        <v>28</v>
      </c>
      <c r="C825">
        <v>19</v>
      </c>
      <c r="D825" s="6" t="s">
        <v>19</v>
      </c>
      <c r="F825">
        <v>1.45</v>
      </c>
      <c r="J825">
        <f>SUM(223,252,272,287)</f>
        <v>1034</v>
      </c>
      <c r="K825">
        <v>4</v>
      </c>
      <c r="L825">
        <v>287</v>
      </c>
      <c r="O825">
        <f>IF(AND(OR(D825="S. acutus",D825="S. californicus",D825="S. tabernaemontani"),G825=0),E825*[1]Sheet1!$D$7+[1]Sheet1!$L$7,IF(AND(OR(D825="S. acutus",D825="S. tabernaemontani"),G825&gt;0),E825*[1]Sheet1!$D$8+N825*[1]Sheet1!$E$8,IF(AND(D825="S. californicus",G825&gt;0),E825*[1]Sheet1!$D$9+N825*[1]Sheet1!$E$9,IF(D825="S. maritimus",F825*[1]Sheet1!$C$10+E825*[1]Sheet1!$D$10+G825*[1]Sheet1!$F$10+[1]Sheet1!$L$10,IF(D825="S. americanus",F825*[1]Sheet1!$C$6+E825*[1]Sheet1!$D$6+[1]Sheet1!$L$6,IF(AND(OR(D825="T. domingensis",D825="T. latifolia"),E825&gt;0),F825*[1]Sheet1!$C$4+E825*[1]Sheet1!$D$4+H825*[1]Sheet1!$J$4+I825*[1]Sheet1!$K$4+[1]Sheet1!$L$4,IF(AND(OR(D825="T. domingensis",D825="T. latifolia"),J825&gt;0),J825*[1]Sheet1!$G$5+K825*[1]Sheet1!$H$5+L825*[1]Sheet1!$I$5+[1]Sheet1!$L$5,0)))))))</f>
        <v>15.432927000000014</v>
      </c>
    </row>
    <row r="826" spans="1:15">
      <c r="A826" s="2">
        <v>40731</v>
      </c>
      <c r="B826" s="3" t="s">
        <v>28</v>
      </c>
      <c r="C826">
        <v>19</v>
      </c>
      <c r="D826" s="6" t="s">
        <v>19</v>
      </c>
      <c r="F826">
        <v>2</v>
      </c>
      <c r="J826">
        <f>SUM(140,166,190,236,240)</f>
        <v>972</v>
      </c>
      <c r="K826">
        <v>5</v>
      </c>
      <c r="L826">
        <v>240</v>
      </c>
      <c r="O826">
        <f>IF(AND(OR(D826="S. acutus",D826="S. californicus",D826="S. tabernaemontani"),G826=0),E826*[1]Sheet1!$D$7+[1]Sheet1!$L$7,IF(AND(OR(D826="S. acutus",D826="S. tabernaemontani"),G826&gt;0),E826*[1]Sheet1!$D$8+N826*[1]Sheet1!$E$8,IF(AND(D826="S. californicus",G826&gt;0),E826*[1]Sheet1!$D$9+N826*[1]Sheet1!$E$9,IF(D826="S. maritimus",F826*[1]Sheet1!$C$10+E826*[1]Sheet1!$D$10+G826*[1]Sheet1!$F$10+[1]Sheet1!$L$10,IF(D826="S. americanus",F826*[1]Sheet1!$C$6+E826*[1]Sheet1!$D$6+[1]Sheet1!$L$6,IF(AND(OR(D826="T. domingensis",D826="T. latifolia"),E826&gt;0),F826*[1]Sheet1!$C$4+E826*[1]Sheet1!$D$4+H826*[1]Sheet1!$J$4+I826*[1]Sheet1!$K$4+[1]Sheet1!$L$4,IF(AND(OR(D826="T. domingensis",D826="T. latifolia"),J826&gt;0),J826*[1]Sheet1!$G$5+K826*[1]Sheet1!$H$5+L826*[1]Sheet1!$I$5+[1]Sheet1!$L$5,0)))))))</f>
        <v>16.756279000000006</v>
      </c>
    </row>
    <row r="827" spans="1:15">
      <c r="A827" s="2">
        <v>40731</v>
      </c>
      <c r="B827" s="3" t="s">
        <v>28</v>
      </c>
      <c r="C827">
        <v>19</v>
      </c>
      <c r="D827" s="6" t="s">
        <v>19</v>
      </c>
      <c r="F827">
        <v>1.27</v>
      </c>
      <c r="J827">
        <f>SUM(239,250,264,276)</f>
        <v>1029</v>
      </c>
      <c r="K827">
        <v>4</v>
      </c>
      <c r="L827">
        <v>276</v>
      </c>
      <c r="O827">
        <f>IF(AND(OR(D827="S. acutus",D827="S. californicus",D827="S. tabernaemontani"),G827=0),E827*[1]Sheet1!$D$7+[1]Sheet1!$L$7,IF(AND(OR(D827="S. acutus",D827="S. tabernaemontani"),G827&gt;0),E827*[1]Sheet1!$D$8+N827*[1]Sheet1!$E$8,IF(AND(D827="S. californicus",G827&gt;0),E827*[1]Sheet1!$D$9+N827*[1]Sheet1!$E$9,IF(D827="S. maritimus",F827*[1]Sheet1!$C$10+E827*[1]Sheet1!$D$10+G827*[1]Sheet1!$F$10+[1]Sheet1!$L$10,IF(D827="S. americanus",F827*[1]Sheet1!$C$6+E827*[1]Sheet1!$D$6+[1]Sheet1!$L$6,IF(AND(OR(D827="T. domingensis",D827="T. latifolia"),E827&gt;0),F827*[1]Sheet1!$C$4+E827*[1]Sheet1!$D$4+H827*[1]Sheet1!$J$4+I827*[1]Sheet1!$K$4+[1]Sheet1!$L$4,IF(AND(OR(D827="T. domingensis",D827="T. latifolia"),J827&gt;0),J827*[1]Sheet1!$G$5+K827*[1]Sheet1!$H$5+L827*[1]Sheet1!$I$5+[1]Sheet1!$L$5,0)))))))</f>
        <v>18.277847000000001</v>
      </c>
    </row>
    <row r="828" spans="1:15">
      <c r="A828" s="2">
        <v>40731</v>
      </c>
      <c r="B828" s="3" t="s">
        <v>28</v>
      </c>
      <c r="C828">
        <v>19</v>
      </c>
      <c r="D828" s="6" t="s">
        <v>19</v>
      </c>
      <c r="F828">
        <v>1.57</v>
      </c>
      <c r="J828">
        <f>SUM(310,339,363,374)</f>
        <v>1386</v>
      </c>
      <c r="K828">
        <v>4</v>
      </c>
      <c r="L828">
        <v>374</v>
      </c>
      <c r="O828">
        <f>IF(AND(OR(D828="S. acutus",D828="S. californicus",D828="S. tabernaemontani"),G828=0),E828*[1]Sheet1!$D$7+[1]Sheet1!$L$7,IF(AND(OR(D828="S. acutus",D828="S. tabernaemontani"),G828&gt;0),E828*[1]Sheet1!$D$8+N828*[1]Sheet1!$E$8,IF(AND(D828="S. californicus",G828&gt;0),E828*[1]Sheet1!$D$9+N828*[1]Sheet1!$E$9,IF(D828="S. maritimus",F828*[1]Sheet1!$C$10+E828*[1]Sheet1!$D$10+G828*[1]Sheet1!$F$10+[1]Sheet1!$L$10,IF(D828="S. americanus",F828*[1]Sheet1!$C$6+E828*[1]Sheet1!$D$6+[1]Sheet1!$L$6,IF(AND(OR(D828="T. domingensis",D828="T. latifolia"),E828&gt;0),F828*[1]Sheet1!$C$4+E828*[1]Sheet1!$D$4+H828*[1]Sheet1!$J$4+I828*[1]Sheet1!$K$4+[1]Sheet1!$L$4,IF(AND(OR(D828="T. domingensis",D828="T. latifolia"),J828&gt;0),J828*[1]Sheet1!$G$5+K828*[1]Sheet1!$H$5+L828*[1]Sheet1!$I$5+[1]Sheet1!$L$5,0)))))))</f>
        <v>22.226372000000019</v>
      </c>
    </row>
    <row r="829" spans="1:15">
      <c r="A829" s="2">
        <v>40731</v>
      </c>
      <c r="B829" s="3" t="s">
        <v>28</v>
      </c>
      <c r="C829">
        <v>19</v>
      </c>
      <c r="D829" s="6" t="s">
        <v>19</v>
      </c>
      <c r="F829">
        <v>1.8</v>
      </c>
      <c r="J829">
        <f>SUM(181,248,245,262,277)</f>
        <v>1213</v>
      </c>
      <c r="K829">
        <v>5</v>
      </c>
      <c r="L829">
        <v>277</v>
      </c>
      <c r="O829">
        <f>IF(AND(OR(D829="S. acutus",D829="S. californicus",D829="S. tabernaemontani"),G829=0),E829*[1]Sheet1!$D$7+[1]Sheet1!$L$7,IF(AND(OR(D829="S. acutus",D829="S. tabernaemontani"),G829&gt;0),E829*[1]Sheet1!$D$8+N829*[1]Sheet1!$E$8,IF(AND(D829="S. californicus",G829&gt;0),E829*[1]Sheet1!$D$9+N829*[1]Sheet1!$E$9,IF(D829="S. maritimus",F829*[1]Sheet1!$C$10+E829*[1]Sheet1!$D$10+G829*[1]Sheet1!$F$10+[1]Sheet1!$L$10,IF(D829="S. americanus",F829*[1]Sheet1!$C$6+E829*[1]Sheet1!$D$6+[1]Sheet1!$L$6,IF(AND(OR(D829="T. domingensis",D829="T. latifolia"),E829&gt;0),F829*[1]Sheet1!$C$4+E829*[1]Sheet1!$D$4+H829*[1]Sheet1!$J$4+I829*[1]Sheet1!$K$4+[1]Sheet1!$L$4,IF(AND(OR(D829="T. domingensis",D829="T. latifolia"),J829&gt;0),J829*[1]Sheet1!$G$5+K829*[1]Sheet1!$H$5+L829*[1]Sheet1!$I$5+[1]Sheet1!$L$5,0)))))))</f>
        <v>28.205169000000019</v>
      </c>
    </row>
    <row r="830" spans="1:15">
      <c r="A830" s="4">
        <v>40731</v>
      </c>
      <c r="B830" s="3" t="s">
        <v>28</v>
      </c>
      <c r="C830">
        <v>20</v>
      </c>
      <c r="D830" s="6" t="s">
        <v>23</v>
      </c>
      <c r="E830">
        <v>82</v>
      </c>
      <c r="F830">
        <v>0.45</v>
      </c>
      <c r="G830">
        <v>0</v>
      </c>
      <c r="O830">
        <f>IF(AND(OR(D830="S. acutus",D830="S. californicus",D830="S. tabernaemontani"),G830=0),E830*[1]Sheet1!$D$7+[1]Sheet1!$L$7,IF(AND(OR(D830="S. acutus",D830="S. tabernaemontani"),G830&gt;0),E830*[1]Sheet1!$D$8+N830*[1]Sheet1!$E$8,IF(AND(D830="S. californicus",G830&gt;0),E830*[1]Sheet1!$D$9+N830*[1]Sheet1!$E$9,IF(D830="S. maritimus",F830*[1]Sheet1!$C$10+E830*[1]Sheet1!$D$10+G830*[1]Sheet1!$F$10+[1]Sheet1!$L$10,IF(D830="S. americanus",F830*[1]Sheet1!$C$6+E830*[1]Sheet1!$D$6+[1]Sheet1!$L$6,IF(AND(OR(D830="T. domingensis",D830="T. latifolia"),E830&gt;0),F830*[1]Sheet1!$C$4+E830*[1]Sheet1!$D$4+H830*[1]Sheet1!$J$4+I830*[1]Sheet1!$K$4+[1]Sheet1!$L$4,IF(AND(OR(D830="T. domingensis",D830="T. latifolia"),J830&gt;0),J830*[1]Sheet1!$G$5+K830*[1]Sheet1!$H$5+L830*[1]Sheet1!$I$5+[1]Sheet1!$L$5,0)))))))</f>
        <v>1.4291672849999999</v>
      </c>
    </row>
    <row r="831" spans="1:15">
      <c r="A831" s="4">
        <v>40731</v>
      </c>
      <c r="B831" s="3" t="s">
        <v>28</v>
      </c>
      <c r="C831">
        <v>20</v>
      </c>
      <c r="D831" s="6" t="s">
        <v>23</v>
      </c>
      <c r="E831" s="15">
        <v>93</v>
      </c>
      <c r="F831">
        <v>0.28999999999999998</v>
      </c>
      <c r="G831">
        <v>0</v>
      </c>
      <c r="O831">
        <f>IF(AND(OR(D831="S. acutus",D831="S. californicus",D831="S. tabernaemontani"),G831=0),E831*[1]Sheet1!$D$7+[1]Sheet1!$L$7,IF(AND(OR(D831="S. acutus",D831="S. tabernaemontani"),G831&gt;0),E831*[1]Sheet1!$D$8+N831*[1]Sheet1!$E$8,IF(AND(D831="S. californicus",G831&gt;0),E831*[1]Sheet1!$D$9+N831*[1]Sheet1!$E$9,IF(D831="S. maritimus",F831*[1]Sheet1!$C$10+E831*[1]Sheet1!$D$10+G831*[1]Sheet1!$F$10+[1]Sheet1!$L$10,IF(D831="S. americanus",F831*[1]Sheet1!$C$6+E831*[1]Sheet1!$D$6+[1]Sheet1!$L$6,IF(AND(OR(D831="T. domingensis",D831="T. latifolia"),E831&gt;0),F831*[1]Sheet1!$C$4+E831*[1]Sheet1!$D$4+H831*[1]Sheet1!$J$4+I831*[1]Sheet1!$K$4+[1]Sheet1!$L$4,IF(AND(OR(D831="T. domingensis",D831="T. latifolia"),J831&gt;0),J831*[1]Sheet1!$G$5+K831*[1]Sheet1!$H$5+L831*[1]Sheet1!$I$5+[1]Sheet1!$L$5,0)))))))</f>
        <v>1.3930717570000002</v>
      </c>
    </row>
    <row r="832" spans="1:15">
      <c r="A832" s="4">
        <v>40731</v>
      </c>
      <c r="B832" s="3" t="s">
        <v>28</v>
      </c>
      <c r="C832">
        <v>20</v>
      </c>
      <c r="D832" s="6" t="s">
        <v>23</v>
      </c>
      <c r="E832">
        <v>105</v>
      </c>
      <c r="F832">
        <v>0.4</v>
      </c>
      <c r="G832">
        <v>0</v>
      </c>
      <c r="O832">
        <f>IF(AND(OR(D832="S. acutus",D832="S. californicus",D832="S. tabernaemontani"),G832=0),E832*[1]Sheet1!$D$7+[1]Sheet1!$L$7,IF(AND(OR(D832="S. acutus",D832="S. tabernaemontani"),G832&gt;0),E832*[1]Sheet1!$D$8+N832*[1]Sheet1!$E$8,IF(AND(D832="S. californicus",G832&gt;0),E832*[1]Sheet1!$D$9+N832*[1]Sheet1!$E$9,IF(D832="S. maritimus",F832*[1]Sheet1!$C$10+E832*[1]Sheet1!$D$10+G832*[1]Sheet1!$F$10+[1]Sheet1!$L$10,IF(D832="S. americanus",F832*[1]Sheet1!$C$6+E832*[1]Sheet1!$D$6+[1]Sheet1!$L$6,IF(AND(OR(D832="T. domingensis",D832="T. latifolia"),E832&gt;0),F832*[1]Sheet1!$C$4+E832*[1]Sheet1!$D$4+H832*[1]Sheet1!$J$4+I832*[1]Sheet1!$K$4+[1]Sheet1!$L$4,IF(AND(OR(D832="T. domingensis",D832="T. latifolia"),J832&gt;0),J832*[1]Sheet1!$G$5+K832*[1]Sheet1!$H$5+L832*[1]Sheet1!$I$5+[1]Sheet1!$L$5,0)))))))</f>
        <v>1.9852273200000001</v>
      </c>
    </row>
    <row r="833" spans="1:15">
      <c r="A833" s="4">
        <v>40731</v>
      </c>
      <c r="B833" s="3" t="s">
        <v>28</v>
      </c>
      <c r="C833">
        <v>20</v>
      </c>
      <c r="D833" s="6" t="s">
        <v>23</v>
      </c>
      <c r="E833">
        <v>162</v>
      </c>
      <c r="F833">
        <v>0.55000000000000004</v>
      </c>
      <c r="G833">
        <v>3</v>
      </c>
      <c r="O833">
        <f>IF(AND(OR(D833="S. acutus",D833="S. californicus",D833="S. tabernaemontani"),G833=0),E833*[1]Sheet1!$D$7+[1]Sheet1!$L$7,IF(AND(OR(D833="S. acutus",D833="S. tabernaemontani"),G833&gt;0),E833*[1]Sheet1!$D$8+N833*[1]Sheet1!$E$8,IF(AND(D833="S. californicus",G833&gt;0),E833*[1]Sheet1!$D$9+N833*[1]Sheet1!$E$9,IF(D833="S. maritimus",F833*[1]Sheet1!$C$10+E833*[1]Sheet1!$D$10+G833*[1]Sheet1!$F$10+[1]Sheet1!$L$10,IF(D833="S. americanus",F833*[1]Sheet1!$C$6+E833*[1]Sheet1!$D$6+[1]Sheet1!$L$6,IF(AND(OR(D833="T. domingensis",D833="T. latifolia"),E833&gt;0),F833*[1]Sheet1!$C$4+E833*[1]Sheet1!$D$4+H833*[1]Sheet1!$J$4+I833*[1]Sheet1!$K$4+[1]Sheet1!$L$4,IF(AND(OR(D833="T. domingensis",D833="T. latifolia"),J833&gt;0),J833*[1]Sheet1!$G$5+K833*[1]Sheet1!$H$5+L833*[1]Sheet1!$I$5+[1]Sheet1!$L$5,0)))))))</f>
        <v>4.2190914149999994</v>
      </c>
    </row>
    <row r="834" spans="1:15">
      <c r="A834" s="4">
        <v>40731</v>
      </c>
      <c r="B834" s="3" t="s">
        <v>28</v>
      </c>
      <c r="C834">
        <v>20</v>
      </c>
      <c r="D834" s="6" t="s">
        <v>16</v>
      </c>
      <c r="E834">
        <v>151</v>
      </c>
      <c r="F834">
        <v>0.83</v>
      </c>
      <c r="G834">
        <v>0</v>
      </c>
      <c r="N834">
        <f t="shared" ref="N834:N848" si="12">((1/3)*(3.14159)*((F834/2)^2)*E834)</f>
        <v>27.233370333416662</v>
      </c>
      <c r="O834">
        <f>IF(AND(OR(D834="S. acutus",D834="S. californicus",D834="S. tabernaemontani"),G834=0),E834*[1]Sheet1!$D$7+[1]Sheet1!$L$7,IF(AND(OR(D834="S. acutus",D834="S. tabernaemontani"),G834&gt;0),E834*[1]Sheet1!$D$8+N834*[1]Sheet1!$E$8,IF(AND(D834="S. californicus",G834&gt;0),E834*[1]Sheet1!$D$9+N834*[1]Sheet1!$E$9,IF(D834="S. maritimus",F834*[1]Sheet1!$C$10+E834*[1]Sheet1!$D$10+G834*[1]Sheet1!$F$10+[1]Sheet1!$L$10,IF(D834="S. americanus",F834*[1]Sheet1!$C$6+E834*[1]Sheet1!$D$6+[1]Sheet1!$L$6,IF(AND(OR(D834="T. domingensis",D834="T. latifolia"),E834&gt;0),F834*[1]Sheet1!$C$4+E834*[1]Sheet1!$D$4+H834*[1]Sheet1!$J$4+I834*[1]Sheet1!$K$4+[1]Sheet1!$L$4,IF(AND(OR(D834="T. domingensis",D834="T. latifolia"),J834&gt;0),J834*[1]Sheet1!$G$5+K834*[1]Sheet1!$H$5+L834*[1]Sheet1!$I$5+[1]Sheet1!$L$5,0)))))))</f>
        <v>5.9952580000000006</v>
      </c>
    </row>
    <row r="835" spans="1:15">
      <c r="A835" s="4">
        <v>40731</v>
      </c>
      <c r="B835" s="3" t="s">
        <v>28</v>
      </c>
      <c r="C835">
        <v>20</v>
      </c>
      <c r="D835" s="6" t="s">
        <v>16</v>
      </c>
      <c r="E835">
        <v>192</v>
      </c>
      <c r="F835">
        <v>0.78</v>
      </c>
      <c r="G835">
        <v>8</v>
      </c>
      <c r="N835">
        <f t="shared" si="12"/>
        <v>30.581493695999995</v>
      </c>
      <c r="O835">
        <f>IF(AND(OR(D835="S. acutus",D835="S. californicus",D835="S. tabernaemontani"),G835=0),E835*[1]Sheet1!$D$7+[1]Sheet1!$L$7,IF(AND(OR(D835="S. acutus",D835="S. tabernaemontani"),G835&gt;0),E835*[1]Sheet1!$D$8+N835*[1]Sheet1!$E$8,IF(AND(D835="S. californicus",G835&gt;0),E835*[1]Sheet1!$D$9+N835*[1]Sheet1!$E$9,IF(D835="S. maritimus",F835*[1]Sheet1!$C$10+E835*[1]Sheet1!$D$10+G835*[1]Sheet1!$F$10+[1]Sheet1!$L$10,IF(D835="S. americanus",F835*[1]Sheet1!$C$6+E835*[1]Sheet1!$D$6+[1]Sheet1!$L$6,IF(AND(OR(D835="T. domingensis",D835="T. latifolia"),E835&gt;0),F835*[1]Sheet1!$C$4+E835*[1]Sheet1!$D$4+H835*[1]Sheet1!$J$4+I835*[1]Sheet1!$K$4+[1]Sheet1!$L$4,IF(AND(OR(D835="T. domingensis",D835="T. latifolia"),J835&gt;0),J835*[1]Sheet1!$G$5+K835*[1]Sheet1!$H$5+L835*[1]Sheet1!$I$5+[1]Sheet1!$L$5,0)))))))</f>
        <v>8.3781148203555276</v>
      </c>
    </row>
    <row r="836" spans="1:15">
      <c r="A836" s="4">
        <v>40731</v>
      </c>
      <c r="B836" s="3" t="s">
        <v>28</v>
      </c>
      <c r="C836">
        <v>20</v>
      </c>
      <c r="D836" s="6" t="s">
        <v>16</v>
      </c>
      <c r="E836">
        <v>195</v>
      </c>
      <c r="F836">
        <v>0.76</v>
      </c>
      <c r="G836">
        <v>6</v>
      </c>
      <c r="N836">
        <f t="shared" si="12"/>
        <v>29.48696374</v>
      </c>
      <c r="O836">
        <f>IF(AND(OR(D836="S. acutus",D836="S. californicus",D836="S. tabernaemontani"),G836=0),E836*[1]Sheet1!$D$7+[1]Sheet1!$L$7,IF(AND(OR(D836="S. acutus",D836="S. tabernaemontani"),G836&gt;0),E836*[1]Sheet1!$D$8+N836*[1]Sheet1!$E$8,IF(AND(D836="S. californicus",G836&gt;0),E836*[1]Sheet1!$D$9+N836*[1]Sheet1!$E$9,IF(D836="S. maritimus",F836*[1]Sheet1!$C$10+E836*[1]Sheet1!$D$10+G836*[1]Sheet1!$F$10+[1]Sheet1!$L$10,IF(D836="S. americanus",F836*[1]Sheet1!$C$6+E836*[1]Sheet1!$D$6+[1]Sheet1!$L$6,IF(AND(OR(D836="T. domingensis",D836="T. latifolia"),E836&gt;0),F836*[1]Sheet1!$C$4+E836*[1]Sheet1!$D$4+H836*[1]Sheet1!$J$4+I836*[1]Sheet1!$K$4+[1]Sheet1!$L$4,IF(AND(OR(D836="T. domingensis",D836="T. latifolia"),J836&gt;0),J836*[1]Sheet1!$G$5+K836*[1]Sheet1!$H$5+L836*[1]Sheet1!$I$5+[1]Sheet1!$L$5,0)))))))</f>
        <v>8.4583912706953672</v>
      </c>
    </row>
    <row r="837" spans="1:15">
      <c r="A837" s="4">
        <v>40731</v>
      </c>
      <c r="B837" s="3" t="s">
        <v>28</v>
      </c>
      <c r="C837">
        <v>20</v>
      </c>
      <c r="D837" s="6" t="s">
        <v>16</v>
      </c>
      <c r="E837">
        <v>256</v>
      </c>
      <c r="F837">
        <v>1.08</v>
      </c>
      <c r="G837">
        <v>11</v>
      </c>
      <c r="N837">
        <f t="shared" si="12"/>
        <v>78.172812288000003</v>
      </c>
      <c r="O837">
        <f>IF(AND(OR(D837="S. acutus",D837="S. californicus",D837="S. tabernaemontani"),G837=0),E837*[1]Sheet1!$D$7+[1]Sheet1!$L$7,IF(AND(OR(D837="S. acutus",D837="S. tabernaemontani"),G837&gt;0),E837*[1]Sheet1!$D$8+N837*[1]Sheet1!$E$8,IF(AND(D837="S. californicus",G837&gt;0),E837*[1]Sheet1!$D$9+N837*[1]Sheet1!$E$9,IF(D837="S. maritimus",F837*[1]Sheet1!$C$10+E837*[1]Sheet1!$D$10+G837*[1]Sheet1!$F$10+[1]Sheet1!$L$10,IF(D837="S. americanus",F837*[1]Sheet1!$C$6+E837*[1]Sheet1!$D$6+[1]Sheet1!$L$6,IF(AND(OR(D837="T. domingensis",D837="T. latifolia"),E837&gt;0),F837*[1]Sheet1!$C$4+E837*[1]Sheet1!$D$4+H837*[1]Sheet1!$J$4+I837*[1]Sheet1!$K$4+[1]Sheet1!$L$4,IF(AND(OR(D837="T. domingensis",D837="T. latifolia"),J837&gt;0),J837*[1]Sheet1!$G$5+K837*[1]Sheet1!$H$5+L837*[1]Sheet1!$I$5+[1]Sheet1!$L$5,0)))))))</f>
        <v>12.375052511204659</v>
      </c>
    </row>
    <row r="838" spans="1:15">
      <c r="A838" s="4">
        <v>40731</v>
      </c>
      <c r="B838" s="3" t="s">
        <v>28</v>
      </c>
      <c r="C838">
        <v>20</v>
      </c>
      <c r="D838" s="6" t="s">
        <v>16</v>
      </c>
      <c r="E838">
        <v>270</v>
      </c>
      <c r="F838">
        <v>1.2</v>
      </c>
      <c r="G838">
        <v>0</v>
      </c>
      <c r="N838">
        <f t="shared" si="12"/>
        <v>101.78751599999998</v>
      </c>
      <c r="O838">
        <f>IF(AND(OR(D838="S. acutus",D838="S. californicus",D838="S. tabernaemontani"),G838=0),E838*[1]Sheet1!$D$7+[1]Sheet1!$L$7,IF(AND(OR(D838="S. acutus",D838="S. tabernaemontani"),G838&gt;0),E838*[1]Sheet1!$D$8+N838*[1]Sheet1!$E$8,IF(AND(D838="S. californicus",G838&gt;0),E838*[1]Sheet1!$D$9+N838*[1]Sheet1!$E$9,IF(D838="S. maritimus",F838*[1]Sheet1!$C$10+E838*[1]Sheet1!$D$10+G838*[1]Sheet1!$F$10+[1]Sheet1!$L$10,IF(D838="S. americanus",F838*[1]Sheet1!$C$6+E838*[1]Sheet1!$D$6+[1]Sheet1!$L$6,IF(AND(OR(D838="T. domingensis",D838="T. latifolia"),E838&gt;0),F838*[1]Sheet1!$C$4+E838*[1]Sheet1!$D$4+H838*[1]Sheet1!$J$4+I838*[1]Sheet1!$K$4+[1]Sheet1!$L$4,IF(AND(OR(D838="T. domingensis",D838="T. latifolia"),J838&gt;0),J838*[1]Sheet1!$G$5+K838*[1]Sheet1!$H$5+L838*[1]Sheet1!$I$5+[1]Sheet1!$L$5,0)))))))</f>
        <v>14.337753000000003</v>
      </c>
    </row>
    <row r="839" spans="1:15">
      <c r="A839" s="4">
        <v>40731</v>
      </c>
      <c r="B839" s="3" t="s">
        <v>28</v>
      </c>
      <c r="C839">
        <v>20</v>
      </c>
      <c r="D839" s="6" t="s">
        <v>16</v>
      </c>
      <c r="E839">
        <v>278</v>
      </c>
      <c r="F839">
        <v>1.02</v>
      </c>
      <c r="G839">
        <v>16</v>
      </c>
      <c r="N839">
        <f t="shared" si="12"/>
        <v>75.720487133999981</v>
      </c>
      <c r="O839">
        <f>IF(AND(OR(D839="S. acutus",D839="S. californicus",D839="S. tabernaemontani"),G839=0),E839*[1]Sheet1!$D$7+[1]Sheet1!$L$7,IF(AND(OR(D839="S. acutus",D839="S. tabernaemontani"),G839&gt;0),E839*[1]Sheet1!$D$8+N839*[1]Sheet1!$E$8,IF(AND(D839="S. californicus",G839&gt;0),E839*[1]Sheet1!$D$9+N839*[1]Sheet1!$E$9,IF(D839="S. maritimus",F839*[1]Sheet1!$C$10+E839*[1]Sheet1!$D$10+G839*[1]Sheet1!$F$10+[1]Sheet1!$L$10,IF(D839="S. americanus",F839*[1]Sheet1!$C$6+E839*[1]Sheet1!$D$6+[1]Sheet1!$L$6,IF(AND(OR(D839="T. domingensis",D839="T. latifolia"),E839&gt;0),F839*[1]Sheet1!$C$4+E839*[1]Sheet1!$D$4+H839*[1]Sheet1!$J$4+I839*[1]Sheet1!$K$4+[1]Sheet1!$L$4,IF(AND(OR(D839="T. domingensis",D839="T. latifolia"),J839&gt;0),J839*[1]Sheet1!$G$5+K839*[1]Sheet1!$H$5+L839*[1]Sheet1!$I$5+[1]Sheet1!$L$5,0)))))))</f>
        <v>13.14324163415322</v>
      </c>
    </row>
    <row r="840" spans="1:15">
      <c r="A840" s="4">
        <v>40731</v>
      </c>
      <c r="B840" s="3" t="s">
        <v>28</v>
      </c>
      <c r="C840">
        <v>20</v>
      </c>
      <c r="D840" s="6" t="s">
        <v>16</v>
      </c>
      <c r="E840">
        <v>291</v>
      </c>
      <c r="F840">
        <v>0.92</v>
      </c>
      <c r="G840">
        <v>0</v>
      </c>
      <c r="N840">
        <f t="shared" si="12"/>
        <v>64.481763067999992</v>
      </c>
      <c r="O840">
        <f>IF(AND(OR(D840="S. acutus",D840="S. californicus",D840="S. tabernaemontani"),G840=0),E840*[1]Sheet1!$D$7+[1]Sheet1!$L$7,IF(AND(OR(D840="S. acutus",D840="S. tabernaemontani"),G840&gt;0),E840*[1]Sheet1!$D$8+N840*[1]Sheet1!$E$8,IF(AND(D840="S. californicus",G840&gt;0),E840*[1]Sheet1!$D$9+N840*[1]Sheet1!$E$9,IF(D840="S. maritimus",F840*[1]Sheet1!$C$10+E840*[1]Sheet1!$D$10+G840*[1]Sheet1!$F$10+[1]Sheet1!$L$10,IF(D840="S. americanus",F840*[1]Sheet1!$C$6+E840*[1]Sheet1!$D$6+[1]Sheet1!$L$6,IF(AND(OR(D840="T. domingensis",D840="T. latifolia"),E840&gt;0),F840*[1]Sheet1!$C$4+E840*[1]Sheet1!$D$4+H840*[1]Sheet1!$J$4+I840*[1]Sheet1!$K$4+[1]Sheet1!$L$4,IF(AND(OR(D840="T. domingensis",D840="T. latifolia"),J840&gt;0),J840*[1]Sheet1!$G$5+K840*[1]Sheet1!$H$5+L840*[1]Sheet1!$I$5+[1]Sheet1!$L$5,0)))))))</f>
        <v>15.809958000000002</v>
      </c>
    </row>
    <row r="841" spans="1:15">
      <c r="A841" s="4">
        <v>40731</v>
      </c>
      <c r="B841" s="3" t="s">
        <v>28</v>
      </c>
      <c r="C841">
        <v>20</v>
      </c>
      <c r="D841" s="6" t="s">
        <v>16</v>
      </c>
      <c r="E841">
        <v>291</v>
      </c>
      <c r="F841">
        <v>1.42</v>
      </c>
      <c r="G841">
        <v>0</v>
      </c>
      <c r="N841">
        <f t="shared" si="12"/>
        <v>153.61652534300001</v>
      </c>
      <c r="O841">
        <f>IF(AND(OR(D841="S. acutus",D841="S. californicus",D841="S. tabernaemontani"),G841=0),E841*[1]Sheet1!$D$7+[1]Sheet1!$L$7,IF(AND(OR(D841="S. acutus",D841="S. tabernaemontani"),G841&gt;0),E841*[1]Sheet1!$D$8+N841*[1]Sheet1!$E$8,IF(AND(D841="S. californicus",G841&gt;0),E841*[1]Sheet1!$D$9+N841*[1]Sheet1!$E$9,IF(D841="S. maritimus",F841*[1]Sheet1!$C$10+E841*[1]Sheet1!$D$10+G841*[1]Sheet1!$F$10+[1]Sheet1!$L$10,IF(D841="S. americanus",F841*[1]Sheet1!$C$6+E841*[1]Sheet1!$D$6+[1]Sheet1!$L$6,IF(AND(OR(D841="T. domingensis",D841="T. latifolia"),E841&gt;0),F841*[1]Sheet1!$C$4+E841*[1]Sheet1!$D$4+H841*[1]Sheet1!$J$4+I841*[1]Sheet1!$K$4+[1]Sheet1!$L$4,IF(AND(OR(D841="T. domingensis",D841="T. latifolia"),J841&gt;0),J841*[1]Sheet1!$G$5+K841*[1]Sheet1!$H$5+L841*[1]Sheet1!$I$5+[1]Sheet1!$L$5,0)))))))</f>
        <v>15.809958000000002</v>
      </c>
    </row>
    <row r="842" spans="1:15">
      <c r="A842" s="4">
        <v>40731</v>
      </c>
      <c r="B842" s="3" t="s">
        <v>28</v>
      </c>
      <c r="C842">
        <v>20</v>
      </c>
      <c r="D842" s="6" t="s">
        <v>16</v>
      </c>
      <c r="E842">
        <v>297</v>
      </c>
      <c r="F842">
        <v>1.53</v>
      </c>
      <c r="G842">
        <v>0</v>
      </c>
      <c r="N842">
        <f t="shared" si="12"/>
        <v>182.01516376724999</v>
      </c>
      <c r="O842">
        <f>IF(AND(OR(D842="S. acutus",D842="S. californicus",D842="S. tabernaemontani"),G842=0),E842*[1]Sheet1!$D$7+[1]Sheet1!$L$7,IF(AND(OR(D842="S. acutus",D842="S. tabernaemontani"),G842&gt;0),E842*[1]Sheet1!$D$8+N842*[1]Sheet1!$E$8,IF(AND(D842="S. californicus",G842&gt;0),E842*[1]Sheet1!$D$9+N842*[1]Sheet1!$E$9,IF(D842="S. maritimus",F842*[1]Sheet1!$C$10+E842*[1]Sheet1!$D$10+G842*[1]Sheet1!$F$10+[1]Sheet1!$L$10,IF(D842="S. americanus",F842*[1]Sheet1!$C$6+E842*[1]Sheet1!$D$6+[1]Sheet1!$L$6,IF(AND(OR(D842="T. domingensis",D842="T. latifolia"),E842&gt;0),F842*[1]Sheet1!$C$4+E842*[1]Sheet1!$D$4+H842*[1]Sheet1!$J$4+I842*[1]Sheet1!$K$4+[1]Sheet1!$L$4,IF(AND(OR(D842="T. domingensis",D842="T. latifolia"),J842&gt;0),J842*[1]Sheet1!$G$5+K842*[1]Sheet1!$H$5+L842*[1]Sheet1!$I$5+[1]Sheet1!$L$5,0)))))))</f>
        <v>16.230588000000001</v>
      </c>
    </row>
    <row r="843" spans="1:15">
      <c r="A843" s="4">
        <v>40731</v>
      </c>
      <c r="B843" s="3" t="s">
        <v>28</v>
      </c>
      <c r="C843">
        <v>20</v>
      </c>
      <c r="D843" s="6" t="s">
        <v>16</v>
      </c>
      <c r="E843">
        <v>299</v>
      </c>
      <c r="F843">
        <v>0.99</v>
      </c>
      <c r="G843">
        <v>0</v>
      </c>
      <c r="N843">
        <f t="shared" si="12"/>
        <v>76.720219611749997</v>
      </c>
      <c r="O843">
        <f>IF(AND(OR(D843="S. acutus",D843="S. californicus",D843="S. tabernaemontani"),G843=0),E843*[1]Sheet1!$D$7+[1]Sheet1!$L$7,IF(AND(OR(D843="S. acutus",D843="S. tabernaemontani"),G843&gt;0),E843*[1]Sheet1!$D$8+N843*[1]Sheet1!$E$8,IF(AND(D843="S. californicus",G843&gt;0),E843*[1]Sheet1!$D$9+N843*[1]Sheet1!$E$9,IF(D843="S. maritimus",F843*[1]Sheet1!$C$10+E843*[1]Sheet1!$D$10+G843*[1]Sheet1!$F$10+[1]Sheet1!$L$10,IF(D843="S. americanus",F843*[1]Sheet1!$C$6+E843*[1]Sheet1!$D$6+[1]Sheet1!$L$6,IF(AND(OR(D843="T. domingensis",D843="T. latifolia"),E843&gt;0),F843*[1]Sheet1!$C$4+E843*[1]Sheet1!$D$4+H843*[1]Sheet1!$J$4+I843*[1]Sheet1!$K$4+[1]Sheet1!$L$4,IF(AND(OR(D843="T. domingensis",D843="T. latifolia"),J843&gt;0),J843*[1]Sheet1!$G$5+K843*[1]Sheet1!$H$5+L843*[1]Sheet1!$I$5+[1]Sheet1!$L$5,0)))))))</f>
        <v>16.370798000000001</v>
      </c>
    </row>
    <row r="844" spans="1:15">
      <c r="A844" s="4">
        <v>40731</v>
      </c>
      <c r="B844" s="3" t="s">
        <v>28</v>
      </c>
      <c r="C844">
        <v>20</v>
      </c>
      <c r="D844" s="6" t="s">
        <v>16</v>
      </c>
      <c r="E844">
        <v>306</v>
      </c>
      <c r="F844">
        <v>1.64</v>
      </c>
      <c r="G844">
        <v>0</v>
      </c>
      <c r="N844">
        <f t="shared" si="12"/>
        <v>215.46532183199994</v>
      </c>
      <c r="O844">
        <f>IF(AND(OR(D844="S. acutus",D844="S. californicus",D844="S. tabernaemontani"),G844=0),E844*[1]Sheet1!$D$7+[1]Sheet1!$L$7,IF(AND(OR(D844="S. acutus",D844="S. tabernaemontani"),G844&gt;0),E844*[1]Sheet1!$D$8+N844*[1]Sheet1!$E$8,IF(AND(D844="S. californicus",G844&gt;0),E844*[1]Sheet1!$D$9+N844*[1]Sheet1!$E$9,IF(D844="S. maritimus",F844*[1]Sheet1!$C$10+E844*[1]Sheet1!$D$10+G844*[1]Sheet1!$F$10+[1]Sheet1!$L$10,IF(D844="S. americanus",F844*[1]Sheet1!$C$6+E844*[1]Sheet1!$D$6+[1]Sheet1!$L$6,IF(AND(OR(D844="T. domingensis",D844="T. latifolia"),E844&gt;0),F844*[1]Sheet1!$C$4+E844*[1]Sheet1!$D$4+H844*[1]Sheet1!$J$4+I844*[1]Sheet1!$K$4+[1]Sheet1!$L$4,IF(AND(OR(D844="T. domingensis",D844="T. latifolia"),J844&gt;0),J844*[1]Sheet1!$G$5+K844*[1]Sheet1!$H$5+L844*[1]Sheet1!$I$5+[1]Sheet1!$L$5,0)))))))</f>
        <v>16.861533000000001</v>
      </c>
    </row>
    <row r="845" spans="1:15">
      <c r="A845" s="4">
        <v>40731</v>
      </c>
      <c r="B845" s="3" t="s">
        <v>28</v>
      </c>
      <c r="C845">
        <v>20</v>
      </c>
      <c r="D845" s="6" t="s">
        <v>16</v>
      </c>
      <c r="E845">
        <v>315</v>
      </c>
      <c r="F845">
        <v>1.99</v>
      </c>
      <c r="G845">
        <v>3</v>
      </c>
      <c r="N845">
        <f t="shared" si="12"/>
        <v>326.57652717375004</v>
      </c>
      <c r="O845">
        <f>IF(AND(OR(D845="S. acutus",D845="S. californicus",D845="S. tabernaemontani"),G845=0),E845*[1]Sheet1!$D$7+[1]Sheet1!$L$7,IF(AND(OR(D845="S. acutus",D845="S. tabernaemontani"),G845&gt;0),E845*[1]Sheet1!$D$8+N845*[1]Sheet1!$E$8,IF(AND(D845="S. californicus",G845&gt;0),E845*[1]Sheet1!$D$9+N845*[1]Sheet1!$E$9,IF(D845="S. maritimus",F845*[1]Sheet1!$C$10+E845*[1]Sheet1!$D$10+G845*[1]Sheet1!$F$10+[1]Sheet1!$L$10,IF(D845="S. americanus",F845*[1]Sheet1!$C$6+E845*[1]Sheet1!$D$6+[1]Sheet1!$L$6,IF(AND(OR(D845="T. domingensis",D845="T. latifolia"),E845&gt;0),F845*[1]Sheet1!$C$4+E845*[1]Sheet1!$D$4+H845*[1]Sheet1!$J$4+I845*[1]Sheet1!$K$4+[1]Sheet1!$L$4,IF(AND(OR(D845="T. domingensis",D845="T. latifolia"),J845&gt;0),J845*[1]Sheet1!$G$5+K845*[1]Sheet1!$H$5+L845*[1]Sheet1!$I$5+[1]Sheet1!$L$5,0)))))))</f>
        <v>22.645794593869205</v>
      </c>
    </row>
    <row r="846" spans="1:15">
      <c r="A846" s="4">
        <v>40731</v>
      </c>
      <c r="B846" s="3" t="s">
        <v>28</v>
      </c>
      <c r="C846">
        <v>20</v>
      </c>
      <c r="D846" s="6" t="s">
        <v>16</v>
      </c>
      <c r="E846">
        <v>319</v>
      </c>
      <c r="F846">
        <v>1.77</v>
      </c>
      <c r="G846">
        <v>0</v>
      </c>
      <c r="N846">
        <f t="shared" si="12"/>
        <v>261.64080435074999</v>
      </c>
      <c r="O846">
        <f>IF(AND(OR(D846="S. acutus",D846="S. californicus",D846="S. tabernaemontani"),G846=0),E846*[1]Sheet1!$D$7+[1]Sheet1!$L$7,IF(AND(OR(D846="S. acutus",D846="S. tabernaemontani"),G846&gt;0),E846*[1]Sheet1!$D$8+N846*[1]Sheet1!$E$8,IF(AND(D846="S. californicus",G846&gt;0),E846*[1]Sheet1!$D$9+N846*[1]Sheet1!$E$9,IF(D846="S. maritimus",F846*[1]Sheet1!$C$10+E846*[1]Sheet1!$D$10+G846*[1]Sheet1!$F$10+[1]Sheet1!$L$10,IF(D846="S. americanus",F846*[1]Sheet1!$C$6+E846*[1]Sheet1!$D$6+[1]Sheet1!$L$6,IF(AND(OR(D846="T. domingensis",D846="T. latifolia"),E846&gt;0),F846*[1]Sheet1!$C$4+E846*[1]Sheet1!$D$4+H846*[1]Sheet1!$J$4+I846*[1]Sheet1!$K$4+[1]Sheet1!$L$4,IF(AND(OR(D846="T. domingensis",D846="T. latifolia"),J846&gt;0),J846*[1]Sheet1!$G$5+K846*[1]Sheet1!$H$5+L846*[1]Sheet1!$I$5+[1]Sheet1!$L$5,0)))))))</f>
        <v>17.772898000000001</v>
      </c>
    </row>
    <row r="847" spans="1:15">
      <c r="A847" s="4">
        <v>40731</v>
      </c>
      <c r="B847" s="3" t="s">
        <v>28</v>
      </c>
      <c r="C847">
        <v>20</v>
      </c>
      <c r="D847" s="6" t="s">
        <v>16</v>
      </c>
      <c r="E847">
        <v>336</v>
      </c>
      <c r="F847">
        <v>1.29</v>
      </c>
      <c r="G847">
        <v>4</v>
      </c>
      <c r="N847">
        <f t="shared" si="12"/>
        <v>146.38175773199998</v>
      </c>
      <c r="O847">
        <f>IF(AND(OR(D847="S. acutus",D847="S. californicus",D847="S. tabernaemontani"),G847=0),E847*[1]Sheet1!$D$7+[1]Sheet1!$L$7,IF(AND(OR(D847="S. acutus",D847="S. tabernaemontani"),G847&gt;0),E847*[1]Sheet1!$D$8+N847*[1]Sheet1!$E$8,IF(AND(D847="S. californicus",G847&gt;0),E847*[1]Sheet1!$D$9+N847*[1]Sheet1!$E$9,IF(D847="S. maritimus",F847*[1]Sheet1!$C$10+E847*[1]Sheet1!$D$10+G847*[1]Sheet1!$F$10+[1]Sheet1!$L$10,IF(D847="S. americanus",F847*[1]Sheet1!$C$6+E847*[1]Sheet1!$D$6+[1]Sheet1!$L$6,IF(AND(OR(D847="T. domingensis",D847="T. latifolia"),E847&gt;0),F847*[1]Sheet1!$C$4+E847*[1]Sheet1!$D$4+H847*[1]Sheet1!$J$4+I847*[1]Sheet1!$K$4+[1]Sheet1!$L$4,IF(AND(OR(D847="T. domingensis",D847="T. latifolia"),J847&gt;0),J847*[1]Sheet1!$G$5+K847*[1]Sheet1!$H$5+L847*[1]Sheet1!$I$5+[1]Sheet1!$L$5,0)))))))</f>
        <v>17.652009942552358</v>
      </c>
    </row>
    <row r="848" spans="1:15">
      <c r="A848" s="4">
        <v>40731</v>
      </c>
      <c r="B848" s="3" t="s">
        <v>28</v>
      </c>
      <c r="C848">
        <v>20</v>
      </c>
      <c r="D848" s="6" t="s">
        <v>16</v>
      </c>
      <c r="E848">
        <v>353</v>
      </c>
      <c r="F848">
        <v>1.25</v>
      </c>
      <c r="G848">
        <v>2</v>
      </c>
      <c r="N848">
        <f t="shared" si="12"/>
        <v>144.39860286458332</v>
      </c>
      <c r="O848">
        <f>IF(AND(OR(D848="S. acutus",D848="S. californicus",D848="S. tabernaemontani"),G848=0),E848*[1]Sheet1!$D$7+[1]Sheet1!$L$7,IF(AND(OR(D848="S. acutus",D848="S. tabernaemontani"),G848&gt;0),E848*[1]Sheet1!$D$8+N848*[1]Sheet1!$E$8,IF(AND(D848="S. californicus",G848&gt;0),E848*[1]Sheet1!$D$9+N848*[1]Sheet1!$E$9,IF(D848="S. maritimus",F848*[1]Sheet1!$C$10+E848*[1]Sheet1!$D$10+G848*[1]Sheet1!$F$10+[1]Sheet1!$L$10,IF(D848="S. americanus",F848*[1]Sheet1!$C$6+E848*[1]Sheet1!$D$6+[1]Sheet1!$L$6,IF(AND(OR(D848="T. domingensis",D848="T. latifolia"),E848&gt;0),F848*[1]Sheet1!$C$4+E848*[1]Sheet1!$D$4+H848*[1]Sheet1!$J$4+I848*[1]Sheet1!$K$4+[1]Sheet1!$L$4,IF(AND(OR(D848="T. domingensis",D848="T. latifolia"),J848&gt;0),J848*[1]Sheet1!$G$5+K848*[1]Sheet1!$H$5+L848*[1]Sheet1!$I$5+[1]Sheet1!$L$5,0)))))))</f>
        <v>18.242771270982161</v>
      </c>
    </row>
    <row r="849" spans="1:15">
      <c r="A849" s="4">
        <v>40731</v>
      </c>
      <c r="B849" s="3" t="s">
        <v>28</v>
      </c>
      <c r="C849">
        <v>20</v>
      </c>
      <c r="D849" s="6" t="s">
        <v>19</v>
      </c>
      <c r="E849">
        <v>269</v>
      </c>
      <c r="F849">
        <v>1.79</v>
      </c>
      <c r="H849">
        <v>15</v>
      </c>
      <c r="I849">
        <v>1.8</v>
      </c>
      <c r="O849">
        <f>IF(AND(OR(D849="S. acutus",D849="S. californicus",D849="S. tabernaemontani"),G849=0),E849*[1]Sheet1!$D$7+[1]Sheet1!$L$7,IF(AND(OR(D849="S. acutus",D849="S. tabernaemontani"),G849&gt;0),E849*[1]Sheet1!$D$8+N849*[1]Sheet1!$E$8,IF(AND(D849="S. californicus",G849&gt;0),E849*[1]Sheet1!$D$9+N849*[1]Sheet1!$E$9,IF(D849="S. maritimus",F849*[1]Sheet1!$C$10+E849*[1]Sheet1!$D$10+G849*[1]Sheet1!$F$10+[1]Sheet1!$L$10,IF(D849="S. americanus",F849*[1]Sheet1!$C$6+E849*[1]Sheet1!$D$6+[1]Sheet1!$L$6,IF(AND(OR(D849="T. domingensis",D849="T. latifolia"),E849&gt;0),F849*[1]Sheet1!$C$4+E849*[1]Sheet1!$D$4+H849*[1]Sheet1!$J$4+I849*[1]Sheet1!$K$4+[1]Sheet1!$L$4,IF(AND(OR(D849="T. domingensis",D849="T. latifolia"),J849&gt;0),J849*[1]Sheet1!$G$5+K849*[1]Sheet1!$H$5+L849*[1]Sheet1!$I$5+[1]Sheet1!$L$5,0)))))))</f>
        <v>63.44658763000001</v>
      </c>
    </row>
    <row r="850" spans="1:15">
      <c r="A850" s="4">
        <v>40731</v>
      </c>
      <c r="B850" s="3" t="s">
        <v>28</v>
      </c>
      <c r="C850">
        <v>20</v>
      </c>
      <c r="D850" s="6" t="s">
        <v>19</v>
      </c>
      <c r="E850">
        <v>297</v>
      </c>
      <c r="F850">
        <v>1.8</v>
      </c>
      <c r="H850">
        <v>24</v>
      </c>
      <c r="I850">
        <v>2.2000000000000002</v>
      </c>
      <c r="O850">
        <f>IF(AND(OR(D850="S. acutus",D850="S. californicus",D850="S. tabernaemontani"),G850=0),E850*[1]Sheet1!$D$7+[1]Sheet1!$L$7,IF(AND(OR(D850="S. acutus",D850="S. tabernaemontani"),G850&gt;0),E850*[1]Sheet1!$D$8+N850*[1]Sheet1!$E$8,IF(AND(D850="S. californicus",G850&gt;0),E850*[1]Sheet1!$D$9+N850*[1]Sheet1!$E$9,IF(D850="S. maritimus",F850*[1]Sheet1!$C$10+E850*[1]Sheet1!$D$10+G850*[1]Sheet1!$F$10+[1]Sheet1!$L$10,IF(D850="S. americanus",F850*[1]Sheet1!$C$6+E850*[1]Sheet1!$D$6+[1]Sheet1!$L$6,IF(AND(OR(D850="T. domingensis",D850="T. latifolia"),E850&gt;0),F850*[1]Sheet1!$C$4+E850*[1]Sheet1!$D$4+H850*[1]Sheet1!$J$4+I850*[1]Sheet1!$K$4+[1]Sheet1!$L$4,IF(AND(OR(D850="T. domingensis",D850="T. latifolia"),J850&gt;0),J850*[1]Sheet1!$G$5+K850*[1]Sheet1!$H$5+L850*[1]Sheet1!$I$5+[1]Sheet1!$L$5,0)))))))</f>
        <v>87.510218399999985</v>
      </c>
    </row>
    <row r="851" spans="1:15">
      <c r="A851" s="4">
        <v>40731</v>
      </c>
      <c r="B851" s="3" t="s">
        <v>28</v>
      </c>
      <c r="C851">
        <v>20</v>
      </c>
      <c r="D851" s="6" t="s">
        <v>19</v>
      </c>
      <c r="F851">
        <v>1.18</v>
      </c>
      <c r="J851">
        <f>(212+233+258+271)</f>
        <v>974</v>
      </c>
      <c r="K851">
        <v>4</v>
      </c>
      <c r="L851">
        <v>271</v>
      </c>
      <c r="O851">
        <f>IF(AND(OR(D851="S. acutus",D851="S. californicus",D851="S. tabernaemontani"),G851=0),E851*[1]Sheet1!$D$7+[1]Sheet1!$L$7,IF(AND(OR(D851="S. acutus",D851="S. tabernaemontani"),G851&gt;0),E851*[1]Sheet1!$D$8+N851*[1]Sheet1!$E$8,IF(AND(D851="S. californicus",G851&gt;0),E851*[1]Sheet1!$D$9+N851*[1]Sheet1!$E$9,IF(D851="S. maritimus",F851*[1]Sheet1!$C$10+E851*[1]Sheet1!$D$10+G851*[1]Sheet1!$F$10+[1]Sheet1!$L$10,IF(D851="S. americanus",F851*[1]Sheet1!$C$6+E851*[1]Sheet1!$D$6+[1]Sheet1!$L$6,IF(AND(OR(D851="T. domingensis",D851="T. latifolia"),E851&gt;0),F851*[1]Sheet1!$C$4+E851*[1]Sheet1!$D$4+H851*[1]Sheet1!$J$4+I851*[1]Sheet1!$K$4+[1]Sheet1!$L$4,IF(AND(OR(D851="T. domingensis",D851="T. latifolia"),J851&gt;0),J851*[1]Sheet1!$G$5+K851*[1]Sheet1!$H$5+L851*[1]Sheet1!$I$5+[1]Sheet1!$L$5,0)))))))</f>
        <v>14.627547000000014</v>
      </c>
    </row>
    <row r="852" spans="1:15">
      <c r="A852" s="4">
        <v>40731</v>
      </c>
      <c r="B852" s="3" t="s">
        <v>28</v>
      </c>
      <c r="C852">
        <v>20</v>
      </c>
      <c r="D852" s="6" t="s">
        <v>19</v>
      </c>
      <c r="F852">
        <v>1.25</v>
      </c>
      <c r="J852">
        <f>SUM(301,323,345,350)</f>
        <v>1319</v>
      </c>
      <c r="K852">
        <v>4</v>
      </c>
      <c r="L852">
        <v>350</v>
      </c>
      <c r="O852">
        <f>IF(AND(OR(D852="S. acutus",D852="S. californicus",D852="S. tabernaemontani"),G852=0),E852*[1]Sheet1!$D$7+[1]Sheet1!$L$7,IF(AND(OR(D852="S. acutus",D852="S. tabernaemontani"),G852&gt;0),E852*[1]Sheet1!$D$8+N852*[1]Sheet1!$E$8,IF(AND(D852="S. californicus",G852&gt;0),E852*[1]Sheet1!$D$9+N852*[1]Sheet1!$E$9,IF(D852="S. maritimus",F852*[1]Sheet1!$C$10+E852*[1]Sheet1!$D$10+G852*[1]Sheet1!$F$10+[1]Sheet1!$L$10,IF(D852="S. americanus",F852*[1]Sheet1!$C$6+E852*[1]Sheet1!$D$6+[1]Sheet1!$L$6,IF(AND(OR(D852="T. domingensis",D852="T. latifolia"),E852&gt;0),F852*[1]Sheet1!$C$4+E852*[1]Sheet1!$D$4+H852*[1]Sheet1!$J$4+I852*[1]Sheet1!$K$4+[1]Sheet1!$L$4,IF(AND(OR(D852="T. domingensis",D852="T. latifolia"),J852&gt;0),J852*[1]Sheet1!$G$5+K852*[1]Sheet1!$H$5+L852*[1]Sheet1!$I$5+[1]Sheet1!$L$5,0)))))))</f>
        <v>23.174667000000007</v>
      </c>
    </row>
    <row r="853" spans="1:15">
      <c r="A853" s="4">
        <v>40731</v>
      </c>
      <c r="B853" s="3" t="s">
        <v>28</v>
      </c>
      <c r="C853">
        <v>20</v>
      </c>
      <c r="D853" s="6" t="s">
        <v>19</v>
      </c>
      <c r="J853">
        <f>SUM(292,330,331,360,361)</f>
        <v>1674</v>
      </c>
      <c r="K853">
        <v>5</v>
      </c>
      <c r="L853">
        <v>361</v>
      </c>
      <c r="O853">
        <f>IF(AND(OR(D853="S. acutus",D853="S. californicus",D853="S. tabernaemontani"),G853=0),E853*[1]Sheet1!$D$7+[1]Sheet1!$L$7,IF(AND(OR(D853="S. acutus",D853="S. tabernaemontani"),G853&gt;0),E853*[1]Sheet1!$D$8+N853*[1]Sheet1!$E$8,IF(AND(D853="S. californicus",G853&gt;0),E853*[1]Sheet1!$D$9+N853*[1]Sheet1!$E$9,IF(D853="S. maritimus",F853*[1]Sheet1!$C$10+E853*[1]Sheet1!$D$10+G853*[1]Sheet1!$F$10+[1]Sheet1!$L$10,IF(D853="S. americanus",F853*[1]Sheet1!$C$6+E853*[1]Sheet1!$D$6+[1]Sheet1!$L$6,IF(AND(OR(D853="T. domingensis",D853="T. latifolia"),E853&gt;0),F853*[1]Sheet1!$C$4+E853*[1]Sheet1!$D$4+H853*[1]Sheet1!$J$4+I853*[1]Sheet1!$K$4+[1]Sheet1!$L$4,IF(AND(OR(D853="T. domingensis",D853="T. latifolia"),J853&gt;0),J853*[1]Sheet1!$G$5+K853*[1]Sheet1!$H$5+L853*[1]Sheet1!$I$5+[1]Sheet1!$L$5,0)))))))</f>
        <v>46.121644000000025</v>
      </c>
    </row>
    <row r="854" spans="1:15">
      <c r="A854" s="2">
        <v>40731</v>
      </c>
      <c r="B854" t="s">
        <v>28</v>
      </c>
      <c r="C854">
        <v>23</v>
      </c>
      <c r="D854" s="6" t="s">
        <v>16</v>
      </c>
      <c r="E854">
        <v>216</v>
      </c>
      <c r="F854">
        <v>1.1499999999999999</v>
      </c>
      <c r="G854">
        <v>0</v>
      </c>
      <c r="N854">
        <f t="shared" ref="N854:N878" si="13">((1/3)*(3.14159)*((F854/2)^2)*E854)</f>
        <v>74.785549949999975</v>
      </c>
      <c r="O854">
        <f>IF(AND(OR(D854="S. acutus",D854="S. californicus",D854="S. tabernaemontani"),G854=0),E854*[1]Sheet1!$D$7+[1]Sheet1!$L$7,IF(AND(OR(D854="S. acutus",D854="S. tabernaemontani"),G854&gt;0),E854*[1]Sheet1!$D$8+N854*[1]Sheet1!$E$8,IF(AND(D854="S. californicus",G854&gt;0),E854*[1]Sheet1!$D$9+N854*[1]Sheet1!$E$9,IF(D854="S. maritimus",F854*[1]Sheet1!$C$10+E854*[1]Sheet1!$D$10+G854*[1]Sheet1!$F$10+[1]Sheet1!$L$10,IF(D854="S. americanus",F854*[1]Sheet1!$C$6+E854*[1]Sheet1!$D$6+[1]Sheet1!$L$6,IF(AND(OR(D854="T. domingensis",D854="T. latifolia"),E854&gt;0),F854*[1]Sheet1!$C$4+E854*[1]Sheet1!$D$4+H854*[1]Sheet1!$J$4+I854*[1]Sheet1!$K$4+[1]Sheet1!$L$4,IF(AND(OR(D854="T. domingensis",D854="T. latifolia"),J854&gt;0),J854*[1]Sheet1!$G$5+K854*[1]Sheet1!$H$5+L854*[1]Sheet1!$I$5+[1]Sheet1!$L$5,0)))))))</f>
        <v>10.552083</v>
      </c>
    </row>
    <row r="855" spans="1:15">
      <c r="A855" s="2">
        <v>40731</v>
      </c>
      <c r="B855" t="s">
        <v>28</v>
      </c>
      <c r="C855">
        <v>23</v>
      </c>
      <c r="D855" s="6" t="s">
        <v>16</v>
      </c>
      <c r="E855">
        <v>226</v>
      </c>
      <c r="F855">
        <v>0.87</v>
      </c>
      <c r="G855">
        <v>0</v>
      </c>
      <c r="N855">
        <f t="shared" si="13"/>
        <v>44.783208370499999</v>
      </c>
      <c r="O855">
        <f>IF(AND(OR(D855="S. acutus",D855="S. californicus",D855="S. tabernaemontani"),G855=0),E855*[1]Sheet1!$D$7+[1]Sheet1!$L$7,IF(AND(OR(D855="S. acutus",D855="S. tabernaemontani"),G855&gt;0),E855*[1]Sheet1!$D$8+N855*[1]Sheet1!$E$8,IF(AND(D855="S. californicus",G855&gt;0),E855*[1]Sheet1!$D$9+N855*[1]Sheet1!$E$9,IF(D855="S. maritimus",F855*[1]Sheet1!$C$10+E855*[1]Sheet1!$D$10+G855*[1]Sheet1!$F$10+[1]Sheet1!$L$10,IF(D855="S. americanus",F855*[1]Sheet1!$C$6+E855*[1]Sheet1!$D$6+[1]Sheet1!$L$6,IF(AND(OR(D855="T. domingensis",D855="T. latifolia"),E855&gt;0),F855*[1]Sheet1!$C$4+E855*[1]Sheet1!$D$4+H855*[1]Sheet1!$J$4+I855*[1]Sheet1!$K$4+[1]Sheet1!$L$4,IF(AND(OR(D855="T. domingensis",D855="T. latifolia"),J855&gt;0),J855*[1]Sheet1!$G$5+K855*[1]Sheet1!$H$5+L855*[1]Sheet1!$I$5+[1]Sheet1!$L$5,0)))))))</f>
        <v>11.253133000000002</v>
      </c>
    </row>
    <row r="856" spans="1:15">
      <c r="A856" s="2">
        <v>40731</v>
      </c>
      <c r="B856" t="s">
        <v>28</v>
      </c>
      <c r="C856">
        <v>23</v>
      </c>
      <c r="D856" s="6" t="s">
        <v>16</v>
      </c>
      <c r="E856">
        <v>233</v>
      </c>
      <c r="F856">
        <v>1.1000000000000001</v>
      </c>
      <c r="G856">
        <v>0</v>
      </c>
      <c r="N856">
        <f t="shared" si="13"/>
        <v>73.80903905833334</v>
      </c>
      <c r="O856">
        <f>IF(AND(OR(D856="S. acutus",D856="S. californicus",D856="S. tabernaemontani"),G856=0),E856*[1]Sheet1!$D$7+[1]Sheet1!$L$7,IF(AND(OR(D856="S. acutus",D856="S. tabernaemontani"),G856&gt;0),E856*[1]Sheet1!$D$8+N856*[1]Sheet1!$E$8,IF(AND(D856="S. californicus",G856&gt;0),E856*[1]Sheet1!$D$9+N856*[1]Sheet1!$E$9,IF(D856="S. maritimus",F856*[1]Sheet1!$C$10+E856*[1]Sheet1!$D$10+G856*[1]Sheet1!$F$10+[1]Sheet1!$L$10,IF(D856="S. americanus",F856*[1]Sheet1!$C$6+E856*[1]Sheet1!$D$6+[1]Sheet1!$L$6,IF(AND(OR(D856="T. domingensis",D856="T. latifolia"),E856&gt;0),F856*[1]Sheet1!$C$4+E856*[1]Sheet1!$D$4+H856*[1]Sheet1!$J$4+I856*[1]Sheet1!$K$4+[1]Sheet1!$L$4,IF(AND(OR(D856="T. domingensis",D856="T. latifolia"),J856&gt;0),J856*[1]Sheet1!$G$5+K856*[1]Sheet1!$H$5+L856*[1]Sheet1!$I$5+[1]Sheet1!$L$5,0)))))))</f>
        <v>11.743868000000003</v>
      </c>
    </row>
    <row r="857" spans="1:15">
      <c r="A857" s="2">
        <v>40731</v>
      </c>
      <c r="B857" t="s">
        <v>28</v>
      </c>
      <c r="C857">
        <v>23</v>
      </c>
      <c r="D857" s="6" t="s">
        <v>16</v>
      </c>
      <c r="E857">
        <v>235</v>
      </c>
      <c r="F857">
        <v>1.1299999999999999</v>
      </c>
      <c r="G857">
        <v>0</v>
      </c>
      <c r="N857">
        <f t="shared" si="13"/>
        <v>78.558468640416635</v>
      </c>
      <c r="O857">
        <f>IF(AND(OR(D857="S. acutus",D857="S. californicus",D857="S. tabernaemontani"),G857=0),E857*[1]Sheet1!$D$7+[1]Sheet1!$L$7,IF(AND(OR(D857="S. acutus",D857="S. tabernaemontani"),G857&gt;0),E857*[1]Sheet1!$D$8+N857*[1]Sheet1!$E$8,IF(AND(D857="S. californicus",G857&gt;0),E857*[1]Sheet1!$D$9+N857*[1]Sheet1!$E$9,IF(D857="S. maritimus",F857*[1]Sheet1!$C$10+E857*[1]Sheet1!$D$10+G857*[1]Sheet1!$F$10+[1]Sheet1!$L$10,IF(D857="S. americanus",F857*[1]Sheet1!$C$6+E857*[1]Sheet1!$D$6+[1]Sheet1!$L$6,IF(AND(OR(D857="T. domingensis",D857="T. latifolia"),E857&gt;0),F857*[1]Sheet1!$C$4+E857*[1]Sheet1!$D$4+H857*[1]Sheet1!$J$4+I857*[1]Sheet1!$K$4+[1]Sheet1!$L$4,IF(AND(OR(D857="T. domingensis",D857="T. latifolia"),J857&gt;0),J857*[1]Sheet1!$G$5+K857*[1]Sheet1!$H$5+L857*[1]Sheet1!$I$5+[1]Sheet1!$L$5,0)))))))</f>
        <v>11.884078000000002</v>
      </c>
    </row>
    <row r="858" spans="1:15">
      <c r="A858" s="2">
        <v>40731</v>
      </c>
      <c r="B858" t="s">
        <v>28</v>
      </c>
      <c r="C858">
        <v>23</v>
      </c>
      <c r="D858" s="6" t="s">
        <v>16</v>
      </c>
      <c r="E858">
        <v>237</v>
      </c>
      <c r="F858">
        <v>1.37</v>
      </c>
      <c r="G858">
        <v>0</v>
      </c>
      <c r="N858">
        <f t="shared" si="13"/>
        <v>116.45489285225</v>
      </c>
      <c r="O858">
        <f>IF(AND(OR(D858="S. acutus",D858="S. californicus",D858="S. tabernaemontani"),G858=0),E858*[1]Sheet1!$D$7+[1]Sheet1!$L$7,IF(AND(OR(D858="S. acutus",D858="S. tabernaemontani"),G858&gt;0),E858*[1]Sheet1!$D$8+N858*[1]Sheet1!$E$8,IF(AND(D858="S. californicus",G858&gt;0),E858*[1]Sheet1!$D$9+N858*[1]Sheet1!$E$9,IF(D858="S. maritimus",F858*[1]Sheet1!$C$10+E858*[1]Sheet1!$D$10+G858*[1]Sheet1!$F$10+[1]Sheet1!$L$10,IF(D858="S. americanus",F858*[1]Sheet1!$C$6+E858*[1]Sheet1!$D$6+[1]Sheet1!$L$6,IF(AND(OR(D858="T. domingensis",D858="T. latifolia"),E858&gt;0),F858*[1]Sheet1!$C$4+E858*[1]Sheet1!$D$4+H858*[1]Sheet1!$J$4+I858*[1]Sheet1!$K$4+[1]Sheet1!$L$4,IF(AND(OR(D858="T. domingensis",D858="T. latifolia"),J858&gt;0),J858*[1]Sheet1!$G$5+K858*[1]Sheet1!$H$5+L858*[1]Sheet1!$I$5+[1]Sheet1!$L$5,0)))))))</f>
        <v>12.024288000000002</v>
      </c>
    </row>
    <row r="859" spans="1:15">
      <c r="A859" s="2">
        <v>40731</v>
      </c>
      <c r="B859" t="s">
        <v>28</v>
      </c>
      <c r="C859">
        <v>23</v>
      </c>
      <c r="D859" s="6" t="s">
        <v>16</v>
      </c>
      <c r="E859">
        <v>239</v>
      </c>
      <c r="F859">
        <v>1.28</v>
      </c>
      <c r="G859">
        <v>0</v>
      </c>
      <c r="N859">
        <f t="shared" si="13"/>
        <v>102.51468936533334</v>
      </c>
      <c r="O859">
        <f>IF(AND(OR(D859="S. acutus",D859="S. californicus",D859="S. tabernaemontani"),G859=0),E859*[1]Sheet1!$D$7+[1]Sheet1!$L$7,IF(AND(OR(D859="S. acutus",D859="S. tabernaemontani"),G859&gt;0),E859*[1]Sheet1!$D$8+N859*[1]Sheet1!$E$8,IF(AND(D859="S. californicus",G859&gt;0),E859*[1]Sheet1!$D$9+N859*[1]Sheet1!$E$9,IF(D859="S. maritimus",F859*[1]Sheet1!$C$10+E859*[1]Sheet1!$D$10+G859*[1]Sheet1!$F$10+[1]Sheet1!$L$10,IF(D859="S. americanus",F859*[1]Sheet1!$C$6+E859*[1]Sheet1!$D$6+[1]Sheet1!$L$6,IF(AND(OR(D859="T. domingensis",D859="T. latifolia"),E859&gt;0),F859*[1]Sheet1!$C$4+E859*[1]Sheet1!$D$4+H859*[1]Sheet1!$J$4+I859*[1]Sheet1!$K$4+[1]Sheet1!$L$4,IF(AND(OR(D859="T. domingensis",D859="T. latifolia"),J859&gt;0),J859*[1]Sheet1!$G$5+K859*[1]Sheet1!$H$5+L859*[1]Sheet1!$I$5+[1]Sheet1!$L$5,0)))))))</f>
        <v>12.164498000000002</v>
      </c>
    </row>
    <row r="860" spans="1:15">
      <c r="A860" s="2">
        <v>40731</v>
      </c>
      <c r="B860" t="s">
        <v>28</v>
      </c>
      <c r="C860">
        <v>23</v>
      </c>
      <c r="D860" s="6" t="s">
        <v>16</v>
      </c>
      <c r="E860">
        <v>271</v>
      </c>
      <c r="F860">
        <v>1.52</v>
      </c>
      <c r="G860">
        <v>0</v>
      </c>
      <c r="N860">
        <f t="shared" si="13"/>
        <v>163.91727535466666</v>
      </c>
      <c r="O860">
        <f>IF(AND(OR(D860="S. acutus",D860="S. californicus",D860="S. tabernaemontani"),G860=0),E860*[1]Sheet1!$D$7+[1]Sheet1!$L$7,IF(AND(OR(D860="S. acutus",D860="S. tabernaemontani"),G860&gt;0),E860*[1]Sheet1!$D$8+N860*[1]Sheet1!$E$8,IF(AND(D860="S. californicus",G860&gt;0),E860*[1]Sheet1!$D$9+N860*[1]Sheet1!$E$9,IF(D860="S. maritimus",F860*[1]Sheet1!$C$10+E860*[1]Sheet1!$D$10+G860*[1]Sheet1!$F$10+[1]Sheet1!$L$10,IF(D860="S. americanus",F860*[1]Sheet1!$C$6+E860*[1]Sheet1!$D$6+[1]Sheet1!$L$6,IF(AND(OR(D860="T. domingensis",D860="T. latifolia"),E860&gt;0),F860*[1]Sheet1!$C$4+E860*[1]Sheet1!$D$4+H860*[1]Sheet1!$J$4+I860*[1]Sheet1!$K$4+[1]Sheet1!$L$4,IF(AND(OR(D860="T. domingensis",D860="T. latifolia"),J860&gt;0),J860*[1]Sheet1!$G$5+K860*[1]Sheet1!$H$5+L860*[1]Sheet1!$I$5+[1]Sheet1!$L$5,0)))))))</f>
        <v>14.407858000000001</v>
      </c>
    </row>
    <row r="861" spans="1:15">
      <c r="A861" s="2">
        <v>40731</v>
      </c>
      <c r="B861" t="s">
        <v>28</v>
      </c>
      <c r="C861">
        <v>23</v>
      </c>
      <c r="D861" s="6" t="s">
        <v>16</v>
      </c>
      <c r="E861">
        <v>278</v>
      </c>
      <c r="F861">
        <v>1</v>
      </c>
      <c r="G861">
        <v>0</v>
      </c>
      <c r="N861">
        <f t="shared" si="13"/>
        <v>72.780168333333322</v>
      </c>
      <c r="O861">
        <f>IF(AND(OR(D861="S. acutus",D861="S. californicus",D861="S. tabernaemontani"),G861=0),E861*[1]Sheet1!$D$7+[1]Sheet1!$L$7,IF(AND(OR(D861="S. acutus",D861="S. tabernaemontani"),G861&gt;0),E861*[1]Sheet1!$D$8+N861*[1]Sheet1!$E$8,IF(AND(D861="S. californicus",G861&gt;0),E861*[1]Sheet1!$D$9+N861*[1]Sheet1!$E$9,IF(D861="S. maritimus",F861*[1]Sheet1!$C$10+E861*[1]Sheet1!$D$10+G861*[1]Sheet1!$F$10+[1]Sheet1!$L$10,IF(D861="S. americanus",F861*[1]Sheet1!$C$6+E861*[1]Sheet1!$D$6+[1]Sheet1!$L$6,IF(AND(OR(D861="T. domingensis",D861="T. latifolia"),E861&gt;0),F861*[1]Sheet1!$C$4+E861*[1]Sheet1!$D$4+H861*[1]Sheet1!$J$4+I861*[1]Sheet1!$K$4+[1]Sheet1!$L$4,IF(AND(OR(D861="T. domingensis",D861="T. latifolia"),J861&gt;0),J861*[1]Sheet1!$G$5+K861*[1]Sheet1!$H$5+L861*[1]Sheet1!$I$5+[1]Sheet1!$L$5,0)))))))</f>
        <v>14.898593000000002</v>
      </c>
    </row>
    <row r="862" spans="1:15">
      <c r="A862" s="2">
        <v>40731</v>
      </c>
      <c r="B862" t="s">
        <v>28</v>
      </c>
      <c r="C862">
        <v>23</v>
      </c>
      <c r="D862" s="6" t="s">
        <v>16</v>
      </c>
      <c r="E862">
        <v>288</v>
      </c>
      <c r="F862">
        <v>1.21</v>
      </c>
      <c r="G862">
        <v>7</v>
      </c>
      <c r="N862">
        <f t="shared" si="13"/>
        <v>110.39044605599999</v>
      </c>
      <c r="O862">
        <f>IF(AND(OR(D862="S. acutus",D862="S. californicus",D862="S. tabernaemontani"),G862=0),E862*[1]Sheet1!$D$7+[1]Sheet1!$L$7,IF(AND(OR(D862="S. acutus",D862="S. tabernaemontani"),G862&gt;0),E862*[1]Sheet1!$D$8+N862*[1]Sheet1!$E$8,IF(AND(D862="S. californicus",G862&gt;0),E862*[1]Sheet1!$D$9+N862*[1]Sheet1!$E$9,IF(D862="S. maritimus",F862*[1]Sheet1!$C$10+E862*[1]Sheet1!$D$10+G862*[1]Sheet1!$F$10+[1]Sheet1!$L$10,IF(D862="S. americanus",F862*[1]Sheet1!$C$6+E862*[1]Sheet1!$D$6+[1]Sheet1!$L$6,IF(AND(OR(D862="T. domingensis",D862="T. latifolia"),E862&gt;0),F862*[1]Sheet1!$C$4+E862*[1]Sheet1!$D$4+H862*[1]Sheet1!$J$4+I862*[1]Sheet1!$K$4+[1]Sheet1!$L$4,IF(AND(OR(D862="T. domingensis",D862="T. latifolia"),J862&gt;0),J862*[1]Sheet1!$G$5+K862*[1]Sheet1!$H$5+L862*[1]Sheet1!$I$5+[1]Sheet1!$L$5,0)))))))</f>
        <v>14.644716514404651</v>
      </c>
    </row>
    <row r="863" spans="1:15">
      <c r="A863" s="2">
        <v>40731</v>
      </c>
      <c r="B863" t="s">
        <v>28</v>
      </c>
      <c r="C863">
        <v>23</v>
      </c>
      <c r="D863" t="s">
        <v>16</v>
      </c>
      <c r="E863">
        <v>289</v>
      </c>
      <c r="F863">
        <v>2.41</v>
      </c>
      <c r="G863">
        <v>0</v>
      </c>
      <c r="N863">
        <f t="shared" si="13"/>
        <v>439.44060883591669</v>
      </c>
      <c r="O863">
        <f>IF(AND(OR(D863="S. acutus",D863="S. californicus",D863="S. tabernaemontani"),G863=0),E863*[1]Sheet1!$D$7+[1]Sheet1!$L$7,IF(AND(OR(D863="S. acutus",D863="S. tabernaemontani"),G863&gt;0),E863*[1]Sheet1!$D$8+N863*[1]Sheet1!$E$8,IF(AND(D863="S. californicus",G863&gt;0),E863*[1]Sheet1!$D$9+N863*[1]Sheet1!$E$9,IF(D863="S. maritimus",F863*[1]Sheet1!$C$10+E863*[1]Sheet1!$D$10+G863*[1]Sheet1!$F$10+[1]Sheet1!$L$10,IF(D863="S. americanus",F863*[1]Sheet1!$C$6+E863*[1]Sheet1!$D$6+[1]Sheet1!$L$6,IF(AND(OR(D863="T. domingensis",D863="T. latifolia"),E863&gt;0),F863*[1]Sheet1!$C$4+E863*[1]Sheet1!$D$4+H863*[1]Sheet1!$J$4+I863*[1]Sheet1!$K$4+[1]Sheet1!$L$4,IF(AND(OR(D863="T. domingensis",D863="T. latifolia"),J863&gt;0),J863*[1]Sheet1!$G$5+K863*[1]Sheet1!$H$5+L863*[1]Sheet1!$I$5+[1]Sheet1!$L$5,0)))))))</f>
        <v>15.669748000000002</v>
      </c>
    </row>
    <row r="864" spans="1:15">
      <c r="A864" s="2">
        <v>40731</v>
      </c>
      <c r="B864" t="s">
        <v>28</v>
      </c>
      <c r="C864">
        <v>23</v>
      </c>
      <c r="D864" s="6" t="s">
        <v>16</v>
      </c>
      <c r="E864">
        <v>295</v>
      </c>
      <c r="F864">
        <v>0.9</v>
      </c>
      <c r="G864">
        <v>0</v>
      </c>
      <c r="N864">
        <f t="shared" si="13"/>
        <v>62.556910875</v>
      </c>
      <c r="O864">
        <f>IF(AND(OR(D864="S. acutus",D864="S. californicus",D864="S. tabernaemontani"),G864=0),E864*[1]Sheet1!$D$7+[1]Sheet1!$L$7,IF(AND(OR(D864="S. acutus",D864="S. tabernaemontani"),G864&gt;0),E864*[1]Sheet1!$D$8+N864*[1]Sheet1!$E$8,IF(AND(D864="S. californicus",G864&gt;0),E864*[1]Sheet1!$D$9+N864*[1]Sheet1!$E$9,IF(D864="S. maritimus",F864*[1]Sheet1!$C$10+E864*[1]Sheet1!$D$10+G864*[1]Sheet1!$F$10+[1]Sheet1!$L$10,IF(D864="S. americanus",F864*[1]Sheet1!$C$6+E864*[1]Sheet1!$D$6+[1]Sheet1!$L$6,IF(AND(OR(D864="T. domingensis",D864="T. latifolia"),E864&gt;0),F864*[1]Sheet1!$C$4+E864*[1]Sheet1!$D$4+H864*[1]Sheet1!$J$4+I864*[1]Sheet1!$K$4+[1]Sheet1!$L$4,IF(AND(OR(D864="T. domingensis",D864="T. latifolia"),J864&gt;0),J864*[1]Sheet1!$G$5+K864*[1]Sheet1!$H$5+L864*[1]Sheet1!$I$5+[1]Sheet1!$L$5,0)))))))</f>
        <v>16.090378000000001</v>
      </c>
    </row>
    <row r="865" spans="1:15">
      <c r="A865" s="2">
        <v>40731</v>
      </c>
      <c r="B865" t="s">
        <v>28</v>
      </c>
      <c r="C865">
        <v>23</v>
      </c>
      <c r="D865" s="6" t="s">
        <v>16</v>
      </c>
      <c r="E865">
        <v>295</v>
      </c>
      <c r="F865">
        <v>2.0499999999999998</v>
      </c>
      <c r="G865">
        <v>11</v>
      </c>
      <c r="N865">
        <f t="shared" si="13"/>
        <v>324.56224438541665</v>
      </c>
      <c r="O865">
        <f>IF(AND(OR(D865="S. acutus",D865="S. californicus",D865="S. tabernaemontani"),G865=0),E865*[1]Sheet1!$D$7+[1]Sheet1!$L$7,IF(AND(OR(D865="S. acutus",D865="S. tabernaemontani"),G865&gt;0),E865*[1]Sheet1!$D$8+N865*[1]Sheet1!$E$8,IF(AND(D865="S. californicus",G865&gt;0),E865*[1]Sheet1!$D$9+N865*[1]Sheet1!$E$9,IF(D865="S. maritimus",F865*[1]Sheet1!$C$10+E865*[1]Sheet1!$D$10+G865*[1]Sheet1!$F$10+[1]Sheet1!$L$10,IF(D865="S. americanus",F865*[1]Sheet1!$C$6+E865*[1]Sheet1!$D$6+[1]Sheet1!$L$6,IF(AND(OR(D865="T. domingensis",D865="T. latifolia"),E865&gt;0),F865*[1]Sheet1!$C$4+E865*[1]Sheet1!$D$4+H865*[1]Sheet1!$J$4+I865*[1]Sheet1!$K$4+[1]Sheet1!$L$4,IF(AND(OR(D865="T. domingensis",D865="T. latifolia"),J865&gt;0),J865*[1]Sheet1!$G$5+K865*[1]Sheet1!$H$5+L865*[1]Sheet1!$I$5+[1]Sheet1!$L$5,0)))))))</f>
        <v>21.81079087523036</v>
      </c>
    </row>
    <row r="866" spans="1:15">
      <c r="A866" s="2">
        <v>40731</v>
      </c>
      <c r="B866" t="s">
        <v>28</v>
      </c>
      <c r="C866">
        <v>23</v>
      </c>
      <c r="D866" s="6" t="s">
        <v>16</v>
      </c>
      <c r="E866">
        <v>296</v>
      </c>
      <c r="F866">
        <v>1.19</v>
      </c>
      <c r="G866">
        <v>15</v>
      </c>
      <c r="N866">
        <f t="shared" si="13"/>
        <v>109.73720477533331</v>
      </c>
      <c r="O866">
        <f>IF(AND(OR(D866="S. acutus",D866="S. californicus",D866="S. tabernaemontani"),G866=0),E866*[1]Sheet1!$D$7+[1]Sheet1!$L$7,IF(AND(OR(D866="S. acutus",D866="S. tabernaemontani"),G866&gt;0),E866*[1]Sheet1!$D$8+N866*[1]Sheet1!$E$8,IF(AND(D866="S. californicus",G866&gt;0),E866*[1]Sheet1!$D$9+N866*[1]Sheet1!$E$9,IF(D866="S. maritimus",F866*[1]Sheet1!$C$10+E866*[1]Sheet1!$D$10+G866*[1]Sheet1!$F$10+[1]Sheet1!$L$10,IF(D866="S. americanus",F866*[1]Sheet1!$C$6+E866*[1]Sheet1!$D$6+[1]Sheet1!$L$6,IF(AND(OR(D866="T. domingensis",D866="T. latifolia"),E866&gt;0),F866*[1]Sheet1!$C$4+E866*[1]Sheet1!$D$4+H866*[1]Sheet1!$J$4+I866*[1]Sheet1!$K$4+[1]Sheet1!$L$4,IF(AND(OR(D866="T. domingensis",D866="T. latifolia"),J866&gt;0),J866*[1]Sheet1!$G$5+K866*[1]Sheet1!$H$5+L866*[1]Sheet1!$I$5+[1]Sheet1!$L$5,0)))))))</f>
        <v>14.93173835725003</v>
      </c>
    </row>
    <row r="867" spans="1:15">
      <c r="A867" s="2">
        <v>40731</v>
      </c>
      <c r="B867" t="s">
        <v>28</v>
      </c>
      <c r="C867">
        <v>23</v>
      </c>
      <c r="D867" s="6" t="s">
        <v>16</v>
      </c>
      <c r="E867">
        <v>299</v>
      </c>
      <c r="F867">
        <v>1.96</v>
      </c>
      <c r="G867">
        <v>0</v>
      </c>
      <c r="N867">
        <f t="shared" si="13"/>
        <v>300.71257592133327</v>
      </c>
      <c r="O867">
        <f>IF(AND(OR(D867="S. acutus",D867="S. californicus",D867="S. tabernaemontani"),G867=0),E867*[1]Sheet1!$D$7+[1]Sheet1!$L$7,IF(AND(OR(D867="S. acutus",D867="S. tabernaemontani"),G867&gt;0),E867*[1]Sheet1!$D$8+N867*[1]Sheet1!$E$8,IF(AND(D867="S. californicus",G867&gt;0),E867*[1]Sheet1!$D$9+N867*[1]Sheet1!$E$9,IF(D867="S. maritimus",F867*[1]Sheet1!$C$10+E867*[1]Sheet1!$D$10+G867*[1]Sheet1!$F$10+[1]Sheet1!$L$10,IF(D867="S. americanus",F867*[1]Sheet1!$C$6+E867*[1]Sheet1!$D$6+[1]Sheet1!$L$6,IF(AND(OR(D867="T. domingensis",D867="T. latifolia"),E867&gt;0),F867*[1]Sheet1!$C$4+E867*[1]Sheet1!$D$4+H867*[1]Sheet1!$J$4+I867*[1]Sheet1!$K$4+[1]Sheet1!$L$4,IF(AND(OR(D867="T. domingensis",D867="T. latifolia"),J867&gt;0),J867*[1]Sheet1!$G$5+K867*[1]Sheet1!$H$5+L867*[1]Sheet1!$I$5+[1]Sheet1!$L$5,0)))))))</f>
        <v>16.370798000000001</v>
      </c>
    </row>
    <row r="868" spans="1:15">
      <c r="A868" s="2">
        <v>40731</v>
      </c>
      <c r="B868" t="s">
        <v>28</v>
      </c>
      <c r="C868">
        <v>23</v>
      </c>
      <c r="D868" s="6" t="s">
        <v>16</v>
      </c>
      <c r="E868">
        <v>306</v>
      </c>
      <c r="F868">
        <v>1.4</v>
      </c>
      <c r="G868">
        <v>8</v>
      </c>
      <c r="N868">
        <f t="shared" si="13"/>
        <v>157.01666819999997</v>
      </c>
      <c r="O868">
        <f>IF(AND(OR(D868="S. acutus",D868="S. californicus",D868="S. tabernaemontani"),G868=0),E868*[1]Sheet1!$D$7+[1]Sheet1!$L$7,IF(AND(OR(D868="S. acutus",D868="S. tabernaemontani"),G868&gt;0),E868*[1]Sheet1!$D$8+N868*[1]Sheet1!$E$8,IF(AND(D868="S. californicus",G868&gt;0),E868*[1]Sheet1!$D$9+N868*[1]Sheet1!$E$9,IF(D868="S. maritimus",F868*[1]Sheet1!$C$10+E868*[1]Sheet1!$D$10+G868*[1]Sheet1!$F$10+[1]Sheet1!$L$10,IF(D868="S. americanus",F868*[1]Sheet1!$C$6+E868*[1]Sheet1!$D$6+[1]Sheet1!$L$6,IF(AND(OR(D868="T. domingensis",D868="T. latifolia"),E868&gt;0),F868*[1]Sheet1!$C$4+E868*[1]Sheet1!$D$4+H868*[1]Sheet1!$J$4+I868*[1]Sheet1!$K$4+[1]Sheet1!$L$4,IF(AND(OR(D868="T. domingensis",D868="T. latifolia"),J868&gt;0),J868*[1]Sheet1!$G$5+K868*[1]Sheet1!$H$5+L868*[1]Sheet1!$I$5+[1]Sheet1!$L$5,0)))))))</f>
        <v>16.839250631041381</v>
      </c>
    </row>
    <row r="869" spans="1:15">
      <c r="A869" s="2">
        <v>40731</v>
      </c>
      <c r="B869" t="s">
        <v>28</v>
      </c>
      <c r="C869">
        <v>23</v>
      </c>
      <c r="D869" s="6" t="s">
        <v>16</v>
      </c>
      <c r="E869">
        <v>307</v>
      </c>
      <c r="F869">
        <v>1.6</v>
      </c>
      <c r="G869">
        <v>0</v>
      </c>
      <c r="N869">
        <f t="shared" si="13"/>
        <v>205.75320106666669</v>
      </c>
      <c r="O869">
        <f>IF(AND(OR(D869="S. acutus",D869="S. californicus",D869="S. tabernaemontani"),G869=0),E869*[1]Sheet1!$D$7+[1]Sheet1!$L$7,IF(AND(OR(D869="S. acutus",D869="S. tabernaemontani"),G869&gt;0),E869*[1]Sheet1!$D$8+N869*[1]Sheet1!$E$8,IF(AND(D869="S. californicus",G869&gt;0),E869*[1]Sheet1!$D$9+N869*[1]Sheet1!$E$9,IF(D869="S. maritimus",F869*[1]Sheet1!$C$10+E869*[1]Sheet1!$D$10+G869*[1]Sheet1!$F$10+[1]Sheet1!$L$10,IF(D869="S. americanus",F869*[1]Sheet1!$C$6+E869*[1]Sheet1!$D$6+[1]Sheet1!$L$6,IF(AND(OR(D869="T. domingensis",D869="T. latifolia"),E869&gt;0),F869*[1]Sheet1!$C$4+E869*[1]Sheet1!$D$4+H869*[1]Sheet1!$J$4+I869*[1]Sheet1!$K$4+[1]Sheet1!$L$4,IF(AND(OR(D869="T. domingensis",D869="T. latifolia"),J869&gt;0),J869*[1]Sheet1!$G$5+K869*[1]Sheet1!$H$5+L869*[1]Sheet1!$I$5+[1]Sheet1!$L$5,0)))))))</f>
        <v>16.931638</v>
      </c>
    </row>
    <row r="870" spans="1:15">
      <c r="A870" s="2">
        <v>40731</v>
      </c>
      <c r="B870" t="s">
        <v>28</v>
      </c>
      <c r="C870">
        <v>23</v>
      </c>
      <c r="D870" s="6" t="s">
        <v>16</v>
      </c>
      <c r="E870">
        <v>315</v>
      </c>
      <c r="F870">
        <v>0.98</v>
      </c>
      <c r="G870">
        <v>14</v>
      </c>
      <c r="N870">
        <f t="shared" si="13"/>
        <v>79.201054694999982</v>
      </c>
      <c r="O870">
        <f>IF(AND(OR(D870="S. acutus",D870="S. californicus",D870="S. tabernaemontani"),G870=0),E870*[1]Sheet1!$D$7+[1]Sheet1!$L$7,IF(AND(OR(D870="S. acutus",D870="S. tabernaemontani"),G870&gt;0),E870*[1]Sheet1!$D$8+N870*[1]Sheet1!$E$8,IF(AND(D870="S. californicus",G870&gt;0),E870*[1]Sheet1!$D$9+N870*[1]Sheet1!$E$9,IF(D870="S. maritimus",F870*[1]Sheet1!$C$10+E870*[1]Sheet1!$D$10+G870*[1]Sheet1!$F$10+[1]Sheet1!$L$10,IF(D870="S. americanus",F870*[1]Sheet1!$C$6+E870*[1]Sheet1!$D$6+[1]Sheet1!$L$6,IF(AND(OR(D870="T. domingensis",D870="T. latifolia"),E870&gt;0),F870*[1]Sheet1!$C$4+E870*[1]Sheet1!$D$4+H870*[1]Sheet1!$J$4+I870*[1]Sheet1!$K$4+[1]Sheet1!$L$4,IF(AND(OR(D870="T. domingensis",D870="T. latifolia"),J870&gt;0),J870*[1]Sheet1!$G$5+K870*[1]Sheet1!$H$5+L870*[1]Sheet1!$I$5+[1]Sheet1!$L$5,0)))))))</f>
        <v>14.680081742128225</v>
      </c>
    </row>
    <row r="871" spans="1:15">
      <c r="A871" s="2">
        <v>40731</v>
      </c>
      <c r="B871" t="s">
        <v>28</v>
      </c>
      <c r="C871">
        <v>23</v>
      </c>
      <c r="D871" s="6" t="s">
        <v>16</v>
      </c>
      <c r="E871">
        <v>320</v>
      </c>
      <c r="F871">
        <v>1.39</v>
      </c>
      <c r="G871">
        <v>8</v>
      </c>
      <c r="N871">
        <f t="shared" si="13"/>
        <v>161.8630943733333</v>
      </c>
      <c r="O871">
        <f>IF(AND(OR(D871="S. acutus",D871="S. californicus",D871="S. tabernaemontani"),G871=0),E871*[1]Sheet1!$D$7+[1]Sheet1!$L$7,IF(AND(OR(D871="S. acutus",D871="S. tabernaemontani"),G871&gt;0),E871*[1]Sheet1!$D$8+N871*[1]Sheet1!$E$8,IF(AND(D871="S. californicus",G871&gt;0),E871*[1]Sheet1!$D$9+N871*[1]Sheet1!$E$9,IF(D871="S. maritimus",F871*[1]Sheet1!$C$10+E871*[1]Sheet1!$D$10+G871*[1]Sheet1!$F$10+[1]Sheet1!$L$10,IF(D871="S. americanus",F871*[1]Sheet1!$C$6+E871*[1]Sheet1!$D$6+[1]Sheet1!$L$6,IF(AND(OR(D871="T. domingensis",D871="T. latifolia"),E871&gt;0),F871*[1]Sheet1!$C$4+E871*[1]Sheet1!$D$4+H871*[1]Sheet1!$J$4+I871*[1]Sheet1!$K$4+[1]Sheet1!$L$4,IF(AND(OR(D871="T. domingensis",D871="T. latifolia"),J871&gt;0),J871*[1]Sheet1!$G$5+K871*[1]Sheet1!$H$5+L871*[1]Sheet1!$I$5+[1]Sheet1!$L$5,0)))))))</f>
        <v>17.534409315606268</v>
      </c>
    </row>
    <row r="872" spans="1:15">
      <c r="A872" s="2">
        <v>40731</v>
      </c>
      <c r="B872" t="s">
        <v>28</v>
      </c>
      <c r="C872">
        <v>23</v>
      </c>
      <c r="D872" s="6" t="s">
        <v>16</v>
      </c>
      <c r="E872">
        <v>329</v>
      </c>
      <c r="F872">
        <v>1.28</v>
      </c>
      <c r="G872">
        <v>15</v>
      </c>
      <c r="N872">
        <f t="shared" si="13"/>
        <v>141.11854728533334</v>
      </c>
      <c r="O872">
        <f>IF(AND(OR(D872="S. acutus",D872="S. californicus",D872="S. tabernaemontani"),G872=0),E872*[1]Sheet1!$D$7+[1]Sheet1!$L$7,IF(AND(OR(D872="S. acutus",D872="S. tabernaemontani"),G872&gt;0),E872*[1]Sheet1!$D$8+N872*[1]Sheet1!$E$8,IF(AND(D872="S. californicus",G872&gt;0),E872*[1]Sheet1!$D$9+N872*[1]Sheet1!$E$9,IF(D872="S. maritimus",F872*[1]Sheet1!$C$10+E872*[1]Sheet1!$D$10+G872*[1]Sheet1!$F$10+[1]Sheet1!$L$10,IF(D872="S. americanus",F872*[1]Sheet1!$C$6+E872*[1]Sheet1!$D$6+[1]Sheet1!$L$6,IF(AND(OR(D872="T. domingensis",D872="T. latifolia"),E872&gt;0),F872*[1]Sheet1!$C$4+E872*[1]Sheet1!$D$4+H872*[1]Sheet1!$J$4+I872*[1]Sheet1!$K$4+[1]Sheet1!$L$4,IF(AND(OR(D872="T. domingensis",D872="T. latifolia"),J872&gt;0),J872*[1]Sheet1!$G$5+K872*[1]Sheet1!$H$5+L872*[1]Sheet1!$I$5+[1]Sheet1!$L$5,0)))))))</f>
        <v>17.21298012928029</v>
      </c>
    </row>
    <row r="873" spans="1:15">
      <c r="A873" s="2">
        <v>40731</v>
      </c>
      <c r="B873" t="s">
        <v>28</v>
      </c>
      <c r="C873">
        <v>23</v>
      </c>
      <c r="D873" s="6" t="s">
        <v>16</v>
      </c>
      <c r="E873">
        <v>336</v>
      </c>
      <c r="F873">
        <v>1.5</v>
      </c>
      <c r="G873">
        <v>29</v>
      </c>
      <c r="N873">
        <f t="shared" si="13"/>
        <v>197.92016999999998</v>
      </c>
      <c r="O873">
        <f>IF(AND(OR(D873="S. acutus",D873="S. californicus",D873="S. tabernaemontani"),G873=0),E873*[1]Sheet1!$D$7+[1]Sheet1!$L$7,IF(AND(OR(D873="S. acutus",D873="S. tabernaemontani"),G873&gt;0),E873*[1]Sheet1!$D$8+N873*[1]Sheet1!$E$8,IF(AND(D873="S. californicus",G873&gt;0),E873*[1]Sheet1!$D$9+N873*[1]Sheet1!$E$9,IF(D873="S. maritimus",F873*[1]Sheet1!$C$10+E873*[1]Sheet1!$D$10+G873*[1]Sheet1!$F$10+[1]Sheet1!$L$10,IF(D873="S. americanus",F873*[1]Sheet1!$C$6+E873*[1]Sheet1!$D$6+[1]Sheet1!$L$6,IF(AND(OR(D873="T. domingensis",D873="T. latifolia"),E873&gt;0),F873*[1]Sheet1!$C$4+E873*[1]Sheet1!$D$4+H873*[1]Sheet1!$J$4+I873*[1]Sheet1!$K$4+[1]Sheet1!$L$4,IF(AND(OR(D873="T. domingensis",D873="T. latifolia"),J873&gt;0),J873*[1]Sheet1!$G$5+K873*[1]Sheet1!$H$5+L873*[1]Sheet1!$I$5+[1]Sheet1!$L$5,0)))))))</f>
        <v>19.311593202152999</v>
      </c>
    </row>
    <row r="874" spans="1:15">
      <c r="A874" s="2">
        <v>40731</v>
      </c>
      <c r="B874" t="s">
        <v>28</v>
      </c>
      <c r="C874">
        <v>23</v>
      </c>
      <c r="D874" s="6" t="s">
        <v>16</v>
      </c>
      <c r="E874">
        <v>339</v>
      </c>
      <c r="F874">
        <v>1.45</v>
      </c>
      <c r="G874">
        <v>0</v>
      </c>
      <c r="N874">
        <f t="shared" si="13"/>
        <v>186.59670154374999</v>
      </c>
      <c r="O874">
        <f>IF(AND(OR(D874="S. acutus",D874="S. californicus",D874="S. tabernaemontani"),G874=0),E874*[1]Sheet1!$D$7+[1]Sheet1!$L$7,IF(AND(OR(D874="S. acutus",D874="S. tabernaemontani"),G874&gt;0),E874*[1]Sheet1!$D$8+N874*[1]Sheet1!$E$8,IF(AND(D874="S. californicus",G874&gt;0),E874*[1]Sheet1!$D$9+N874*[1]Sheet1!$E$9,IF(D874="S. maritimus",F874*[1]Sheet1!$C$10+E874*[1]Sheet1!$D$10+G874*[1]Sheet1!$F$10+[1]Sheet1!$L$10,IF(D874="S. americanus",F874*[1]Sheet1!$C$6+E874*[1]Sheet1!$D$6+[1]Sheet1!$L$6,IF(AND(OR(D874="T. domingensis",D874="T. latifolia"),E874&gt;0),F874*[1]Sheet1!$C$4+E874*[1]Sheet1!$D$4+H874*[1]Sheet1!$J$4+I874*[1]Sheet1!$K$4+[1]Sheet1!$L$4,IF(AND(OR(D874="T. domingensis",D874="T. latifolia"),J874&gt;0),J874*[1]Sheet1!$G$5+K874*[1]Sheet1!$H$5+L874*[1]Sheet1!$I$5+[1]Sheet1!$L$5,0)))))))</f>
        <v>19.174998000000002</v>
      </c>
    </row>
    <row r="875" spans="1:15">
      <c r="A875" s="2">
        <v>40731</v>
      </c>
      <c r="B875" t="s">
        <v>28</v>
      </c>
      <c r="C875">
        <v>23</v>
      </c>
      <c r="D875" s="6" t="s">
        <v>16</v>
      </c>
      <c r="E875">
        <v>339</v>
      </c>
      <c r="F875">
        <v>1.64</v>
      </c>
      <c r="G875">
        <v>6</v>
      </c>
      <c r="N875">
        <f t="shared" si="13"/>
        <v>238.70177810799993</v>
      </c>
      <c r="O875">
        <f>IF(AND(OR(D875="S. acutus",D875="S. californicus",D875="S. tabernaemontani"),G875=0),E875*[1]Sheet1!$D$7+[1]Sheet1!$L$7,IF(AND(OR(D875="S. acutus",D875="S. tabernaemontani"),G875&gt;0),E875*[1]Sheet1!$D$8+N875*[1]Sheet1!$E$8,IF(AND(D875="S. californicus",G875&gt;0),E875*[1]Sheet1!$D$9+N875*[1]Sheet1!$E$9,IF(D875="S. maritimus",F875*[1]Sheet1!$C$10+E875*[1]Sheet1!$D$10+G875*[1]Sheet1!$F$10+[1]Sheet1!$L$10,IF(D875="S. americanus",F875*[1]Sheet1!$C$6+E875*[1]Sheet1!$D$6+[1]Sheet1!$L$6,IF(AND(OR(D875="T. domingensis",D875="T. latifolia"),E875&gt;0),F875*[1]Sheet1!$C$4+E875*[1]Sheet1!$D$4+H875*[1]Sheet1!$J$4+I875*[1]Sheet1!$K$4+[1]Sheet1!$L$4,IF(AND(OR(D875="T. domingensis",D875="T. latifolia"),J875&gt;0),J875*[1]Sheet1!$G$5+K875*[1]Sheet1!$H$5+L875*[1]Sheet1!$I$5+[1]Sheet1!$L$5,0)))))))</f>
        <v>20.740318986677895</v>
      </c>
    </row>
    <row r="876" spans="1:15">
      <c r="A876" s="2">
        <v>40731</v>
      </c>
      <c r="B876" t="s">
        <v>28</v>
      </c>
      <c r="C876">
        <v>23</v>
      </c>
      <c r="D876" s="6" t="s">
        <v>16</v>
      </c>
      <c r="E876">
        <v>366</v>
      </c>
      <c r="F876">
        <v>1.24</v>
      </c>
      <c r="G876">
        <v>8</v>
      </c>
      <c r="N876">
        <f t="shared" si="13"/>
        <v>147.33051791199998</v>
      </c>
      <c r="O876">
        <f>IF(AND(OR(D876="S. acutus",D876="S. californicus",D876="S. tabernaemontani"),G876=0),E876*[1]Sheet1!$D$7+[1]Sheet1!$L$7,IF(AND(OR(D876="S. acutus",D876="S. tabernaemontani"),G876&gt;0),E876*[1]Sheet1!$D$8+N876*[1]Sheet1!$E$8,IF(AND(D876="S. californicus",G876&gt;0),E876*[1]Sheet1!$D$9+N876*[1]Sheet1!$E$9,IF(D876="S. maritimus",F876*[1]Sheet1!$C$10+E876*[1]Sheet1!$D$10+G876*[1]Sheet1!$F$10+[1]Sheet1!$L$10,IF(D876="S. americanus",F876*[1]Sheet1!$C$6+E876*[1]Sheet1!$D$6+[1]Sheet1!$L$6,IF(AND(OR(D876="T. domingensis",D876="T. latifolia"),E876&gt;0),F876*[1]Sheet1!$C$4+E876*[1]Sheet1!$D$4+H876*[1]Sheet1!$J$4+I876*[1]Sheet1!$K$4+[1]Sheet1!$L$4,IF(AND(OR(D876="T. domingensis",D876="T. latifolia"),J876&gt;0),J876*[1]Sheet1!$G$5+K876*[1]Sheet1!$H$5+L876*[1]Sheet1!$I$5+[1]Sheet1!$L$5,0)))))))</f>
        <v>18.837773874232521</v>
      </c>
    </row>
    <row r="877" spans="1:15">
      <c r="A877" s="2">
        <v>40731</v>
      </c>
      <c r="B877" t="s">
        <v>28</v>
      </c>
      <c r="C877">
        <v>23</v>
      </c>
      <c r="D877" s="6" t="s">
        <v>16</v>
      </c>
      <c r="E877">
        <v>382</v>
      </c>
      <c r="F877">
        <v>1.5</v>
      </c>
      <c r="G877">
        <v>0</v>
      </c>
      <c r="N877">
        <f t="shared" si="13"/>
        <v>225.01638374999996</v>
      </c>
      <c r="O877">
        <f>IF(AND(OR(D877="S. acutus",D877="S. californicus",D877="S. tabernaemontani"),G877=0),E877*[1]Sheet1!$D$7+[1]Sheet1!$L$7,IF(AND(OR(D877="S. acutus",D877="S. tabernaemontani"),G877&gt;0),E877*[1]Sheet1!$D$8+N877*[1]Sheet1!$E$8,IF(AND(D877="S. californicus",G877&gt;0),E877*[1]Sheet1!$D$9+N877*[1]Sheet1!$E$9,IF(D877="S. maritimus",F877*[1]Sheet1!$C$10+E877*[1]Sheet1!$D$10+G877*[1]Sheet1!$F$10+[1]Sheet1!$L$10,IF(D877="S. americanus",F877*[1]Sheet1!$C$6+E877*[1]Sheet1!$D$6+[1]Sheet1!$L$6,IF(AND(OR(D877="T. domingensis",D877="T. latifolia"),E877&gt;0),F877*[1]Sheet1!$C$4+E877*[1]Sheet1!$D$4+H877*[1]Sheet1!$J$4+I877*[1]Sheet1!$K$4+[1]Sheet1!$L$4,IF(AND(OR(D877="T. domingensis",D877="T. latifolia"),J877&gt;0),J877*[1]Sheet1!$G$5+K877*[1]Sheet1!$H$5+L877*[1]Sheet1!$I$5+[1]Sheet1!$L$5,0)))))))</f>
        <v>22.189513000000002</v>
      </c>
    </row>
    <row r="878" spans="1:15">
      <c r="A878" s="2">
        <v>40731</v>
      </c>
      <c r="B878" t="s">
        <v>28</v>
      </c>
      <c r="C878">
        <v>23</v>
      </c>
      <c r="D878" s="6" t="s">
        <v>16</v>
      </c>
      <c r="E878">
        <v>383</v>
      </c>
      <c r="F878">
        <v>1.55</v>
      </c>
      <c r="G878">
        <v>8</v>
      </c>
      <c r="N878">
        <f t="shared" si="13"/>
        <v>240.89646670208333</v>
      </c>
      <c r="O878">
        <f>IF(AND(OR(D878="S. acutus",D878="S. californicus",D878="S. tabernaemontani"),G878=0),E878*[1]Sheet1!$D$7+[1]Sheet1!$L$7,IF(AND(OR(D878="S. acutus",D878="S. tabernaemontani"),G878&gt;0),E878*[1]Sheet1!$D$8+N878*[1]Sheet1!$E$8,IF(AND(D878="S. californicus",G878&gt;0),E878*[1]Sheet1!$D$9+N878*[1]Sheet1!$E$9,IF(D878="S. maritimus",F878*[1]Sheet1!$C$10+E878*[1]Sheet1!$D$10+G878*[1]Sheet1!$F$10+[1]Sheet1!$L$10,IF(D878="S. americanus",F878*[1]Sheet1!$C$6+E878*[1]Sheet1!$D$6+[1]Sheet1!$L$6,IF(AND(OR(D878="T. domingensis",D878="T. latifolia"),E878&gt;0),F878*[1]Sheet1!$C$4+E878*[1]Sheet1!$D$4+H878*[1]Sheet1!$J$4+I878*[1]Sheet1!$K$4+[1]Sheet1!$L$4,IF(AND(OR(D878="T. domingensis",D878="T. latifolia"),J878&gt;0),J878*[1]Sheet1!$G$5+K878*[1]Sheet1!$H$5+L878*[1]Sheet1!$I$5+[1]Sheet1!$L$5,0)))))))</f>
        <v>22.505302334627114</v>
      </c>
    </row>
    <row r="879" spans="1:15">
      <c r="A879" s="2">
        <v>40731</v>
      </c>
      <c r="B879" t="s">
        <v>28</v>
      </c>
      <c r="C879">
        <v>23</v>
      </c>
      <c r="D879" s="6" t="s">
        <v>19</v>
      </c>
      <c r="E879">
        <v>293</v>
      </c>
      <c r="F879">
        <v>2.11</v>
      </c>
      <c r="H879">
        <v>33</v>
      </c>
      <c r="I879">
        <v>2.1</v>
      </c>
      <c r="O879">
        <f>IF(AND(OR(D879="S. acutus",D879="S. californicus",D879="S. tabernaemontani"),G879=0),E879*[1]Sheet1!$D$7+[1]Sheet1!$L$7,IF(AND(OR(D879="S. acutus",D879="S. tabernaemontani"),G879&gt;0),E879*[1]Sheet1!$D$8+N879*[1]Sheet1!$E$8,IF(AND(D879="S. californicus",G879&gt;0),E879*[1]Sheet1!$D$9+N879*[1]Sheet1!$E$9,IF(D879="S. maritimus",F879*[1]Sheet1!$C$10+E879*[1]Sheet1!$D$10+G879*[1]Sheet1!$F$10+[1]Sheet1!$L$10,IF(D879="S. americanus",F879*[1]Sheet1!$C$6+E879*[1]Sheet1!$D$6+[1]Sheet1!$L$6,IF(AND(OR(D879="T. domingensis",D879="T. latifolia"),E879&gt;0),F879*[1]Sheet1!$C$4+E879*[1]Sheet1!$D$4+H879*[1]Sheet1!$J$4+I879*[1]Sheet1!$K$4+[1]Sheet1!$L$4,IF(AND(OR(D879="T. domingensis",D879="T. latifolia"),J879&gt;0),J879*[1]Sheet1!$G$5+K879*[1]Sheet1!$H$5+L879*[1]Sheet1!$I$5+[1]Sheet1!$L$5,0)))))))</f>
        <v>98.890655869999989</v>
      </c>
    </row>
    <row r="880" spans="1:15">
      <c r="A880" s="2">
        <v>40731</v>
      </c>
      <c r="B880" t="s">
        <v>28</v>
      </c>
      <c r="C880">
        <v>23</v>
      </c>
      <c r="D880" s="6" t="s">
        <v>19</v>
      </c>
      <c r="E880">
        <v>294</v>
      </c>
      <c r="F880">
        <v>2.25</v>
      </c>
      <c r="H880">
        <v>33</v>
      </c>
      <c r="I880">
        <v>2.2000000000000002</v>
      </c>
      <c r="O880">
        <f>IF(AND(OR(D880="S. acutus",D880="S. californicus",D880="S. tabernaemontani"),G880=0),E880*[1]Sheet1!$D$7+[1]Sheet1!$L$7,IF(AND(OR(D880="S. acutus",D880="S. tabernaemontani"),G880&gt;0),E880*[1]Sheet1!$D$8+N880*[1]Sheet1!$E$8,IF(AND(D880="S. californicus",G880&gt;0),E880*[1]Sheet1!$D$9+N880*[1]Sheet1!$E$9,IF(D880="S. maritimus",F880*[1]Sheet1!$C$10+E880*[1]Sheet1!$D$10+G880*[1]Sheet1!$F$10+[1]Sheet1!$L$10,IF(D880="S. americanus",F880*[1]Sheet1!$C$6+E880*[1]Sheet1!$D$6+[1]Sheet1!$L$6,IF(AND(OR(D880="T. domingensis",D880="T. latifolia"),E880&gt;0),F880*[1]Sheet1!$C$4+E880*[1]Sheet1!$D$4+H880*[1]Sheet1!$J$4+I880*[1]Sheet1!$K$4+[1]Sheet1!$L$4,IF(AND(OR(D880="T. domingensis",D880="T. latifolia"),J880&gt;0),J880*[1]Sheet1!$G$5+K880*[1]Sheet1!$H$5+L880*[1]Sheet1!$I$5+[1]Sheet1!$L$5,0)))))))</f>
        <v>103.63892325</v>
      </c>
    </row>
    <row r="881" spans="1:15">
      <c r="A881" s="2">
        <v>40731</v>
      </c>
      <c r="B881" t="s">
        <v>28</v>
      </c>
      <c r="C881">
        <v>23</v>
      </c>
      <c r="D881" s="6" t="s">
        <v>19</v>
      </c>
      <c r="E881">
        <v>298</v>
      </c>
      <c r="F881">
        <v>2.42</v>
      </c>
      <c r="H881">
        <v>34</v>
      </c>
      <c r="I881">
        <v>2.2999999999999998</v>
      </c>
      <c r="O881">
        <f>IF(AND(OR(D881="S. acutus",D881="S. californicus",D881="S. tabernaemontani"),G881=0),E881*[1]Sheet1!$D$7+[1]Sheet1!$L$7,IF(AND(OR(D881="S. acutus",D881="S. tabernaemontani"),G881&gt;0),E881*[1]Sheet1!$D$8+N881*[1]Sheet1!$E$8,IF(AND(D881="S. californicus",G881&gt;0),E881*[1]Sheet1!$D$9+N881*[1]Sheet1!$E$9,IF(D881="S. maritimus",F881*[1]Sheet1!$C$10+E881*[1]Sheet1!$D$10+G881*[1]Sheet1!$F$10+[1]Sheet1!$L$10,IF(D881="S. americanus",F881*[1]Sheet1!$C$6+E881*[1]Sheet1!$D$6+[1]Sheet1!$L$6,IF(AND(OR(D881="T. domingensis",D881="T. latifolia"),E881&gt;0),F881*[1]Sheet1!$C$4+E881*[1]Sheet1!$D$4+H881*[1]Sheet1!$J$4+I881*[1]Sheet1!$K$4+[1]Sheet1!$L$4,IF(AND(OR(D881="T. domingensis",D881="T. latifolia"),J881&gt;0),J881*[1]Sheet1!$G$5+K881*[1]Sheet1!$H$5+L881*[1]Sheet1!$I$5+[1]Sheet1!$L$5,0)))))))</f>
        <v>110.80695593999999</v>
      </c>
    </row>
    <row r="882" spans="1:15">
      <c r="A882" s="2">
        <v>40731</v>
      </c>
      <c r="B882" t="s">
        <v>28</v>
      </c>
      <c r="C882">
        <v>23</v>
      </c>
      <c r="D882" s="6" t="s">
        <v>19</v>
      </c>
      <c r="E882">
        <v>299</v>
      </c>
      <c r="F882">
        <v>2.2200000000000002</v>
      </c>
      <c r="H882">
        <v>31</v>
      </c>
      <c r="I882">
        <v>2.2000000000000002</v>
      </c>
      <c r="O882">
        <f>IF(AND(OR(D882="S. acutus",D882="S. californicus",D882="S. tabernaemontani"),G882=0),E882*[1]Sheet1!$D$7+[1]Sheet1!$L$7,IF(AND(OR(D882="S. acutus",D882="S. tabernaemontani"),G882&gt;0),E882*[1]Sheet1!$D$8+N882*[1]Sheet1!$E$8,IF(AND(D882="S. californicus",G882&gt;0),E882*[1]Sheet1!$D$9+N882*[1]Sheet1!$E$9,IF(D882="S. maritimus",F882*[1]Sheet1!$C$10+E882*[1]Sheet1!$D$10+G882*[1]Sheet1!$F$10+[1]Sheet1!$L$10,IF(D882="S. americanus",F882*[1]Sheet1!$C$6+E882*[1]Sheet1!$D$6+[1]Sheet1!$L$6,IF(AND(OR(D882="T. domingensis",D882="T. latifolia"),E882&gt;0),F882*[1]Sheet1!$C$4+E882*[1]Sheet1!$D$4+H882*[1]Sheet1!$J$4+I882*[1]Sheet1!$K$4+[1]Sheet1!$L$4,IF(AND(OR(D882="T. domingensis",D882="T. latifolia"),J882&gt;0),J882*[1]Sheet1!$G$5+K882*[1]Sheet1!$H$5+L882*[1]Sheet1!$I$5+[1]Sheet1!$L$5,0)))))))</f>
        <v>102.72000934000005</v>
      </c>
    </row>
    <row r="883" spans="1:15">
      <c r="A883" s="2">
        <v>40731</v>
      </c>
      <c r="B883" t="s">
        <v>28</v>
      </c>
      <c r="C883">
        <v>23</v>
      </c>
      <c r="D883" s="6" t="s">
        <v>19</v>
      </c>
      <c r="E883">
        <v>301</v>
      </c>
      <c r="F883">
        <v>2.13</v>
      </c>
      <c r="H883">
        <v>28</v>
      </c>
      <c r="I883">
        <v>2</v>
      </c>
      <c r="O883">
        <f>IF(AND(OR(D883="S. acutus",D883="S. californicus",D883="S. tabernaemontani"),G883=0),E883*[1]Sheet1!$D$7+[1]Sheet1!$L$7,IF(AND(OR(D883="S. acutus",D883="S. tabernaemontani"),G883&gt;0),E883*[1]Sheet1!$D$8+N883*[1]Sheet1!$E$8,IF(AND(D883="S. californicus",G883&gt;0),E883*[1]Sheet1!$D$9+N883*[1]Sheet1!$E$9,IF(D883="S. maritimus",F883*[1]Sheet1!$C$10+E883*[1]Sheet1!$D$10+G883*[1]Sheet1!$F$10+[1]Sheet1!$L$10,IF(D883="S. americanus",F883*[1]Sheet1!$C$6+E883*[1]Sheet1!$D$6+[1]Sheet1!$L$6,IF(AND(OR(D883="T. domingensis",D883="T. latifolia"),E883&gt;0),F883*[1]Sheet1!$C$4+E883*[1]Sheet1!$D$4+H883*[1]Sheet1!$J$4+I883*[1]Sheet1!$K$4+[1]Sheet1!$L$4,IF(AND(OR(D883="T. domingensis",D883="T. latifolia"),J883&gt;0),J883*[1]Sheet1!$G$5+K883*[1]Sheet1!$H$5+L883*[1]Sheet1!$I$5+[1]Sheet1!$L$5,0)))))))</f>
        <v>95.308318009999994</v>
      </c>
    </row>
    <row r="884" spans="1:15">
      <c r="A884" s="2">
        <v>40731</v>
      </c>
      <c r="B884" t="s">
        <v>28</v>
      </c>
      <c r="C884">
        <v>28</v>
      </c>
      <c r="D884" s="6" t="s">
        <v>29</v>
      </c>
      <c r="E884">
        <v>31</v>
      </c>
      <c r="F884">
        <v>0.37</v>
      </c>
      <c r="G884">
        <v>0</v>
      </c>
      <c r="O884">
        <f>IF(AND(OR(D884="S. acutus",D884="S. californicus",D884="S. tabernaemontani"),G884=0),E884*[1]Sheet1!$D$7+[1]Sheet1!$L$7,IF(AND(OR(D884="S. acutus",D884="S. tabernaemontani"),G884&gt;0),E884*[1]Sheet1!$D$8+N884*[1]Sheet1!$E$8,IF(AND(D884="S. californicus",G884&gt;0),E884*[1]Sheet1!$D$9+N884*[1]Sheet1!$E$9,IF(D884="S. maritimus",F884*[1]Sheet1!$C$10+E884*[1]Sheet1!$D$10+G884*[1]Sheet1!$F$10+[1]Sheet1!$L$10,IF(D884="S. americanus",F884*[1]Sheet1!$C$6+E884*[1]Sheet1!$D$6+[1]Sheet1!$L$6,IF(AND(OR(D884="T. domingensis",D884="T. latifolia"),E884&gt;0),F884*[1]Sheet1!$C$4+E884*[1]Sheet1!$D$4+H884*[1]Sheet1!$J$4+I884*[1]Sheet1!$K$4+[1]Sheet1!$L$4,IF(AND(OR(D884="T. domingensis",D884="T. latifolia"),J884&gt;0),J884*[1]Sheet1!$G$5+K884*[1]Sheet1!$H$5+L884*[1]Sheet1!$I$5+[1]Sheet1!$L$5,0)))))))</f>
        <v>-0.49741000700000004</v>
      </c>
    </row>
    <row r="885" spans="1:15">
      <c r="A885" s="2">
        <v>40731</v>
      </c>
      <c r="B885" t="s">
        <v>28</v>
      </c>
      <c r="C885">
        <v>28</v>
      </c>
      <c r="D885" s="6" t="s">
        <v>29</v>
      </c>
      <c r="E885">
        <v>38</v>
      </c>
      <c r="F885">
        <v>0.82</v>
      </c>
      <c r="G885">
        <v>0</v>
      </c>
      <c r="O885">
        <f>IF(AND(OR(D885="S. acutus",D885="S. californicus",D885="S. tabernaemontani"),G885=0),E885*[1]Sheet1!$D$7+[1]Sheet1!$L$7,IF(AND(OR(D885="S. acutus",D885="S. tabernaemontani"),G885&gt;0),E885*[1]Sheet1!$D$8+N885*[1]Sheet1!$E$8,IF(AND(D885="S. californicus",G885&gt;0),E885*[1]Sheet1!$D$9+N885*[1]Sheet1!$E$9,IF(D885="S. maritimus",F885*[1]Sheet1!$C$10+E885*[1]Sheet1!$D$10+G885*[1]Sheet1!$F$10+[1]Sheet1!$L$10,IF(D885="S. americanus",F885*[1]Sheet1!$C$6+E885*[1]Sheet1!$D$6+[1]Sheet1!$L$6,IF(AND(OR(D885="T. domingensis",D885="T. latifolia"),E885&gt;0),F885*[1]Sheet1!$C$4+E885*[1]Sheet1!$D$4+H885*[1]Sheet1!$J$4+I885*[1]Sheet1!$K$4+[1]Sheet1!$L$4,IF(AND(OR(D885="T. domingensis",D885="T. latifolia"),J885&gt;0),J885*[1]Sheet1!$G$5+K885*[1]Sheet1!$H$5+L885*[1]Sheet1!$I$5+[1]Sheet1!$L$5,0)))))))</f>
        <v>1.2109838979999994</v>
      </c>
    </row>
    <row r="886" spans="1:15">
      <c r="A886" s="2">
        <v>40731</v>
      </c>
      <c r="B886" t="s">
        <v>28</v>
      </c>
      <c r="C886">
        <v>28</v>
      </c>
      <c r="D886" s="6" t="s">
        <v>29</v>
      </c>
      <c r="E886">
        <v>48</v>
      </c>
      <c r="F886">
        <v>0.79</v>
      </c>
      <c r="G886">
        <v>0</v>
      </c>
      <c r="O886">
        <f>IF(AND(OR(D886="S. acutus",D886="S. californicus",D886="S. tabernaemontani"),G886=0),E886*[1]Sheet1!$D$7+[1]Sheet1!$L$7,IF(AND(OR(D886="S. acutus",D886="S. tabernaemontani"),G886&gt;0),E886*[1]Sheet1!$D$8+N886*[1]Sheet1!$E$8,IF(AND(D886="S. californicus",G886&gt;0),E886*[1]Sheet1!$D$9+N886*[1]Sheet1!$E$9,IF(D886="S. maritimus",F886*[1]Sheet1!$C$10+E886*[1]Sheet1!$D$10+G886*[1]Sheet1!$F$10+[1]Sheet1!$L$10,IF(D886="S. americanus",F886*[1]Sheet1!$C$6+E886*[1]Sheet1!$D$6+[1]Sheet1!$L$6,IF(AND(OR(D886="T. domingensis",D886="T. latifolia"),E886&gt;0),F886*[1]Sheet1!$C$4+E886*[1]Sheet1!$D$4+H886*[1]Sheet1!$J$4+I886*[1]Sheet1!$K$4+[1]Sheet1!$L$4,IF(AND(OR(D886="T. domingensis",D886="T. latifolia"),J886&gt;0),J886*[1]Sheet1!$G$5+K886*[1]Sheet1!$H$5+L886*[1]Sheet1!$I$5+[1]Sheet1!$L$5,0)))))))</f>
        <v>1.2612156309999998</v>
      </c>
    </row>
    <row r="887" spans="1:15">
      <c r="A887" s="2">
        <v>40731</v>
      </c>
      <c r="B887" t="s">
        <v>28</v>
      </c>
      <c r="C887">
        <v>28</v>
      </c>
      <c r="D887" s="6" t="s">
        <v>29</v>
      </c>
      <c r="E887">
        <v>48</v>
      </c>
      <c r="F887">
        <v>0.98</v>
      </c>
      <c r="G887">
        <v>0</v>
      </c>
      <c r="O887">
        <f>IF(AND(OR(D887="S. acutus",D887="S. californicus",D887="S. tabernaemontani"),G887=0),E887*[1]Sheet1!$D$7+[1]Sheet1!$L$7,IF(AND(OR(D887="S. acutus",D887="S. tabernaemontani"),G887&gt;0),E887*[1]Sheet1!$D$8+N887*[1]Sheet1!$E$8,IF(AND(D887="S. californicus",G887&gt;0),E887*[1]Sheet1!$D$9+N887*[1]Sheet1!$E$9,IF(D887="S. maritimus",F887*[1]Sheet1!$C$10+E887*[1]Sheet1!$D$10+G887*[1]Sheet1!$F$10+[1]Sheet1!$L$10,IF(D887="S. americanus",F887*[1]Sheet1!$C$6+E887*[1]Sheet1!$D$6+[1]Sheet1!$L$6,IF(AND(OR(D887="T. domingensis",D887="T. latifolia"),E887&gt;0),F887*[1]Sheet1!$C$4+E887*[1]Sheet1!$D$4+H887*[1]Sheet1!$J$4+I887*[1]Sheet1!$K$4+[1]Sheet1!$L$4,IF(AND(OR(D887="T. domingensis",D887="T. latifolia"),J887&gt;0),J887*[1]Sheet1!$G$5+K887*[1]Sheet1!$H$5+L887*[1]Sheet1!$I$5+[1]Sheet1!$L$5,0)))))))</f>
        <v>1.9361923219999997</v>
      </c>
    </row>
    <row r="888" spans="1:15">
      <c r="A888" s="2">
        <v>40731</v>
      </c>
      <c r="B888" t="s">
        <v>28</v>
      </c>
      <c r="C888">
        <v>28</v>
      </c>
      <c r="D888" s="6" t="s">
        <v>29</v>
      </c>
      <c r="E888">
        <v>59</v>
      </c>
      <c r="F888">
        <v>0.37</v>
      </c>
      <c r="G888">
        <v>0</v>
      </c>
      <c r="O888">
        <f>IF(AND(OR(D888="S. acutus",D888="S. californicus",D888="S. tabernaemontani"),G888=0),E888*[1]Sheet1!$D$7+[1]Sheet1!$L$7,IF(AND(OR(D888="S. acutus",D888="S. tabernaemontani"),G888&gt;0),E888*[1]Sheet1!$D$8+N888*[1]Sheet1!$E$8,IF(AND(D888="S. californicus",G888&gt;0),E888*[1]Sheet1!$D$9+N888*[1]Sheet1!$E$9,IF(D888="S. maritimus",F888*[1]Sheet1!$C$10+E888*[1]Sheet1!$D$10+G888*[1]Sheet1!$F$10+[1]Sheet1!$L$10,IF(D888="S. americanus",F888*[1]Sheet1!$C$6+E888*[1]Sheet1!$D$6+[1]Sheet1!$L$6,IF(AND(OR(D888="T. domingensis",D888="T. latifolia"),E888&gt;0),F888*[1]Sheet1!$C$4+E888*[1]Sheet1!$D$4+H888*[1]Sheet1!$J$4+I888*[1]Sheet1!$K$4+[1]Sheet1!$L$4,IF(AND(OR(D888="T. domingensis",D888="T. latifolia"),J888&gt;0),J888*[1]Sheet1!$G$5+K888*[1]Sheet1!$H$5+L888*[1]Sheet1!$I$5+[1]Sheet1!$L$5,0)))))))</f>
        <v>-5.8350407000000271E-2</v>
      </c>
    </row>
    <row r="889" spans="1:15">
      <c r="A889" s="2">
        <v>40731</v>
      </c>
      <c r="B889" t="s">
        <v>28</v>
      </c>
      <c r="C889">
        <v>28</v>
      </c>
      <c r="D889" s="6" t="s">
        <v>29</v>
      </c>
      <c r="E889">
        <v>71</v>
      </c>
      <c r="F889">
        <v>0.5</v>
      </c>
      <c r="G889">
        <v>0</v>
      </c>
      <c r="O889">
        <f>IF(AND(OR(D889="S. acutus",D889="S. californicus",D889="S. tabernaemontani"),G889=0),E889*[1]Sheet1!$D$7+[1]Sheet1!$L$7,IF(AND(OR(D889="S. acutus",D889="S. tabernaemontani"),G889&gt;0),E889*[1]Sheet1!$D$8+N889*[1]Sheet1!$E$8,IF(AND(D889="S. californicus",G889&gt;0),E889*[1]Sheet1!$D$9+N889*[1]Sheet1!$E$9,IF(D889="S. maritimus",F889*[1]Sheet1!$C$10+E889*[1]Sheet1!$D$10+G889*[1]Sheet1!$F$10+[1]Sheet1!$L$10,IF(D889="S. americanus",F889*[1]Sheet1!$C$6+E889*[1]Sheet1!$D$6+[1]Sheet1!$L$6,IF(AND(OR(D889="T. domingensis",D889="T. latifolia"),E889&gt;0),F889*[1]Sheet1!$C$4+E889*[1]Sheet1!$D$4+H889*[1]Sheet1!$J$4+I889*[1]Sheet1!$K$4+[1]Sheet1!$L$4,IF(AND(OR(D889="T. domingensis",D889="T. latifolia"),J889&gt;0),J889*[1]Sheet1!$G$5+K889*[1]Sheet1!$H$5+L889*[1]Sheet1!$I$5+[1]Sheet1!$L$5,0)))))))</f>
        <v>0.59164415000000004</v>
      </c>
    </row>
    <row r="890" spans="1:15">
      <c r="A890" s="2">
        <v>40731</v>
      </c>
      <c r="B890" t="s">
        <v>28</v>
      </c>
      <c r="C890">
        <v>28</v>
      </c>
      <c r="D890" s="6" t="s">
        <v>29</v>
      </c>
      <c r="E890">
        <v>77</v>
      </c>
      <c r="F890">
        <v>0.35</v>
      </c>
      <c r="G890">
        <v>0</v>
      </c>
      <c r="O890">
        <f>IF(AND(OR(D890="S. acutus",D890="S. californicus",D890="S. tabernaemontani"),G890=0),E890*[1]Sheet1!$D$7+[1]Sheet1!$L$7,IF(AND(OR(D890="S. acutus",D890="S. tabernaemontani"),G890&gt;0),E890*[1]Sheet1!$D$8+N890*[1]Sheet1!$E$8,IF(AND(D890="S. californicus",G890&gt;0),E890*[1]Sheet1!$D$9+N890*[1]Sheet1!$E$9,IF(D890="S. maritimus",F890*[1]Sheet1!$C$10+E890*[1]Sheet1!$D$10+G890*[1]Sheet1!$F$10+[1]Sheet1!$L$10,IF(D890="S. americanus",F890*[1]Sheet1!$C$6+E890*[1]Sheet1!$D$6+[1]Sheet1!$L$6,IF(AND(OR(D890="T. domingensis",D890="T. latifolia"),E890&gt;0),F890*[1]Sheet1!$C$4+E890*[1]Sheet1!$D$4+H890*[1]Sheet1!$J$4+I890*[1]Sheet1!$K$4+[1]Sheet1!$L$4,IF(AND(OR(D890="T. domingensis",D890="T. latifolia"),J890&gt;0),J890*[1]Sheet1!$G$5+K890*[1]Sheet1!$H$5+L890*[1]Sheet1!$I$5+[1]Sheet1!$L$5,0)))))))</f>
        <v>0.15285201499999967</v>
      </c>
    </row>
    <row r="891" spans="1:15">
      <c r="A891" s="2">
        <v>40731</v>
      </c>
      <c r="B891" t="s">
        <v>28</v>
      </c>
      <c r="C891">
        <v>28</v>
      </c>
      <c r="D891" s="6" t="s">
        <v>29</v>
      </c>
      <c r="E891">
        <v>81</v>
      </c>
      <c r="F891">
        <v>0.59</v>
      </c>
      <c r="G891">
        <v>0</v>
      </c>
      <c r="O891">
        <f>IF(AND(OR(D891="S. acutus",D891="S. californicus",D891="S. tabernaemontani"),G891=0),E891*[1]Sheet1!$D$7+[1]Sheet1!$L$7,IF(AND(OR(D891="S. acutus",D891="S. tabernaemontani"),G891&gt;0),E891*[1]Sheet1!$D$8+N891*[1]Sheet1!$E$8,IF(AND(D891="S. californicus",G891&gt;0),E891*[1]Sheet1!$D$9+N891*[1]Sheet1!$E$9,IF(D891="S. maritimus",F891*[1]Sheet1!$C$10+E891*[1]Sheet1!$D$10+G891*[1]Sheet1!$F$10+[1]Sheet1!$L$10,IF(D891="S. americanus",F891*[1]Sheet1!$C$6+E891*[1]Sheet1!$D$6+[1]Sheet1!$L$6,IF(AND(OR(D891="T. domingensis",D891="T. latifolia"),E891&gt;0),F891*[1]Sheet1!$C$4+E891*[1]Sheet1!$D$4+H891*[1]Sheet1!$J$4+I891*[1]Sheet1!$K$4+[1]Sheet1!$L$4,IF(AND(OR(D891="T. domingensis",D891="T. latifolia"),J891&gt;0),J891*[1]Sheet1!$G$5+K891*[1]Sheet1!$H$5+L891*[1]Sheet1!$I$5+[1]Sheet1!$L$5,0)))))))</f>
        <v>1.0681769509999994</v>
      </c>
    </row>
    <row r="892" spans="1:15">
      <c r="A892" s="2">
        <v>40731</v>
      </c>
      <c r="B892" t="s">
        <v>28</v>
      </c>
      <c r="C892">
        <v>28</v>
      </c>
      <c r="D892" s="6" t="s">
        <v>29</v>
      </c>
      <c r="E892">
        <v>86</v>
      </c>
      <c r="F892">
        <v>0.33</v>
      </c>
      <c r="G892">
        <v>0</v>
      </c>
      <c r="O892">
        <f>IF(AND(OR(D892="S. acutus",D892="S. californicus",D892="S. tabernaemontani"),G892=0),E892*[1]Sheet1!$D$7+[1]Sheet1!$L$7,IF(AND(OR(D892="S. acutus",D892="S. tabernaemontani"),G892&gt;0),E892*[1]Sheet1!$D$8+N892*[1]Sheet1!$E$8,IF(AND(D892="S. californicus",G892&gt;0),E892*[1]Sheet1!$D$9+N892*[1]Sheet1!$E$9,IF(D892="S. maritimus",F892*[1]Sheet1!$C$10+E892*[1]Sheet1!$D$10+G892*[1]Sheet1!$F$10+[1]Sheet1!$L$10,IF(D892="S. americanus",F892*[1]Sheet1!$C$6+E892*[1]Sheet1!$D$6+[1]Sheet1!$L$6,IF(AND(OR(D892="T. domingensis",D892="T. latifolia"),E892&gt;0),F892*[1]Sheet1!$C$4+E892*[1]Sheet1!$D$4+H892*[1]Sheet1!$J$4+I892*[1]Sheet1!$K$4+[1]Sheet1!$L$4,IF(AND(OR(D892="T. domingensis",D892="T. latifolia"),J892&gt;0),J892*[1]Sheet1!$G$5+K892*[1]Sheet1!$H$5+L892*[1]Sheet1!$I$5+[1]Sheet1!$L$5,0)))))))</f>
        <v>0.2229281369999998</v>
      </c>
    </row>
    <row r="893" spans="1:15">
      <c r="A893" s="2">
        <v>40731</v>
      </c>
      <c r="B893" t="s">
        <v>28</v>
      </c>
      <c r="C893">
        <v>28</v>
      </c>
      <c r="D893" s="6" t="s">
        <v>29</v>
      </c>
      <c r="E893">
        <v>86</v>
      </c>
      <c r="F893">
        <v>0.45</v>
      </c>
      <c r="G893">
        <v>0</v>
      </c>
      <c r="O893">
        <f>IF(AND(OR(D893="S. acutus",D893="S. californicus",D893="S. tabernaemontani"),G893=0),E893*[1]Sheet1!$D$7+[1]Sheet1!$L$7,IF(AND(OR(D893="S. acutus",D893="S. tabernaemontani"),G893&gt;0),E893*[1]Sheet1!$D$8+N893*[1]Sheet1!$E$8,IF(AND(D893="S. californicus",G893&gt;0),E893*[1]Sheet1!$D$9+N893*[1]Sheet1!$E$9,IF(D893="S. maritimus",F893*[1]Sheet1!$C$10+E893*[1]Sheet1!$D$10+G893*[1]Sheet1!$F$10+[1]Sheet1!$L$10,IF(D893="S. americanus",F893*[1]Sheet1!$C$6+E893*[1]Sheet1!$D$6+[1]Sheet1!$L$6,IF(AND(OR(D893="T. domingensis",D893="T. latifolia"),E893&gt;0),F893*[1]Sheet1!$C$4+E893*[1]Sheet1!$D$4+H893*[1]Sheet1!$J$4+I893*[1]Sheet1!$K$4+[1]Sheet1!$L$4,IF(AND(OR(D893="T. domingensis",D893="T. latifolia"),J893&gt;0),J893*[1]Sheet1!$G$5+K893*[1]Sheet1!$H$5+L893*[1]Sheet1!$I$5+[1]Sheet1!$L$5,0)))))))</f>
        <v>0.6492292049999997</v>
      </c>
    </row>
    <row r="894" spans="1:15">
      <c r="A894" s="2">
        <v>40731</v>
      </c>
      <c r="B894" t="s">
        <v>28</v>
      </c>
      <c r="C894">
        <v>28</v>
      </c>
      <c r="D894" s="6" t="s">
        <v>29</v>
      </c>
      <c r="E894">
        <v>94</v>
      </c>
      <c r="F894">
        <v>0.38</v>
      </c>
      <c r="G894">
        <v>0</v>
      </c>
      <c r="O894">
        <f>IF(AND(OR(D894="S. acutus",D894="S. californicus",D894="S. tabernaemontani"),G894=0),E894*[1]Sheet1!$D$7+[1]Sheet1!$L$7,IF(AND(OR(D894="S. acutus",D894="S. tabernaemontani"),G894&gt;0),E894*[1]Sheet1!$D$8+N894*[1]Sheet1!$E$8,IF(AND(D894="S. californicus",G894&gt;0),E894*[1]Sheet1!$D$9+N894*[1]Sheet1!$E$9,IF(D894="S. maritimus",F894*[1]Sheet1!$C$10+E894*[1]Sheet1!$D$10+G894*[1]Sheet1!$F$10+[1]Sheet1!$L$10,IF(D894="S. americanus",F894*[1]Sheet1!$C$6+E894*[1]Sheet1!$D$6+[1]Sheet1!$L$6,IF(AND(OR(D894="T. domingensis",D894="T. latifolia"),E894&gt;0),F894*[1]Sheet1!$C$4+E894*[1]Sheet1!$D$4+H894*[1]Sheet1!$J$4+I894*[1]Sheet1!$K$4+[1]Sheet1!$L$4,IF(AND(OR(D894="T. domingensis",D894="T. latifolia"),J894&gt;0),J894*[1]Sheet1!$G$5+K894*[1]Sheet1!$H$5+L894*[1]Sheet1!$I$5+[1]Sheet1!$L$5,0)))))))</f>
        <v>0.52599918200000007</v>
      </c>
    </row>
    <row r="895" spans="1:15">
      <c r="A895" s="2">
        <v>40731</v>
      </c>
      <c r="B895" t="s">
        <v>28</v>
      </c>
      <c r="C895">
        <v>28</v>
      </c>
      <c r="D895" s="6" t="s">
        <v>29</v>
      </c>
      <c r="E895">
        <v>94</v>
      </c>
      <c r="F895">
        <v>0.42</v>
      </c>
      <c r="G895">
        <v>0</v>
      </c>
      <c r="O895">
        <f>IF(AND(OR(D895="S. acutus",D895="S. californicus",D895="S. tabernaemontani"),G895=0),E895*[1]Sheet1!$D$7+[1]Sheet1!$L$7,IF(AND(OR(D895="S. acutus",D895="S. tabernaemontani"),G895&gt;0),E895*[1]Sheet1!$D$8+N895*[1]Sheet1!$E$8,IF(AND(D895="S. californicus",G895&gt;0),E895*[1]Sheet1!$D$9+N895*[1]Sheet1!$E$9,IF(D895="S. maritimus",F895*[1]Sheet1!$C$10+E895*[1]Sheet1!$D$10+G895*[1]Sheet1!$F$10+[1]Sheet1!$L$10,IF(D895="S. americanus",F895*[1]Sheet1!$C$6+E895*[1]Sheet1!$D$6+[1]Sheet1!$L$6,IF(AND(OR(D895="T. domingensis",D895="T. latifolia"),E895&gt;0),F895*[1]Sheet1!$C$4+E895*[1]Sheet1!$D$4+H895*[1]Sheet1!$J$4+I895*[1]Sheet1!$K$4+[1]Sheet1!$L$4,IF(AND(OR(D895="T. domingensis",D895="T. latifolia"),J895&gt;0),J895*[1]Sheet1!$G$5+K895*[1]Sheet1!$H$5+L895*[1]Sheet1!$I$5+[1]Sheet1!$L$5,0)))))))</f>
        <v>0.66809953799999944</v>
      </c>
    </row>
    <row r="896" spans="1:15">
      <c r="A896" s="2">
        <v>40731</v>
      </c>
      <c r="B896" t="s">
        <v>28</v>
      </c>
      <c r="C896">
        <v>28</v>
      </c>
      <c r="D896" s="6" t="s">
        <v>29</v>
      </c>
      <c r="E896">
        <v>95</v>
      </c>
      <c r="F896">
        <v>0.5</v>
      </c>
      <c r="G896">
        <v>0</v>
      </c>
      <c r="O896">
        <f>IF(AND(OR(D896="S. acutus",D896="S. californicus",D896="S. tabernaemontani"),G896=0),E896*[1]Sheet1!$D$7+[1]Sheet1!$L$7,IF(AND(OR(D896="S. acutus",D896="S. tabernaemontani"),G896&gt;0),E896*[1]Sheet1!$D$8+N896*[1]Sheet1!$E$8,IF(AND(D896="S. californicus",G896&gt;0),E896*[1]Sheet1!$D$9+N896*[1]Sheet1!$E$9,IF(D896="S. maritimus",F896*[1]Sheet1!$C$10+E896*[1]Sheet1!$D$10+G896*[1]Sheet1!$F$10+[1]Sheet1!$L$10,IF(D896="S. americanus",F896*[1]Sheet1!$C$6+E896*[1]Sheet1!$D$6+[1]Sheet1!$L$6,IF(AND(OR(D896="T. domingensis",D896="T. latifolia"),E896&gt;0),F896*[1]Sheet1!$C$4+E896*[1]Sheet1!$D$4+H896*[1]Sheet1!$J$4+I896*[1]Sheet1!$K$4+[1]Sheet1!$L$4,IF(AND(OR(D896="T. domingensis",D896="T. latifolia"),J896&gt;0),J896*[1]Sheet1!$G$5+K896*[1]Sheet1!$H$5+L896*[1]Sheet1!$I$5+[1]Sheet1!$L$5,0)))))))</f>
        <v>0.96798094999999984</v>
      </c>
    </row>
    <row r="897" spans="1:15">
      <c r="A897" s="2">
        <v>40731</v>
      </c>
      <c r="B897" t="s">
        <v>28</v>
      </c>
      <c r="C897">
        <v>28</v>
      </c>
      <c r="D897" s="6" t="s">
        <v>29</v>
      </c>
      <c r="E897">
        <v>96</v>
      </c>
      <c r="F897">
        <v>0.17</v>
      </c>
      <c r="G897">
        <v>0</v>
      </c>
      <c r="O897">
        <f>IF(AND(OR(D897="S. acutus",D897="S. californicus",D897="S. tabernaemontani"),G897=0),E897*[1]Sheet1!$D$7+[1]Sheet1!$L$7,IF(AND(OR(D897="S. acutus",D897="S. tabernaemontani"),G897&gt;0),E897*[1]Sheet1!$D$8+N897*[1]Sheet1!$E$8,IF(AND(D897="S. californicus",G897&gt;0),E897*[1]Sheet1!$D$9+N897*[1]Sheet1!$E$9,IF(D897="S. maritimus",F897*[1]Sheet1!$C$10+E897*[1]Sheet1!$D$10+G897*[1]Sheet1!$F$10+[1]Sheet1!$L$10,IF(D897="S. americanus",F897*[1]Sheet1!$C$6+E897*[1]Sheet1!$D$6+[1]Sheet1!$L$6,IF(AND(OR(D897="T. domingensis",D897="T. latifolia"),E897&gt;0),F897*[1]Sheet1!$C$4+E897*[1]Sheet1!$D$4+H897*[1]Sheet1!$J$4+I897*[1]Sheet1!$K$4+[1]Sheet1!$L$4,IF(AND(OR(D897="T. domingensis",D897="T. latifolia"),J897&gt;0),J897*[1]Sheet1!$G$5+K897*[1]Sheet1!$H$5+L897*[1]Sheet1!$I$5+[1]Sheet1!$L$5,0)))))))</f>
        <v>-0.18866628700000021</v>
      </c>
    </row>
    <row r="898" spans="1:15">
      <c r="A898" s="2">
        <v>40731</v>
      </c>
      <c r="B898" t="s">
        <v>28</v>
      </c>
      <c r="C898">
        <v>28</v>
      </c>
      <c r="D898" s="6" t="s">
        <v>29</v>
      </c>
      <c r="E898">
        <v>104</v>
      </c>
      <c r="F898">
        <v>0.39</v>
      </c>
      <c r="G898">
        <v>0</v>
      </c>
      <c r="O898">
        <f>IF(AND(OR(D898="S. acutus",D898="S. californicus",D898="S. tabernaemontani"),G898=0),E898*[1]Sheet1!$D$7+[1]Sheet1!$L$7,IF(AND(OR(D898="S. acutus",D898="S. tabernaemontani"),G898&gt;0),E898*[1]Sheet1!$D$8+N898*[1]Sheet1!$E$8,IF(AND(D898="S. californicus",G898&gt;0),E898*[1]Sheet1!$D$9+N898*[1]Sheet1!$E$9,IF(D898="S. maritimus",F898*[1]Sheet1!$C$10+E898*[1]Sheet1!$D$10+G898*[1]Sheet1!$F$10+[1]Sheet1!$L$10,IF(D898="S. americanus",F898*[1]Sheet1!$C$6+E898*[1]Sheet1!$D$6+[1]Sheet1!$L$6,IF(AND(OR(D898="T. domingensis",D898="T. latifolia"),E898&gt;0),F898*[1]Sheet1!$C$4+E898*[1]Sheet1!$D$4+H898*[1]Sheet1!$J$4+I898*[1]Sheet1!$K$4+[1]Sheet1!$L$4,IF(AND(OR(D898="T. domingensis",D898="T. latifolia"),J898&gt;0),J898*[1]Sheet1!$G$5+K898*[1]Sheet1!$H$5+L898*[1]Sheet1!$I$5+[1]Sheet1!$L$5,0)))))))</f>
        <v>0.71833127099999983</v>
      </c>
    </row>
    <row r="899" spans="1:15">
      <c r="A899" s="2">
        <v>40731</v>
      </c>
      <c r="B899" t="s">
        <v>28</v>
      </c>
      <c r="C899">
        <v>28</v>
      </c>
      <c r="D899" s="6" t="s">
        <v>29</v>
      </c>
      <c r="E899">
        <v>106</v>
      </c>
      <c r="F899">
        <v>0.67</v>
      </c>
      <c r="G899">
        <v>0</v>
      </c>
      <c r="O899">
        <f>IF(AND(OR(D899="S. acutus",D899="S. californicus",D899="S. tabernaemontani"),G899=0),E899*[1]Sheet1!$D$7+[1]Sheet1!$L$7,IF(AND(OR(D899="S. acutus",D899="S. tabernaemontani"),G899&gt;0),E899*[1]Sheet1!$D$8+N899*[1]Sheet1!$E$8,IF(AND(D899="S. californicus",G899&gt;0),E899*[1]Sheet1!$D$9+N899*[1]Sheet1!$E$9,IF(D899="S. maritimus",F899*[1]Sheet1!$C$10+E899*[1]Sheet1!$D$10+G899*[1]Sheet1!$F$10+[1]Sheet1!$L$10,IF(D899="S. americanus",F899*[1]Sheet1!$C$6+E899*[1]Sheet1!$D$6+[1]Sheet1!$L$6,IF(AND(OR(D899="T. domingensis",D899="T. latifolia"),E899&gt;0),F899*[1]Sheet1!$C$4+E899*[1]Sheet1!$D$4+H899*[1]Sheet1!$J$4+I899*[1]Sheet1!$K$4+[1]Sheet1!$L$4,IF(AND(OR(D899="T. domingensis",D899="T. latifolia"),J899&gt;0),J899*[1]Sheet1!$G$5+K899*[1]Sheet1!$H$5+L899*[1]Sheet1!$I$5+[1]Sheet1!$L$5,0)))))))</f>
        <v>1.7443951629999996</v>
      </c>
    </row>
    <row r="900" spans="1:15">
      <c r="A900" s="2">
        <v>40731</v>
      </c>
      <c r="B900" t="s">
        <v>28</v>
      </c>
      <c r="C900">
        <v>28</v>
      </c>
      <c r="D900" s="6" t="s">
        <v>29</v>
      </c>
      <c r="E900">
        <v>112</v>
      </c>
      <c r="F900">
        <v>0.59</v>
      </c>
      <c r="G900">
        <v>0</v>
      </c>
      <c r="O900">
        <f>IF(AND(OR(D900="S. acutus",D900="S. californicus",D900="S. tabernaemontani"),G900=0),E900*[1]Sheet1!$D$7+[1]Sheet1!$L$7,IF(AND(OR(D900="S. acutus",D900="S. tabernaemontani"),G900&gt;0),E900*[1]Sheet1!$D$8+N900*[1]Sheet1!$E$8,IF(AND(D900="S. californicus",G900&gt;0),E900*[1]Sheet1!$D$9+N900*[1]Sheet1!$E$9,IF(D900="S. maritimus",F900*[1]Sheet1!$C$10+E900*[1]Sheet1!$D$10+G900*[1]Sheet1!$F$10+[1]Sheet1!$L$10,IF(D900="S. americanus",F900*[1]Sheet1!$C$6+E900*[1]Sheet1!$D$6+[1]Sheet1!$L$6,IF(AND(OR(D900="T. domingensis",D900="T. latifolia"),E900&gt;0),F900*[1]Sheet1!$C$4+E900*[1]Sheet1!$D$4+H900*[1]Sheet1!$J$4+I900*[1]Sheet1!$K$4+[1]Sheet1!$L$4,IF(AND(OR(D900="T. domingensis",D900="T. latifolia"),J900&gt;0),J900*[1]Sheet1!$G$5+K900*[1]Sheet1!$H$5+L900*[1]Sheet1!$I$5+[1]Sheet1!$L$5,0)))))))</f>
        <v>1.5542786509999997</v>
      </c>
    </row>
    <row r="901" spans="1:15">
      <c r="A901" s="2">
        <v>40731</v>
      </c>
      <c r="B901" t="s">
        <v>28</v>
      </c>
      <c r="C901">
        <v>28</v>
      </c>
      <c r="D901" s="6" t="s">
        <v>29</v>
      </c>
      <c r="E901">
        <v>122</v>
      </c>
      <c r="F901">
        <v>0.53</v>
      </c>
      <c r="G901">
        <v>0</v>
      </c>
      <c r="O901">
        <f>IF(AND(OR(D901="S. acutus",D901="S. californicus",D901="S. tabernaemontani"),G901=0),E901*[1]Sheet1!$D$7+[1]Sheet1!$L$7,IF(AND(OR(D901="S. acutus",D901="S. tabernaemontani"),G901&gt;0),E901*[1]Sheet1!$D$8+N901*[1]Sheet1!$E$8,IF(AND(D901="S. californicus",G901&gt;0),E901*[1]Sheet1!$D$9+N901*[1]Sheet1!$E$9,IF(D901="S. maritimus",F901*[1]Sheet1!$C$10+E901*[1]Sheet1!$D$10+G901*[1]Sheet1!$F$10+[1]Sheet1!$L$10,IF(D901="S. americanus",F901*[1]Sheet1!$C$6+E901*[1]Sheet1!$D$6+[1]Sheet1!$L$6,IF(AND(OR(D901="T. domingensis",D901="T. latifolia"),E901&gt;0),F901*[1]Sheet1!$C$4+E901*[1]Sheet1!$D$4+H901*[1]Sheet1!$J$4+I901*[1]Sheet1!$K$4+[1]Sheet1!$L$4,IF(AND(OR(D901="T. domingensis",D901="T. latifolia"),J901&gt;0),J901*[1]Sheet1!$G$5+K901*[1]Sheet1!$H$5+L901*[1]Sheet1!$I$5+[1]Sheet1!$L$5,0)))))))</f>
        <v>1.4979351169999999</v>
      </c>
    </row>
    <row r="902" spans="1:15">
      <c r="A902" s="2">
        <v>40731</v>
      </c>
      <c r="B902" t="s">
        <v>28</v>
      </c>
      <c r="C902">
        <v>28</v>
      </c>
      <c r="D902" s="6" t="s">
        <v>29</v>
      </c>
      <c r="E902">
        <v>123</v>
      </c>
      <c r="F902">
        <v>0.51</v>
      </c>
      <c r="G902">
        <v>0</v>
      </c>
      <c r="O902">
        <f>IF(AND(OR(D902="S. acutus",D902="S. californicus",D902="S. tabernaemontani"),G902=0),E902*[1]Sheet1!$D$7+[1]Sheet1!$L$7,IF(AND(OR(D902="S. acutus",D902="S. tabernaemontani"),G902&gt;0),E902*[1]Sheet1!$D$8+N902*[1]Sheet1!$E$8,IF(AND(D902="S. californicus",G902&gt;0),E902*[1]Sheet1!$D$9+N902*[1]Sheet1!$E$9,IF(D902="S. maritimus",F902*[1]Sheet1!$C$10+E902*[1]Sheet1!$D$10+G902*[1]Sheet1!$F$10+[1]Sheet1!$L$10,IF(D902="S. americanus",F902*[1]Sheet1!$C$6+E902*[1]Sheet1!$D$6+[1]Sheet1!$L$6,IF(AND(OR(D902="T. domingensis",D902="T. latifolia"),E902&gt;0),F902*[1]Sheet1!$C$4+E902*[1]Sheet1!$D$4+H902*[1]Sheet1!$J$4+I902*[1]Sheet1!$K$4+[1]Sheet1!$L$4,IF(AND(OR(D902="T. domingensis",D902="T. latifolia"),J902&gt;0),J902*[1]Sheet1!$G$5+K902*[1]Sheet1!$H$5+L902*[1]Sheet1!$I$5+[1]Sheet1!$L$5,0)))))))</f>
        <v>1.4425656389999997</v>
      </c>
    </row>
    <row r="903" spans="1:15">
      <c r="A903" s="2">
        <v>40731</v>
      </c>
      <c r="B903" t="s">
        <v>28</v>
      </c>
      <c r="C903">
        <v>28</v>
      </c>
      <c r="D903" s="6" t="s">
        <v>29</v>
      </c>
      <c r="E903">
        <v>124</v>
      </c>
      <c r="F903">
        <v>0.9</v>
      </c>
      <c r="G903">
        <v>0</v>
      </c>
      <c r="O903">
        <f>IF(AND(OR(D903="S. acutus",D903="S. californicus",D903="S. tabernaemontani"),G903=0),E903*[1]Sheet1!$D$7+[1]Sheet1!$L$7,IF(AND(OR(D903="S. acutus",D903="S. tabernaemontani"),G903&gt;0),E903*[1]Sheet1!$D$8+N903*[1]Sheet1!$E$8,IF(AND(D903="S. californicus",G903&gt;0),E903*[1]Sheet1!$D$9+N903*[1]Sheet1!$E$9,IF(D903="S. maritimus",F903*[1]Sheet1!$C$10+E903*[1]Sheet1!$D$10+G903*[1]Sheet1!$F$10+[1]Sheet1!$L$10,IF(D903="S. americanus",F903*[1]Sheet1!$C$6+E903*[1]Sheet1!$D$6+[1]Sheet1!$L$6,IF(AND(OR(D903="T. domingensis",D903="T. latifolia"),E903&gt;0),F903*[1]Sheet1!$C$4+E903*[1]Sheet1!$D$4+H903*[1]Sheet1!$J$4+I903*[1]Sheet1!$K$4+[1]Sheet1!$L$4,IF(AND(OR(D903="T. domingensis",D903="T. latifolia"),J903&gt;0),J903*[1]Sheet1!$G$5+K903*[1]Sheet1!$H$5+L903*[1]Sheet1!$I$5+[1]Sheet1!$L$5,0)))))))</f>
        <v>2.8437248099999999</v>
      </c>
    </row>
    <row r="904" spans="1:15">
      <c r="A904" s="2">
        <v>40731</v>
      </c>
      <c r="B904" t="s">
        <v>28</v>
      </c>
      <c r="C904">
        <v>28</v>
      </c>
      <c r="D904" s="6" t="s">
        <v>29</v>
      </c>
      <c r="E904">
        <v>128</v>
      </c>
      <c r="F904">
        <v>0.31</v>
      </c>
      <c r="G904">
        <v>0</v>
      </c>
      <c r="O904">
        <f>IF(AND(OR(D904="S. acutus",D904="S. californicus",D904="S. tabernaemontani"),G904=0),E904*[1]Sheet1!$D$7+[1]Sheet1!$L$7,IF(AND(OR(D904="S. acutus",D904="S. tabernaemontani"),G904&gt;0),E904*[1]Sheet1!$D$8+N904*[1]Sheet1!$E$8,IF(AND(D904="S. californicus",G904&gt;0),E904*[1]Sheet1!$D$9+N904*[1]Sheet1!$E$9,IF(D904="S. maritimus",F904*[1]Sheet1!$C$10+E904*[1]Sheet1!$D$10+G904*[1]Sheet1!$F$10+[1]Sheet1!$L$10,IF(D904="S. americanus",F904*[1]Sheet1!$C$6+E904*[1]Sheet1!$D$6+[1]Sheet1!$L$6,IF(AND(OR(D904="T. domingensis",D904="T. latifolia"),E904&gt;0),F904*[1]Sheet1!$C$4+E904*[1]Sheet1!$D$4+H904*[1]Sheet1!$J$4+I904*[1]Sheet1!$K$4+[1]Sheet1!$L$4,IF(AND(OR(D904="T. domingensis",D904="T. latifolia"),J904&gt;0),J904*[1]Sheet1!$G$5+K904*[1]Sheet1!$H$5+L904*[1]Sheet1!$I$5+[1]Sheet1!$L$5,0)))))))</f>
        <v>0.810467359</v>
      </c>
    </row>
    <row r="905" spans="1:15">
      <c r="A905" s="2">
        <v>40731</v>
      </c>
      <c r="B905" t="s">
        <v>28</v>
      </c>
      <c r="C905">
        <v>28</v>
      </c>
      <c r="D905" s="6" t="s">
        <v>29</v>
      </c>
      <c r="E905">
        <v>129</v>
      </c>
      <c r="F905">
        <v>0.53</v>
      </c>
      <c r="G905">
        <v>0</v>
      </c>
      <c r="O905">
        <f>IF(AND(OR(D905="S. acutus",D905="S. californicus",D905="S. tabernaemontani"),G905=0),E905*[1]Sheet1!$D$7+[1]Sheet1!$L$7,IF(AND(OR(D905="S. acutus",D905="S. tabernaemontani"),G905&gt;0),E905*[1]Sheet1!$D$8+N905*[1]Sheet1!$E$8,IF(AND(D905="S. californicus",G905&gt;0),E905*[1]Sheet1!$D$9+N905*[1]Sheet1!$E$9,IF(D905="S. maritimus",F905*[1]Sheet1!$C$10+E905*[1]Sheet1!$D$10+G905*[1]Sheet1!$F$10+[1]Sheet1!$L$10,IF(D905="S. americanus",F905*[1]Sheet1!$C$6+E905*[1]Sheet1!$D$6+[1]Sheet1!$L$6,IF(AND(OR(D905="T. domingensis",D905="T. latifolia"),E905&gt;0),F905*[1]Sheet1!$C$4+E905*[1]Sheet1!$D$4+H905*[1]Sheet1!$J$4+I905*[1]Sheet1!$K$4+[1]Sheet1!$L$4,IF(AND(OR(D905="T. domingensis",D905="T. latifolia"),J905&gt;0),J905*[1]Sheet1!$G$5+K905*[1]Sheet1!$H$5+L905*[1]Sheet1!$I$5+[1]Sheet1!$L$5,0)))))))</f>
        <v>1.6077000169999995</v>
      </c>
    </row>
    <row r="906" spans="1:15">
      <c r="A906" s="2">
        <v>40731</v>
      </c>
      <c r="B906" t="s">
        <v>28</v>
      </c>
      <c r="C906">
        <v>28</v>
      </c>
      <c r="D906" s="6" t="s">
        <v>29</v>
      </c>
      <c r="E906">
        <v>132</v>
      </c>
      <c r="F906">
        <v>0.6</v>
      </c>
      <c r="G906">
        <v>0</v>
      </c>
      <c r="O906">
        <f>IF(AND(OR(D906="S. acutus",D906="S. californicus",D906="S. tabernaemontani"),G906=0),E906*[1]Sheet1!$D$7+[1]Sheet1!$L$7,IF(AND(OR(D906="S. acutus",D906="S. tabernaemontani"),G906&gt;0),E906*[1]Sheet1!$D$8+N906*[1]Sheet1!$E$8,IF(AND(D906="S. californicus",G906&gt;0),E906*[1]Sheet1!$D$9+N906*[1]Sheet1!$E$9,IF(D906="S. maritimus",F906*[1]Sheet1!$C$10+E906*[1]Sheet1!$D$10+G906*[1]Sheet1!$F$10+[1]Sheet1!$L$10,IF(D906="S. americanus",F906*[1]Sheet1!$C$6+E906*[1]Sheet1!$D$6+[1]Sheet1!$L$6,IF(AND(OR(D906="T. domingensis",D906="T. latifolia"),E906&gt;0),F906*[1]Sheet1!$C$4+E906*[1]Sheet1!$D$4+H906*[1]Sheet1!$J$4+I906*[1]Sheet1!$K$4+[1]Sheet1!$L$4,IF(AND(OR(D906="T. domingensis",D906="T. latifolia"),J906&gt;0),J906*[1]Sheet1!$G$5+K906*[1]Sheet1!$H$5+L906*[1]Sheet1!$I$5+[1]Sheet1!$L$5,0)))))))</f>
        <v>1.9034177399999996</v>
      </c>
    </row>
    <row r="907" spans="1:15">
      <c r="A907" s="2">
        <v>40731</v>
      </c>
      <c r="B907" t="s">
        <v>28</v>
      </c>
      <c r="C907">
        <v>28</v>
      </c>
      <c r="D907" s="6" t="s">
        <v>29</v>
      </c>
      <c r="E907">
        <v>136</v>
      </c>
      <c r="F907">
        <v>0.84</v>
      </c>
      <c r="G907">
        <v>0</v>
      </c>
      <c r="O907">
        <f>IF(AND(OR(D907="S. acutus",D907="S. californicus",D907="S. tabernaemontani"),G907=0),E907*[1]Sheet1!$D$7+[1]Sheet1!$L$7,IF(AND(OR(D907="S. acutus",D907="S. tabernaemontani"),G907&gt;0),E907*[1]Sheet1!$D$8+N907*[1]Sheet1!$E$8,IF(AND(D907="S. californicus",G907&gt;0),E907*[1]Sheet1!$D$9+N907*[1]Sheet1!$E$9,IF(D907="S. maritimus",F907*[1]Sheet1!$C$10+E907*[1]Sheet1!$D$10+G907*[1]Sheet1!$F$10+[1]Sheet1!$L$10,IF(D907="S. americanus",F907*[1]Sheet1!$C$6+E907*[1]Sheet1!$D$6+[1]Sheet1!$L$6,IF(AND(OR(D907="T. domingensis",D907="T. latifolia"),E907&gt;0),F907*[1]Sheet1!$C$4+E907*[1]Sheet1!$D$4+H907*[1]Sheet1!$J$4+I907*[1]Sheet1!$K$4+[1]Sheet1!$L$4,IF(AND(OR(D907="T. domingensis",D907="T. latifolia"),J907&gt;0),J907*[1]Sheet1!$G$5+K907*[1]Sheet1!$H$5+L907*[1]Sheet1!$I$5+[1]Sheet1!$L$5,0)))))))</f>
        <v>2.8187426759999998</v>
      </c>
    </row>
    <row r="908" spans="1:15">
      <c r="A908" s="2">
        <v>40731</v>
      </c>
      <c r="B908" t="s">
        <v>28</v>
      </c>
      <c r="C908">
        <v>28</v>
      </c>
      <c r="D908" s="6" t="s">
        <v>29</v>
      </c>
      <c r="E908">
        <v>140</v>
      </c>
      <c r="F908">
        <v>0.53</v>
      </c>
      <c r="G908">
        <v>0</v>
      </c>
      <c r="O908">
        <f>IF(AND(OR(D908="S. acutus",D908="S. californicus",D908="S. tabernaemontani"),G908=0),E908*[1]Sheet1!$D$7+[1]Sheet1!$L$7,IF(AND(OR(D908="S. acutus",D908="S. tabernaemontani"),G908&gt;0),E908*[1]Sheet1!$D$8+N908*[1]Sheet1!$E$8,IF(AND(D908="S. californicus",G908&gt;0),E908*[1]Sheet1!$D$9+N908*[1]Sheet1!$E$9,IF(D908="S. maritimus",F908*[1]Sheet1!$C$10+E908*[1]Sheet1!$D$10+G908*[1]Sheet1!$F$10+[1]Sheet1!$L$10,IF(D908="S. americanus",F908*[1]Sheet1!$C$6+E908*[1]Sheet1!$D$6+[1]Sheet1!$L$6,IF(AND(OR(D908="T. domingensis",D908="T. latifolia"),E908&gt;0),F908*[1]Sheet1!$C$4+E908*[1]Sheet1!$D$4+H908*[1]Sheet1!$J$4+I908*[1]Sheet1!$K$4+[1]Sheet1!$L$4,IF(AND(OR(D908="T. domingensis",D908="T. latifolia"),J908&gt;0),J908*[1]Sheet1!$G$5+K908*[1]Sheet1!$H$5+L908*[1]Sheet1!$I$5+[1]Sheet1!$L$5,0)))))))</f>
        <v>1.780187717</v>
      </c>
    </row>
    <row r="909" spans="1:15">
      <c r="A909" s="2">
        <v>40731</v>
      </c>
      <c r="B909" t="s">
        <v>28</v>
      </c>
      <c r="C909">
        <v>28</v>
      </c>
      <c r="D909" s="6" t="s">
        <v>29</v>
      </c>
      <c r="E909">
        <v>147</v>
      </c>
      <c r="F909">
        <v>0.42</v>
      </c>
      <c r="G909">
        <v>0</v>
      </c>
      <c r="O909">
        <f>IF(AND(OR(D909="S. acutus",D909="S. californicus",D909="S. tabernaemontani"),G909=0),E909*[1]Sheet1!$D$7+[1]Sheet1!$L$7,IF(AND(OR(D909="S. acutus",D909="S. tabernaemontani"),G909&gt;0),E909*[1]Sheet1!$D$8+N909*[1]Sheet1!$E$8,IF(AND(D909="S. californicus",G909&gt;0),E909*[1]Sheet1!$D$9+N909*[1]Sheet1!$E$9,IF(D909="S. maritimus",F909*[1]Sheet1!$C$10+E909*[1]Sheet1!$D$10+G909*[1]Sheet1!$F$10+[1]Sheet1!$L$10,IF(D909="S. americanus",F909*[1]Sheet1!$C$6+E909*[1]Sheet1!$D$6+[1]Sheet1!$L$6,IF(AND(OR(D909="T. domingensis",D909="T. latifolia"),E909&gt;0),F909*[1]Sheet1!$C$4+E909*[1]Sheet1!$D$4+H909*[1]Sheet1!$J$4+I909*[1]Sheet1!$K$4+[1]Sheet1!$L$4,IF(AND(OR(D909="T. domingensis",D909="T. latifolia"),J909&gt;0),J909*[1]Sheet1!$G$5+K909*[1]Sheet1!$H$5+L909*[1]Sheet1!$I$5+[1]Sheet1!$L$5,0)))))))</f>
        <v>1.4991766379999993</v>
      </c>
    </row>
    <row r="910" spans="1:15">
      <c r="A910" s="2">
        <v>40731</v>
      </c>
      <c r="B910" t="s">
        <v>28</v>
      </c>
      <c r="C910">
        <v>28</v>
      </c>
      <c r="D910" s="6" t="s">
        <v>29</v>
      </c>
      <c r="E910">
        <v>157</v>
      </c>
      <c r="F910">
        <v>0.42</v>
      </c>
      <c r="G910">
        <v>0</v>
      </c>
      <c r="O910">
        <f>IF(AND(OR(D910="S. acutus",D910="S. californicus",D910="S. tabernaemontani"),G910=0),E910*[1]Sheet1!$D$7+[1]Sheet1!$L$7,IF(AND(OR(D910="S. acutus",D910="S. tabernaemontani"),G910&gt;0),E910*[1]Sheet1!$D$8+N910*[1]Sheet1!$E$8,IF(AND(D910="S. californicus",G910&gt;0),E910*[1]Sheet1!$D$9+N910*[1]Sheet1!$E$9,IF(D910="S. maritimus",F910*[1]Sheet1!$C$10+E910*[1]Sheet1!$D$10+G910*[1]Sheet1!$F$10+[1]Sheet1!$L$10,IF(D910="S. americanus",F910*[1]Sheet1!$C$6+E910*[1]Sheet1!$D$6+[1]Sheet1!$L$6,IF(AND(OR(D910="T. domingensis",D910="T. latifolia"),E910&gt;0),F910*[1]Sheet1!$C$4+E910*[1]Sheet1!$D$4+H910*[1]Sheet1!$J$4+I910*[1]Sheet1!$K$4+[1]Sheet1!$L$4,IF(AND(OR(D910="T. domingensis",D910="T. latifolia"),J910&gt;0),J910*[1]Sheet1!$G$5+K910*[1]Sheet1!$H$5+L910*[1]Sheet1!$I$5+[1]Sheet1!$L$5,0)))))))</f>
        <v>1.6559836379999999</v>
      </c>
    </row>
    <row r="911" spans="1:15">
      <c r="A911" s="2">
        <v>40731</v>
      </c>
      <c r="B911" t="s">
        <v>28</v>
      </c>
      <c r="C911">
        <v>28</v>
      </c>
      <c r="D911" s="6" t="s">
        <v>29</v>
      </c>
      <c r="E911">
        <v>157</v>
      </c>
      <c r="F911">
        <v>0.82</v>
      </c>
      <c r="G911">
        <v>0</v>
      </c>
      <c r="O911">
        <f>IF(AND(OR(D911="S. acutus",D911="S. californicus",D911="S. tabernaemontani"),G911=0),E911*[1]Sheet1!$D$7+[1]Sheet1!$L$7,IF(AND(OR(D911="S. acutus",D911="S. tabernaemontani"),G911&gt;0),E911*[1]Sheet1!$D$8+N911*[1]Sheet1!$E$8,IF(AND(D911="S. californicus",G911&gt;0),E911*[1]Sheet1!$D$9+N911*[1]Sheet1!$E$9,IF(D911="S. maritimus",F911*[1]Sheet1!$C$10+E911*[1]Sheet1!$D$10+G911*[1]Sheet1!$F$10+[1]Sheet1!$L$10,IF(D911="S. americanus",F911*[1]Sheet1!$C$6+E911*[1]Sheet1!$D$6+[1]Sheet1!$L$6,IF(AND(OR(D911="T. domingensis",D911="T. latifolia"),E911&gt;0),F911*[1]Sheet1!$C$4+E911*[1]Sheet1!$D$4+H911*[1]Sheet1!$J$4+I911*[1]Sheet1!$K$4+[1]Sheet1!$L$4,IF(AND(OR(D911="T. domingensis",D911="T. latifolia"),J911&gt;0),J911*[1]Sheet1!$G$5+K911*[1]Sheet1!$H$5+L911*[1]Sheet1!$I$5+[1]Sheet1!$L$5,0)))))))</f>
        <v>3.0769871979999999</v>
      </c>
    </row>
    <row r="912" spans="1:15">
      <c r="A912" s="2">
        <v>40731</v>
      </c>
      <c r="B912" t="s">
        <v>28</v>
      </c>
      <c r="C912">
        <v>28</v>
      </c>
      <c r="D912" s="6" t="s">
        <v>29</v>
      </c>
      <c r="E912">
        <v>165</v>
      </c>
      <c r="F912">
        <v>0.59</v>
      </c>
      <c r="G912">
        <v>0</v>
      </c>
      <c r="O912">
        <f>IF(AND(OR(D912="S. acutus",D912="S. californicus",D912="S. tabernaemontani"),G912=0),E912*[1]Sheet1!$D$7+[1]Sheet1!$L$7,IF(AND(OR(D912="S. acutus",D912="S. tabernaemontani"),G912&gt;0),E912*[1]Sheet1!$D$8+N912*[1]Sheet1!$E$8,IF(AND(D912="S. californicus",G912&gt;0),E912*[1]Sheet1!$D$9+N912*[1]Sheet1!$E$9,IF(D912="S. maritimus",F912*[1]Sheet1!$C$10+E912*[1]Sheet1!$D$10+G912*[1]Sheet1!$F$10+[1]Sheet1!$L$10,IF(D912="S. americanus",F912*[1]Sheet1!$C$6+E912*[1]Sheet1!$D$6+[1]Sheet1!$L$6,IF(AND(OR(D912="T. domingensis",D912="T. latifolia"),E912&gt;0),F912*[1]Sheet1!$C$4+E912*[1]Sheet1!$D$4+H912*[1]Sheet1!$J$4+I912*[1]Sheet1!$K$4+[1]Sheet1!$L$4,IF(AND(OR(D912="T. domingensis",D912="T. latifolia"),J912&gt;0),J912*[1]Sheet1!$G$5+K912*[1]Sheet1!$H$5+L912*[1]Sheet1!$I$5+[1]Sheet1!$L$5,0)))))))</f>
        <v>2.3853557509999992</v>
      </c>
    </row>
    <row r="913" spans="1:15">
      <c r="A913" s="2">
        <v>40731</v>
      </c>
      <c r="B913" t="s">
        <v>28</v>
      </c>
      <c r="C913">
        <v>28</v>
      </c>
      <c r="D913" s="6" t="s">
        <v>29</v>
      </c>
      <c r="E913">
        <v>169</v>
      </c>
      <c r="F913">
        <v>0.53</v>
      </c>
      <c r="G913">
        <v>0</v>
      </c>
      <c r="O913">
        <f>IF(AND(OR(D913="S. acutus",D913="S. californicus",D913="S. tabernaemontani"),G913=0),E913*[1]Sheet1!$D$7+[1]Sheet1!$L$7,IF(AND(OR(D913="S. acutus",D913="S. tabernaemontani"),G913&gt;0),E913*[1]Sheet1!$D$8+N913*[1]Sheet1!$E$8,IF(AND(D913="S. californicus",G913&gt;0),E913*[1]Sheet1!$D$9+N913*[1]Sheet1!$E$9,IF(D913="S. maritimus",F913*[1]Sheet1!$C$10+E913*[1]Sheet1!$D$10+G913*[1]Sheet1!$F$10+[1]Sheet1!$L$10,IF(D913="S. americanus",F913*[1]Sheet1!$C$6+E913*[1]Sheet1!$D$6+[1]Sheet1!$L$6,IF(AND(OR(D913="T. domingensis",D913="T. latifolia"),E913&gt;0),F913*[1]Sheet1!$C$4+E913*[1]Sheet1!$D$4+H913*[1]Sheet1!$J$4+I913*[1]Sheet1!$K$4+[1]Sheet1!$L$4,IF(AND(OR(D913="T. domingensis",D913="T. latifolia"),J913&gt;0),J913*[1]Sheet1!$G$5+K913*[1]Sheet1!$H$5+L913*[1]Sheet1!$I$5+[1]Sheet1!$L$5,0)))))))</f>
        <v>2.2349280170000001</v>
      </c>
    </row>
    <row r="914" spans="1:15">
      <c r="A914" s="2">
        <v>40731</v>
      </c>
      <c r="B914" t="s">
        <v>28</v>
      </c>
      <c r="C914">
        <v>28</v>
      </c>
      <c r="D914" s="6" t="s">
        <v>29</v>
      </c>
      <c r="E914">
        <v>173</v>
      </c>
      <c r="F914">
        <v>0.55000000000000004</v>
      </c>
      <c r="G914">
        <v>0</v>
      </c>
      <c r="O914">
        <f>IF(AND(OR(D914="S. acutus",D914="S. californicus",D914="S. tabernaemontani"),G914=0),E914*[1]Sheet1!$D$7+[1]Sheet1!$L$7,IF(AND(OR(D914="S. acutus",D914="S. tabernaemontani"),G914&gt;0),E914*[1]Sheet1!$D$8+N914*[1]Sheet1!$E$8,IF(AND(D914="S. californicus",G914&gt;0),E914*[1]Sheet1!$D$9+N914*[1]Sheet1!$E$9,IF(D914="S. maritimus",F914*[1]Sheet1!$C$10+E914*[1]Sheet1!$D$10+G914*[1]Sheet1!$F$10+[1]Sheet1!$L$10,IF(D914="S. americanus",F914*[1]Sheet1!$C$6+E914*[1]Sheet1!$D$6+[1]Sheet1!$L$6,IF(AND(OR(D914="T. domingensis",D914="T. latifolia"),E914&gt;0),F914*[1]Sheet1!$C$4+E914*[1]Sheet1!$D$4+H914*[1]Sheet1!$J$4+I914*[1]Sheet1!$K$4+[1]Sheet1!$L$4,IF(AND(OR(D914="T. domingensis",D914="T. latifolia"),J914&gt;0),J914*[1]Sheet1!$G$5+K914*[1]Sheet1!$H$5+L914*[1]Sheet1!$I$5+[1]Sheet1!$L$5,0)))))))</f>
        <v>2.3687009949999998</v>
      </c>
    </row>
    <row r="915" spans="1:15">
      <c r="A915" s="2">
        <v>40731</v>
      </c>
      <c r="B915" t="s">
        <v>28</v>
      </c>
      <c r="C915">
        <v>28</v>
      </c>
      <c r="D915" s="6" t="s">
        <v>29</v>
      </c>
      <c r="E915">
        <v>178</v>
      </c>
      <c r="F915">
        <v>0.6</v>
      </c>
      <c r="G915">
        <v>0</v>
      </c>
      <c r="O915">
        <f>IF(AND(OR(D915="S. acutus",D915="S. californicus",D915="S. tabernaemontani"),G915=0),E915*[1]Sheet1!$D$7+[1]Sheet1!$L$7,IF(AND(OR(D915="S. acutus",D915="S. tabernaemontani"),G915&gt;0),E915*[1]Sheet1!$D$8+N915*[1]Sheet1!$E$8,IF(AND(D915="S. californicus",G915&gt;0),E915*[1]Sheet1!$D$9+N915*[1]Sheet1!$E$9,IF(D915="S. maritimus",F915*[1]Sheet1!$C$10+E915*[1]Sheet1!$D$10+G915*[1]Sheet1!$F$10+[1]Sheet1!$L$10,IF(D915="S. americanus",F915*[1]Sheet1!$C$6+E915*[1]Sheet1!$D$6+[1]Sheet1!$L$6,IF(AND(OR(D915="T. domingensis",D915="T. latifolia"),E915&gt;0),F915*[1]Sheet1!$C$4+E915*[1]Sheet1!$D$4+H915*[1]Sheet1!$J$4+I915*[1]Sheet1!$K$4+[1]Sheet1!$L$4,IF(AND(OR(D915="T. domingensis",D915="T. latifolia"),J915&gt;0),J915*[1]Sheet1!$G$5+K915*[1]Sheet1!$H$5+L915*[1]Sheet1!$I$5+[1]Sheet1!$L$5,0)))))))</f>
        <v>2.6247299399999995</v>
      </c>
    </row>
    <row r="916" spans="1:15">
      <c r="A916" s="2">
        <v>40731</v>
      </c>
      <c r="B916" t="s">
        <v>28</v>
      </c>
      <c r="C916">
        <v>28</v>
      </c>
      <c r="D916" s="6" t="s">
        <v>29</v>
      </c>
      <c r="E916">
        <v>189</v>
      </c>
      <c r="F916">
        <v>0.66</v>
      </c>
      <c r="G916">
        <v>0</v>
      </c>
      <c r="O916">
        <f>IF(AND(OR(D916="S. acutus",D916="S. californicus",D916="S. tabernaemontani"),G916=0),E916*[1]Sheet1!$D$7+[1]Sheet1!$L$7,IF(AND(OR(D916="S. acutus",D916="S. tabernaemontani"),G916&gt;0),E916*[1]Sheet1!$D$8+N916*[1]Sheet1!$E$8,IF(AND(D916="S. californicus",G916&gt;0),E916*[1]Sheet1!$D$9+N916*[1]Sheet1!$E$9,IF(D916="S. maritimus",F916*[1]Sheet1!$C$10+E916*[1]Sheet1!$D$10+G916*[1]Sheet1!$F$10+[1]Sheet1!$L$10,IF(D916="S. americanus",F916*[1]Sheet1!$C$6+E916*[1]Sheet1!$D$6+[1]Sheet1!$L$6,IF(AND(OR(D916="T. domingensis",D916="T. latifolia"),E916&gt;0),F916*[1]Sheet1!$C$4+E916*[1]Sheet1!$D$4+H916*[1]Sheet1!$J$4+I916*[1]Sheet1!$K$4+[1]Sheet1!$L$4,IF(AND(OR(D916="T. domingensis",D916="T. latifolia"),J916&gt;0),J916*[1]Sheet1!$G$5+K916*[1]Sheet1!$H$5+L916*[1]Sheet1!$I$5+[1]Sheet1!$L$5,0)))))))</f>
        <v>3.0103681739999995</v>
      </c>
    </row>
    <row r="917" spans="1:15">
      <c r="A917" s="2">
        <v>40731</v>
      </c>
      <c r="B917" t="s">
        <v>28</v>
      </c>
      <c r="C917">
        <v>28</v>
      </c>
      <c r="D917" s="6" t="s">
        <v>29</v>
      </c>
      <c r="E917">
        <v>192</v>
      </c>
      <c r="F917">
        <v>0.76</v>
      </c>
      <c r="G917">
        <v>0</v>
      </c>
      <c r="O917">
        <f>IF(AND(OR(D917="S. acutus",D917="S. californicus",D917="S. tabernaemontani"),G917=0),E917*[1]Sheet1!$D$7+[1]Sheet1!$L$7,IF(AND(OR(D917="S. acutus",D917="S. tabernaemontani"),G917&gt;0),E917*[1]Sheet1!$D$8+N917*[1]Sheet1!$E$8,IF(AND(D917="S. californicus",G917&gt;0),E917*[1]Sheet1!$D$9+N917*[1]Sheet1!$E$9,IF(D917="S. maritimus",F917*[1]Sheet1!$C$10+E917*[1]Sheet1!$D$10+G917*[1]Sheet1!$F$10+[1]Sheet1!$L$10,IF(D917="S. americanus",F917*[1]Sheet1!$C$6+E917*[1]Sheet1!$D$6+[1]Sheet1!$L$6,IF(AND(OR(D917="T. domingensis",D917="T. latifolia"),E917&gt;0),F917*[1]Sheet1!$C$4+E917*[1]Sheet1!$D$4+H917*[1]Sheet1!$J$4+I917*[1]Sheet1!$K$4+[1]Sheet1!$L$4,IF(AND(OR(D917="T. domingensis",D917="T. latifolia"),J917&gt;0),J917*[1]Sheet1!$G$5+K917*[1]Sheet1!$H$5+L917*[1]Sheet1!$I$5+[1]Sheet1!$L$5,0)))))))</f>
        <v>3.4126611639999997</v>
      </c>
    </row>
    <row r="918" spans="1:15">
      <c r="A918" s="2">
        <v>40731</v>
      </c>
      <c r="B918" t="s">
        <v>28</v>
      </c>
      <c r="C918">
        <v>28</v>
      </c>
      <c r="D918" s="6" t="s">
        <v>29</v>
      </c>
      <c r="E918">
        <v>196</v>
      </c>
      <c r="F918">
        <v>0.88</v>
      </c>
      <c r="G918">
        <v>0</v>
      </c>
      <c r="O918">
        <f>IF(AND(OR(D918="S. acutus",D918="S. californicus",D918="S. tabernaemontani"),G918=0),E918*[1]Sheet1!$D$7+[1]Sheet1!$L$7,IF(AND(OR(D918="S. acutus",D918="S. tabernaemontani"),G918&gt;0),E918*[1]Sheet1!$D$8+N918*[1]Sheet1!$E$8,IF(AND(D918="S. californicus",G918&gt;0),E918*[1]Sheet1!$D$9+N918*[1]Sheet1!$E$9,IF(D918="S. maritimus",F918*[1]Sheet1!$C$10+E918*[1]Sheet1!$D$10+G918*[1]Sheet1!$F$10+[1]Sheet1!$L$10,IF(D918="S. americanus",F918*[1]Sheet1!$C$6+E918*[1]Sheet1!$D$6+[1]Sheet1!$L$6,IF(AND(OR(D918="T. domingensis",D918="T. latifolia"),E918&gt;0),F918*[1]Sheet1!$C$4+E918*[1]Sheet1!$D$4+H918*[1]Sheet1!$J$4+I918*[1]Sheet1!$K$4+[1]Sheet1!$L$4,IF(AND(OR(D918="T. domingensis",D918="T. latifolia"),J918&gt;0),J918*[1]Sheet1!$G$5+K918*[1]Sheet1!$H$5+L918*[1]Sheet1!$I$5+[1]Sheet1!$L$5,0)))))))</f>
        <v>3.9016850320000001</v>
      </c>
    </row>
    <row r="919" spans="1:15">
      <c r="A919" s="2">
        <v>40731</v>
      </c>
      <c r="B919" t="s">
        <v>28</v>
      </c>
      <c r="C919">
        <v>28</v>
      </c>
      <c r="D919" s="6" t="s">
        <v>29</v>
      </c>
      <c r="E919">
        <v>206</v>
      </c>
      <c r="F919">
        <v>0.7</v>
      </c>
      <c r="G919">
        <v>0</v>
      </c>
      <c r="O919">
        <f>IF(AND(OR(D919="S. acutus",D919="S. californicus",D919="S. tabernaemontani"),G919=0),E919*[1]Sheet1!$D$7+[1]Sheet1!$L$7,IF(AND(OR(D919="S. acutus",D919="S. tabernaemontani"),G919&gt;0),E919*[1]Sheet1!$D$8+N919*[1]Sheet1!$E$8,IF(AND(D919="S. californicus",G919&gt;0),E919*[1]Sheet1!$D$9+N919*[1]Sheet1!$E$9,IF(D919="S. maritimus",F919*[1]Sheet1!$C$10+E919*[1]Sheet1!$D$10+G919*[1]Sheet1!$F$10+[1]Sheet1!$L$10,IF(D919="S. americanus",F919*[1]Sheet1!$C$6+E919*[1]Sheet1!$D$6+[1]Sheet1!$L$6,IF(AND(OR(D919="T. domingensis",D919="T. latifolia"),E919&gt;0),F919*[1]Sheet1!$C$4+E919*[1]Sheet1!$D$4+H919*[1]Sheet1!$J$4+I919*[1]Sheet1!$K$4+[1]Sheet1!$L$4,IF(AND(OR(D919="T. domingensis",D919="T. latifolia"),J919&gt;0),J919*[1]Sheet1!$G$5+K919*[1]Sheet1!$H$5+L919*[1]Sheet1!$I$5+[1]Sheet1!$L$5,0)))))))</f>
        <v>3.4190404299999995</v>
      </c>
    </row>
    <row r="920" spans="1:15">
      <c r="A920" s="2">
        <v>40731</v>
      </c>
      <c r="B920" t="s">
        <v>28</v>
      </c>
      <c r="C920">
        <v>28</v>
      </c>
      <c r="D920" s="6" t="s">
        <v>29</v>
      </c>
      <c r="E920">
        <v>212</v>
      </c>
      <c r="F920">
        <v>0.57999999999999996</v>
      </c>
      <c r="G920">
        <v>0</v>
      </c>
      <c r="O920">
        <f>IF(AND(OR(D920="S. acutus",D920="S. californicus",D920="S. tabernaemontani"),G920=0),E920*[1]Sheet1!$D$7+[1]Sheet1!$L$7,IF(AND(OR(D920="S. acutus",D920="S. tabernaemontani"),G920&gt;0),E920*[1]Sheet1!$D$8+N920*[1]Sheet1!$E$8,IF(AND(D920="S. californicus",G920&gt;0),E920*[1]Sheet1!$D$9+N920*[1]Sheet1!$E$9,IF(D920="S. maritimus",F920*[1]Sheet1!$C$10+E920*[1]Sheet1!$D$10+G920*[1]Sheet1!$F$10+[1]Sheet1!$L$10,IF(D920="S. americanus",F920*[1]Sheet1!$C$6+E920*[1]Sheet1!$D$6+[1]Sheet1!$L$6,IF(AND(OR(D920="T. domingensis",D920="T. latifolia"),E920&gt;0),F920*[1]Sheet1!$C$4+E920*[1]Sheet1!$D$4+H920*[1]Sheet1!$J$4+I920*[1]Sheet1!$K$4+[1]Sheet1!$L$4,IF(AND(OR(D920="T. domingensis",D920="T. latifolia"),J920&gt;0),J920*[1]Sheet1!$G$5+K920*[1]Sheet1!$H$5+L920*[1]Sheet1!$I$5+[1]Sheet1!$L$5,0)))))))</f>
        <v>3.0868235619999997</v>
      </c>
    </row>
    <row r="921" spans="1:15">
      <c r="A921" s="2">
        <v>40731</v>
      </c>
      <c r="B921" t="s">
        <v>28</v>
      </c>
      <c r="C921">
        <v>28</v>
      </c>
      <c r="D921" s="6" t="s">
        <v>29</v>
      </c>
      <c r="E921">
        <v>214</v>
      </c>
      <c r="F921">
        <v>0.67</v>
      </c>
      <c r="G921">
        <v>0</v>
      </c>
      <c r="O921">
        <f>IF(AND(OR(D921="S. acutus",D921="S. californicus",D921="S. tabernaemontani"),G921=0),E921*[1]Sheet1!$D$7+[1]Sheet1!$L$7,IF(AND(OR(D921="S. acutus",D921="S. tabernaemontani"),G921&gt;0),E921*[1]Sheet1!$D$8+N921*[1]Sheet1!$E$8,IF(AND(D921="S. californicus",G921&gt;0),E921*[1]Sheet1!$D$9+N921*[1]Sheet1!$E$9,IF(D921="S. maritimus",F921*[1]Sheet1!$C$10+E921*[1]Sheet1!$D$10+G921*[1]Sheet1!$F$10+[1]Sheet1!$L$10,IF(D921="S. americanus",F921*[1]Sheet1!$C$6+E921*[1]Sheet1!$D$6+[1]Sheet1!$L$6,IF(AND(OR(D921="T. domingensis",D921="T. latifolia"),E921&gt;0),F921*[1]Sheet1!$C$4+E921*[1]Sheet1!$D$4+H921*[1]Sheet1!$J$4+I921*[1]Sheet1!$K$4+[1]Sheet1!$L$4,IF(AND(OR(D921="T. domingensis",D921="T. latifolia"),J921&gt;0),J921*[1]Sheet1!$G$5+K921*[1]Sheet1!$H$5+L921*[1]Sheet1!$I$5+[1]Sheet1!$L$5,0)))))))</f>
        <v>3.4379107630000001</v>
      </c>
    </row>
    <row r="922" spans="1:15">
      <c r="A922" s="2">
        <v>40731</v>
      </c>
      <c r="B922" t="s">
        <v>28</v>
      </c>
      <c r="C922">
        <v>28</v>
      </c>
      <c r="D922" s="6" t="s">
        <v>29</v>
      </c>
      <c r="E922">
        <v>219</v>
      </c>
      <c r="F922">
        <v>0.81</v>
      </c>
      <c r="G922">
        <v>0</v>
      </c>
      <c r="O922">
        <f>IF(AND(OR(D922="S. acutus",D922="S. californicus",D922="S. tabernaemontani"),G922=0),E922*[1]Sheet1!$D$7+[1]Sheet1!$L$7,IF(AND(OR(D922="S. acutus",D922="S. tabernaemontani"),G922&gt;0),E922*[1]Sheet1!$D$8+N922*[1]Sheet1!$E$8,IF(AND(D922="S. californicus",G922&gt;0),E922*[1]Sheet1!$D$9+N922*[1]Sheet1!$E$9,IF(D922="S. maritimus",F922*[1]Sheet1!$C$10+E922*[1]Sheet1!$D$10+G922*[1]Sheet1!$F$10+[1]Sheet1!$L$10,IF(D922="S. americanus",F922*[1]Sheet1!$C$6+E922*[1]Sheet1!$D$6+[1]Sheet1!$L$6,IF(AND(OR(D922="T. domingensis",D922="T. latifolia"),E922&gt;0),F922*[1]Sheet1!$C$4+E922*[1]Sheet1!$D$4+H922*[1]Sheet1!$J$4+I922*[1]Sheet1!$K$4+[1]Sheet1!$L$4,IF(AND(OR(D922="T. domingensis",D922="T. latifolia"),J922&gt;0),J922*[1]Sheet1!$G$5+K922*[1]Sheet1!$H$5+L922*[1]Sheet1!$I$5+[1]Sheet1!$L$5,0)))))))</f>
        <v>4.0136655089999991</v>
      </c>
    </row>
    <row r="923" spans="1:15">
      <c r="A923" s="2">
        <v>40731</v>
      </c>
      <c r="B923" t="s">
        <v>28</v>
      </c>
      <c r="C923">
        <v>28</v>
      </c>
      <c r="D923" s="6" t="s">
        <v>29</v>
      </c>
      <c r="E923">
        <v>235</v>
      </c>
      <c r="F923">
        <v>0.79</v>
      </c>
      <c r="G923">
        <v>0</v>
      </c>
      <c r="O923">
        <f>IF(AND(OR(D923="S. acutus",D923="S. californicus",D923="S. tabernaemontani"),G923=0),E923*[1]Sheet1!$D$7+[1]Sheet1!$L$7,IF(AND(OR(D923="S. acutus",D923="S. tabernaemontani"),G923&gt;0),E923*[1]Sheet1!$D$8+N923*[1]Sheet1!$E$8,IF(AND(D923="S. californicus",G923&gt;0),E923*[1]Sheet1!$D$9+N923*[1]Sheet1!$E$9,IF(D923="S. maritimus",F923*[1]Sheet1!$C$10+E923*[1]Sheet1!$D$10+G923*[1]Sheet1!$F$10+[1]Sheet1!$L$10,IF(D923="S. americanus",F923*[1]Sheet1!$C$6+E923*[1]Sheet1!$D$6+[1]Sheet1!$L$6,IF(AND(OR(D923="T. domingensis",D923="T. latifolia"),E923&gt;0),F923*[1]Sheet1!$C$4+E923*[1]Sheet1!$D$4+H923*[1]Sheet1!$J$4+I923*[1]Sheet1!$K$4+[1]Sheet1!$L$4,IF(AND(OR(D923="T. domingensis",D923="T. latifolia"),J923&gt;0),J923*[1]Sheet1!$G$5+K923*[1]Sheet1!$H$5+L923*[1]Sheet1!$I$5+[1]Sheet1!$L$5,0)))))))</f>
        <v>4.1935065309999988</v>
      </c>
    </row>
    <row r="924" spans="1:15">
      <c r="A924" s="2">
        <v>40731</v>
      </c>
      <c r="B924" t="s">
        <v>28</v>
      </c>
      <c r="C924">
        <v>28</v>
      </c>
      <c r="D924" s="6" t="s">
        <v>29</v>
      </c>
      <c r="E924">
        <v>238</v>
      </c>
      <c r="F924">
        <v>0.56000000000000005</v>
      </c>
      <c r="G924">
        <v>0</v>
      </c>
      <c r="O924">
        <f>IF(AND(OR(D924="S. acutus",D924="S. californicus",D924="S. tabernaemontani"),G924=0),E924*[1]Sheet1!$D$7+[1]Sheet1!$L$7,IF(AND(OR(D924="S. acutus",D924="S. tabernaemontani"),G924&gt;0),E924*[1]Sheet1!$D$8+N924*[1]Sheet1!$E$8,IF(AND(D924="S. californicus",G924&gt;0),E924*[1]Sheet1!$D$9+N924*[1]Sheet1!$E$9,IF(D924="S. maritimus",F924*[1]Sheet1!$C$10+E924*[1]Sheet1!$D$10+G924*[1]Sheet1!$F$10+[1]Sheet1!$L$10,IF(D924="S. americanus",F924*[1]Sheet1!$C$6+E924*[1]Sheet1!$D$6+[1]Sheet1!$L$6,IF(AND(OR(D924="T. domingensis",D924="T. latifolia"),E924&gt;0),F924*[1]Sheet1!$C$4+E924*[1]Sheet1!$D$4+H924*[1]Sheet1!$J$4+I924*[1]Sheet1!$K$4+[1]Sheet1!$L$4,IF(AND(OR(D924="T. domingensis",D924="T. latifolia"),J924&gt;0),J924*[1]Sheet1!$G$5+K924*[1]Sheet1!$H$5+L924*[1]Sheet1!$I$5+[1]Sheet1!$L$5,0)))))))</f>
        <v>3.4234715840000001</v>
      </c>
    </row>
    <row r="925" spans="1:15">
      <c r="A925" s="2">
        <v>40731</v>
      </c>
      <c r="B925" t="s">
        <v>28</v>
      </c>
      <c r="C925">
        <v>28</v>
      </c>
      <c r="D925" s="6" t="s">
        <v>29</v>
      </c>
      <c r="E925">
        <v>255</v>
      </c>
      <c r="F925">
        <v>0.71</v>
      </c>
      <c r="G925">
        <v>0</v>
      </c>
      <c r="O925">
        <f>IF(AND(OR(D925="S. acutus",D925="S. californicus",D925="S. tabernaemontani"),G925=0),E925*[1]Sheet1!$D$7+[1]Sheet1!$L$7,IF(AND(OR(D925="S. acutus",D925="S. tabernaemontani"),G925&gt;0),E925*[1]Sheet1!$D$8+N925*[1]Sheet1!$E$8,IF(AND(D925="S. californicus",G925&gt;0),E925*[1]Sheet1!$D$9+N925*[1]Sheet1!$E$9,IF(D925="S. maritimus",F925*[1]Sheet1!$C$10+E925*[1]Sheet1!$D$10+G925*[1]Sheet1!$F$10+[1]Sheet1!$L$10,IF(D925="S. americanus",F925*[1]Sheet1!$C$6+E925*[1]Sheet1!$D$6+[1]Sheet1!$L$6,IF(AND(OR(D925="T. domingensis",D925="T. latifolia"),E925&gt;0),F925*[1]Sheet1!$C$4+E925*[1]Sheet1!$D$4+H925*[1]Sheet1!$J$4+I925*[1]Sheet1!$K$4+[1]Sheet1!$L$4,IF(AND(OR(D925="T. domingensis",D925="T. latifolia"),J925&gt;0),J925*[1]Sheet1!$G$5+K925*[1]Sheet1!$H$5+L925*[1]Sheet1!$I$5+[1]Sheet1!$L$5,0)))))))</f>
        <v>4.2229198189999995</v>
      </c>
    </row>
    <row r="926" spans="1:15">
      <c r="A926" s="2">
        <v>40731</v>
      </c>
      <c r="B926" t="s">
        <v>28</v>
      </c>
      <c r="C926">
        <v>28</v>
      </c>
      <c r="D926" s="6" t="s">
        <v>29</v>
      </c>
      <c r="E926">
        <v>290</v>
      </c>
      <c r="F926">
        <v>0.44</v>
      </c>
      <c r="G926">
        <v>0</v>
      </c>
      <c r="O926">
        <f>IF(AND(OR(D926="S. acutus",D926="S. californicus",D926="S. tabernaemontani"),G926=0),E926*[1]Sheet1!$D$7+[1]Sheet1!$L$7,IF(AND(OR(D926="S. acutus",D926="S. tabernaemontani"),G926&gt;0),E926*[1]Sheet1!$D$8+N926*[1]Sheet1!$E$8,IF(AND(D926="S. californicus",G926&gt;0),E926*[1]Sheet1!$D$9+N926*[1]Sheet1!$E$9,IF(D926="S. maritimus",F926*[1]Sheet1!$C$10+E926*[1]Sheet1!$D$10+G926*[1]Sheet1!$F$10+[1]Sheet1!$L$10,IF(D926="S. americanus",F926*[1]Sheet1!$C$6+E926*[1]Sheet1!$D$6+[1]Sheet1!$L$6,IF(AND(OR(D926="T. domingensis",D926="T. latifolia"),E926&gt;0),F926*[1]Sheet1!$C$4+E926*[1]Sheet1!$D$4+H926*[1]Sheet1!$J$4+I926*[1]Sheet1!$K$4+[1]Sheet1!$L$4,IF(AND(OR(D926="T. domingensis",D926="T. latifolia"),J926&gt;0),J926*[1]Sheet1!$G$5+K926*[1]Sheet1!$H$5+L926*[1]Sheet1!$I$5+[1]Sheet1!$L$5,0)))))))</f>
        <v>3.8125669160000002</v>
      </c>
    </row>
    <row r="927" spans="1:15">
      <c r="A927" s="2">
        <v>40731</v>
      </c>
      <c r="B927" t="s">
        <v>28</v>
      </c>
      <c r="C927">
        <v>28</v>
      </c>
      <c r="D927" s="6" t="s">
        <v>29</v>
      </c>
      <c r="E927">
        <v>173</v>
      </c>
      <c r="F927">
        <v>0.76</v>
      </c>
      <c r="G927">
        <v>0</v>
      </c>
      <c r="O927">
        <f>IF(AND(OR(D927="S. acutus",D927="S. californicus",D927="S. tabernaemontani"),G927=0),E927*[1]Sheet1!$D$7+[1]Sheet1!$L$7,IF(AND(OR(D927="S. acutus",D927="S. tabernaemontani"),G927&gt;0),E927*[1]Sheet1!$D$8+N927*[1]Sheet1!$E$8,IF(AND(D927="S. californicus",G927&gt;0),E927*[1]Sheet1!$D$9+N927*[1]Sheet1!$E$9,IF(D927="S. maritimus",F927*[1]Sheet1!$C$10+E927*[1]Sheet1!$D$10+G927*[1]Sheet1!$F$10+[1]Sheet1!$L$10,IF(D927="S. americanus",F927*[1]Sheet1!$C$6+E927*[1]Sheet1!$D$6+[1]Sheet1!$L$6,IF(AND(OR(D927="T. domingensis",D927="T. latifolia"),E927&gt;0),F927*[1]Sheet1!$C$4+E927*[1]Sheet1!$D$4+H927*[1]Sheet1!$J$4+I927*[1]Sheet1!$K$4+[1]Sheet1!$L$4,IF(AND(OR(D927="T. domingensis",D927="T. latifolia"),J927&gt;0),J927*[1]Sheet1!$G$5+K927*[1]Sheet1!$H$5+L927*[1]Sheet1!$I$5+[1]Sheet1!$L$5,0)))))))</f>
        <v>3.1147278639999993</v>
      </c>
    </row>
    <row r="928" spans="1:15">
      <c r="A928" s="2">
        <v>40731</v>
      </c>
      <c r="B928" t="s">
        <v>28</v>
      </c>
      <c r="C928">
        <v>28</v>
      </c>
      <c r="D928" s="6" t="s">
        <v>19</v>
      </c>
      <c r="E928">
        <v>301</v>
      </c>
      <c r="F928">
        <v>2.58</v>
      </c>
      <c r="H928">
        <v>25</v>
      </c>
      <c r="I928">
        <v>2.6</v>
      </c>
      <c r="O928">
        <f>IF(AND(OR(D928="S. acutus",D928="S. californicus",D928="S. tabernaemontani"),G928=0),E928*[1]Sheet1!$D$7+[1]Sheet1!$L$7,IF(AND(OR(D928="S. acutus",D928="S. tabernaemontani"),G928&gt;0),E928*[1]Sheet1!$D$8+N928*[1]Sheet1!$E$8,IF(AND(D928="S. californicus",G928&gt;0),E928*[1]Sheet1!$D$9+N928*[1]Sheet1!$E$9,IF(D928="S. maritimus",F928*[1]Sheet1!$C$10+E928*[1]Sheet1!$D$10+G928*[1]Sheet1!$F$10+[1]Sheet1!$L$10,IF(D928="S. americanus",F928*[1]Sheet1!$C$6+E928*[1]Sheet1!$D$6+[1]Sheet1!$L$6,IF(AND(OR(D928="T. domingensis",D928="T. latifolia"),E928&gt;0),F928*[1]Sheet1!$C$4+E928*[1]Sheet1!$D$4+H928*[1]Sheet1!$J$4+I928*[1]Sheet1!$K$4+[1]Sheet1!$L$4,IF(AND(OR(D928="T. domingensis",D928="T. latifolia"),J928&gt;0),J928*[1]Sheet1!$G$5+K928*[1]Sheet1!$H$5+L928*[1]Sheet1!$I$5+[1]Sheet1!$L$5,0)))))))</f>
        <v>111.67137386000002</v>
      </c>
    </row>
    <row r="929" spans="1:15">
      <c r="A929" s="2">
        <v>40731</v>
      </c>
      <c r="B929" t="s">
        <v>28</v>
      </c>
      <c r="C929">
        <v>28</v>
      </c>
      <c r="D929" s="6" t="s">
        <v>19</v>
      </c>
      <c r="F929">
        <v>2.2400000000000002</v>
      </c>
      <c r="J929">
        <f>(82+149+158+220+244)</f>
        <v>853</v>
      </c>
      <c r="K929">
        <v>5</v>
      </c>
      <c r="L929">
        <v>244</v>
      </c>
      <c r="O929">
        <f>IF(AND(OR(D929="S. acutus",D929="S. californicus",D929="S. tabernaemontani"),G929=0),E929*[1]Sheet1!$D$7+[1]Sheet1!$L$7,IF(AND(OR(D929="S. acutus",D929="S. tabernaemontani"),G929&gt;0),E929*[1]Sheet1!$D$8+N929*[1]Sheet1!$E$8,IF(AND(D929="S. californicus",G929&gt;0),E929*[1]Sheet1!$D$9+N929*[1]Sheet1!$E$9,IF(D929="S. maritimus",F929*[1]Sheet1!$C$10+E929*[1]Sheet1!$D$10+G929*[1]Sheet1!$F$10+[1]Sheet1!$L$10,IF(D929="S. americanus",F929*[1]Sheet1!$C$6+E929*[1]Sheet1!$D$6+[1]Sheet1!$L$6,IF(AND(OR(D929="T. domingensis",D929="T. latifolia"),E929&gt;0),F929*[1]Sheet1!$C$4+E929*[1]Sheet1!$D$4+H929*[1]Sheet1!$J$4+I929*[1]Sheet1!$K$4+[1]Sheet1!$L$4,IF(AND(OR(D929="T. domingensis",D929="T. latifolia"),J929&gt;0),J929*[1]Sheet1!$G$5+K929*[1]Sheet1!$H$5+L929*[1]Sheet1!$I$5+[1]Sheet1!$L$5,0)))))))</f>
        <v>4.3944540000000103</v>
      </c>
    </row>
    <row r="930" spans="1:15">
      <c r="A930" s="2">
        <v>40731</v>
      </c>
      <c r="B930" t="s">
        <v>28</v>
      </c>
      <c r="C930">
        <v>28</v>
      </c>
      <c r="D930" s="6" t="s">
        <v>19</v>
      </c>
      <c r="F930">
        <v>2.1800000000000002</v>
      </c>
      <c r="J930">
        <f>(109+125+186+186+229+250)</f>
        <v>1085</v>
      </c>
      <c r="K930">
        <v>6</v>
      </c>
      <c r="L930">
        <v>250</v>
      </c>
      <c r="O930">
        <f>IF(AND(OR(D930="S. acutus",D930="S. californicus",D930="S. tabernaemontani"),G930=0),E930*[1]Sheet1!$D$7+[1]Sheet1!$L$7,IF(AND(OR(D930="S. acutus",D930="S. tabernaemontani"),G930&gt;0),E930*[1]Sheet1!$D$8+N930*[1]Sheet1!$E$8,IF(AND(D930="S. californicus",G930&gt;0),E930*[1]Sheet1!$D$9+N930*[1]Sheet1!$E$9,IF(D930="S. maritimus",F930*[1]Sheet1!$C$10+E930*[1]Sheet1!$D$10+G930*[1]Sheet1!$F$10+[1]Sheet1!$L$10,IF(D930="S. americanus",F930*[1]Sheet1!$C$6+E930*[1]Sheet1!$D$6+[1]Sheet1!$L$6,IF(AND(OR(D930="T. domingensis",D930="T. latifolia"),E930&gt;0),F930*[1]Sheet1!$C$4+E930*[1]Sheet1!$D$4+H930*[1]Sheet1!$J$4+I930*[1]Sheet1!$K$4+[1]Sheet1!$L$4,IF(AND(OR(D930="T. domingensis",D930="T. latifolia"),J930&gt;0),J930*[1]Sheet1!$G$5+K930*[1]Sheet1!$H$5+L930*[1]Sheet1!$I$5+[1]Sheet1!$L$5,0)))))))</f>
        <v>17.315790999999997</v>
      </c>
    </row>
    <row r="931" spans="1:15">
      <c r="A931" s="2">
        <v>40724</v>
      </c>
      <c r="B931" t="s">
        <v>22</v>
      </c>
      <c r="C931">
        <v>13</v>
      </c>
      <c r="D931" s="6" t="s">
        <v>12</v>
      </c>
      <c r="E931">
        <v>180</v>
      </c>
      <c r="F931">
        <v>1.33</v>
      </c>
      <c r="G931">
        <v>12</v>
      </c>
      <c r="M931" t="s">
        <v>26</v>
      </c>
      <c r="N931">
        <f>(1/3)*(3.14159)*((F931/2)^2)*E931</f>
        <v>83.357378264999994</v>
      </c>
      <c r="O931">
        <f>IF(AND(OR(D931="S. acutus",D931="S. californicus",D931="S. tabernaemontani"),G931=0),E931*[1]Sheet1!$D$7+[1]Sheet1!$L$7,IF(AND(OR(D931="S. acutus",D931="S. tabernaemontani"),G931&gt;0),E931*[1]Sheet1!$D$8+N931*[1]Sheet1!$E$8,IF(AND(D931="S. californicus",G931&gt;0),E931*[1]Sheet1!$D$9+N931*[1]Sheet1!$E$9,IF(D931="S. maritimus",F931*[1]Sheet1!$C$10+E931*[1]Sheet1!$D$10+G931*[1]Sheet1!$F$10+[1]Sheet1!$L$10,IF(D931="S. americanus",F931*[1]Sheet1!$C$6+E931*[1]Sheet1!$D$6+[1]Sheet1!$L$6,IF(AND(OR(D931="T. domingensis",D931="T. latifolia"),E931&gt;0),F931*[1]Sheet1!$C$4+E931*[1]Sheet1!$D$4+H931*[1]Sheet1!$J$4+I931*[1]Sheet1!$K$4+[1]Sheet1!$L$4,IF(AND(OR(D931="T. domingensis",D931="T. latifolia"),J931&gt;0),J931*[1]Sheet1!$G$5+K931*[1]Sheet1!$H$5+L931*[1]Sheet1!$I$5+[1]Sheet1!$L$5,0)))))))</f>
        <v>9.6154606017734388</v>
      </c>
    </row>
    <row r="932" spans="1:15">
      <c r="A932" s="2">
        <v>40724</v>
      </c>
      <c r="B932" t="s">
        <v>22</v>
      </c>
      <c r="C932">
        <v>13</v>
      </c>
      <c r="D932" s="6" t="s">
        <v>12</v>
      </c>
      <c r="E932">
        <v>213</v>
      </c>
      <c r="F932">
        <v>1.18</v>
      </c>
      <c r="G932">
        <v>5</v>
      </c>
      <c r="M932" t="s">
        <v>26</v>
      </c>
      <c r="N932">
        <f>(1/3)*(3.14159)*((F932/2)^2)*E932</f>
        <v>77.644711008999991</v>
      </c>
      <c r="O932">
        <f>IF(AND(OR(D932="S. acutus",D932="S. californicus",D932="S. tabernaemontani"),G932=0),E932*[1]Sheet1!$D$7+[1]Sheet1!$L$7,IF(AND(OR(D932="S. acutus",D932="S. tabernaemontani"),G932&gt;0),E932*[1]Sheet1!$D$8+N932*[1]Sheet1!$E$8,IF(AND(D932="S. californicus",G932&gt;0),E932*[1]Sheet1!$D$9+N932*[1]Sheet1!$E$9,IF(D932="S. maritimus",F932*[1]Sheet1!$C$10+E932*[1]Sheet1!$D$10+G932*[1]Sheet1!$F$10+[1]Sheet1!$L$10,IF(D932="S. americanus",F932*[1]Sheet1!$C$6+E932*[1]Sheet1!$D$6+[1]Sheet1!$L$6,IF(AND(OR(D932="T. domingensis",D932="T. latifolia"),E932&gt;0),F932*[1]Sheet1!$C$4+E932*[1]Sheet1!$D$4+H932*[1]Sheet1!$J$4+I932*[1]Sheet1!$K$4+[1]Sheet1!$L$4,IF(AND(OR(D932="T. domingensis",D932="T. latifolia"),J932&gt;0),J932*[1]Sheet1!$G$5+K932*[1]Sheet1!$H$5+L932*[1]Sheet1!$I$5+[1]Sheet1!$L$5,0)))))))</f>
        <v>10.702241874729708</v>
      </c>
    </row>
    <row r="933" spans="1:15">
      <c r="A933" s="2">
        <v>40724</v>
      </c>
      <c r="B933" t="s">
        <v>22</v>
      </c>
      <c r="C933">
        <v>13</v>
      </c>
      <c r="D933" s="6" t="s">
        <v>16</v>
      </c>
      <c r="E933">
        <v>143</v>
      </c>
      <c r="F933">
        <v>1.57</v>
      </c>
      <c r="G933">
        <v>0</v>
      </c>
      <c r="M933" t="s">
        <v>27</v>
      </c>
      <c r="N933">
        <f t="shared" ref="N933:N954" si="14">((1/3)*(3.14159)*((F933/2)^2)*E933)</f>
        <v>92.279153526083334</v>
      </c>
      <c r="O933">
        <f>IF(AND(OR(D933="S. acutus",D933="S. californicus",D933="S. tabernaemontani"),G933=0),E933*[1]Sheet1!$D$7+[1]Sheet1!$L$7,IF(AND(OR(D933="S. acutus",D933="S. tabernaemontani"),G933&gt;0),E933*[1]Sheet1!$D$8+N933*[1]Sheet1!$E$8,IF(AND(D933="S. californicus",G933&gt;0),E933*[1]Sheet1!$D$9+N933*[1]Sheet1!$E$9,IF(D933="S. maritimus",F933*[1]Sheet1!$C$10+E933*[1]Sheet1!$D$10+G933*[1]Sheet1!$F$10+[1]Sheet1!$L$10,IF(D933="S. americanus",F933*[1]Sheet1!$C$6+E933*[1]Sheet1!$D$6+[1]Sheet1!$L$6,IF(AND(OR(D933="T. domingensis",D933="T. latifolia"),E933&gt;0),F933*[1]Sheet1!$C$4+E933*[1]Sheet1!$D$4+H933*[1]Sheet1!$J$4+I933*[1]Sheet1!$K$4+[1]Sheet1!$L$4,IF(AND(OR(D933="T. domingensis",D933="T. latifolia"),J933&gt;0),J933*[1]Sheet1!$G$5+K933*[1]Sheet1!$H$5+L933*[1]Sheet1!$I$5+[1]Sheet1!$L$5,0)))))))</f>
        <v>5.434418</v>
      </c>
    </row>
    <row r="934" spans="1:15">
      <c r="A934" s="2">
        <v>40724</v>
      </c>
      <c r="B934" t="s">
        <v>22</v>
      </c>
      <c r="C934">
        <v>13</v>
      </c>
      <c r="D934" s="6" t="s">
        <v>16</v>
      </c>
      <c r="E934">
        <v>151</v>
      </c>
      <c r="F934">
        <v>1.36</v>
      </c>
      <c r="G934">
        <v>9</v>
      </c>
      <c r="M934" t="s">
        <v>27</v>
      </c>
      <c r="N934">
        <f t="shared" si="14"/>
        <v>73.117784538666669</v>
      </c>
      <c r="O934">
        <f>IF(AND(OR(D934="S. acutus",D934="S. californicus",D934="S. tabernaemontani"),G934=0),E934*[1]Sheet1!$D$7+[1]Sheet1!$L$7,IF(AND(OR(D934="S. acutus",D934="S. tabernaemontani"),G934&gt;0),E934*[1]Sheet1!$D$8+N934*[1]Sheet1!$E$8,IF(AND(D934="S. californicus",G934&gt;0),E934*[1]Sheet1!$D$9+N934*[1]Sheet1!$E$9,IF(D934="S. maritimus",F934*[1]Sheet1!$C$10+E934*[1]Sheet1!$D$10+G934*[1]Sheet1!$F$10+[1]Sheet1!$L$10,IF(D934="S. americanus",F934*[1]Sheet1!$C$6+E934*[1]Sheet1!$D$6+[1]Sheet1!$L$6,IF(AND(OR(D934="T. domingensis",D934="T. latifolia"),E934&gt;0),F934*[1]Sheet1!$C$4+E934*[1]Sheet1!$D$4+H934*[1]Sheet1!$J$4+I934*[1]Sheet1!$K$4+[1]Sheet1!$L$4,IF(AND(OR(D934="T. domingensis",D934="T. latifolia"),J934&gt;0),J934*[1]Sheet1!$G$5+K934*[1]Sheet1!$H$5+L934*[1]Sheet1!$I$5+[1]Sheet1!$L$5,0)))))))</f>
        <v>8.1690305681511521</v>
      </c>
    </row>
    <row r="935" spans="1:15">
      <c r="A935" s="2">
        <v>40724</v>
      </c>
      <c r="B935" t="s">
        <v>22</v>
      </c>
      <c r="C935">
        <v>13</v>
      </c>
      <c r="D935" s="6" t="s">
        <v>16</v>
      </c>
      <c r="E935">
        <v>154</v>
      </c>
      <c r="F935">
        <v>0.44</v>
      </c>
      <c r="G935">
        <v>0</v>
      </c>
      <c r="M935" t="s">
        <v>27</v>
      </c>
      <c r="N935">
        <f t="shared" si="14"/>
        <v>7.8053850746666651</v>
      </c>
      <c r="O935">
        <f>IF(AND(OR(D935="S. acutus",D935="S. californicus",D935="S. tabernaemontani"),G935=0),E935*[1]Sheet1!$D$7+[1]Sheet1!$L$7,IF(AND(OR(D935="S. acutus",D935="S. tabernaemontani"),G935&gt;0),E935*[1]Sheet1!$D$8+N935*[1]Sheet1!$E$8,IF(AND(D935="S. californicus",G935&gt;0),E935*[1]Sheet1!$D$9+N935*[1]Sheet1!$E$9,IF(D935="S. maritimus",F935*[1]Sheet1!$C$10+E935*[1]Sheet1!$D$10+G935*[1]Sheet1!$F$10+[1]Sheet1!$L$10,IF(D935="S. americanus",F935*[1]Sheet1!$C$6+E935*[1]Sheet1!$D$6+[1]Sheet1!$L$6,IF(AND(OR(D935="T. domingensis",D935="T. latifolia"),E935&gt;0),F935*[1]Sheet1!$C$4+E935*[1]Sheet1!$D$4+H935*[1]Sheet1!$J$4+I935*[1]Sheet1!$K$4+[1]Sheet1!$L$4,IF(AND(OR(D935="T. domingensis",D935="T. latifolia"),J935&gt;0),J935*[1]Sheet1!$G$5+K935*[1]Sheet1!$H$5+L935*[1]Sheet1!$I$5+[1]Sheet1!$L$5,0)))))))</f>
        <v>6.2055730000000002</v>
      </c>
    </row>
    <row r="936" spans="1:15">
      <c r="A936" s="2">
        <v>40724</v>
      </c>
      <c r="B936" t="s">
        <v>22</v>
      </c>
      <c r="C936">
        <v>13</v>
      </c>
      <c r="D936" s="6" t="s">
        <v>16</v>
      </c>
      <c r="E936">
        <v>182</v>
      </c>
      <c r="F936">
        <v>2.0499999999999998</v>
      </c>
      <c r="G936">
        <v>0</v>
      </c>
      <c r="M936" t="s">
        <v>27</v>
      </c>
      <c r="N936">
        <f t="shared" si="14"/>
        <v>200.23840162083332</v>
      </c>
      <c r="O936">
        <f>IF(AND(OR(D936="S. acutus",D936="S. californicus",D936="S. tabernaemontani"),G936=0),E936*[1]Sheet1!$D$7+[1]Sheet1!$L$7,IF(AND(OR(D936="S. acutus",D936="S. tabernaemontani"),G936&gt;0),E936*[1]Sheet1!$D$8+N936*[1]Sheet1!$E$8,IF(AND(D936="S. californicus",G936&gt;0),E936*[1]Sheet1!$D$9+N936*[1]Sheet1!$E$9,IF(D936="S. maritimus",F936*[1]Sheet1!$C$10+E936*[1]Sheet1!$D$10+G936*[1]Sheet1!$F$10+[1]Sheet1!$L$10,IF(D936="S. americanus",F936*[1]Sheet1!$C$6+E936*[1]Sheet1!$D$6+[1]Sheet1!$L$6,IF(AND(OR(D936="T. domingensis",D936="T. latifolia"),E936&gt;0),F936*[1]Sheet1!$C$4+E936*[1]Sheet1!$D$4+H936*[1]Sheet1!$J$4+I936*[1]Sheet1!$K$4+[1]Sheet1!$L$4,IF(AND(OR(D936="T. domingensis",D936="T. latifolia"),J936&gt;0),J936*[1]Sheet1!$G$5+K936*[1]Sheet1!$H$5+L936*[1]Sheet1!$I$5+[1]Sheet1!$L$5,0)))))))</f>
        <v>8.1685130000000008</v>
      </c>
    </row>
    <row r="937" spans="1:15">
      <c r="A937" s="2">
        <v>40724</v>
      </c>
      <c r="B937" t="s">
        <v>22</v>
      </c>
      <c r="C937">
        <v>13</v>
      </c>
      <c r="D937" s="6" t="s">
        <v>16</v>
      </c>
      <c r="E937">
        <v>185</v>
      </c>
      <c r="F937">
        <v>1.25</v>
      </c>
      <c r="G937">
        <v>0</v>
      </c>
      <c r="M937" t="s">
        <v>27</v>
      </c>
      <c r="N937">
        <f t="shared" si="14"/>
        <v>75.67632161458333</v>
      </c>
      <c r="O937">
        <f>IF(AND(OR(D937="S. acutus",D937="S. californicus",D937="S. tabernaemontani"),G937=0),E937*[1]Sheet1!$D$7+[1]Sheet1!$L$7,IF(AND(OR(D937="S. acutus",D937="S. tabernaemontani"),G937&gt;0),E937*[1]Sheet1!$D$8+N937*[1]Sheet1!$E$8,IF(AND(D937="S. californicus",G937&gt;0),E937*[1]Sheet1!$D$9+N937*[1]Sheet1!$E$9,IF(D937="S. maritimus",F937*[1]Sheet1!$C$10+E937*[1]Sheet1!$D$10+G937*[1]Sheet1!$F$10+[1]Sheet1!$L$10,IF(D937="S. americanus",F937*[1]Sheet1!$C$6+E937*[1]Sheet1!$D$6+[1]Sheet1!$L$6,IF(AND(OR(D937="T. domingensis",D937="T. latifolia"),E937&gt;0),F937*[1]Sheet1!$C$4+E937*[1]Sheet1!$D$4+H937*[1]Sheet1!$J$4+I937*[1]Sheet1!$K$4+[1]Sheet1!$L$4,IF(AND(OR(D937="T. domingensis",D937="T. latifolia"),J937&gt;0),J937*[1]Sheet1!$G$5+K937*[1]Sheet1!$H$5+L937*[1]Sheet1!$I$5+[1]Sheet1!$L$5,0)))))))</f>
        <v>8.3788279999999986</v>
      </c>
    </row>
    <row r="938" spans="1:15">
      <c r="A938" s="2">
        <v>40724</v>
      </c>
      <c r="B938" t="s">
        <v>22</v>
      </c>
      <c r="C938">
        <v>13</v>
      </c>
      <c r="D938" s="6" t="s">
        <v>16</v>
      </c>
      <c r="E938">
        <v>187</v>
      </c>
      <c r="F938">
        <v>1.44</v>
      </c>
      <c r="G938">
        <v>12</v>
      </c>
      <c r="M938" t="s">
        <v>27</v>
      </c>
      <c r="N938">
        <f t="shared" si="14"/>
        <v>101.51608262399998</v>
      </c>
      <c r="O938">
        <f>IF(AND(OR(D938="S. acutus",D938="S. californicus",D938="S. tabernaemontani"),G938=0),E938*[1]Sheet1!$D$7+[1]Sheet1!$L$7,IF(AND(OR(D938="S. acutus",D938="S. tabernaemontani"),G938&gt;0),E938*[1]Sheet1!$D$8+N938*[1]Sheet1!$E$8,IF(AND(D938="S. californicus",G938&gt;0),E938*[1]Sheet1!$D$9+N938*[1]Sheet1!$E$9,IF(D938="S. maritimus",F938*[1]Sheet1!$C$10+E938*[1]Sheet1!$D$10+G938*[1]Sheet1!$F$10+[1]Sheet1!$L$10,IF(D938="S. americanus",F938*[1]Sheet1!$C$6+E938*[1]Sheet1!$D$6+[1]Sheet1!$L$6,IF(AND(OR(D938="T. domingensis",D938="T. latifolia"),E938&gt;0),F938*[1]Sheet1!$C$4+E938*[1]Sheet1!$D$4+H938*[1]Sheet1!$J$4+I938*[1]Sheet1!$K$4+[1]Sheet1!$L$4,IF(AND(OR(D938="T. domingensis",D938="T. latifolia"),J938&gt;0),J938*[1]Sheet1!$G$5+K938*[1]Sheet1!$H$5+L938*[1]Sheet1!$I$5+[1]Sheet1!$L$5,0)))))))</f>
        <v>10.469736924967162</v>
      </c>
    </row>
    <row r="939" spans="1:15">
      <c r="A939" s="2">
        <v>40724</v>
      </c>
      <c r="B939" t="s">
        <v>22</v>
      </c>
      <c r="C939">
        <v>13</v>
      </c>
      <c r="D939" s="6" t="s">
        <v>16</v>
      </c>
      <c r="E939">
        <v>189</v>
      </c>
      <c r="F939">
        <v>1.46</v>
      </c>
      <c r="G939">
        <v>0</v>
      </c>
      <c r="M939" t="s">
        <v>27</v>
      </c>
      <c r="N939">
        <f t="shared" si="14"/>
        <v>105.47165859299997</v>
      </c>
      <c r="O939">
        <f>IF(AND(OR(D939="S. acutus",D939="S. californicus",D939="S. tabernaemontani"),G939=0),E939*[1]Sheet1!$D$7+[1]Sheet1!$L$7,IF(AND(OR(D939="S. acutus",D939="S. tabernaemontani"),G939&gt;0),E939*[1]Sheet1!$D$8+N939*[1]Sheet1!$E$8,IF(AND(D939="S. californicus",G939&gt;0),E939*[1]Sheet1!$D$9+N939*[1]Sheet1!$E$9,IF(D939="S. maritimus",F939*[1]Sheet1!$C$10+E939*[1]Sheet1!$D$10+G939*[1]Sheet1!$F$10+[1]Sheet1!$L$10,IF(D939="S. americanus",F939*[1]Sheet1!$C$6+E939*[1]Sheet1!$D$6+[1]Sheet1!$L$6,IF(AND(OR(D939="T. domingensis",D939="T. latifolia"),E939&gt;0),F939*[1]Sheet1!$C$4+E939*[1]Sheet1!$D$4+H939*[1]Sheet1!$J$4+I939*[1]Sheet1!$K$4+[1]Sheet1!$L$4,IF(AND(OR(D939="T. domingensis",D939="T. latifolia"),J939&gt;0),J939*[1]Sheet1!$G$5+K939*[1]Sheet1!$H$5+L939*[1]Sheet1!$I$5+[1]Sheet1!$L$5,0)))))))</f>
        <v>8.6592480000000016</v>
      </c>
    </row>
    <row r="940" spans="1:15">
      <c r="A940" s="2">
        <v>40724</v>
      </c>
      <c r="B940" t="s">
        <v>22</v>
      </c>
      <c r="C940">
        <v>13</v>
      </c>
      <c r="D940" s="6" t="s">
        <v>16</v>
      </c>
      <c r="E940">
        <v>195</v>
      </c>
      <c r="F940">
        <v>1.65</v>
      </c>
      <c r="G940">
        <v>0</v>
      </c>
      <c r="M940" t="s">
        <v>27</v>
      </c>
      <c r="N940">
        <f t="shared" si="14"/>
        <v>138.98590509374998</v>
      </c>
      <c r="O940">
        <f>IF(AND(OR(D940="S. acutus",D940="S. californicus",D940="S. tabernaemontani"),G940=0),E940*[1]Sheet1!$D$7+[1]Sheet1!$L$7,IF(AND(OR(D940="S. acutus",D940="S. tabernaemontani"),G940&gt;0),E940*[1]Sheet1!$D$8+N940*[1]Sheet1!$E$8,IF(AND(D940="S. californicus",G940&gt;0),E940*[1]Sheet1!$D$9+N940*[1]Sheet1!$E$9,IF(D940="S. maritimus",F940*[1]Sheet1!$C$10+E940*[1]Sheet1!$D$10+G940*[1]Sheet1!$F$10+[1]Sheet1!$L$10,IF(D940="S. americanus",F940*[1]Sheet1!$C$6+E940*[1]Sheet1!$D$6+[1]Sheet1!$L$6,IF(AND(OR(D940="T. domingensis",D940="T. latifolia"),E940&gt;0),F940*[1]Sheet1!$C$4+E940*[1]Sheet1!$D$4+H940*[1]Sheet1!$J$4+I940*[1]Sheet1!$K$4+[1]Sheet1!$L$4,IF(AND(OR(D940="T. domingensis",D940="T. latifolia"),J940&gt;0),J940*[1]Sheet1!$G$5+K940*[1]Sheet1!$H$5+L940*[1]Sheet1!$I$5+[1]Sheet1!$L$5,0)))))))</f>
        <v>9.0798780000000008</v>
      </c>
    </row>
    <row r="941" spans="1:15">
      <c r="A941" s="2">
        <v>40724</v>
      </c>
      <c r="B941" t="s">
        <v>22</v>
      </c>
      <c r="C941">
        <v>13</v>
      </c>
      <c r="D941" s="6" t="s">
        <v>16</v>
      </c>
      <c r="E941">
        <v>196</v>
      </c>
      <c r="F941">
        <v>1.25</v>
      </c>
      <c r="G941">
        <v>0</v>
      </c>
      <c r="M941" t="s">
        <v>27</v>
      </c>
      <c r="N941">
        <f t="shared" si="14"/>
        <v>80.175994791666653</v>
      </c>
      <c r="O941">
        <f>IF(AND(OR(D941="S. acutus",D941="S. californicus",D941="S. tabernaemontani"),G941=0),E941*[1]Sheet1!$D$7+[1]Sheet1!$L$7,IF(AND(OR(D941="S. acutus",D941="S. tabernaemontani"),G941&gt;0),E941*[1]Sheet1!$D$8+N941*[1]Sheet1!$E$8,IF(AND(D941="S. californicus",G941&gt;0),E941*[1]Sheet1!$D$9+N941*[1]Sheet1!$E$9,IF(D941="S. maritimus",F941*[1]Sheet1!$C$10+E941*[1]Sheet1!$D$10+G941*[1]Sheet1!$F$10+[1]Sheet1!$L$10,IF(D941="S. americanus",F941*[1]Sheet1!$C$6+E941*[1]Sheet1!$D$6+[1]Sheet1!$L$6,IF(AND(OR(D941="T. domingensis",D941="T. latifolia"),E941&gt;0),F941*[1]Sheet1!$C$4+E941*[1]Sheet1!$D$4+H941*[1]Sheet1!$J$4+I941*[1]Sheet1!$K$4+[1]Sheet1!$L$4,IF(AND(OR(D941="T. domingensis",D941="T. latifolia"),J941&gt;0),J941*[1]Sheet1!$G$5+K941*[1]Sheet1!$H$5+L941*[1]Sheet1!$I$5+[1]Sheet1!$L$5,0)))))))</f>
        <v>9.1499829999999989</v>
      </c>
    </row>
    <row r="942" spans="1:15">
      <c r="A942" s="2">
        <v>40724</v>
      </c>
      <c r="B942" t="s">
        <v>22</v>
      </c>
      <c r="C942">
        <v>13</v>
      </c>
      <c r="D942" s="6" t="s">
        <v>16</v>
      </c>
      <c r="E942">
        <v>202</v>
      </c>
      <c r="F942">
        <v>1.52</v>
      </c>
      <c r="G942">
        <v>0</v>
      </c>
      <c r="M942" t="s">
        <v>27</v>
      </c>
      <c r="N942">
        <f t="shared" si="14"/>
        <v>122.18188052266666</v>
      </c>
      <c r="O942">
        <f>IF(AND(OR(D942="S. acutus",D942="S. californicus",D942="S. tabernaemontani"),G942=0),E942*[1]Sheet1!$D$7+[1]Sheet1!$L$7,IF(AND(OR(D942="S. acutus",D942="S. tabernaemontani"),G942&gt;0),E942*[1]Sheet1!$D$8+N942*[1]Sheet1!$E$8,IF(AND(D942="S. californicus",G942&gt;0),E942*[1]Sheet1!$D$9+N942*[1]Sheet1!$E$9,IF(D942="S. maritimus",F942*[1]Sheet1!$C$10+E942*[1]Sheet1!$D$10+G942*[1]Sheet1!$F$10+[1]Sheet1!$L$10,IF(D942="S. americanus",F942*[1]Sheet1!$C$6+E942*[1]Sheet1!$D$6+[1]Sheet1!$L$6,IF(AND(OR(D942="T. domingensis",D942="T. latifolia"),E942&gt;0),F942*[1]Sheet1!$C$4+E942*[1]Sheet1!$D$4+H942*[1]Sheet1!$J$4+I942*[1]Sheet1!$K$4+[1]Sheet1!$L$4,IF(AND(OR(D942="T. domingensis",D942="T. latifolia"),J942&gt;0),J942*[1]Sheet1!$G$5+K942*[1]Sheet1!$H$5+L942*[1]Sheet1!$I$5+[1]Sheet1!$L$5,0)))))))</f>
        <v>9.5706130000000016</v>
      </c>
    </row>
    <row r="943" spans="1:15">
      <c r="A943" s="2">
        <v>40724</v>
      </c>
      <c r="B943" t="s">
        <v>22</v>
      </c>
      <c r="C943">
        <v>13</v>
      </c>
      <c r="D943" s="6" t="s">
        <v>16</v>
      </c>
      <c r="E943">
        <v>205</v>
      </c>
      <c r="F943">
        <v>1.22</v>
      </c>
      <c r="G943">
        <v>8</v>
      </c>
      <c r="M943" t="s">
        <v>27</v>
      </c>
      <c r="N943">
        <f t="shared" si="14"/>
        <v>79.880685331666655</v>
      </c>
      <c r="O943">
        <f>IF(AND(OR(D943="S. acutus",D943="S. californicus",D943="S. tabernaemontani"),G943=0),E943*[1]Sheet1!$D$7+[1]Sheet1!$L$7,IF(AND(OR(D943="S. acutus",D943="S. tabernaemontani"),G943&gt;0),E943*[1]Sheet1!$D$8+N943*[1]Sheet1!$E$8,IF(AND(D943="S. californicus",G943&gt;0),E943*[1]Sheet1!$D$9+N943*[1]Sheet1!$E$9,IF(D943="S. maritimus",F943*[1]Sheet1!$C$10+E943*[1]Sheet1!$D$10+G943*[1]Sheet1!$F$10+[1]Sheet1!$L$10,IF(D943="S. americanus",F943*[1]Sheet1!$C$6+E943*[1]Sheet1!$D$6+[1]Sheet1!$L$6,IF(AND(OR(D943="T. domingensis",D943="T. latifolia"),E943&gt;0),F943*[1]Sheet1!$C$4+E943*[1]Sheet1!$D$4+H943*[1]Sheet1!$J$4+I943*[1]Sheet1!$K$4+[1]Sheet1!$L$4,IF(AND(OR(D943="T. domingensis",D943="T. latifolia"),J943&gt;0),J943*[1]Sheet1!$G$5+K943*[1]Sheet1!$H$5+L943*[1]Sheet1!$I$5+[1]Sheet1!$L$5,0)))))))</f>
        <v>10.466185460296465</v>
      </c>
    </row>
    <row r="944" spans="1:15">
      <c r="A944" s="2">
        <v>40724</v>
      </c>
      <c r="B944" t="s">
        <v>22</v>
      </c>
      <c r="C944">
        <v>13</v>
      </c>
      <c r="D944" s="6" t="s">
        <v>16</v>
      </c>
      <c r="E944">
        <v>207</v>
      </c>
      <c r="F944">
        <v>0.78</v>
      </c>
      <c r="G944">
        <v>6</v>
      </c>
      <c r="M944" t="s">
        <v>27</v>
      </c>
      <c r="N944">
        <f t="shared" si="14"/>
        <v>32.970672891</v>
      </c>
      <c r="O944">
        <f>IF(AND(OR(D944="S. acutus",D944="S. californicus",D944="S. tabernaemontani"),G944=0),E944*[1]Sheet1!$D$7+[1]Sheet1!$L$7,IF(AND(OR(D944="S. acutus",D944="S. tabernaemontani"),G944&gt;0),E944*[1]Sheet1!$D$8+N944*[1]Sheet1!$E$8,IF(AND(D944="S. californicus",G944&gt;0),E944*[1]Sheet1!$D$9+N944*[1]Sheet1!$E$9,IF(D944="S. maritimus",F944*[1]Sheet1!$C$10+E944*[1]Sheet1!$D$10+G944*[1]Sheet1!$F$10+[1]Sheet1!$L$10,IF(D944="S. americanus",F944*[1]Sheet1!$C$6+E944*[1]Sheet1!$D$6+[1]Sheet1!$L$6,IF(AND(OR(D944="T. domingensis",D944="T. latifolia"),E944&gt;0),F944*[1]Sheet1!$C$4+E944*[1]Sheet1!$D$4+H944*[1]Sheet1!$J$4+I944*[1]Sheet1!$K$4+[1]Sheet1!$L$4,IF(AND(OR(D944="T. domingensis",D944="T. latifolia"),J944&gt;0),J944*[1]Sheet1!$G$5+K944*[1]Sheet1!$H$5+L944*[1]Sheet1!$I$5+[1]Sheet1!$L$5,0)))))))</f>
        <v>9.0326550406958024</v>
      </c>
    </row>
    <row r="945" spans="1:15">
      <c r="A945" s="2">
        <v>40724</v>
      </c>
      <c r="B945" t="s">
        <v>22</v>
      </c>
      <c r="C945">
        <v>13</v>
      </c>
      <c r="D945" s="6" t="s">
        <v>16</v>
      </c>
      <c r="E945">
        <v>207</v>
      </c>
      <c r="F945">
        <v>1.45</v>
      </c>
      <c r="G945">
        <v>8</v>
      </c>
      <c r="M945" t="s">
        <v>27</v>
      </c>
      <c r="N945">
        <f t="shared" si="14"/>
        <v>113.93957881874999</v>
      </c>
      <c r="O945">
        <f>IF(AND(OR(D945="S. acutus",D945="S. californicus",D945="S. tabernaemontani"),G945=0),E945*[1]Sheet1!$D$7+[1]Sheet1!$L$7,IF(AND(OR(D945="S. acutus",D945="S. tabernaemontani"),G945&gt;0),E945*[1]Sheet1!$D$8+N945*[1]Sheet1!$E$8,IF(AND(D945="S. californicus",G945&gt;0),E945*[1]Sheet1!$D$9+N945*[1]Sheet1!$E$9,IF(D945="S. maritimus",F945*[1]Sheet1!$C$10+E945*[1]Sheet1!$D$10+G945*[1]Sheet1!$F$10+[1]Sheet1!$L$10,IF(D945="S. americanus",F945*[1]Sheet1!$C$6+E945*[1]Sheet1!$D$6+[1]Sheet1!$L$6,IF(AND(OR(D945="T. domingensis",D945="T. latifolia"),E945&gt;0),F945*[1]Sheet1!$C$4+E945*[1]Sheet1!$D$4+H945*[1]Sheet1!$J$4+I945*[1]Sheet1!$K$4+[1]Sheet1!$L$4,IF(AND(OR(D945="T. domingensis",D945="T. latifolia"),J945&gt;0),J945*[1]Sheet1!$G$5+K945*[1]Sheet1!$H$5+L945*[1]Sheet1!$I$5+[1]Sheet1!$L$5,0)))))))</f>
        <v>11.639926683584687</v>
      </c>
    </row>
    <row r="946" spans="1:15">
      <c r="A946" s="2">
        <v>40724</v>
      </c>
      <c r="B946" t="s">
        <v>22</v>
      </c>
      <c r="C946">
        <v>13</v>
      </c>
      <c r="D946" s="6" t="s">
        <v>16</v>
      </c>
      <c r="E946">
        <v>207</v>
      </c>
      <c r="F946">
        <v>1.75</v>
      </c>
      <c r="G946">
        <v>4</v>
      </c>
      <c r="M946" t="s">
        <v>27</v>
      </c>
      <c r="N946">
        <f t="shared" si="14"/>
        <v>165.96430921874997</v>
      </c>
      <c r="O946">
        <f>IF(AND(OR(D946="S. acutus",D946="S. californicus",D946="S. tabernaemontani"),G946=0),E946*[1]Sheet1!$D$7+[1]Sheet1!$L$7,IF(AND(OR(D946="S. acutus",D946="S. tabernaemontani"),G946&gt;0),E946*[1]Sheet1!$D$8+N946*[1]Sheet1!$E$8,IF(AND(D946="S. californicus",G946&gt;0),E946*[1]Sheet1!$D$9+N946*[1]Sheet1!$E$9,IF(D946="S. maritimus",F946*[1]Sheet1!$C$10+E946*[1]Sheet1!$D$10+G946*[1]Sheet1!$F$10+[1]Sheet1!$L$10,IF(D946="S. americanus",F946*[1]Sheet1!$C$6+E946*[1]Sheet1!$D$6+[1]Sheet1!$L$6,IF(AND(OR(D946="T. domingensis",D946="T. latifolia"),E946&gt;0),F946*[1]Sheet1!$C$4+E946*[1]Sheet1!$D$4+H946*[1]Sheet1!$J$4+I946*[1]Sheet1!$K$4+[1]Sheet1!$L$4,IF(AND(OR(D946="T. domingensis",D946="T. latifolia"),J946&gt;0),J946*[1]Sheet1!$G$5+K946*[1]Sheet1!$H$5+L946*[1]Sheet1!$I$5+[1]Sheet1!$L$5,0)))))))</f>
        <v>13.315169824722046</v>
      </c>
    </row>
    <row r="947" spans="1:15">
      <c r="A947" s="2">
        <v>40724</v>
      </c>
      <c r="B947" t="s">
        <v>22</v>
      </c>
      <c r="C947">
        <v>13</v>
      </c>
      <c r="D947" s="6" t="s">
        <v>16</v>
      </c>
      <c r="E947">
        <v>208</v>
      </c>
      <c r="F947">
        <v>1.05</v>
      </c>
      <c r="G947">
        <v>7</v>
      </c>
      <c r="M947" t="s">
        <v>27</v>
      </c>
      <c r="N947">
        <f t="shared" si="14"/>
        <v>60.035784899999996</v>
      </c>
      <c r="O947">
        <f>IF(AND(OR(D947="S. acutus",D947="S. californicus",D947="S. tabernaemontani"),G947=0),E947*[1]Sheet1!$D$7+[1]Sheet1!$L$7,IF(AND(OR(D947="S. acutus",D947="S. tabernaemontani"),G947&gt;0),E947*[1]Sheet1!$D$8+N947*[1]Sheet1!$E$8,IF(AND(D947="S. californicus",G947&gt;0),E947*[1]Sheet1!$D$9+N947*[1]Sheet1!$E$9,IF(D947="S. maritimus",F947*[1]Sheet1!$C$10+E947*[1]Sheet1!$D$10+G947*[1]Sheet1!$F$10+[1]Sheet1!$L$10,IF(D947="S. americanus",F947*[1]Sheet1!$C$6+E947*[1]Sheet1!$D$6+[1]Sheet1!$L$6,IF(AND(OR(D947="T. domingensis",D947="T. latifolia"),E947&gt;0),F947*[1]Sheet1!$C$4+E947*[1]Sheet1!$D$4+H947*[1]Sheet1!$J$4+I947*[1]Sheet1!$K$4+[1]Sheet1!$L$4,IF(AND(OR(D947="T. domingensis",D947="T. latifolia"),J947&gt;0),J947*[1]Sheet1!$G$5+K947*[1]Sheet1!$H$5+L947*[1]Sheet1!$I$5+[1]Sheet1!$L$5,0)))))))</f>
        <v>9.9426831059864096</v>
      </c>
    </row>
    <row r="948" spans="1:15">
      <c r="A948" s="2">
        <v>40724</v>
      </c>
      <c r="B948" t="s">
        <v>22</v>
      </c>
      <c r="C948">
        <v>13</v>
      </c>
      <c r="D948" s="6" t="s">
        <v>16</v>
      </c>
      <c r="E948">
        <v>212</v>
      </c>
      <c r="F948">
        <v>1.39</v>
      </c>
      <c r="G948">
        <v>0</v>
      </c>
      <c r="M948" t="s">
        <v>27</v>
      </c>
      <c r="N948">
        <f t="shared" si="14"/>
        <v>107.2343000223333</v>
      </c>
      <c r="O948">
        <f>IF(AND(OR(D948="S. acutus",D948="S. californicus",D948="S. tabernaemontani"),G948=0),E948*[1]Sheet1!$D$7+[1]Sheet1!$L$7,IF(AND(OR(D948="S. acutus",D948="S. tabernaemontani"),G948&gt;0),E948*[1]Sheet1!$D$8+N948*[1]Sheet1!$E$8,IF(AND(D948="S. californicus",G948&gt;0),E948*[1]Sheet1!$D$9+N948*[1]Sheet1!$E$9,IF(D948="S. maritimus",F948*[1]Sheet1!$C$10+E948*[1]Sheet1!$D$10+G948*[1]Sheet1!$F$10+[1]Sheet1!$L$10,IF(D948="S. americanus",F948*[1]Sheet1!$C$6+E948*[1]Sheet1!$D$6+[1]Sheet1!$L$6,IF(AND(OR(D948="T. domingensis",D948="T. latifolia"),E948&gt;0),F948*[1]Sheet1!$C$4+E948*[1]Sheet1!$D$4+H948*[1]Sheet1!$J$4+I948*[1]Sheet1!$K$4+[1]Sheet1!$L$4,IF(AND(OR(D948="T. domingensis",D948="T. latifolia"),J948&gt;0),J948*[1]Sheet1!$G$5+K948*[1]Sheet1!$H$5+L948*[1]Sheet1!$I$5+[1]Sheet1!$L$5,0)))))))</f>
        <v>10.271663</v>
      </c>
    </row>
    <row r="949" spans="1:15">
      <c r="A949" s="2">
        <v>40724</v>
      </c>
      <c r="B949" t="s">
        <v>22</v>
      </c>
      <c r="C949">
        <v>13</v>
      </c>
      <c r="D949" s="6" t="s">
        <v>16</v>
      </c>
      <c r="E949">
        <v>212</v>
      </c>
      <c r="F949">
        <v>1.57</v>
      </c>
      <c r="G949">
        <v>7</v>
      </c>
      <c r="M949" t="s">
        <v>27</v>
      </c>
      <c r="N949">
        <f t="shared" si="14"/>
        <v>136.80545837433334</v>
      </c>
      <c r="O949">
        <f>IF(AND(OR(D949="S. acutus",D949="S. californicus",D949="S. tabernaemontani"),G949=0),E949*[1]Sheet1!$D$7+[1]Sheet1!$L$7,IF(AND(OR(D949="S. acutus",D949="S. tabernaemontani"),G949&gt;0),E949*[1]Sheet1!$D$8+N949*[1]Sheet1!$E$8,IF(AND(D949="S. californicus",G949&gt;0),E949*[1]Sheet1!$D$9+N949*[1]Sheet1!$E$9,IF(D949="S. maritimus",F949*[1]Sheet1!$C$10+E949*[1]Sheet1!$D$10+G949*[1]Sheet1!$F$10+[1]Sheet1!$L$10,IF(D949="S. americanus",F949*[1]Sheet1!$C$6+E949*[1]Sheet1!$D$6+[1]Sheet1!$L$6,IF(AND(OR(D949="T. domingensis",D949="T. latifolia"),E949&gt;0),F949*[1]Sheet1!$C$4+E949*[1]Sheet1!$D$4+H949*[1]Sheet1!$J$4+I949*[1]Sheet1!$K$4+[1]Sheet1!$L$4,IF(AND(OR(D949="T. domingensis",D949="T. latifolia"),J949&gt;0),J949*[1]Sheet1!$G$5+K949*[1]Sheet1!$H$5+L949*[1]Sheet1!$I$5+[1]Sheet1!$L$5,0)))))))</f>
        <v>12.568764084566071</v>
      </c>
    </row>
    <row r="950" spans="1:15">
      <c r="A950" s="2">
        <v>40724</v>
      </c>
      <c r="B950" t="s">
        <v>22</v>
      </c>
      <c r="C950">
        <v>13</v>
      </c>
      <c r="D950" s="6" t="s">
        <v>16</v>
      </c>
      <c r="E950">
        <v>216</v>
      </c>
      <c r="F950">
        <v>1.63</v>
      </c>
      <c r="G950">
        <v>9</v>
      </c>
      <c r="M950" t="s">
        <v>27</v>
      </c>
      <c r="N950">
        <f t="shared" si="14"/>
        <v>150.24402847799996</v>
      </c>
      <c r="O950">
        <f>IF(AND(OR(D950="S. acutus",D950="S. californicus",D950="S. tabernaemontani"),G950=0),E950*[1]Sheet1!$D$7+[1]Sheet1!$L$7,IF(AND(OR(D950="S. acutus",D950="S. tabernaemontani"),G950&gt;0),E950*[1]Sheet1!$D$8+N950*[1]Sheet1!$E$8,IF(AND(D950="S. californicus",G950&gt;0),E950*[1]Sheet1!$D$9+N950*[1]Sheet1!$E$9,IF(D950="S. maritimus",F950*[1]Sheet1!$C$10+E950*[1]Sheet1!$D$10+G950*[1]Sheet1!$F$10+[1]Sheet1!$L$10,IF(D950="S. americanus",F950*[1]Sheet1!$C$6+E950*[1]Sheet1!$D$6+[1]Sheet1!$L$6,IF(AND(OR(D950="T. domingensis",D950="T. latifolia"),E950&gt;0),F950*[1]Sheet1!$C$4+E950*[1]Sheet1!$D$4+H950*[1]Sheet1!$J$4+I950*[1]Sheet1!$K$4+[1]Sheet1!$L$4,IF(AND(OR(D950="T. domingensis",D950="T. latifolia"),J950&gt;0),J950*[1]Sheet1!$G$5+K950*[1]Sheet1!$H$5+L950*[1]Sheet1!$I$5+[1]Sheet1!$L$5,0)))))))</f>
        <v>13.155526536617231</v>
      </c>
    </row>
    <row r="951" spans="1:15">
      <c r="A951" s="2">
        <v>40724</v>
      </c>
      <c r="B951" t="s">
        <v>22</v>
      </c>
      <c r="C951">
        <v>13</v>
      </c>
      <c r="D951" s="6" t="s">
        <v>16</v>
      </c>
      <c r="E951">
        <v>219</v>
      </c>
      <c r="F951">
        <v>1.1499999999999999</v>
      </c>
      <c r="G951">
        <v>9</v>
      </c>
      <c r="M951" t="s">
        <v>27</v>
      </c>
      <c r="N951">
        <f t="shared" si="14"/>
        <v>75.82423814374998</v>
      </c>
      <c r="O951">
        <f>IF(AND(OR(D951="S. acutus",D951="S. californicus",D951="S. tabernaemontani"),G951=0),E951*[1]Sheet1!$D$7+[1]Sheet1!$L$7,IF(AND(OR(D951="S. acutus",D951="S. tabernaemontani"),G951&gt;0),E951*[1]Sheet1!$D$8+N951*[1]Sheet1!$E$8,IF(AND(D951="S. californicus",G951&gt;0),E951*[1]Sheet1!$D$9+N951*[1]Sheet1!$E$9,IF(D951="S. maritimus",F951*[1]Sheet1!$C$10+E951*[1]Sheet1!$D$10+G951*[1]Sheet1!$F$10+[1]Sheet1!$L$10,IF(D951="S. americanus",F951*[1]Sheet1!$C$6+E951*[1]Sheet1!$D$6+[1]Sheet1!$L$6,IF(AND(OR(D951="T. domingensis",D951="T. latifolia"),E951&gt;0),F951*[1]Sheet1!$C$4+E951*[1]Sheet1!$D$4+H951*[1]Sheet1!$J$4+I951*[1]Sheet1!$K$4+[1]Sheet1!$L$4,IF(AND(OR(D951="T. domingensis",D951="T. latifolia"),J951&gt;0),J951*[1]Sheet1!$G$5+K951*[1]Sheet1!$H$5+L951*[1]Sheet1!$I$5+[1]Sheet1!$L$5,0)))))))</f>
        <v>10.874663610043079</v>
      </c>
    </row>
    <row r="952" spans="1:15">
      <c r="A952" s="2">
        <v>40724</v>
      </c>
      <c r="B952" t="s">
        <v>22</v>
      </c>
      <c r="C952">
        <v>13</v>
      </c>
      <c r="D952" s="6" t="s">
        <v>16</v>
      </c>
      <c r="E952">
        <v>230</v>
      </c>
      <c r="F952">
        <v>1.1599999999999999</v>
      </c>
      <c r="G952">
        <v>10</v>
      </c>
      <c r="M952" t="s">
        <v>27</v>
      </c>
      <c r="N952">
        <f t="shared" si="14"/>
        <v>81.023700493333308</v>
      </c>
      <c r="O952">
        <f>IF(AND(OR(D952="S. acutus",D952="S. californicus",D952="S. tabernaemontani"),G952=0),E952*[1]Sheet1!$D$7+[1]Sheet1!$L$7,IF(AND(OR(D952="S. acutus",D952="S. tabernaemontani"),G952&gt;0),E952*[1]Sheet1!$D$8+N952*[1]Sheet1!$E$8,IF(AND(D952="S. californicus",G952&gt;0),E952*[1]Sheet1!$D$9+N952*[1]Sheet1!$E$9,IF(D952="S. maritimus",F952*[1]Sheet1!$C$10+E952*[1]Sheet1!$D$10+G952*[1]Sheet1!$F$10+[1]Sheet1!$L$10,IF(D952="S. americanus",F952*[1]Sheet1!$C$6+E952*[1]Sheet1!$D$6+[1]Sheet1!$L$6,IF(AND(OR(D952="T. domingensis",D952="T. latifolia"),E952&gt;0),F952*[1]Sheet1!$C$4+E952*[1]Sheet1!$D$4+H952*[1]Sheet1!$J$4+I952*[1]Sheet1!$K$4+[1]Sheet1!$L$4,IF(AND(OR(D952="T. domingensis",D952="T. latifolia"),J952&gt;0),J952*[1]Sheet1!$G$5+K952*[1]Sheet1!$H$5+L952*[1]Sheet1!$I$5+[1]Sheet1!$L$5,0)))))))</f>
        <v>11.465669077215777</v>
      </c>
    </row>
    <row r="953" spans="1:15">
      <c r="A953" s="2">
        <v>40724</v>
      </c>
      <c r="B953" t="s">
        <v>22</v>
      </c>
      <c r="C953">
        <v>13</v>
      </c>
      <c r="D953" s="6" t="s">
        <v>16</v>
      </c>
      <c r="E953">
        <v>241</v>
      </c>
      <c r="F953">
        <v>1.41</v>
      </c>
      <c r="G953">
        <v>12</v>
      </c>
      <c r="M953" t="s">
        <v>27</v>
      </c>
      <c r="N953">
        <f t="shared" si="14"/>
        <v>125.43638450324997</v>
      </c>
      <c r="O953">
        <f>IF(AND(OR(D953="S. acutus",D953="S. californicus",D953="S. tabernaemontani"),G953=0),E953*[1]Sheet1!$D$7+[1]Sheet1!$L$7,IF(AND(OR(D953="S. acutus",D953="S. tabernaemontani"),G953&gt;0),E953*[1]Sheet1!$D$8+N953*[1]Sheet1!$E$8,IF(AND(D953="S. californicus",G953&gt;0),E953*[1]Sheet1!$D$9+N953*[1]Sheet1!$E$9,IF(D953="S. maritimus",F953*[1]Sheet1!$C$10+E953*[1]Sheet1!$D$10+G953*[1]Sheet1!$F$10+[1]Sheet1!$L$10,IF(D953="S. americanus",F953*[1]Sheet1!$C$6+E953*[1]Sheet1!$D$6+[1]Sheet1!$L$6,IF(AND(OR(D953="T. domingensis",D953="T. latifolia"),E953&gt;0),F953*[1]Sheet1!$C$4+E953*[1]Sheet1!$D$4+H953*[1]Sheet1!$J$4+I953*[1]Sheet1!$K$4+[1]Sheet1!$L$4,IF(AND(OR(D953="T. domingensis",D953="T. latifolia"),J953&gt;0),J953*[1]Sheet1!$G$5+K953*[1]Sheet1!$H$5+L953*[1]Sheet1!$I$5+[1]Sheet1!$L$5,0)))))))</f>
        <v>13.319375573750701</v>
      </c>
    </row>
    <row r="954" spans="1:15">
      <c r="A954" s="2">
        <v>40724</v>
      </c>
      <c r="B954" t="s">
        <v>22</v>
      </c>
      <c r="C954">
        <v>13</v>
      </c>
      <c r="D954" s="6" t="s">
        <v>16</v>
      </c>
      <c r="E954">
        <v>256</v>
      </c>
      <c r="F954">
        <v>1.49</v>
      </c>
      <c r="G954">
        <v>12</v>
      </c>
      <c r="M954" t="s">
        <v>27</v>
      </c>
      <c r="N954">
        <f t="shared" si="14"/>
        <v>148.79240445866665</v>
      </c>
      <c r="O954">
        <f>IF(AND(OR(D954="S. acutus",D954="S. californicus",D954="S. tabernaemontani"),G954=0),E954*[1]Sheet1!$D$7+[1]Sheet1!$L$7,IF(AND(OR(D954="S. acutus",D954="S. tabernaemontani"),G954&gt;0),E954*[1]Sheet1!$D$8+N954*[1]Sheet1!$E$8,IF(AND(D954="S. californicus",G954&gt;0),E954*[1]Sheet1!$D$9+N954*[1]Sheet1!$E$9,IF(D954="S. maritimus",F954*[1]Sheet1!$C$10+E954*[1]Sheet1!$D$10+G954*[1]Sheet1!$F$10+[1]Sheet1!$L$10,IF(D954="S. americanus",F954*[1]Sheet1!$C$6+E954*[1]Sheet1!$D$6+[1]Sheet1!$L$6,IF(AND(OR(D954="T. domingensis",D954="T. latifolia"),E954&gt;0),F954*[1]Sheet1!$C$4+E954*[1]Sheet1!$D$4+H954*[1]Sheet1!$J$4+I954*[1]Sheet1!$K$4+[1]Sheet1!$L$4,IF(AND(OR(D954="T. domingensis",D954="T. latifolia"),J954&gt;0),J954*[1]Sheet1!$G$5+K954*[1]Sheet1!$H$5+L954*[1]Sheet1!$I$5+[1]Sheet1!$L$5,0)))))))</f>
        <v>14.649066936733078</v>
      </c>
    </row>
    <row r="955" spans="1:15">
      <c r="A955" s="2">
        <v>40724</v>
      </c>
      <c r="B955" t="s">
        <v>22</v>
      </c>
      <c r="C955">
        <v>17</v>
      </c>
      <c r="D955" s="6" t="s">
        <v>23</v>
      </c>
      <c r="E955">
        <v>33</v>
      </c>
      <c r="F955">
        <v>0.35</v>
      </c>
      <c r="G955">
        <v>0</v>
      </c>
      <c r="O955">
        <f>IF(AND(OR(D955="S. acutus",D955="S. californicus",D955="S. tabernaemontani"),G955=0),E955*[1]Sheet1!$D$7+[1]Sheet1!$L$7,IF(AND(OR(D955="S. acutus",D955="S. tabernaemontani"),G955&gt;0),E955*[1]Sheet1!$D$8+N955*[1]Sheet1!$E$8,IF(AND(D955="S. californicus",G955&gt;0),E955*[1]Sheet1!$D$9+N955*[1]Sheet1!$E$9,IF(D955="S. maritimus",F955*[1]Sheet1!$C$10+E955*[1]Sheet1!$D$10+G955*[1]Sheet1!$F$10+[1]Sheet1!$L$10,IF(D955="S. americanus",F955*[1]Sheet1!$C$6+E955*[1]Sheet1!$D$6+[1]Sheet1!$L$6,IF(AND(OR(D955="T. domingensis",D955="T. latifolia"),E955&gt;0),F955*[1]Sheet1!$C$4+E955*[1]Sheet1!$D$4+H955*[1]Sheet1!$J$4+I955*[1]Sheet1!$K$4+[1]Sheet1!$L$4,IF(AND(OR(D955="T. domingensis",D955="T. latifolia"),J955&gt;0),J955*[1]Sheet1!$G$5+K955*[1]Sheet1!$H$5+L955*[1]Sheet1!$I$5+[1]Sheet1!$L$5,0)))))))</f>
        <v>-0.21384564500000014</v>
      </c>
    </row>
    <row r="956" spans="1:15">
      <c r="A956" s="2">
        <v>40724</v>
      </c>
      <c r="B956" t="s">
        <v>22</v>
      </c>
      <c r="C956">
        <v>17</v>
      </c>
      <c r="D956" s="6" t="s">
        <v>23</v>
      </c>
      <c r="E956">
        <v>40</v>
      </c>
      <c r="F956">
        <v>1</v>
      </c>
      <c r="G956">
        <v>0</v>
      </c>
      <c r="O956">
        <f>IF(AND(OR(D956="S. acutus",D956="S. californicus",D956="S. tabernaemontani"),G956=0),E956*[1]Sheet1!$D$7+[1]Sheet1!$L$7,IF(AND(OR(D956="S. acutus",D956="S. tabernaemontani"),G956&gt;0),E956*[1]Sheet1!$D$8+N956*[1]Sheet1!$E$8,IF(AND(D956="S. californicus",G956&gt;0),E956*[1]Sheet1!$D$9+N956*[1]Sheet1!$E$9,IF(D956="S. maritimus",F956*[1]Sheet1!$C$10+E956*[1]Sheet1!$D$10+G956*[1]Sheet1!$F$10+[1]Sheet1!$L$10,IF(D956="S. americanus",F956*[1]Sheet1!$C$6+E956*[1]Sheet1!$D$6+[1]Sheet1!$L$6,IF(AND(OR(D956="T. domingensis",D956="T. latifolia"),E956&gt;0),F956*[1]Sheet1!$C$4+E956*[1]Sheet1!$D$4+H956*[1]Sheet1!$J$4+I956*[1]Sheet1!$K$4+[1]Sheet1!$L$4,IF(AND(OR(D956="T. domingensis",D956="T. latifolia"),J956&gt;0),J956*[1]Sheet1!$G$5+K956*[1]Sheet1!$H$5+L956*[1]Sheet1!$I$5+[1]Sheet1!$L$5,0)))))))</f>
        <v>1.4318023</v>
      </c>
    </row>
    <row r="957" spans="1:15">
      <c r="A957" s="2">
        <v>40724</v>
      </c>
      <c r="B957" t="s">
        <v>22</v>
      </c>
      <c r="C957">
        <v>17</v>
      </c>
      <c r="D957" s="6" t="s">
        <v>23</v>
      </c>
      <c r="E957">
        <v>51</v>
      </c>
      <c r="F957">
        <v>0.72</v>
      </c>
      <c r="G957">
        <v>0</v>
      </c>
      <c r="O957">
        <f>IF(AND(OR(D957="S. acutus",D957="S. californicus",D957="S. tabernaemontani"),G957=0),E957*[1]Sheet1!$D$7+[1]Sheet1!$L$7,IF(AND(OR(D957="S. acutus",D957="S. tabernaemontani"),G957&gt;0),E957*[1]Sheet1!$D$8+N957*[1]Sheet1!$E$8,IF(AND(D957="S. californicus",G957&gt;0),E957*[1]Sheet1!$D$9+N957*[1]Sheet1!$E$9,IF(D957="S. maritimus",F957*[1]Sheet1!$C$10+E957*[1]Sheet1!$D$10+G957*[1]Sheet1!$F$10+[1]Sheet1!$L$10,IF(D957="S. americanus",F957*[1]Sheet1!$C$6+E957*[1]Sheet1!$D$6+[1]Sheet1!$L$6,IF(AND(OR(D957="T. domingensis",D957="T. latifolia"),E957&gt;0),F957*[1]Sheet1!$C$4+E957*[1]Sheet1!$D$4+H957*[1]Sheet1!$J$4+I957*[1]Sheet1!$K$4+[1]Sheet1!$L$4,IF(AND(OR(D957="T. domingensis",D957="T. latifolia"),J957&gt;0),J957*[1]Sheet1!$G$5+K957*[1]Sheet1!$H$5+L957*[1]Sheet1!$I$5+[1]Sheet1!$L$5,0)))))))</f>
        <v>1.1293735759999997</v>
      </c>
    </row>
    <row r="958" spans="1:15">
      <c r="A958" s="2">
        <v>40724</v>
      </c>
      <c r="B958" t="s">
        <v>22</v>
      </c>
      <c r="C958">
        <v>17</v>
      </c>
      <c r="D958" s="6" t="s">
        <v>23</v>
      </c>
      <c r="E958">
        <v>57</v>
      </c>
      <c r="F958">
        <v>0.74</v>
      </c>
      <c r="G958">
        <v>0</v>
      </c>
      <c r="O958">
        <f>IF(AND(OR(D958="S. acutus",D958="S. californicus",D958="S. tabernaemontani"),G958=0),E958*[1]Sheet1!$D$7+[1]Sheet1!$L$7,IF(AND(OR(D958="S. acutus",D958="S. tabernaemontani"),G958&gt;0),E958*[1]Sheet1!$D$8+N958*[1]Sheet1!$E$8,IF(AND(D958="S. californicus",G958&gt;0),E958*[1]Sheet1!$D$9+N958*[1]Sheet1!$E$9,IF(D958="S. maritimus",F958*[1]Sheet1!$C$10+E958*[1]Sheet1!$D$10+G958*[1]Sheet1!$F$10+[1]Sheet1!$L$10,IF(D958="S. americanus",F958*[1]Sheet1!$C$6+E958*[1]Sheet1!$D$6+[1]Sheet1!$L$6,IF(AND(OR(D958="T. domingensis",D958="T. latifolia"),E958&gt;0),F958*[1]Sheet1!$C$4+E958*[1]Sheet1!$D$4+H958*[1]Sheet1!$J$4+I958*[1]Sheet1!$K$4+[1]Sheet1!$L$4,IF(AND(OR(D958="T. domingensis",D958="T. latifolia"),J958&gt;0),J958*[1]Sheet1!$G$5+K958*[1]Sheet1!$H$5+L958*[1]Sheet1!$I$5+[1]Sheet1!$L$5,0)))))))</f>
        <v>1.3477708419999999</v>
      </c>
    </row>
    <row r="959" spans="1:15">
      <c r="A959" s="2">
        <v>40724</v>
      </c>
      <c r="B959" t="s">
        <v>22</v>
      </c>
      <c r="C959">
        <v>17</v>
      </c>
      <c r="D959" s="6" t="s">
        <v>23</v>
      </c>
      <c r="E959">
        <v>60</v>
      </c>
      <c r="F959">
        <v>1.23</v>
      </c>
      <c r="G959">
        <v>1</v>
      </c>
      <c r="O959">
        <f>IF(AND(OR(D959="S. acutus",D959="S. californicus",D959="S. tabernaemontani"),G959=0),E959*[1]Sheet1!$D$7+[1]Sheet1!$L$7,IF(AND(OR(D959="S. acutus",D959="S. tabernaemontani"),G959&gt;0),E959*[1]Sheet1!$D$8+N959*[1]Sheet1!$E$8,IF(AND(D959="S. californicus",G959&gt;0),E959*[1]Sheet1!$D$9+N959*[1]Sheet1!$E$9,IF(D959="S. maritimus",F959*[1]Sheet1!$C$10+E959*[1]Sheet1!$D$10+G959*[1]Sheet1!$F$10+[1]Sheet1!$L$10,IF(D959="S. americanus",F959*[1]Sheet1!$C$6+E959*[1]Sheet1!$D$6+[1]Sheet1!$L$6,IF(AND(OR(D959="T. domingensis",D959="T. latifolia"),E959&gt;0),F959*[1]Sheet1!$C$4+E959*[1]Sheet1!$D$4+H959*[1]Sheet1!$J$4+I959*[1]Sheet1!$K$4+[1]Sheet1!$L$4,IF(AND(OR(D959="T. domingensis",D959="T. latifolia"),J959&gt;0),J959*[1]Sheet1!$G$5+K959*[1]Sheet1!$H$5+L959*[1]Sheet1!$I$5+[1]Sheet1!$L$5,0)))))))</f>
        <v>2.6049248589999996</v>
      </c>
    </row>
    <row r="960" spans="1:15">
      <c r="A960" s="2">
        <v>40724</v>
      </c>
      <c r="B960" t="s">
        <v>22</v>
      </c>
      <c r="C960">
        <v>17</v>
      </c>
      <c r="D960" s="6" t="s">
        <v>23</v>
      </c>
      <c r="E960">
        <v>62</v>
      </c>
      <c r="F960">
        <v>0.59</v>
      </c>
      <c r="G960">
        <v>4</v>
      </c>
      <c r="O960">
        <f>IF(AND(OR(D960="S. acutus",D960="S. californicus",D960="S. tabernaemontani"),G960=0),E960*[1]Sheet1!$D$7+[1]Sheet1!$L$7,IF(AND(OR(D960="S. acutus",D960="S. tabernaemontani"),G960&gt;0),E960*[1]Sheet1!$D$8+N960*[1]Sheet1!$E$8,IF(AND(D960="S. californicus",G960&gt;0),E960*[1]Sheet1!$D$9+N960*[1]Sheet1!$E$9,IF(D960="S. maritimus",F960*[1]Sheet1!$C$10+E960*[1]Sheet1!$D$10+G960*[1]Sheet1!$F$10+[1]Sheet1!$L$10,IF(D960="S. americanus",F960*[1]Sheet1!$C$6+E960*[1]Sheet1!$D$6+[1]Sheet1!$L$6,IF(AND(OR(D960="T. domingensis",D960="T. latifolia"),E960&gt;0),F960*[1]Sheet1!$C$4+E960*[1]Sheet1!$D$4+H960*[1]Sheet1!$J$4+I960*[1]Sheet1!$K$4+[1]Sheet1!$L$4,IF(AND(OR(D960="T. domingensis",D960="T. latifolia"),J960&gt;0),J960*[1]Sheet1!$G$5+K960*[1]Sheet1!$H$5+L960*[1]Sheet1!$I$5+[1]Sheet1!$L$5,0)))))))</f>
        <v>1.4903517470000003</v>
      </c>
    </row>
    <row r="961" spans="1:15">
      <c r="A961" s="2">
        <v>40724</v>
      </c>
      <c r="B961" t="s">
        <v>22</v>
      </c>
      <c r="C961">
        <v>17</v>
      </c>
      <c r="D961" s="6" t="s">
        <v>23</v>
      </c>
      <c r="E961">
        <v>64</v>
      </c>
      <c r="F961">
        <v>0.92</v>
      </c>
      <c r="G961">
        <v>5</v>
      </c>
      <c r="O961">
        <f>IF(AND(OR(D961="S. acutus",D961="S. californicus",D961="S. tabernaemontani"),G961=0),E961*[1]Sheet1!$D$7+[1]Sheet1!$L$7,IF(AND(OR(D961="S. acutus",D961="S. tabernaemontani"),G961&gt;0),E961*[1]Sheet1!$D$8+N961*[1]Sheet1!$E$8,IF(AND(D961="S. californicus",G961&gt;0),E961*[1]Sheet1!$D$9+N961*[1]Sheet1!$E$9,IF(D961="S. maritimus",F961*[1]Sheet1!$C$10+E961*[1]Sheet1!$D$10+G961*[1]Sheet1!$F$10+[1]Sheet1!$L$10,IF(D961="S. americanus",F961*[1]Sheet1!$C$6+E961*[1]Sheet1!$D$6+[1]Sheet1!$L$6,IF(AND(OR(D961="T. domingensis",D961="T. latifolia"),E961&gt;0),F961*[1]Sheet1!$C$4+E961*[1]Sheet1!$D$4+H961*[1]Sheet1!$J$4+I961*[1]Sheet1!$K$4+[1]Sheet1!$L$4,IF(AND(OR(D961="T. domingensis",D961="T. latifolia"),J961&gt;0),J961*[1]Sheet1!$G$5+K961*[1]Sheet1!$H$5+L961*[1]Sheet1!$I$5+[1]Sheet1!$L$5,0)))))))</f>
        <v>2.363393436</v>
      </c>
    </row>
    <row r="962" spans="1:15">
      <c r="A962" s="2">
        <v>40724</v>
      </c>
      <c r="B962" t="s">
        <v>22</v>
      </c>
      <c r="C962">
        <v>17</v>
      </c>
      <c r="D962" s="6" t="s">
        <v>23</v>
      </c>
      <c r="E962">
        <v>67</v>
      </c>
      <c r="F962">
        <v>0.5</v>
      </c>
      <c r="G962">
        <v>4</v>
      </c>
      <c r="O962">
        <f>IF(AND(OR(D962="S. acutus",D962="S. californicus",D962="S. tabernaemontani"),G962=0),E962*[1]Sheet1!$D$7+[1]Sheet1!$L$7,IF(AND(OR(D962="S. acutus",D962="S. tabernaemontani"),G962&gt;0),E962*[1]Sheet1!$D$8+N962*[1]Sheet1!$E$8,IF(AND(D962="S. californicus",G962&gt;0),E962*[1]Sheet1!$D$9+N962*[1]Sheet1!$E$9,IF(D962="S. maritimus",F962*[1]Sheet1!$C$10+E962*[1]Sheet1!$D$10+G962*[1]Sheet1!$F$10+[1]Sheet1!$L$10,IF(D962="S. americanus",F962*[1]Sheet1!$C$6+E962*[1]Sheet1!$D$6+[1]Sheet1!$L$6,IF(AND(OR(D962="T. domingensis",D962="T. latifolia"),E962&gt;0),F962*[1]Sheet1!$C$4+E962*[1]Sheet1!$D$4+H962*[1]Sheet1!$J$4+I962*[1]Sheet1!$K$4+[1]Sheet1!$L$4,IF(AND(OR(D962="T. domingensis",D962="T. latifolia"),J962&gt;0),J962*[1]Sheet1!$G$5+K962*[1]Sheet1!$H$5+L962*[1]Sheet1!$I$5+[1]Sheet1!$L$5,0)))))))</f>
        <v>1.4356088499999997</v>
      </c>
    </row>
    <row r="963" spans="1:15">
      <c r="A963" s="2">
        <v>40724</v>
      </c>
      <c r="B963" t="s">
        <v>22</v>
      </c>
      <c r="C963">
        <v>17</v>
      </c>
      <c r="D963" s="6" t="s">
        <v>23</v>
      </c>
      <c r="E963">
        <v>69</v>
      </c>
      <c r="F963">
        <v>0.69</v>
      </c>
      <c r="G963">
        <v>5</v>
      </c>
      <c r="O963">
        <f>IF(AND(OR(D963="S. acutus",D963="S. californicus",D963="S. tabernaemontani"),G963=0),E963*[1]Sheet1!$D$7+[1]Sheet1!$L$7,IF(AND(OR(D963="S. acutus",D963="S. tabernaemontani"),G963&gt;0),E963*[1]Sheet1!$D$8+N963*[1]Sheet1!$E$8,IF(AND(D963="S. californicus",G963&gt;0),E963*[1]Sheet1!$D$9+N963*[1]Sheet1!$E$9,IF(D963="S. maritimus",F963*[1]Sheet1!$C$10+E963*[1]Sheet1!$D$10+G963*[1]Sheet1!$F$10+[1]Sheet1!$L$10,IF(D963="S. americanus",F963*[1]Sheet1!$C$6+E963*[1]Sheet1!$D$6+[1]Sheet1!$L$6,IF(AND(OR(D963="T. domingensis",D963="T. latifolia"),E963&gt;0),F963*[1]Sheet1!$C$4+E963*[1]Sheet1!$D$4+H963*[1]Sheet1!$J$4+I963*[1]Sheet1!$K$4+[1]Sheet1!$L$4,IF(AND(OR(D963="T. domingensis",D963="T. latifolia"),J963&gt;0),J963*[1]Sheet1!$G$5+K963*[1]Sheet1!$H$5+L963*[1]Sheet1!$I$5+[1]Sheet1!$L$5,0)))))))</f>
        <v>1.9979284770000001</v>
      </c>
    </row>
    <row r="964" spans="1:15">
      <c r="A964" s="2">
        <v>40724</v>
      </c>
      <c r="B964" t="s">
        <v>22</v>
      </c>
      <c r="C964">
        <v>17</v>
      </c>
      <c r="D964" s="6" t="s">
        <v>23</v>
      </c>
      <c r="E964">
        <v>73</v>
      </c>
      <c r="F964">
        <v>0.81</v>
      </c>
      <c r="G964">
        <v>6</v>
      </c>
      <c r="O964">
        <f>IF(AND(OR(D964="S. acutus",D964="S. californicus",D964="S. tabernaemontani"),G964=0),E964*[1]Sheet1!$D$7+[1]Sheet1!$L$7,IF(AND(OR(D964="S. acutus",D964="S. tabernaemontani"),G964&gt;0),E964*[1]Sheet1!$D$8+N964*[1]Sheet1!$E$8,IF(AND(D964="S. californicus",G964&gt;0),E964*[1]Sheet1!$D$9+N964*[1]Sheet1!$E$9,IF(D964="S. maritimus",F964*[1]Sheet1!$C$10+E964*[1]Sheet1!$D$10+G964*[1]Sheet1!$F$10+[1]Sheet1!$L$10,IF(D964="S. americanus",F964*[1]Sheet1!$C$6+E964*[1]Sheet1!$D$6+[1]Sheet1!$L$6,IF(AND(OR(D964="T. domingensis",D964="T. latifolia"),E964&gt;0),F964*[1]Sheet1!$C$4+E964*[1]Sheet1!$D$4+H964*[1]Sheet1!$J$4+I964*[1]Sheet1!$K$4+[1]Sheet1!$L$4,IF(AND(OR(D964="T. domingensis",D964="T. latifolia"),J964&gt;0),J964*[1]Sheet1!$G$5+K964*[1]Sheet1!$H$5+L964*[1]Sheet1!$I$5+[1]Sheet1!$L$5,0)))))))</f>
        <v>2.462889873</v>
      </c>
    </row>
    <row r="965" spans="1:15">
      <c r="A965" s="2">
        <v>40724</v>
      </c>
      <c r="B965" t="s">
        <v>22</v>
      </c>
      <c r="C965">
        <v>17</v>
      </c>
      <c r="D965" s="6" t="s">
        <v>23</v>
      </c>
      <c r="E965">
        <v>73</v>
      </c>
      <c r="F965">
        <v>1.2</v>
      </c>
      <c r="G965">
        <v>0</v>
      </c>
      <c r="O965">
        <f>IF(AND(OR(D965="S. acutus",D965="S. californicus",D965="S. tabernaemontani"),G965=0),E965*[1]Sheet1!$D$7+[1]Sheet1!$L$7,IF(AND(OR(D965="S. acutus",D965="S. tabernaemontani"),G965&gt;0),E965*[1]Sheet1!$D$8+N965*[1]Sheet1!$E$8,IF(AND(D965="S. californicus",G965&gt;0),E965*[1]Sheet1!$D$9+N965*[1]Sheet1!$E$9,IF(D965="S. maritimus",F965*[1]Sheet1!$C$10+E965*[1]Sheet1!$D$10+G965*[1]Sheet1!$F$10+[1]Sheet1!$L$10,IF(D965="S. americanus",F965*[1]Sheet1!$C$6+E965*[1]Sheet1!$D$6+[1]Sheet1!$L$6,IF(AND(OR(D965="T. domingensis",D965="T. latifolia"),E965&gt;0),F965*[1]Sheet1!$C$4+E965*[1]Sheet1!$D$4+H965*[1]Sheet1!$J$4+I965*[1]Sheet1!$K$4+[1]Sheet1!$L$4,IF(AND(OR(D965="T. domingensis",D965="T. latifolia"),J965&gt;0),J965*[1]Sheet1!$G$5+K965*[1]Sheet1!$H$5+L965*[1]Sheet1!$I$5+[1]Sheet1!$L$5,0)))))))</f>
        <v>2.8327371600000006</v>
      </c>
    </row>
    <row r="966" spans="1:15">
      <c r="A966" s="2">
        <v>40724</v>
      </c>
      <c r="B966" t="s">
        <v>22</v>
      </c>
      <c r="C966">
        <v>17</v>
      </c>
      <c r="D966" s="6" t="s">
        <v>23</v>
      </c>
      <c r="E966">
        <v>73</v>
      </c>
      <c r="F966">
        <v>1.07</v>
      </c>
      <c r="G966">
        <v>5</v>
      </c>
      <c r="O966">
        <f>IF(AND(OR(D966="S. acutus",D966="S. californicus",D966="S. tabernaemontani"),G966=0),E966*[1]Sheet1!$D$7+[1]Sheet1!$L$7,IF(AND(OR(D966="S. acutus",D966="S. tabernaemontani"),G966&gt;0),E966*[1]Sheet1!$D$8+N966*[1]Sheet1!$E$8,IF(AND(D966="S. californicus",G966&gt;0),E966*[1]Sheet1!$D$9+N966*[1]Sheet1!$E$9,IF(D966="S. maritimus",F966*[1]Sheet1!$C$10+E966*[1]Sheet1!$D$10+G966*[1]Sheet1!$F$10+[1]Sheet1!$L$10,IF(D966="S. americanus",F966*[1]Sheet1!$C$6+E966*[1]Sheet1!$D$6+[1]Sheet1!$L$6,IF(AND(OR(D966="T. domingensis",D966="T. latifolia"),E966&gt;0),F966*[1]Sheet1!$C$4+E966*[1]Sheet1!$D$4+H966*[1]Sheet1!$J$4+I966*[1]Sheet1!$K$4+[1]Sheet1!$L$4,IF(AND(OR(D966="T. domingensis",D966="T. latifolia"),J966&gt;0),J966*[1]Sheet1!$G$5+K966*[1]Sheet1!$H$5+L966*[1]Sheet1!$I$5+[1]Sheet1!$L$5,0)))))))</f>
        <v>2.957322531</v>
      </c>
    </row>
    <row r="967" spans="1:15">
      <c r="A967" s="2">
        <v>40724</v>
      </c>
      <c r="B967" t="s">
        <v>22</v>
      </c>
      <c r="C967">
        <v>17</v>
      </c>
      <c r="D967" s="6" t="s">
        <v>23</v>
      </c>
      <c r="E967">
        <v>75</v>
      </c>
      <c r="F967">
        <v>0.97</v>
      </c>
      <c r="G967">
        <v>7</v>
      </c>
      <c r="O967">
        <f>IF(AND(OR(D967="S. acutus",D967="S. californicus",D967="S. tabernaemontani"),G967=0),E967*[1]Sheet1!$D$7+[1]Sheet1!$L$7,IF(AND(OR(D967="S. acutus",D967="S. tabernaemontani"),G967&gt;0),E967*[1]Sheet1!$D$8+N967*[1]Sheet1!$E$8,IF(AND(D967="S. californicus",G967&gt;0),E967*[1]Sheet1!$D$9+N967*[1]Sheet1!$E$9,IF(D967="S. maritimus",F967*[1]Sheet1!$C$10+E967*[1]Sheet1!$D$10+G967*[1]Sheet1!$F$10+[1]Sheet1!$L$10,IF(D967="S. americanus",F967*[1]Sheet1!$C$6+E967*[1]Sheet1!$D$6+[1]Sheet1!$L$6,IF(AND(OR(D967="T. domingensis",D967="T. latifolia"),E967&gt;0),F967*[1]Sheet1!$C$4+E967*[1]Sheet1!$D$4+H967*[1]Sheet1!$J$4+I967*[1]Sheet1!$K$4+[1]Sheet1!$L$4,IF(AND(OR(D967="T. domingensis",D967="T. latifolia"),J967&gt;0),J967*[1]Sheet1!$G$5+K967*[1]Sheet1!$H$5+L967*[1]Sheet1!$I$5+[1]Sheet1!$L$5,0)))))))</f>
        <v>2.9586262010000004</v>
      </c>
    </row>
    <row r="968" spans="1:15">
      <c r="A968" s="2">
        <v>40724</v>
      </c>
      <c r="B968" t="s">
        <v>22</v>
      </c>
      <c r="C968">
        <v>17</v>
      </c>
      <c r="D968" s="6" t="s">
        <v>23</v>
      </c>
      <c r="E968">
        <v>77</v>
      </c>
      <c r="F968">
        <v>0.79</v>
      </c>
      <c r="G968">
        <v>14</v>
      </c>
      <c r="O968">
        <f>IF(AND(OR(D968="S. acutus",D968="S. californicus",D968="S. tabernaemontani"),G968=0),E968*[1]Sheet1!$D$7+[1]Sheet1!$L$7,IF(AND(OR(D968="S. acutus",D968="S. tabernaemontani"),G968&gt;0),E968*[1]Sheet1!$D$8+N968*[1]Sheet1!$E$8,IF(AND(D968="S. californicus",G968&gt;0),E968*[1]Sheet1!$D$9+N968*[1]Sheet1!$E$9,IF(D968="S. maritimus",F968*[1]Sheet1!$C$10+E968*[1]Sheet1!$D$10+G968*[1]Sheet1!$F$10+[1]Sheet1!$L$10,IF(D968="S. americanus",F968*[1]Sheet1!$C$6+E968*[1]Sheet1!$D$6+[1]Sheet1!$L$6,IF(AND(OR(D968="T. domingensis",D968="T. latifolia"),E968&gt;0),F968*[1]Sheet1!$C$4+E968*[1]Sheet1!$D$4+H968*[1]Sheet1!$J$4+I968*[1]Sheet1!$K$4+[1]Sheet1!$L$4,IF(AND(OR(D968="T. domingensis",D968="T. latifolia"),J968&gt;0),J968*[1]Sheet1!$G$5+K968*[1]Sheet1!$H$5+L968*[1]Sheet1!$I$5+[1]Sheet1!$L$5,0)))))))</f>
        <v>3.1954874069999999</v>
      </c>
    </row>
    <row r="969" spans="1:15">
      <c r="A969" s="2">
        <v>40724</v>
      </c>
      <c r="B969" t="s">
        <v>22</v>
      </c>
      <c r="C969">
        <v>17</v>
      </c>
      <c r="D969" s="6" t="s">
        <v>23</v>
      </c>
      <c r="E969">
        <v>81</v>
      </c>
      <c r="F969">
        <v>0.87</v>
      </c>
      <c r="G969">
        <v>7</v>
      </c>
      <c r="O969">
        <f>IF(AND(OR(D969="S. acutus",D969="S. californicus",D969="S. tabernaemontani"),G969=0),E969*[1]Sheet1!$D$7+[1]Sheet1!$L$7,IF(AND(OR(D969="S. acutus",D969="S. tabernaemontani"),G969&gt;0),E969*[1]Sheet1!$D$8+N969*[1]Sheet1!$E$8,IF(AND(D969="S. californicus",G969&gt;0),E969*[1]Sheet1!$D$9+N969*[1]Sheet1!$E$9,IF(D969="S. maritimus",F969*[1]Sheet1!$C$10+E969*[1]Sheet1!$D$10+G969*[1]Sheet1!$F$10+[1]Sheet1!$L$10,IF(D969="S. americanus",F969*[1]Sheet1!$C$6+E969*[1]Sheet1!$D$6+[1]Sheet1!$L$6,IF(AND(OR(D969="T. domingensis",D969="T. latifolia"),E969&gt;0),F969*[1]Sheet1!$C$4+E969*[1]Sheet1!$D$4+H969*[1]Sheet1!$J$4+I969*[1]Sheet1!$K$4+[1]Sheet1!$L$4,IF(AND(OR(D969="T. domingensis",D969="T. latifolia"),J969&gt;0),J969*[1]Sheet1!$G$5+K969*[1]Sheet1!$H$5+L969*[1]Sheet1!$I$5+[1]Sheet1!$L$5,0)))))))</f>
        <v>2.910690271</v>
      </c>
    </row>
    <row r="970" spans="1:15">
      <c r="A970" s="2">
        <v>40724</v>
      </c>
      <c r="B970" t="s">
        <v>22</v>
      </c>
      <c r="C970">
        <v>17</v>
      </c>
      <c r="D970" s="6" t="s">
        <v>23</v>
      </c>
      <c r="E970">
        <v>83</v>
      </c>
      <c r="F970">
        <v>0.71</v>
      </c>
      <c r="G970">
        <v>6</v>
      </c>
      <c r="O970">
        <f>IF(AND(OR(D970="S. acutus",D970="S. californicus",D970="S. tabernaemontani"),G970=0),E970*[1]Sheet1!$D$7+[1]Sheet1!$L$7,IF(AND(OR(D970="S. acutus",D970="S. tabernaemontani"),G970&gt;0),E970*[1]Sheet1!$D$8+N970*[1]Sheet1!$E$8,IF(AND(D970="S. californicus",G970&gt;0),E970*[1]Sheet1!$D$9+N970*[1]Sheet1!$E$9,IF(D970="S. maritimus",F970*[1]Sheet1!$C$10+E970*[1]Sheet1!$D$10+G970*[1]Sheet1!$F$10+[1]Sheet1!$L$10,IF(D970="S. americanus",F970*[1]Sheet1!$C$6+E970*[1]Sheet1!$D$6+[1]Sheet1!$L$6,IF(AND(OR(D970="T. domingensis",D970="T. latifolia"),E970&gt;0),F970*[1]Sheet1!$C$4+E970*[1]Sheet1!$D$4+H970*[1]Sheet1!$J$4+I970*[1]Sheet1!$K$4+[1]Sheet1!$L$4,IF(AND(OR(D970="T. domingensis",D970="T. latifolia"),J970&gt;0),J970*[1]Sheet1!$G$5+K970*[1]Sheet1!$H$5+L970*[1]Sheet1!$I$5+[1]Sheet1!$L$5,0)))))))</f>
        <v>2.5309595429999998</v>
      </c>
    </row>
    <row r="971" spans="1:15">
      <c r="A971" s="2">
        <v>40724</v>
      </c>
      <c r="B971" t="s">
        <v>22</v>
      </c>
      <c r="C971">
        <v>17</v>
      </c>
      <c r="D971" s="6" t="s">
        <v>23</v>
      </c>
      <c r="E971">
        <v>85</v>
      </c>
      <c r="F971">
        <v>1.1000000000000001</v>
      </c>
      <c r="G971">
        <v>7</v>
      </c>
      <c r="O971">
        <f>IF(AND(OR(D971="S. acutus",D971="S. californicus",D971="S. tabernaemontani"),G971=0),E971*[1]Sheet1!$D$7+[1]Sheet1!$L$7,IF(AND(OR(D971="S. acutus",D971="S. tabernaemontani"),G971&gt;0),E971*[1]Sheet1!$D$8+N971*[1]Sheet1!$E$8,IF(AND(D971="S. californicus",G971&gt;0),E971*[1]Sheet1!$D$9+N971*[1]Sheet1!$E$9,IF(D971="S. maritimus",F971*[1]Sheet1!$C$10+E971*[1]Sheet1!$D$10+G971*[1]Sheet1!$F$10+[1]Sheet1!$L$10,IF(D971="S. americanus",F971*[1]Sheet1!$C$6+E971*[1]Sheet1!$D$6+[1]Sheet1!$L$6,IF(AND(OR(D971="T. domingensis",D971="T. latifolia"),E971&gt;0),F971*[1]Sheet1!$C$4+E971*[1]Sheet1!$D$4+H971*[1]Sheet1!$J$4+I971*[1]Sheet1!$K$4+[1]Sheet1!$L$4,IF(AND(OR(D971="T. domingensis",D971="T. latifolia"),J971&gt;0),J971*[1]Sheet1!$G$5+K971*[1]Sheet1!$H$5+L971*[1]Sheet1!$I$5+[1]Sheet1!$L$5,0)))))))</f>
        <v>3.5371678300000013</v>
      </c>
    </row>
    <row r="972" spans="1:15">
      <c r="A972" s="2">
        <v>40724</v>
      </c>
      <c r="B972" t="s">
        <v>22</v>
      </c>
      <c r="C972">
        <v>17</v>
      </c>
      <c r="D972" s="6" t="s">
        <v>23</v>
      </c>
      <c r="E972">
        <v>86</v>
      </c>
      <c r="F972">
        <v>1.1200000000000001</v>
      </c>
      <c r="G972">
        <v>9</v>
      </c>
      <c r="O972">
        <f>IF(AND(OR(D972="S. acutus",D972="S. californicus",D972="S. tabernaemontani"),G972=0),E972*[1]Sheet1!$D$7+[1]Sheet1!$L$7,IF(AND(OR(D972="S. acutus",D972="S. tabernaemontani"),G972&gt;0),E972*[1]Sheet1!$D$8+N972*[1]Sheet1!$E$8,IF(AND(D972="S. californicus",G972&gt;0),E972*[1]Sheet1!$D$9+N972*[1]Sheet1!$E$9,IF(D972="S. maritimus",F972*[1]Sheet1!$C$10+E972*[1]Sheet1!$D$10+G972*[1]Sheet1!$F$10+[1]Sheet1!$L$10,IF(D972="S. americanus",F972*[1]Sheet1!$C$6+E972*[1]Sheet1!$D$6+[1]Sheet1!$L$6,IF(AND(OR(D972="T. domingensis",D972="T. latifolia"),E972&gt;0),F972*[1]Sheet1!$C$4+E972*[1]Sheet1!$D$4+H972*[1]Sheet1!$J$4+I972*[1]Sheet1!$K$4+[1]Sheet1!$L$4,IF(AND(OR(D972="T. domingensis",D972="T. latifolia"),J972&gt;0),J972*[1]Sheet1!$G$5+K972*[1]Sheet1!$H$5+L972*[1]Sheet1!$I$5+[1]Sheet1!$L$5,0)))))))</f>
        <v>3.7758032959999994</v>
      </c>
    </row>
    <row r="973" spans="1:15">
      <c r="A973" s="2">
        <v>40724</v>
      </c>
      <c r="B973" t="s">
        <v>22</v>
      </c>
      <c r="C973">
        <v>17</v>
      </c>
      <c r="D973" s="6" t="s">
        <v>23</v>
      </c>
      <c r="E973">
        <v>88</v>
      </c>
      <c r="F973">
        <v>1.4</v>
      </c>
      <c r="G973">
        <v>0</v>
      </c>
      <c r="O973">
        <f>IF(AND(OR(D973="S. acutus",D973="S. californicus",D973="S. tabernaemontani"),G973=0),E973*[1]Sheet1!$D$7+[1]Sheet1!$L$7,IF(AND(OR(D973="S. acutus",D973="S. tabernaemontani"),G973&gt;0),E973*[1]Sheet1!$D$8+N973*[1]Sheet1!$E$8,IF(AND(D973="S. californicus",G973&gt;0),E973*[1]Sheet1!$D$9+N973*[1]Sheet1!$E$9,IF(D973="S. maritimus",F973*[1]Sheet1!$C$10+E973*[1]Sheet1!$D$10+G973*[1]Sheet1!$F$10+[1]Sheet1!$L$10,IF(D973="S. americanus",F973*[1]Sheet1!$C$6+E973*[1]Sheet1!$D$6+[1]Sheet1!$L$6,IF(AND(OR(D973="T. domingensis",D973="T. latifolia"),E973&gt;0),F973*[1]Sheet1!$C$4+E973*[1]Sheet1!$D$4+H973*[1]Sheet1!$J$4+I973*[1]Sheet1!$K$4+[1]Sheet1!$L$4,IF(AND(OR(D973="T. domingensis",D973="T. latifolia"),J973&gt;0),J973*[1]Sheet1!$G$5+K973*[1]Sheet1!$H$5+L973*[1]Sheet1!$I$5+[1]Sheet1!$L$5,0)))))))</f>
        <v>3.7116468200000003</v>
      </c>
    </row>
    <row r="974" spans="1:15">
      <c r="A974" s="2">
        <v>40724</v>
      </c>
      <c r="B974" t="s">
        <v>22</v>
      </c>
      <c r="C974">
        <v>17</v>
      </c>
      <c r="D974" s="6" t="s">
        <v>23</v>
      </c>
      <c r="E974">
        <v>93</v>
      </c>
      <c r="F974">
        <v>1.21</v>
      </c>
      <c r="G974">
        <v>8</v>
      </c>
      <c r="O974">
        <f>IF(AND(OR(D974="S. acutus",D974="S. californicus",D974="S. tabernaemontani"),G974=0),E974*[1]Sheet1!$D$7+[1]Sheet1!$L$7,IF(AND(OR(D974="S. acutus",D974="S. tabernaemontani"),G974&gt;0),E974*[1]Sheet1!$D$8+N974*[1]Sheet1!$E$8,IF(AND(D974="S. californicus",G974&gt;0),E974*[1]Sheet1!$D$9+N974*[1]Sheet1!$E$9,IF(D974="S. maritimus",F974*[1]Sheet1!$C$10+E974*[1]Sheet1!$D$10+G974*[1]Sheet1!$F$10+[1]Sheet1!$L$10,IF(D974="S. americanus",F974*[1]Sheet1!$C$6+E974*[1]Sheet1!$D$6+[1]Sheet1!$L$6,IF(AND(OR(D974="T. domingensis",D974="T. latifolia"),E974&gt;0),F974*[1]Sheet1!$C$4+E974*[1]Sheet1!$D$4+H974*[1]Sheet1!$J$4+I974*[1]Sheet1!$K$4+[1]Sheet1!$L$4,IF(AND(OR(D974="T. domingensis",D974="T. latifolia"),J974&gt;0),J974*[1]Sheet1!$G$5+K974*[1]Sheet1!$H$5+L974*[1]Sheet1!$I$5+[1]Sheet1!$L$5,0)))))))</f>
        <v>4.0959403930000002</v>
      </c>
    </row>
    <row r="975" spans="1:15">
      <c r="A975" s="2">
        <v>40724</v>
      </c>
      <c r="B975" t="s">
        <v>22</v>
      </c>
      <c r="C975">
        <v>17</v>
      </c>
      <c r="D975" s="6" t="s">
        <v>23</v>
      </c>
      <c r="E975">
        <v>98</v>
      </c>
      <c r="F975">
        <v>0.75</v>
      </c>
      <c r="G975">
        <v>13</v>
      </c>
      <c r="O975">
        <f>IF(AND(OR(D975="S. acutus",D975="S. californicus",D975="S. tabernaemontani"),G975=0),E975*[1]Sheet1!$D$7+[1]Sheet1!$L$7,IF(AND(OR(D975="S. acutus",D975="S. tabernaemontani"),G975&gt;0),E975*[1]Sheet1!$D$8+N975*[1]Sheet1!$E$8,IF(AND(D975="S. californicus",G975&gt;0),E975*[1]Sheet1!$D$9+N975*[1]Sheet1!$E$9,IF(D975="S. maritimus",F975*[1]Sheet1!$C$10+E975*[1]Sheet1!$D$10+G975*[1]Sheet1!$F$10+[1]Sheet1!$L$10,IF(D975="S. americanus",F975*[1]Sheet1!$C$6+E975*[1]Sheet1!$D$6+[1]Sheet1!$L$6,IF(AND(OR(D975="T. domingensis",D975="T. latifolia"),E975&gt;0),F975*[1]Sheet1!$C$4+E975*[1]Sheet1!$D$4+H975*[1]Sheet1!$J$4+I975*[1]Sheet1!$K$4+[1]Sheet1!$L$4,IF(AND(OR(D975="T. domingensis",D975="T. latifolia"),J975&gt;0),J975*[1]Sheet1!$G$5+K975*[1]Sheet1!$H$5+L975*[1]Sheet1!$I$5+[1]Sheet1!$L$5,0)))))))</f>
        <v>3.6331164749999996</v>
      </c>
    </row>
    <row r="976" spans="1:15">
      <c r="A976" s="2">
        <v>40724</v>
      </c>
      <c r="B976" t="s">
        <v>22</v>
      </c>
      <c r="C976">
        <v>27</v>
      </c>
      <c r="D976" s="6" t="s">
        <v>13</v>
      </c>
      <c r="E976">
        <v>250</v>
      </c>
      <c r="F976">
        <v>3.5</v>
      </c>
      <c r="H976">
        <v>31</v>
      </c>
      <c r="I976">
        <v>2.5</v>
      </c>
      <c r="O976">
        <f>IF(AND(OR(D976="S. acutus",D976="S. californicus",D976="S. tabernaemontani"),G976=0),E976*[1]Sheet1!$D$7+[1]Sheet1!$L$7,IF(AND(OR(D976="S. acutus",D976="S. tabernaemontani"),G976&gt;0),E976*[1]Sheet1!$D$8+N976*[1]Sheet1!$E$8,IF(AND(D976="S. californicus",G976&gt;0),E976*[1]Sheet1!$D$9+N976*[1]Sheet1!$E$9,IF(D976="S. maritimus",F976*[1]Sheet1!$C$10+E976*[1]Sheet1!$D$10+G976*[1]Sheet1!$F$10+[1]Sheet1!$L$10,IF(D976="S. americanus",F976*[1]Sheet1!$C$6+E976*[1]Sheet1!$D$6+[1]Sheet1!$L$6,IF(AND(OR(D976="T. domingensis",D976="T. latifolia"),E976&gt;0),F976*[1]Sheet1!$C$4+E976*[1]Sheet1!$D$4+H976*[1]Sheet1!$J$4+I976*[1]Sheet1!$K$4+[1]Sheet1!$L$4,IF(AND(OR(D976="T. domingensis",D976="T. latifolia"),J976&gt;0),J976*[1]Sheet1!$G$5+K976*[1]Sheet1!$H$5+L976*[1]Sheet1!$I$5+[1]Sheet1!$L$5,0)))))))</f>
        <v>117.72902770000002</v>
      </c>
    </row>
    <row r="977" spans="1:15">
      <c r="A977" s="2">
        <v>40724</v>
      </c>
      <c r="B977" t="s">
        <v>22</v>
      </c>
      <c r="C977">
        <v>27</v>
      </c>
      <c r="D977" s="6" t="s">
        <v>13</v>
      </c>
      <c r="E977">
        <v>264</v>
      </c>
      <c r="F977">
        <v>3.73</v>
      </c>
      <c r="H977">
        <v>30</v>
      </c>
      <c r="I977">
        <v>2.5</v>
      </c>
      <c r="O977">
        <f>IF(AND(OR(D977="S. acutus",D977="S. californicus",D977="S. tabernaemontani"),G977=0),E977*[1]Sheet1!$D$7+[1]Sheet1!$L$7,IF(AND(OR(D977="S. acutus",D977="S. tabernaemontani"),G977&gt;0),E977*[1]Sheet1!$D$8+N977*[1]Sheet1!$E$8,IF(AND(D977="S. californicus",G977&gt;0),E977*[1]Sheet1!$D$9+N977*[1]Sheet1!$E$9,IF(D977="S. maritimus",F977*[1]Sheet1!$C$10+E977*[1]Sheet1!$D$10+G977*[1]Sheet1!$F$10+[1]Sheet1!$L$10,IF(D977="S. americanus",F977*[1]Sheet1!$C$6+E977*[1]Sheet1!$D$6+[1]Sheet1!$L$6,IF(AND(OR(D977="T. domingensis",D977="T. latifolia"),E977&gt;0),F977*[1]Sheet1!$C$4+E977*[1]Sheet1!$D$4+H977*[1]Sheet1!$J$4+I977*[1]Sheet1!$K$4+[1]Sheet1!$L$4,IF(AND(OR(D977="T. domingensis",D977="T. latifolia"),J977&gt;0),J977*[1]Sheet1!$G$5+K977*[1]Sheet1!$H$5+L977*[1]Sheet1!$I$5+[1]Sheet1!$L$5,0)))))))</f>
        <v>125.48367820999999</v>
      </c>
    </row>
    <row r="978" spans="1:15">
      <c r="A978" s="2">
        <v>40724</v>
      </c>
      <c r="B978" t="s">
        <v>22</v>
      </c>
      <c r="C978">
        <v>27</v>
      </c>
      <c r="D978" s="6" t="s">
        <v>13</v>
      </c>
      <c r="E978">
        <v>266</v>
      </c>
      <c r="F978">
        <v>2.78</v>
      </c>
      <c r="H978">
        <v>27</v>
      </c>
      <c r="I978">
        <v>2.5</v>
      </c>
      <c r="O978">
        <f>IF(AND(OR(D978="S. acutus",D978="S. californicus",D978="S. tabernaemontani"),G978=0),E978*[1]Sheet1!$D$7+[1]Sheet1!$L$7,IF(AND(OR(D978="S. acutus",D978="S. tabernaemontani"),G978&gt;0),E978*[1]Sheet1!$D$8+N978*[1]Sheet1!$E$8,IF(AND(D978="S. californicus",G978&gt;0),E978*[1]Sheet1!$D$9+N978*[1]Sheet1!$E$9,IF(D978="S. maritimus",F978*[1]Sheet1!$C$10+E978*[1]Sheet1!$D$10+G978*[1]Sheet1!$F$10+[1]Sheet1!$L$10,IF(D978="S. americanus",F978*[1]Sheet1!$C$6+E978*[1]Sheet1!$D$6+[1]Sheet1!$L$6,IF(AND(OR(D978="T. domingensis",D978="T. latifolia"),E978&gt;0),F978*[1]Sheet1!$C$4+E978*[1]Sheet1!$D$4+H978*[1]Sheet1!$J$4+I978*[1]Sheet1!$K$4+[1]Sheet1!$L$4,IF(AND(OR(D978="T. domingensis",D978="T. latifolia"),J978&gt;0),J978*[1]Sheet1!$G$5+K978*[1]Sheet1!$H$5+L978*[1]Sheet1!$I$5+[1]Sheet1!$L$5,0)))))))</f>
        <v>105.00091386</v>
      </c>
    </row>
    <row r="979" spans="1:15">
      <c r="A979" s="2">
        <v>40724</v>
      </c>
      <c r="B979" t="s">
        <v>22</v>
      </c>
      <c r="C979">
        <v>27</v>
      </c>
      <c r="D979" s="6" t="s">
        <v>13</v>
      </c>
      <c r="E979">
        <v>270</v>
      </c>
      <c r="F979">
        <v>2.9</v>
      </c>
      <c r="H979">
        <v>25</v>
      </c>
      <c r="I979">
        <v>2.2999999999999998</v>
      </c>
      <c r="O979">
        <f>IF(AND(OR(D979="S. acutus",D979="S. californicus",D979="S. tabernaemontani"),G979=0),E979*[1]Sheet1!$D$7+[1]Sheet1!$L$7,IF(AND(OR(D979="S. acutus",D979="S. tabernaemontani"),G979&gt;0),E979*[1]Sheet1!$D$8+N979*[1]Sheet1!$E$8,IF(AND(D979="S. californicus",G979&gt;0),E979*[1]Sheet1!$D$9+N979*[1]Sheet1!$E$9,IF(D979="S. maritimus",F979*[1]Sheet1!$C$10+E979*[1]Sheet1!$D$10+G979*[1]Sheet1!$F$10+[1]Sheet1!$L$10,IF(D979="S. americanus",F979*[1]Sheet1!$C$6+E979*[1]Sheet1!$D$6+[1]Sheet1!$L$6,IF(AND(OR(D979="T. domingensis",D979="T. latifolia"),E979&gt;0),F979*[1]Sheet1!$C$4+E979*[1]Sheet1!$D$4+H979*[1]Sheet1!$J$4+I979*[1]Sheet1!$K$4+[1]Sheet1!$L$4,IF(AND(OR(D979="T. domingensis",D979="T. latifolia"),J979&gt;0),J979*[1]Sheet1!$G$5+K979*[1]Sheet1!$H$5+L979*[1]Sheet1!$I$5+[1]Sheet1!$L$5,0)))))))</f>
        <v>103.17244669999999</v>
      </c>
    </row>
    <row r="980" spans="1:15">
      <c r="A980" s="2">
        <v>40724</v>
      </c>
      <c r="B980" t="s">
        <v>22</v>
      </c>
      <c r="C980">
        <v>27</v>
      </c>
      <c r="D980" s="6" t="s">
        <v>13</v>
      </c>
      <c r="E980">
        <v>270</v>
      </c>
      <c r="F980">
        <v>4.0599999999999996</v>
      </c>
      <c r="H980">
        <v>29</v>
      </c>
      <c r="I980">
        <v>2</v>
      </c>
      <c r="O980">
        <f>IF(AND(OR(D980="S. acutus",D980="S. californicus",D980="S. tabernaemontani"),G980=0),E980*[1]Sheet1!$D$7+[1]Sheet1!$L$7,IF(AND(OR(D980="S. acutus",D980="S. tabernaemontani"),G980&gt;0),E980*[1]Sheet1!$D$8+N980*[1]Sheet1!$E$8,IF(AND(D980="S. californicus",G980&gt;0),E980*[1]Sheet1!$D$9+N980*[1]Sheet1!$E$9,IF(D980="S. maritimus",F980*[1]Sheet1!$C$10+E980*[1]Sheet1!$D$10+G980*[1]Sheet1!$F$10+[1]Sheet1!$L$10,IF(D980="S. americanus",F980*[1]Sheet1!$C$6+E980*[1]Sheet1!$D$6+[1]Sheet1!$L$6,IF(AND(OR(D980="T. domingensis",D980="T. latifolia"),E980&gt;0),F980*[1]Sheet1!$C$4+E980*[1]Sheet1!$D$4+H980*[1]Sheet1!$J$4+I980*[1]Sheet1!$K$4+[1]Sheet1!$L$4,IF(AND(OR(D980="T. domingensis",D980="T. latifolia"),J980&gt;0),J980*[1]Sheet1!$G$5+K980*[1]Sheet1!$H$5+L980*[1]Sheet1!$I$5+[1]Sheet1!$L$5,0)))))))</f>
        <v>123.99575282000001</v>
      </c>
    </row>
    <row r="981" spans="1:15">
      <c r="A981" s="2">
        <v>40724</v>
      </c>
      <c r="B981" t="s">
        <v>22</v>
      </c>
      <c r="C981">
        <v>27</v>
      </c>
      <c r="D981" s="6" t="s">
        <v>19</v>
      </c>
      <c r="E981">
        <v>223</v>
      </c>
      <c r="F981">
        <v>2.36</v>
      </c>
      <c r="H981">
        <v>22</v>
      </c>
      <c r="I981">
        <v>0.75</v>
      </c>
      <c r="O981">
        <f>IF(AND(OR(D981="S. acutus",D981="S. californicus",D981="S. tabernaemontani"),G981=0),E981*[1]Sheet1!$D$7+[1]Sheet1!$L$7,IF(AND(OR(D981="S. acutus",D981="S. tabernaemontani"),G981&gt;0),E981*[1]Sheet1!$D$8+N981*[1]Sheet1!$E$8,IF(AND(D981="S. californicus",G981&gt;0),E981*[1]Sheet1!$D$9+N981*[1]Sheet1!$E$9,IF(D981="S. maritimus",F981*[1]Sheet1!$C$10+E981*[1]Sheet1!$D$10+G981*[1]Sheet1!$F$10+[1]Sheet1!$L$10,IF(D981="S. americanus",F981*[1]Sheet1!$C$6+E981*[1]Sheet1!$D$6+[1]Sheet1!$L$6,IF(AND(OR(D981="T. domingensis",D981="T. latifolia"),E981&gt;0),F981*[1]Sheet1!$C$4+E981*[1]Sheet1!$D$4+H981*[1]Sheet1!$J$4+I981*[1]Sheet1!$K$4+[1]Sheet1!$L$4,IF(AND(OR(D981="T. domingensis",D981="T. latifolia"),J981&gt;0),J981*[1]Sheet1!$G$5+K981*[1]Sheet1!$H$5+L981*[1]Sheet1!$I$5+[1]Sheet1!$L$5,0)))))))</f>
        <v>48.610001119999993</v>
      </c>
    </row>
    <row r="982" spans="1:15">
      <c r="A982" s="2">
        <v>40724</v>
      </c>
      <c r="B982" t="s">
        <v>22</v>
      </c>
      <c r="C982">
        <v>27</v>
      </c>
      <c r="D982" s="6" t="s">
        <v>19</v>
      </c>
      <c r="E982">
        <v>268</v>
      </c>
      <c r="F982">
        <v>2.4</v>
      </c>
      <c r="H982">
        <v>25</v>
      </c>
      <c r="I982">
        <v>1.1000000000000001</v>
      </c>
      <c r="O982">
        <f>IF(AND(OR(D982="S. acutus",D982="S. californicus",D982="S. tabernaemontani"),G982=0),E982*[1]Sheet1!$D$7+[1]Sheet1!$L$7,IF(AND(OR(D982="S. acutus",D982="S. tabernaemontani"),G982&gt;0),E982*[1]Sheet1!$D$8+N982*[1]Sheet1!$E$8,IF(AND(D982="S. californicus",G982&gt;0),E982*[1]Sheet1!$D$9+N982*[1]Sheet1!$E$9,IF(D982="S. maritimus",F982*[1]Sheet1!$C$10+E982*[1]Sheet1!$D$10+G982*[1]Sheet1!$F$10+[1]Sheet1!$L$10,IF(D982="S. americanus",F982*[1]Sheet1!$C$6+E982*[1]Sheet1!$D$6+[1]Sheet1!$L$6,IF(AND(OR(D982="T. domingensis",D982="T. latifolia"),E982&gt;0),F982*[1]Sheet1!$C$4+E982*[1]Sheet1!$D$4+H982*[1]Sheet1!$J$4+I982*[1]Sheet1!$K$4+[1]Sheet1!$L$4,IF(AND(OR(D982="T. domingensis",D982="T. latifolia"),J982&gt;0),J982*[1]Sheet1!$G$5+K982*[1]Sheet1!$H$5+L982*[1]Sheet1!$I$5+[1]Sheet1!$L$5,0)))))))</f>
        <v>71.962440200000003</v>
      </c>
    </row>
    <row r="983" spans="1:15">
      <c r="A983" s="2">
        <v>40724</v>
      </c>
      <c r="B983" t="s">
        <v>22</v>
      </c>
      <c r="C983">
        <v>27</v>
      </c>
      <c r="D983" s="6" t="s">
        <v>19</v>
      </c>
      <c r="F983">
        <v>1.73</v>
      </c>
      <c r="J983">
        <f>100+127+164+160+190</f>
        <v>741</v>
      </c>
      <c r="K983">
        <v>5</v>
      </c>
      <c r="L983">
        <v>190</v>
      </c>
      <c r="O983">
        <f>IF(AND(OR(D983="S. acutus",D983="S. californicus",D983="S. tabernaemontani"),G983=0),E983*[1]Sheet1!$D$7+[1]Sheet1!$L$7,IF(AND(OR(D983="S. acutus",D983="S. tabernaemontani"),G983&gt;0),E983*[1]Sheet1!$D$8+N983*[1]Sheet1!$E$8,IF(AND(D983="S. californicus",G983&gt;0),E983*[1]Sheet1!$D$9+N983*[1]Sheet1!$E$9,IF(D983="S. maritimus",F983*[1]Sheet1!$C$10+E983*[1]Sheet1!$D$10+G983*[1]Sheet1!$F$10+[1]Sheet1!$L$10,IF(D983="S. americanus",F983*[1]Sheet1!$C$6+E983*[1]Sheet1!$D$6+[1]Sheet1!$L$6,IF(AND(OR(D983="T. domingensis",D983="T. latifolia"),E983&gt;0),F983*[1]Sheet1!$C$4+E983*[1]Sheet1!$D$4+H983*[1]Sheet1!$J$4+I983*[1]Sheet1!$K$4+[1]Sheet1!$L$4,IF(AND(OR(D983="T. domingensis",D983="T. latifolia"),J983&gt;0),J983*[1]Sheet1!$G$5+K983*[1]Sheet1!$H$5+L983*[1]Sheet1!$I$5+[1]Sheet1!$L$5,0)))))))</f>
        <v>10.161124000000015</v>
      </c>
    </row>
    <row r="984" spans="1:15">
      <c r="A984" s="2">
        <v>40724</v>
      </c>
      <c r="B984" t="s">
        <v>22</v>
      </c>
      <c r="C984">
        <v>33</v>
      </c>
      <c r="D984" s="6" t="s">
        <v>13</v>
      </c>
      <c r="F984">
        <v>1.91</v>
      </c>
      <c r="J984">
        <f>60+77+84+91</f>
        <v>312</v>
      </c>
      <c r="K984">
        <v>4</v>
      </c>
      <c r="L984">
        <v>91</v>
      </c>
      <c r="O984">
        <f>IF(AND(OR(D984="S. acutus",D984="S. californicus",D984="S. tabernaemontani"),G984=0),E984*[1]Sheet1!$D$7+[1]Sheet1!$L$7,IF(AND(OR(D984="S. acutus",D984="S. tabernaemontani"),G984&gt;0),E984*[1]Sheet1!$D$8+N984*[1]Sheet1!$E$8,IF(AND(D984="S. californicus",G984&gt;0),E984*[1]Sheet1!$D$9+N984*[1]Sheet1!$E$9,IF(D984="S. maritimus",F984*[1]Sheet1!$C$10+E984*[1]Sheet1!$D$10+G984*[1]Sheet1!$F$10+[1]Sheet1!$L$10,IF(D984="S. americanus",F984*[1]Sheet1!$C$6+E984*[1]Sheet1!$D$6+[1]Sheet1!$L$6,IF(AND(OR(D984="T. domingensis",D984="T. latifolia"),E984&gt;0),F984*[1]Sheet1!$C$4+E984*[1]Sheet1!$D$4+H984*[1]Sheet1!$J$4+I984*[1]Sheet1!$K$4+[1]Sheet1!$L$4,IF(AND(OR(D984="T. domingensis",D984="T. latifolia"),J984&gt;0),J984*[1]Sheet1!$G$5+K984*[1]Sheet1!$H$5+L984*[1]Sheet1!$I$5+[1]Sheet1!$L$5,0)))))))</f>
        <v>6.7858370000000008</v>
      </c>
    </row>
    <row r="985" spans="1:15">
      <c r="A985" s="2">
        <v>40724</v>
      </c>
      <c r="B985" t="s">
        <v>22</v>
      </c>
      <c r="C985">
        <v>33</v>
      </c>
      <c r="D985" s="6" t="s">
        <v>13</v>
      </c>
      <c r="F985">
        <v>3.04</v>
      </c>
      <c r="J985">
        <f>83+121+132+160+179+191</f>
        <v>866</v>
      </c>
      <c r="K985">
        <v>6</v>
      </c>
      <c r="L985">
        <v>191</v>
      </c>
      <c r="O985">
        <f>IF(AND(OR(D985="S. acutus",D985="S. californicus",D985="S. tabernaemontani"),G985=0),E985*[1]Sheet1!$D$7+[1]Sheet1!$L$7,IF(AND(OR(D985="S. acutus",D985="S. tabernaemontani"),G985&gt;0),E985*[1]Sheet1!$D$8+N985*[1]Sheet1!$E$8,IF(AND(D985="S. californicus",G985&gt;0),E985*[1]Sheet1!$D$9+N985*[1]Sheet1!$E$9,IF(D985="S. maritimus",F985*[1]Sheet1!$C$10+E985*[1]Sheet1!$D$10+G985*[1]Sheet1!$F$10+[1]Sheet1!$L$10,IF(D985="S. americanus",F985*[1]Sheet1!$C$6+E985*[1]Sheet1!$D$6+[1]Sheet1!$L$6,IF(AND(OR(D985="T. domingensis",D985="T. latifolia"),E985&gt;0),F985*[1]Sheet1!$C$4+E985*[1]Sheet1!$D$4+H985*[1]Sheet1!$J$4+I985*[1]Sheet1!$K$4+[1]Sheet1!$L$4,IF(AND(OR(D985="T. domingensis",D985="T. latifolia"),J985&gt;0),J985*[1]Sheet1!$G$5+K985*[1]Sheet1!$H$5+L985*[1]Sheet1!$I$5+[1]Sheet1!$L$5,0)))))))</f>
        <v>14.556901000000011</v>
      </c>
    </row>
    <row r="986" spans="1:15">
      <c r="A986" s="2">
        <v>40724</v>
      </c>
      <c r="B986" t="s">
        <v>22</v>
      </c>
      <c r="C986">
        <v>33</v>
      </c>
      <c r="D986" s="6" t="s">
        <v>13</v>
      </c>
      <c r="F986">
        <v>3.06</v>
      </c>
      <c r="J986">
        <f>164+163+200+222+239+276+274</f>
        <v>1538</v>
      </c>
      <c r="K986">
        <v>7</v>
      </c>
      <c r="L986">
        <v>276</v>
      </c>
      <c r="O986">
        <f>IF(AND(OR(D986="S. acutus",D986="S. californicus",D986="S. tabernaemontani"),G986=0),E986*[1]Sheet1!$D$7+[1]Sheet1!$L$7,IF(AND(OR(D986="S. acutus",D986="S. tabernaemontani"),G986&gt;0),E986*[1]Sheet1!$D$8+N986*[1]Sheet1!$E$8,IF(AND(D986="S. californicus",G986&gt;0),E986*[1]Sheet1!$D$9+N986*[1]Sheet1!$E$9,IF(D986="S. maritimus",F986*[1]Sheet1!$C$10+E986*[1]Sheet1!$D$10+G986*[1]Sheet1!$F$10+[1]Sheet1!$L$10,IF(D986="S. americanus",F986*[1]Sheet1!$C$6+E986*[1]Sheet1!$D$6+[1]Sheet1!$L$6,IF(AND(OR(D986="T. domingensis",D986="T. latifolia"),E986&gt;0),F986*[1]Sheet1!$C$4+E986*[1]Sheet1!$D$4+H986*[1]Sheet1!$J$4+I986*[1]Sheet1!$K$4+[1]Sheet1!$L$4,IF(AND(OR(D986="T. domingensis",D986="T. latifolia"),J986&gt;0),J986*[1]Sheet1!$G$5+K986*[1]Sheet1!$H$5+L986*[1]Sheet1!$I$5+[1]Sheet1!$L$5,0)))))))</f>
        <v>44.932082999999999</v>
      </c>
    </row>
    <row r="987" spans="1:15">
      <c r="A987" s="2">
        <v>40724</v>
      </c>
      <c r="B987" t="s">
        <v>22</v>
      </c>
      <c r="C987">
        <v>33</v>
      </c>
      <c r="D987" s="6" t="s">
        <v>19</v>
      </c>
      <c r="E987">
        <v>215</v>
      </c>
      <c r="F987">
        <v>4.6399999999999997</v>
      </c>
      <c r="H987">
        <v>38</v>
      </c>
      <c r="I987">
        <v>1.5</v>
      </c>
      <c r="O987">
        <f>IF(AND(OR(D987="S. acutus",D987="S. californicus",D987="S. tabernaemontani"),G987=0),E987*[1]Sheet1!$D$7+[1]Sheet1!$L$7,IF(AND(OR(D987="S. acutus",D987="S. tabernaemontani"),G987&gt;0),E987*[1]Sheet1!$D$8+N987*[1]Sheet1!$E$8,IF(AND(D987="S. californicus",G987&gt;0),E987*[1]Sheet1!$D$9+N987*[1]Sheet1!$E$9,IF(D987="S. maritimus",F987*[1]Sheet1!$C$10+E987*[1]Sheet1!$D$10+G987*[1]Sheet1!$F$10+[1]Sheet1!$L$10,IF(D987="S. americanus",F987*[1]Sheet1!$C$6+E987*[1]Sheet1!$D$6+[1]Sheet1!$L$6,IF(AND(OR(D987="T. domingensis",D987="T. latifolia"),E987&gt;0),F987*[1]Sheet1!$C$4+E987*[1]Sheet1!$D$4+H987*[1]Sheet1!$J$4+I987*[1]Sheet1!$K$4+[1]Sheet1!$L$4,IF(AND(OR(D987="T. domingensis",D987="T. latifolia"),J987&gt;0),J987*[1]Sheet1!$G$5+K987*[1]Sheet1!$H$5+L987*[1]Sheet1!$I$5+[1]Sheet1!$L$5,0)))))))</f>
        <v>118.08886748</v>
      </c>
    </row>
    <row r="988" spans="1:15">
      <c r="A988" s="2">
        <v>40724</v>
      </c>
      <c r="B988" t="s">
        <v>22</v>
      </c>
      <c r="C988">
        <v>33</v>
      </c>
      <c r="D988" s="6" t="s">
        <v>19</v>
      </c>
      <c r="E988">
        <v>312</v>
      </c>
      <c r="F988">
        <v>5</v>
      </c>
      <c r="H988">
        <v>36</v>
      </c>
      <c r="I988">
        <v>1.4</v>
      </c>
      <c r="O988">
        <f>IF(AND(OR(D988="S. acutus",D988="S. californicus",D988="S. tabernaemontani"),G988=0),E988*[1]Sheet1!$D$7+[1]Sheet1!$L$7,IF(AND(OR(D988="S. acutus",D988="S. tabernaemontani"),G988&gt;0),E988*[1]Sheet1!$D$8+N988*[1]Sheet1!$E$8,IF(AND(D988="S. californicus",G988&gt;0),E988*[1]Sheet1!$D$9+N988*[1]Sheet1!$E$9,IF(D988="S. maritimus",F988*[1]Sheet1!$C$10+E988*[1]Sheet1!$D$10+G988*[1]Sheet1!$F$10+[1]Sheet1!$L$10,IF(D988="S. americanus",F988*[1]Sheet1!$C$6+E988*[1]Sheet1!$D$6+[1]Sheet1!$L$6,IF(AND(OR(D988="T. domingensis",D988="T. latifolia"),E988&gt;0),F988*[1]Sheet1!$C$4+E988*[1]Sheet1!$D$4+H988*[1]Sheet1!$J$4+I988*[1]Sheet1!$K$4+[1]Sheet1!$L$4,IF(AND(OR(D988="T. domingensis",D988="T. latifolia"),J988&gt;0),J988*[1]Sheet1!$G$5+K988*[1]Sheet1!$H$5+L988*[1]Sheet1!$I$5+[1]Sheet1!$L$5,0)))))))</f>
        <v>150.89231580000001</v>
      </c>
    </row>
    <row r="989" spans="1:15">
      <c r="A989" s="2">
        <v>40724</v>
      </c>
      <c r="B989" t="s">
        <v>22</v>
      </c>
      <c r="C989">
        <v>33</v>
      </c>
      <c r="D989" s="6" t="s">
        <v>19</v>
      </c>
      <c r="E989">
        <v>324</v>
      </c>
      <c r="F989">
        <v>4.84</v>
      </c>
      <c r="H989">
        <v>35.5</v>
      </c>
      <c r="I989">
        <v>1.5</v>
      </c>
      <c r="O989">
        <f>IF(AND(OR(D989="S. acutus",D989="S. californicus",D989="S. tabernaemontani"),G989=0),E989*[1]Sheet1!$D$7+[1]Sheet1!$L$7,IF(AND(OR(D989="S. acutus",D989="S. tabernaemontani"),G989&gt;0),E989*[1]Sheet1!$D$8+N989*[1]Sheet1!$E$8,IF(AND(D989="S. californicus",G989&gt;0),E989*[1]Sheet1!$D$9+N989*[1]Sheet1!$E$9,IF(D989="S. maritimus",F989*[1]Sheet1!$C$10+E989*[1]Sheet1!$D$10+G989*[1]Sheet1!$F$10+[1]Sheet1!$L$10,IF(D989="S. americanus",F989*[1]Sheet1!$C$6+E989*[1]Sheet1!$D$6+[1]Sheet1!$L$6,IF(AND(OR(D989="T. domingensis",D989="T. latifolia"),E989&gt;0),F989*[1]Sheet1!$C$4+E989*[1]Sheet1!$D$4+H989*[1]Sheet1!$J$4+I989*[1]Sheet1!$K$4+[1]Sheet1!$L$4,IF(AND(OR(D989="T. domingensis",D989="T. latifolia"),J989&gt;0),J989*[1]Sheet1!$G$5+K989*[1]Sheet1!$H$5+L989*[1]Sheet1!$I$5+[1]Sheet1!$L$5,0)))))))</f>
        <v>152.73929318</v>
      </c>
    </row>
    <row r="990" spans="1:15">
      <c r="A990" s="2">
        <v>40724</v>
      </c>
      <c r="B990" t="s">
        <v>22</v>
      </c>
      <c r="C990">
        <v>33</v>
      </c>
      <c r="D990" s="6" t="s">
        <v>19</v>
      </c>
      <c r="F990">
        <v>6.2</v>
      </c>
      <c r="J990">
        <f>120+226+234+270+318+345+370+362+393</f>
        <v>2638</v>
      </c>
      <c r="K990">
        <v>9</v>
      </c>
      <c r="L990">
        <v>393</v>
      </c>
      <c r="O990">
        <f>IF(AND(OR(D990="S. acutus",D990="S. californicus",D990="S. tabernaemontani"),G990=0),E990*[1]Sheet1!$D$7+[1]Sheet1!$L$7,IF(AND(OR(D990="S. acutus",D990="S. tabernaemontani"),G990&gt;0),E990*[1]Sheet1!$D$8+N990*[1]Sheet1!$E$8,IF(AND(D990="S. californicus",G990&gt;0),E990*[1]Sheet1!$D$9+N990*[1]Sheet1!$E$9,IF(D990="S. maritimus",F990*[1]Sheet1!$C$10+E990*[1]Sheet1!$D$10+G990*[1]Sheet1!$F$10+[1]Sheet1!$L$10,IF(D990="S. americanus",F990*[1]Sheet1!$C$6+E990*[1]Sheet1!$D$6+[1]Sheet1!$L$6,IF(AND(OR(D990="T. domingensis",D990="T. latifolia"),E990&gt;0),F990*[1]Sheet1!$C$4+E990*[1]Sheet1!$D$4+H990*[1]Sheet1!$J$4+I990*[1]Sheet1!$K$4+[1]Sheet1!$L$4,IF(AND(OR(D990="T. domingensis",D990="T. latifolia"),J990&gt;0),J990*[1]Sheet1!$G$5+K990*[1]Sheet1!$H$5+L990*[1]Sheet1!$I$5+[1]Sheet1!$L$5,0)))))))</f>
        <v>98.772211999999996</v>
      </c>
    </row>
    <row r="991" spans="1:15">
      <c r="A991" s="2">
        <v>40724</v>
      </c>
      <c r="B991" t="s">
        <v>22</v>
      </c>
      <c r="C991">
        <v>58</v>
      </c>
      <c r="D991" s="6" t="s">
        <v>12</v>
      </c>
      <c r="E991">
        <v>29</v>
      </c>
      <c r="F991">
        <v>0.78</v>
      </c>
      <c r="G991">
        <v>0</v>
      </c>
      <c r="N991">
        <f t="shared" ref="N991:N1028" si="15">(1/3)*(3.14159)*((F991/2)^2)*E991</f>
        <v>4.6190797769999996</v>
      </c>
      <c r="O991">
        <f>IF(AND(OR(D991="S. acutus",D991="S. californicus",D991="S. tabernaemontani"),G991=0),E991*[1]Sheet1!$D$7+[1]Sheet1!$L$7,IF(AND(OR(D991="S. acutus",D991="S. tabernaemontani"),G991&gt;0),E991*[1]Sheet1!$D$8+N991*[1]Sheet1!$E$8,IF(AND(D991="S. californicus",G991&gt;0),E991*[1]Sheet1!$D$9+N991*[1]Sheet1!$E$9,IF(D991="S. maritimus",F991*[1]Sheet1!$C$10+E991*[1]Sheet1!$D$10+G991*[1]Sheet1!$F$10+[1]Sheet1!$L$10,IF(D991="S. americanus",F991*[1]Sheet1!$C$6+E991*[1]Sheet1!$D$6+[1]Sheet1!$L$6,IF(AND(OR(D991="T. domingensis",D991="T. latifolia"),E991&gt;0),F991*[1]Sheet1!$C$4+E991*[1]Sheet1!$D$4+H991*[1]Sheet1!$J$4+I991*[1]Sheet1!$K$4+[1]Sheet1!$L$4,IF(AND(OR(D991="T. domingensis",D991="T. latifolia"),J991&gt;0),J991*[1]Sheet1!$G$5+K991*[1]Sheet1!$H$5+L991*[1]Sheet1!$I$5+[1]Sheet1!$L$5,0)))))))</f>
        <v>-2.5575519999999998</v>
      </c>
    </row>
    <row r="992" spans="1:15">
      <c r="A992" s="2">
        <v>40724</v>
      </c>
      <c r="B992" t="s">
        <v>22</v>
      </c>
      <c r="C992">
        <v>58</v>
      </c>
      <c r="D992" s="6" t="s">
        <v>12</v>
      </c>
      <c r="E992">
        <v>63</v>
      </c>
      <c r="F992">
        <v>0.85</v>
      </c>
      <c r="G992">
        <v>0</v>
      </c>
      <c r="N992">
        <f t="shared" si="15"/>
        <v>11.916443568749997</v>
      </c>
      <c r="O992">
        <f>IF(AND(OR(D992="S. acutus",D992="S. californicus",D992="S. tabernaemontani"),G992=0),E992*[1]Sheet1!$D$7+[1]Sheet1!$L$7,IF(AND(OR(D992="S. acutus",D992="S. tabernaemontani"),G992&gt;0),E992*[1]Sheet1!$D$8+N992*[1]Sheet1!$E$8,IF(AND(D992="S. californicus",G992&gt;0),E992*[1]Sheet1!$D$9+N992*[1]Sheet1!$E$9,IF(D992="S. maritimus",F992*[1]Sheet1!$C$10+E992*[1]Sheet1!$D$10+G992*[1]Sheet1!$F$10+[1]Sheet1!$L$10,IF(D992="S. americanus",F992*[1]Sheet1!$C$6+E992*[1]Sheet1!$D$6+[1]Sheet1!$L$6,IF(AND(OR(D992="T. domingensis",D992="T. latifolia"),E992&gt;0),F992*[1]Sheet1!$C$4+E992*[1]Sheet1!$D$4+H992*[1]Sheet1!$J$4+I992*[1]Sheet1!$K$4+[1]Sheet1!$L$4,IF(AND(OR(D992="T. domingensis",D992="T. latifolia"),J992&gt;0),J992*[1]Sheet1!$G$5+K992*[1]Sheet1!$H$5+L992*[1]Sheet1!$I$5+[1]Sheet1!$L$5,0)))))))</f>
        <v>-0.17398199999999964</v>
      </c>
    </row>
    <row r="993" spans="1:15">
      <c r="A993" s="2">
        <v>40724</v>
      </c>
      <c r="B993" t="s">
        <v>22</v>
      </c>
      <c r="C993">
        <v>58</v>
      </c>
      <c r="D993" s="6" t="s">
        <v>12</v>
      </c>
      <c r="E993">
        <v>74</v>
      </c>
      <c r="F993">
        <v>0.85</v>
      </c>
      <c r="G993">
        <v>0</v>
      </c>
      <c r="N993">
        <f t="shared" si="15"/>
        <v>13.99709244583333</v>
      </c>
      <c r="O993">
        <f>IF(AND(OR(D993="S. acutus",D993="S. californicus",D993="S. tabernaemontani"),G993=0),E993*[1]Sheet1!$D$7+[1]Sheet1!$L$7,IF(AND(OR(D993="S. acutus",D993="S. tabernaemontani"),G993&gt;0),E993*[1]Sheet1!$D$8+N993*[1]Sheet1!$E$8,IF(AND(D993="S. californicus",G993&gt;0),E993*[1]Sheet1!$D$9+N993*[1]Sheet1!$E$9,IF(D993="S. maritimus",F993*[1]Sheet1!$C$10+E993*[1]Sheet1!$D$10+G993*[1]Sheet1!$F$10+[1]Sheet1!$L$10,IF(D993="S. americanus",F993*[1]Sheet1!$C$6+E993*[1]Sheet1!$D$6+[1]Sheet1!$L$6,IF(AND(OR(D993="T. domingensis",D993="T. latifolia"),E993&gt;0),F993*[1]Sheet1!$C$4+E993*[1]Sheet1!$D$4+H993*[1]Sheet1!$J$4+I993*[1]Sheet1!$K$4+[1]Sheet1!$L$4,IF(AND(OR(D993="T. domingensis",D993="T. latifolia"),J993&gt;0),J993*[1]Sheet1!$G$5+K993*[1]Sheet1!$H$5+L993*[1]Sheet1!$I$5+[1]Sheet1!$L$5,0)))))))</f>
        <v>0.59717300000000062</v>
      </c>
    </row>
    <row r="994" spans="1:15">
      <c r="A994" s="2">
        <v>40724</v>
      </c>
      <c r="B994" t="s">
        <v>22</v>
      </c>
      <c r="C994">
        <v>58</v>
      </c>
      <c r="D994" s="6" t="s">
        <v>12</v>
      </c>
      <c r="E994">
        <v>82</v>
      </c>
      <c r="F994">
        <v>0.85</v>
      </c>
      <c r="G994">
        <v>0</v>
      </c>
      <c r="N994">
        <f t="shared" si="15"/>
        <v>15.510291629166662</v>
      </c>
      <c r="O994">
        <f>IF(AND(OR(D994="S. acutus",D994="S. californicus",D994="S. tabernaemontani"),G994=0),E994*[1]Sheet1!$D$7+[1]Sheet1!$L$7,IF(AND(OR(D994="S. acutus",D994="S. tabernaemontani"),G994&gt;0),E994*[1]Sheet1!$D$8+N994*[1]Sheet1!$E$8,IF(AND(D994="S. californicus",G994&gt;0),E994*[1]Sheet1!$D$9+N994*[1]Sheet1!$E$9,IF(D994="S. maritimus",F994*[1]Sheet1!$C$10+E994*[1]Sheet1!$D$10+G994*[1]Sheet1!$F$10+[1]Sheet1!$L$10,IF(D994="S. americanus",F994*[1]Sheet1!$C$6+E994*[1]Sheet1!$D$6+[1]Sheet1!$L$6,IF(AND(OR(D994="T. domingensis",D994="T. latifolia"),E994&gt;0),F994*[1]Sheet1!$C$4+E994*[1]Sheet1!$D$4+H994*[1]Sheet1!$J$4+I994*[1]Sheet1!$K$4+[1]Sheet1!$L$4,IF(AND(OR(D994="T. domingensis",D994="T. latifolia"),J994&gt;0),J994*[1]Sheet1!$G$5+K994*[1]Sheet1!$H$5+L994*[1]Sheet1!$I$5+[1]Sheet1!$L$5,0)))))))</f>
        <v>1.1580130000000004</v>
      </c>
    </row>
    <row r="995" spans="1:15">
      <c r="A995" s="2">
        <v>40724</v>
      </c>
      <c r="B995" t="s">
        <v>22</v>
      </c>
      <c r="C995">
        <v>58</v>
      </c>
      <c r="D995" s="6" t="s">
        <v>12</v>
      </c>
      <c r="E995">
        <v>89</v>
      </c>
      <c r="F995">
        <v>1.21</v>
      </c>
      <c r="G995">
        <v>0</v>
      </c>
      <c r="N995">
        <f t="shared" si="15"/>
        <v>34.113714232583327</v>
      </c>
      <c r="O995">
        <f>IF(AND(OR(D995="S. acutus",D995="S. californicus",D995="S. tabernaemontani"),G995=0),E995*[1]Sheet1!$D$7+[1]Sheet1!$L$7,IF(AND(OR(D995="S. acutus",D995="S. tabernaemontani"),G995&gt;0),E995*[1]Sheet1!$D$8+N995*[1]Sheet1!$E$8,IF(AND(D995="S. californicus",G995&gt;0),E995*[1]Sheet1!$D$9+N995*[1]Sheet1!$E$9,IF(D995="S. maritimus",F995*[1]Sheet1!$C$10+E995*[1]Sheet1!$D$10+G995*[1]Sheet1!$F$10+[1]Sheet1!$L$10,IF(D995="S. americanus",F995*[1]Sheet1!$C$6+E995*[1]Sheet1!$D$6+[1]Sheet1!$L$6,IF(AND(OR(D995="T. domingensis",D995="T. latifolia"),E995&gt;0),F995*[1]Sheet1!$C$4+E995*[1]Sheet1!$D$4+H995*[1]Sheet1!$J$4+I995*[1]Sheet1!$K$4+[1]Sheet1!$L$4,IF(AND(OR(D995="T. domingensis",D995="T. latifolia"),J995&gt;0),J995*[1]Sheet1!$G$5+K995*[1]Sheet1!$H$5+L995*[1]Sheet1!$I$5+[1]Sheet1!$L$5,0)))))))</f>
        <v>1.6487480000000003</v>
      </c>
    </row>
    <row r="996" spans="1:15">
      <c r="A996" s="2">
        <v>40724</v>
      </c>
      <c r="B996" t="s">
        <v>22</v>
      </c>
      <c r="C996">
        <v>58</v>
      </c>
      <c r="D996" s="6" t="s">
        <v>12</v>
      </c>
      <c r="E996">
        <v>94</v>
      </c>
      <c r="F996">
        <v>0.82</v>
      </c>
      <c r="G996">
        <v>0</v>
      </c>
      <c r="N996">
        <f t="shared" si="15"/>
        <v>16.547173408666662</v>
      </c>
      <c r="O996">
        <f>IF(AND(OR(D996="S. acutus",D996="S. californicus",D996="S. tabernaemontani"),G996=0),E996*[1]Sheet1!$D$7+[1]Sheet1!$L$7,IF(AND(OR(D996="S. acutus",D996="S. tabernaemontani"),G996&gt;0),E996*[1]Sheet1!$D$8+N996*[1]Sheet1!$E$8,IF(AND(D996="S. californicus",G996&gt;0),E996*[1]Sheet1!$D$9+N996*[1]Sheet1!$E$9,IF(D996="S. maritimus",F996*[1]Sheet1!$C$10+E996*[1]Sheet1!$D$10+G996*[1]Sheet1!$F$10+[1]Sheet1!$L$10,IF(D996="S. americanus",F996*[1]Sheet1!$C$6+E996*[1]Sheet1!$D$6+[1]Sheet1!$L$6,IF(AND(OR(D996="T. domingensis",D996="T. latifolia"),E996&gt;0),F996*[1]Sheet1!$C$4+E996*[1]Sheet1!$D$4+H996*[1]Sheet1!$J$4+I996*[1]Sheet1!$K$4+[1]Sheet1!$L$4,IF(AND(OR(D996="T. domingensis",D996="T. latifolia"),J996&gt;0),J996*[1]Sheet1!$G$5+K996*[1]Sheet1!$H$5+L996*[1]Sheet1!$I$5+[1]Sheet1!$L$5,0)))))))</f>
        <v>1.9992730000000005</v>
      </c>
    </row>
    <row r="997" spans="1:15">
      <c r="A997" s="2">
        <v>40724</v>
      </c>
      <c r="B997" t="s">
        <v>22</v>
      </c>
      <c r="C997">
        <v>58</v>
      </c>
      <c r="D997" s="6" t="s">
        <v>12</v>
      </c>
      <c r="E997">
        <v>94</v>
      </c>
      <c r="F997">
        <v>1.54</v>
      </c>
      <c r="G997">
        <v>0</v>
      </c>
      <c r="N997">
        <f t="shared" si="15"/>
        <v>58.362992944666658</v>
      </c>
      <c r="O997">
        <f>IF(AND(OR(D997="S. acutus",D997="S. californicus",D997="S. tabernaemontani"),G997=0),E997*[1]Sheet1!$D$7+[1]Sheet1!$L$7,IF(AND(OR(D997="S. acutus",D997="S. tabernaemontani"),G997&gt;0),E997*[1]Sheet1!$D$8+N997*[1]Sheet1!$E$8,IF(AND(D997="S. californicus",G997&gt;0),E997*[1]Sheet1!$D$9+N997*[1]Sheet1!$E$9,IF(D997="S. maritimus",F997*[1]Sheet1!$C$10+E997*[1]Sheet1!$D$10+G997*[1]Sheet1!$F$10+[1]Sheet1!$L$10,IF(D997="S. americanus",F997*[1]Sheet1!$C$6+E997*[1]Sheet1!$D$6+[1]Sheet1!$L$6,IF(AND(OR(D997="T. domingensis",D997="T. latifolia"),E997&gt;0),F997*[1]Sheet1!$C$4+E997*[1]Sheet1!$D$4+H997*[1]Sheet1!$J$4+I997*[1]Sheet1!$K$4+[1]Sheet1!$L$4,IF(AND(OR(D997="T. domingensis",D997="T. latifolia"),J997&gt;0),J997*[1]Sheet1!$G$5+K997*[1]Sheet1!$H$5+L997*[1]Sheet1!$I$5+[1]Sheet1!$L$5,0)))))))</f>
        <v>1.9992730000000005</v>
      </c>
    </row>
    <row r="998" spans="1:15">
      <c r="A998" s="2">
        <v>40724</v>
      </c>
      <c r="B998" t="s">
        <v>22</v>
      </c>
      <c r="C998">
        <v>58</v>
      </c>
      <c r="D998" s="6" t="s">
        <v>12</v>
      </c>
      <c r="E998">
        <v>101</v>
      </c>
      <c r="F998">
        <v>1.26</v>
      </c>
      <c r="G998">
        <v>0</v>
      </c>
      <c r="N998">
        <f t="shared" si="15"/>
        <v>41.978868057</v>
      </c>
      <c r="O998">
        <f>IF(AND(OR(D998="S. acutus",D998="S. californicus",D998="S. tabernaemontani"),G998=0),E998*[1]Sheet1!$D$7+[1]Sheet1!$L$7,IF(AND(OR(D998="S. acutus",D998="S. tabernaemontani"),G998&gt;0),E998*[1]Sheet1!$D$8+N998*[1]Sheet1!$E$8,IF(AND(D998="S. californicus",G998&gt;0),E998*[1]Sheet1!$D$9+N998*[1]Sheet1!$E$9,IF(D998="S. maritimus",F998*[1]Sheet1!$C$10+E998*[1]Sheet1!$D$10+G998*[1]Sheet1!$F$10+[1]Sheet1!$L$10,IF(D998="S. americanus",F998*[1]Sheet1!$C$6+E998*[1]Sheet1!$D$6+[1]Sheet1!$L$6,IF(AND(OR(D998="T. domingensis",D998="T. latifolia"),E998&gt;0),F998*[1]Sheet1!$C$4+E998*[1]Sheet1!$D$4+H998*[1]Sheet1!$J$4+I998*[1]Sheet1!$K$4+[1]Sheet1!$L$4,IF(AND(OR(D998="T. domingensis",D998="T. latifolia"),J998&gt;0),J998*[1]Sheet1!$G$5+K998*[1]Sheet1!$H$5+L998*[1]Sheet1!$I$5+[1]Sheet1!$L$5,0)))))))</f>
        <v>2.4900080000000004</v>
      </c>
    </row>
    <row r="999" spans="1:15">
      <c r="A999" s="2">
        <v>40724</v>
      </c>
      <c r="B999" t="s">
        <v>22</v>
      </c>
      <c r="C999">
        <v>58</v>
      </c>
      <c r="D999" s="6" t="s">
        <v>12</v>
      </c>
      <c r="E999">
        <v>105</v>
      </c>
      <c r="F999">
        <v>1.53</v>
      </c>
      <c r="G999">
        <v>0</v>
      </c>
      <c r="N999">
        <f t="shared" si="15"/>
        <v>64.348795271249998</v>
      </c>
      <c r="O999">
        <f>IF(AND(OR(D999="S. acutus",D999="S. californicus",D999="S. tabernaemontani"),G999=0),E999*[1]Sheet1!$D$7+[1]Sheet1!$L$7,IF(AND(OR(D999="S. acutus",D999="S. tabernaemontani"),G999&gt;0),E999*[1]Sheet1!$D$8+N999*[1]Sheet1!$E$8,IF(AND(D999="S. californicus",G999&gt;0),E999*[1]Sheet1!$D$9+N999*[1]Sheet1!$E$9,IF(D999="S. maritimus",F999*[1]Sheet1!$C$10+E999*[1]Sheet1!$D$10+G999*[1]Sheet1!$F$10+[1]Sheet1!$L$10,IF(D999="S. americanus",F999*[1]Sheet1!$C$6+E999*[1]Sheet1!$D$6+[1]Sheet1!$L$6,IF(AND(OR(D999="T. domingensis",D999="T. latifolia"),E999&gt;0),F999*[1]Sheet1!$C$4+E999*[1]Sheet1!$D$4+H999*[1]Sheet1!$J$4+I999*[1]Sheet1!$K$4+[1]Sheet1!$L$4,IF(AND(OR(D999="T. domingensis",D999="T. latifolia"),J999&gt;0),J999*[1]Sheet1!$G$5+K999*[1]Sheet1!$H$5+L999*[1]Sheet1!$I$5+[1]Sheet1!$L$5,0)))))))</f>
        <v>2.7704279999999999</v>
      </c>
    </row>
    <row r="1000" spans="1:15">
      <c r="A1000" s="2">
        <v>40724</v>
      </c>
      <c r="B1000" t="s">
        <v>22</v>
      </c>
      <c r="C1000">
        <v>58</v>
      </c>
      <c r="D1000" s="6" t="s">
        <v>12</v>
      </c>
      <c r="E1000">
        <v>107</v>
      </c>
      <c r="F1000">
        <v>1.52</v>
      </c>
      <c r="G1000">
        <v>0</v>
      </c>
      <c r="N1000">
        <f t="shared" si="15"/>
        <v>64.720105029333325</v>
      </c>
      <c r="O1000">
        <f>IF(AND(OR(D1000="S. acutus",D1000="S. californicus",D1000="S. tabernaemontani"),G1000=0),E1000*[1]Sheet1!$D$7+[1]Sheet1!$L$7,IF(AND(OR(D1000="S. acutus",D1000="S. tabernaemontani"),G1000&gt;0),E1000*[1]Sheet1!$D$8+N1000*[1]Sheet1!$E$8,IF(AND(D1000="S. californicus",G1000&gt;0),E1000*[1]Sheet1!$D$9+N1000*[1]Sheet1!$E$9,IF(D1000="S. maritimus",F1000*[1]Sheet1!$C$10+E1000*[1]Sheet1!$D$10+G1000*[1]Sheet1!$F$10+[1]Sheet1!$L$10,IF(D1000="S. americanus",F1000*[1]Sheet1!$C$6+E1000*[1]Sheet1!$D$6+[1]Sheet1!$L$6,IF(AND(OR(D1000="T. domingensis",D1000="T. latifolia"),E1000&gt;0),F1000*[1]Sheet1!$C$4+E1000*[1]Sheet1!$D$4+H1000*[1]Sheet1!$J$4+I1000*[1]Sheet1!$K$4+[1]Sheet1!$L$4,IF(AND(OR(D1000="T. domingensis",D1000="T. latifolia"),J1000&gt;0),J1000*[1]Sheet1!$G$5+K1000*[1]Sheet1!$H$5+L1000*[1]Sheet1!$I$5+[1]Sheet1!$L$5,0)))))))</f>
        <v>2.9106380000000005</v>
      </c>
    </row>
    <row r="1001" spans="1:15">
      <c r="A1001" s="2">
        <v>40724</v>
      </c>
      <c r="B1001" t="s">
        <v>22</v>
      </c>
      <c r="C1001">
        <v>58</v>
      </c>
      <c r="D1001" s="6" t="s">
        <v>12</v>
      </c>
      <c r="E1001">
        <v>118</v>
      </c>
      <c r="F1001">
        <v>1.32</v>
      </c>
      <c r="G1001">
        <v>0</v>
      </c>
      <c r="N1001">
        <f t="shared" si="15"/>
        <v>53.826746424</v>
      </c>
      <c r="O1001">
        <f>IF(AND(OR(D1001="S. acutus",D1001="S. californicus",D1001="S. tabernaemontani"),G1001=0),E1001*[1]Sheet1!$D$7+[1]Sheet1!$L$7,IF(AND(OR(D1001="S. acutus",D1001="S. tabernaemontani"),G1001&gt;0),E1001*[1]Sheet1!$D$8+N1001*[1]Sheet1!$E$8,IF(AND(D1001="S. californicus",G1001&gt;0),E1001*[1]Sheet1!$D$9+N1001*[1]Sheet1!$E$9,IF(D1001="S. maritimus",F1001*[1]Sheet1!$C$10+E1001*[1]Sheet1!$D$10+G1001*[1]Sheet1!$F$10+[1]Sheet1!$L$10,IF(D1001="S. americanus",F1001*[1]Sheet1!$C$6+E1001*[1]Sheet1!$D$6+[1]Sheet1!$L$6,IF(AND(OR(D1001="T. domingensis",D1001="T. latifolia"),E1001&gt;0),F1001*[1]Sheet1!$C$4+E1001*[1]Sheet1!$D$4+H1001*[1]Sheet1!$J$4+I1001*[1]Sheet1!$K$4+[1]Sheet1!$L$4,IF(AND(OR(D1001="T. domingensis",D1001="T. latifolia"),J1001&gt;0),J1001*[1]Sheet1!$G$5+K1001*[1]Sheet1!$H$5+L1001*[1]Sheet1!$I$5+[1]Sheet1!$L$5,0)))))))</f>
        <v>3.6817929999999999</v>
      </c>
    </row>
    <row r="1002" spans="1:15">
      <c r="A1002" s="2">
        <v>40724</v>
      </c>
      <c r="B1002" t="s">
        <v>22</v>
      </c>
      <c r="C1002">
        <v>58</v>
      </c>
      <c r="D1002" s="6" t="s">
        <v>12</v>
      </c>
      <c r="E1002">
        <v>131</v>
      </c>
      <c r="F1002">
        <v>1.1499999999999999</v>
      </c>
      <c r="G1002">
        <v>0</v>
      </c>
      <c r="N1002">
        <f t="shared" si="15"/>
        <v>45.356051127083319</v>
      </c>
      <c r="O1002">
        <f>IF(AND(OR(D1002="S. acutus",D1002="S. californicus",D1002="S. tabernaemontani"),G1002=0),E1002*[1]Sheet1!$D$7+[1]Sheet1!$L$7,IF(AND(OR(D1002="S. acutus",D1002="S. tabernaemontani"),G1002&gt;0),E1002*[1]Sheet1!$D$8+N1002*[1]Sheet1!$E$8,IF(AND(D1002="S. californicus",G1002&gt;0),E1002*[1]Sheet1!$D$9+N1002*[1]Sheet1!$E$9,IF(D1002="S. maritimus",F1002*[1]Sheet1!$C$10+E1002*[1]Sheet1!$D$10+G1002*[1]Sheet1!$F$10+[1]Sheet1!$L$10,IF(D1002="S. americanus",F1002*[1]Sheet1!$C$6+E1002*[1]Sheet1!$D$6+[1]Sheet1!$L$6,IF(AND(OR(D1002="T. domingensis",D1002="T. latifolia"),E1002&gt;0),F1002*[1]Sheet1!$C$4+E1002*[1]Sheet1!$D$4+H1002*[1]Sheet1!$J$4+I1002*[1]Sheet1!$K$4+[1]Sheet1!$L$4,IF(AND(OR(D1002="T. domingensis",D1002="T. latifolia"),J1002&gt;0),J1002*[1]Sheet1!$G$5+K1002*[1]Sheet1!$H$5+L1002*[1]Sheet1!$I$5+[1]Sheet1!$L$5,0)))))))</f>
        <v>4.5931579999999999</v>
      </c>
    </row>
    <row r="1003" spans="1:15">
      <c r="A1003" s="2">
        <v>40724</v>
      </c>
      <c r="B1003" t="s">
        <v>22</v>
      </c>
      <c r="C1003">
        <v>58</v>
      </c>
      <c r="D1003" s="6" t="s">
        <v>12</v>
      </c>
      <c r="E1003">
        <v>133</v>
      </c>
      <c r="F1003">
        <v>2.16</v>
      </c>
      <c r="G1003">
        <v>0</v>
      </c>
      <c r="N1003">
        <f t="shared" si="15"/>
        <v>162.45287553599999</v>
      </c>
      <c r="O1003">
        <f>IF(AND(OR(D1003="S. acutus",D1003="S. californicus",D1003="S. tabernaemontani"),G1003=0),E1003*[1]Sheet1!$D$7+[1]Sheet1!$L$7,IF(AND(OR(D1003="S. acutus",D1003="S. tabernaemontani"),G1003&gt;0),E1003*[1]Sheet1!$D$8+N1003*[1]Sheet1!$E$8,IF(AND(D1003="S. californicus",G1003&gt;0),E1003*[1]Sheet1!$D$9+N1003*[1]Sheet1!$E$9,IF(D1003="S. maritimus",F1003*[1]Sheet1!$C$10+E1003*[1]Sheet1!$D$10+G1003*[1]Sheet1!$F$10+[1]Sheet1!$L$10,IF(D1003="S. americanus",F1003*[1]Sheet1!$C$6+E1003*[1]Sheet1!$D$6+[1]Sheet1!$L$6,IF(AND(OR(D1003="T. domingensis",D1003="T. latifolia"),E1003&gt;0),F1003*[1]Sheet1!$C$4+E1003*[1]Sheet1!$D$4+H1003*[1]Sheet1!$J$4+I1003*[1]Sheet1!$K$4+[1]Sheet1!$L$4,IF(AND(OR(D1003="T. domingensis",D1003="T. latifolia"),J1003&gt;0),J1003*[1]Sheet1!$G$5+K1003*[1]Sheet1!$H$5+L1003*[1]Sheet1!$I$5+[1]Sheet1!$L$5,0)))))))</f>
        <v>4.7333679999999996</v>
      </c>
    </row>
    <row r="1004" spans="1:15">
      <c r="A1004" s="2">
        <v>40724</v>
      </c>
      <c r="B1004" t="s">
        <v>22</v>
      </c>
      <c r="C1004">
        <v>58</v>
      </c>
      <c r="D1004" s="6" t="s">
        <v>12</v>
      </c>
      <c r="E1004">
        <v>150</v>
      </c>
      <c r="F1004">
        <v>1.52</v>
      </c>
      <c r="G1004">
        <v>0</v>
      </c>
      <c r="N1004">
        <f t="shared" si="15"/>
        <v>90.7291192</v>
      </c>
      <c r="O1004">
        <f>IF(AND(OR(D1004="S. acutus",D1004="S. californicus",D1004="S. tabernaemontani"),G1004=0),E1004*[1]Sheet1!$D$7+[1]Sheet1!$L$7,IF(AND(OR(D1004="S. acutus",D1004="S. tabernaemontani"),G1004&gt;0),E1004*[1]Sheet1!$D$8+N1004*[1]Sheet1!$E$8,IF(AND(D1004="S. californicus",G1004&gt;0),E1004*[1]Sheet1!$D$9+N1004*[1]Sheet1!$E$9,IF(D1004="S. maritimus",F1004*[1]Sheet1!$C$10+E1004*[1]Sheet1!$D$10+G1004*[1]Sheet1!$F$10+[1]Sheet1!$L$10,IF(D1004="S. americanus",F1004*[1]Sheet1!$C$6+E1004*[1]Sheet1!$D$6+[1]Sheet1!$L$6,IF(AND(OR(D1004="T. domingensis",D1004="T. latifolia"),E1004&gt;0),F1004*[1]Sheet1!$C$4+E1004*[1]Sheet1!$D$4+H1004*[1]Sheet1!$J$4+I1004*[1]Sheet1!$K$4+[1]Sheet1!$L$4,IF(AND(OR(D1004="T. domingensis",D1004="T. latifolia"),J1004&gt;0),J1004*[1]Sheet1!$G$5+K1004*[1]Sheet1!$H$5+L1004*[1]Sheet1!$I$5+[1]Sheet1!$L$5,0)))))))</f>
        <v>5.9251530000000008</v>
      </c>
    </row>
    <row r="1005" spans="1:15">
      <c r="A1005" s="2">
        <v>40724</v>
      </c>
      <c r="B1005" t="s">
        <v>22</v>
      </c>
      <c r="C1005">
        <v>58</v>
      </c>
      <c r="D1005" s="6" t="s">
        <v>12</v>
      </c>
      <c r="E1005">
        <v>154</v>
      </c>
      <c r="F1005">
        <v>2.3199999999999998</v>
      </c>
      <c r="G1005">
        <v>5</v>
      </c>
      <c r="N1005">
        <f t="shared" si="15"/>
        <v>217.00260653866661</v>
      </c>
      <c r="O1005">
        <f>IF(AND(OR(D1005="S. acutus",D1005="S. californicus",D1005="S. tabernaemontani"),G1005=0),E1005*[1]Sheet1!$D$7+[1]Sheet1!$L$7,IF(AND(OR(D1005="S. acutus",D1005="S. tabernaemontani"),G1005&gt;0),E1005*[1]Sheet1!$D$8+N1005*[1]Sheet1!$E$8,IF(AND(D1005="S. californicus",G1005&gt;0),E1005*[1]Sheet1!$D$9+N1005*[1]Sheet1!$E$9,IF(D1005="S. maritimus",F1005*[1]Sheet1!$C$10+E1005*[1]Sheet1!$D$10+G1005*[1]Sheet1!$F$10+[1]Sheet1!$L$10,IF(D1005="S. americanus",F1005*[1]Sheet1!$C$6+E1005*[1]Sheet1!$D$6+[1]Sheet1!$L$6,IF(AND(OR(D1005="T. domingensis",D1005="T. latifolia"),E1005&gt;0),F1005*[1]Sheet1!$C$4+E1005*[1]Sheet1!$D$4+H1005*[1]Sheet1!$J$4+I1005*[1]Sheet1!$K$4+[1]Sheet1!$L$4,IF(AND(OR(D1005="T. domingensis",D1005="T. latifolia"),J1005&gt;0),J1005*[1]Sheet1!$G$5+K1005*[1]Sheet1!$H$5+L1005*[1]Sheet1!$I$5+[1]Sheet1!$L$5,0)))))))</f>
        <v>12.91777263289095</v>
      </c>
    </row>
    <row r="1006" spans="1:15">
      <c r="A1006" s="2">
        <v>40724</v>
      </c>
      <c r="B1006" t="s">
        <v>22</v>
      </c>
      <c r="C1006">
        <v>58</v>
      </c>
      <c r="D1006" s="6" t="s">
        <v>12</v>
      </c>
      <c r="E1006">
        <v>156</v>
      </c>
      <c r="F1006">
        <v>1.83</v>
      </c>
      <c r="G1006">
        <v>0</v>
      </c>
      <c r="N1006">
        <f t="shared" si="15"/>
        <v>136.77131976300001</v>
      </c>
      <c r="O1006">
        <f>IF(AND(OR(D1006="S. acutus",D1006="S. californicus",D1006="S. tabernaemontani"),G1006=0),E1006*[1]Sheet1!$D$7+[1]Sheet1!$L$7,IF(AND(OR(D1006="S. acutus",D1006="S. tabernaemontani"),G1006&gt;0),E1006*[1]Sheet1!$D$8+N1006*[1]Sheet1!$E$8,IF(AND(D1006="S. californicus",G1006&gt;0),E1006*[1]Sheet1!$D$9+N1006*[1]Sheet1!$E$9,IF(D1006="S. maritimus",F1006*[1]Sheet1!$C$10+E1006*[1]Sheet1!$D$10+G1006*[1]Sheet1!$F$10+[1]Sheet1!$L$10,IF(D1006="S. americanus",F1006*[1]Sheet1!$C$6+E1006*[1]Sheet1!$D$6+[1]Sheet1!$L$6,IF(AND(OR(D1006="T. domingensis",D1006="T. latifolia"),E1006&gt;0),F1006*[1]Sheet1!$C$4+E1006*[1]Sheet1!$D$4+H1006*[1]Sheet1!$J$4+I1006*[1]Sheet1!$K$4+[1]Sheet1!$L$4,IF(AND(OR(D1006="T. domingensis",D1006="T. latifolia"),J1006&gt;0),J1006*[1]Sheet1!$G$5+K1006*[1]Sheet1!$H$5+L1006*[1]Sheet1!$I$5+[1]Sheet1!$L$5,0)))))))</f>
        <v>6.345783</v>
      </c>
    </row>
    <row r="1007" spans="1:15">
      <c r="A1007" s="2">
        <v>40724</v>
      </c>
      <c r="B1007" t="s">
        <v>22</v>
      </c>
      <c r="C1007">
        <v>58</v>
      </c>
      <c r="D1007" s="6" t="s">
        <v>12</v>
      </c>
      <c r="E1007">
        <v>156</v>
      </c>
      <c r="F1007">
        <v>2.38</v>
      </c>
      <c r="G1007">
        <v>0</v>
      </c>
      <c r="N1007">
        <f t="shared" si="15"/>
        <v>231.33789114799995</v>
      </c>
      <c r="O1007">
        <f>IF(AND(OR(D1007="S. acutus",D1007="S. californicus",D1007="S. tabernaemontani"),G1007=0),E1007*[1]Sheet1!$D$7+[1]Sheet1!$L$7,IF(AND(OR(D1007="S. acutus",D1007="S. tabernaemontani"),G1007&gt;0),E1007*[1]Sheet1!$D$8+N1007*[1]Sheet1!$E$8,IF(AND(D1007="S. californicus",G1007&gt;0),E1007*[1]Sheet1!$D$9+N1007*[1]Sheet1!$E$9,IF(D1007="S. maritimus",F1007*[1]Sheet1!$C$10+E1007*[1]Sheet1!$D$10+G1007*[1]Sheet1!$F$10+[1]Sheet1!$L$10,IF(D1007="S. americanus",F1007*[1]Sheet1!$C$6+E1007*[1]Sheet1!$D$6+[1]Sheet1!$L$6,IF(AND(OR(D1007="T. domingensis",D1007="T. latifolia"),E1007&gt;0),F1007*[1]Sheet1!$C$4+E1007*[1]Sheet1!$D$4+H1007*[1]Sheet1!$J$4+I1007*[1]Sheet1!$K$4+[1]Sheet1!$L$4,IF(AND(OR(D1007="T. domingensis",D1007="T. latifolia"),J1007&gt;0),J1007*[1]Sheet1!$G$5+K1007*[1]Sheet1!$H$5+L1007*[1]Sheet1!$I$5+[1]Sheet1!$L$5,0)))))))</f>
        <v>6.345783</v>
      </c>
    </row>
    <row r="1008" spans="1:15">
      <c r="A1008" s="2">
        <v>40724</v>
      </c>
      <c r="B1008" t="s">
        <v>22</v>
      </c>
      <c r="C1008">
        <v>58</v>
      </c>
      <c r="D1008" s="6" t="s">
        <v>12</v>
      </c>
      <c r="E1008">
        <v>167</v>
      </c>
      <c r="F1008">
        <v>1.26</v>
      </c>
      <c r="G1008">
        <v>0</v>
      </c>
      <c r="N1008">
        <f t="shared" si="15"/>
        <v>69.410603619</v>
      </c>
      <c r="O1008">
        <f>IF(AND(OR(D1008="S. acutus",D1008="S. californicus",D1008="S. tabernaemontani"),G1008=0),E1008*[1]Sheet1!$D$7+[1]Sheet1!$L$7,IF(AND(OR(D1008="S. acutus",D1008="S. tabernaemontani"),G1008&gt;0),E1008*[1]Sheet1!$D$8+N1008*[1]Sheet1!$E$8,IF(AND(D1008="S. californicus",G1008&gt;0),E1008*[1]Sheet1!$D$9+N1008*[1]Sheet1!$E$9,IF(D1008="S. maritimus",F1008*[1]Sheet1!$C$10+E1008*[1]Sheet1!$D$10+G1008*[1]Sheet1!$F$10+[1]Sheet1!$L$10,IF(D1008="S. americanus",F1008*[1]Sheet1!$C$6+E1008*[1]Sheet1!$D$6+[1]Sheet1!$L$6,IF(AND(OR(D1008="T. domingensis",D1008="T. latifolia"),E1008&gt;0),F1008*[1]Sheet1!$C$4+E1008*[1]Sheet1!$D$4+H1008*[1]Sheet1!$J$4+I1008*[1]Sheet1!$K$4+[1]Sheet1!$L$4,IF(AND(OR(D1008="T. domingensis",D1008="T. latifolia"),J1008&gt;0),J1008*[1]Sheet1!$G$5+K1008*[1]Sheet1!$H$5+L1008*[1]Sheet1!$I$5+[1]Sheet1!$L$5,0)))))))</f>
        <v>7.1169380000000002</v>
      </c>
    </row>
    <row r="1009" spans="1:15">
      <c r="A1009" s="2">
        <v>40724</v>
      </c>
      <c r="B1009" t="s">
        <v>22</v>
      </c>
      <c r="C1009">
        <v>58</v>
      </c>
      <c r="D1009" s="6" t="s">
        <v>12</v>
      </c>
      <c r="E1009">
        <v>167</v>
      </c>
      <c r="F1009">
        <v>2.56</v>
      </c>
      <c r="G1009">
        <v>9</v>
      </c>
      <c r="N1009">
        <f t="shared" si="15"/>
        <v>286.52641211733334</v>
      </c>
      <c r="O1009">
        <f>IF(AND(OR(D1009="S. acutus",D1009="S. californicus",D1009="S. tabernaemontani"),G1009=0),E1009*[1]Sheet1!$D$7+[1]Sheet1!$L$7,IF(AND(OR(D1009="S. acutus",D1009="S. tabernaemontani"),G1009&gt;0),E1009*[1]Sheet1!$D$8+N1009*[1]Sheet1!$E$8,IF(AND(D1009="S. californicus",G1009&gt;0),E1009*[1]Sheet1!$D$9+N1009*[1]Sheet1!$E$9,IF(D1009="S. maritimus",F1009*[1]Sheet1!$C$10+E1009*[1]Sheet1!$D$10+G1009*[1]Sheet1!$F$10+[1]Sheet1!$L$10,IF(D1009="S. americanus",F1009*[1]Sheet1!$C$6+E1009*[1]Sheet1!$D$6+[1]Sheet1!$L$6,IF(AND(OR(D1009="T. domingensis",D1009="T. latifolia"),E1009&gt;0),F1009*[1]Sheet1!$C$4+E1009*[1]Sheet1!$D$4+H1009*[1]Sheet1!$J$4+I1009*[1]Sheet1!$K$4+[1]Sheet1!$L$4,IF(AND(OR(D1009="T. domingensis",D1009="T. latifolia"),J1009&gt;0),J1009*[1]Sheet1!$G$5+K1009*[1]Sheet1!$H$5+L1009*[1]Sheet1!$I$5+[1]Sheet1!$L$5,0)))))))</f>
        <v>15.657094043949041</v>
      </c>
    </row>
    <row r="1010" spans="1:15">
      <c r="A1010" s="2">
        <v>40724</v>
      </c>
      <c r="B1010" t="s">
        <v>22</v>
      </c>
      <c r="C1010">
        <v>58</v>
      </c>
      <c r="D1010" s="6" t="s">
        <v>12</v>
      </c>
      <c r="E1010">
        <v>173</v>
      </c>
      <c r="F1010">
        <v>2.0499999999999998</v>
      </c>
      <c r="G1010">
        <v>0</v>
      </c>
      <c r="N1010">
        <f t="shared" si="15"/>
        <v>190.3365026395833</v>
      </c>
      <c r="O1010">
        <f>IF(AND(OR(D1010="S. acutus",D1010="S. californicus",D1010="S. tabernaemontani"),G1010=0),E1010*[1]Sheet1!$D$7+[1]Sheet1!$L$7,IF(AND(OR(D1010="S. acutus",D1010="S. tabernaemontani"),G1010&gt;0),E1010*[1]Sheet1!$D$8+N1010*[1]Sheet1!$E$8,IF(AND(D1010="S. californicus",G1010&gt;0),E1010*[1]Sheet1!$D$9+N1010*[1]Sheet1!$E$9,IF(D1010="S. maritimus",F1010*[1]Sheet1!$C$10+E1010*[1]Sheet1!$D$10+G1010*[1]Sheet1!$F$10+[1]Sheet1!$L$10,IF(D1010="S. americanus",F1010*[1]Sheet1!$C$6+E1010*[1]Sheet1!$D$6+[1]Sheet1!$L$6,IF(AND(OR(D1010="T. domingensis",D1010="T. latifolia"),E1010&gt;0),F1010*[1]Sheet1!$C$4+E1010*[1]Sheet1!$D$4+H1010*[1]Sheet1!$J$4+I1010*[1]Sheet1!$K$4+[1]Sheet1!$L$4,IF(AND(OR(D1010="T. domingensis",D1010="T. latifolia"),J1010&gt;0),J1010*[1]Sheet1!$G$5+K1010*[1]Sheet1!$H$5+L1010*[1]Sheet1!$I$5+[1]Sheet1!$L$5,0)))))))</f>
        <v>7.5375680000000012</v>
      </c>
    </row>
    <row r="1011" spans="1:15">
      <c r="A1011" s="2">
        <v>40724</v>
      </c>
      <c r="B1011" t="s">
        <v>22</v>
      </c>
      <c r="C1011">
        <v>58</v>
      </c>
      <c r="D1011" s="6" t="s">
        <v>12</v>
      </c>
      <c r="E1011">
        <v>173</v>
      </c>
      <c r="F1011">
        <v>2.78</v>
      </c>
      <c r="G1011">
        <v>10</v>
      </c>
      <c r="N1011">
        <f t="shared" si="15"/>
        <v>350.02894158233323</v>
      </c>
      <c r="O1011">
        <f>IF(AND(OR(D1011="S. acutus",D1011="S. californicus",D1011="S. tabernaemontani"),G1011=0),E1011*[1]Sheet1!$D$7+[1]Sheet1!$L$7,IF(AND(OR(D1011="S. acutus",D1011="S. tabernaemontani"),G1011&gt;0),E1011*[1]Sheet1!$D$8+N1011*[1]Sheet1!$E$8,IF(AND(D1011="S. californicus",G1011&gt;0),E1011*[1]Sheet1!$D$9+N1011*[1]Sheet1!$E$9,IF(D1011="S. maritimus",F1011*[1]Sheet1!$C$10+E1011*[1]Sheet1!$D$10+G1011*[1]Sheet1!$F$10+[1]Sheet1!$L$10,IF(D1011="S. americanus",F1011*[1]Sheet1!$C$6+E1011*[1]Sheet1!$D$6+[1]Sheet1!$L$6,IF(AND(OR(D1011="T. domingensis",D1011="T. latifolia"),E1011&gt;0),F1011*[1]Sheet1!$C$4+E1011*[1]Sheet1!$D$4+H1011*[1]Sheet1!$J$4+I1011*[1]Sheet1!$K$4+[1]Sheet1!$L$4,IF(AND(OR(D1011="T. domingensis",D1011="T. latifolia"),J1011&gt;0),J1011*[1]Sheet1!$G$5+K1011*[1]Sheet1!$H$5+L1011*[1]Sheet1!$I$5+[1]Sheet1!$L$5,0)))))))</f>
        <v>17.932975244998552</v>
      </c>
    </row>
    <row r="1012" spans="1:15">
      <c r="A1012" s="2">
        <v>40724</v>
      </c>
      <c r="B1012" t="s">
        <v>22</v>
      </c>
      <c r="C1012">
        <v>58</v>
      </c>
      <c r="D1012" s="6" t="s">
        <v>12</v>
      </c>
      <c r="E1012">
        <v>175</v>
      </c>
      <c r="F1012">
        <v>1.4</v>
      </c>
      <c r="G1012">
        <v>0</v>
      </c>
      <c r="N1012">
        <f t="shared" si="15"/>
        <v>89.797114166666645</v>
      </c>
      <c r="O1012">
        <f>IF(AND(OR(D1012="S. acutus",D1012="S. californicus",D1012="S. tabernaemontani"),G1012=0),E1012*[1]Sheet1!$D$7+[1]Sheet1!$L$7,IF(AND(OR(D1012="S. acutus",D1012="S. tabernaemontani"),G1012&gt;0),E1012*[1]Sheet1!$D$8+N1012*[1]Sheet1!$E$8,IF(AND(D1012="S. californicus",G1012&gt;0),E1012*[1]Sheet1!$D$9+N1012*[1]Sheet1!$E$9,IF(D1012="S. maritimus",F1012*[1]Sheet1!$C$10+E1012*[1]Sheet1!$D$10+G1012*[1]Sheet1!$F$10+[1]Sheet1!$L$10,IF(D1012="S. americanus",F1012*[1]Sheet1!$C$6+E1012*[1]Sheet1!$D$6+[1]Sheet1!$L$6,IF(AND(OR(D1012="T. domingensis",D1012="T. latifolia"),E1012&gt;0),F1012*[1]Sheet1!$C$4+E1012*[1]Sheet1!$D$4+H1012*[1]Sheet1!$J$4+I1012*[1]Sheet1!$K$4+[1]Sheet1!$L$4,IF(AND(OR(D1012="T. domingensis",D1012="T. latifolia"),J1012&gt;0),J1012*[1]Sheet1!$G$5+K1012*[1]Sheet1!$H$5+L1012*[1]Sheet1!$I$5+[1]Sheet1!$L$5,0)))))))</f>
        <v>7.6777780000000009</v>
      </c>
    </row>
    <row r="1013" spans="1:15">
      <c r="A1013" s="2">
        <v>40724</v>
      </c>
      <c r="B1013" t="s">
        <v>22</v>
      </c>
      <c r="C1013">
        <v>58</v>
      </c>
      <c r="D1013" s="6" t="s">
        <v>12</v>
      </c>
      <c r="E1013">
        <v>175</v>
      </c>
      <c r="F1013">
        <v>2.44</v>
      </c>
      <c r="G1013">
        <v>7</v>
      </c>
      <c r="N1013">
        <f t="shared" si="15"/>
        <v>272.76331576666661</v>
      </c>
      <c r="O1013">
        <f>IF(AND(OR(D1013="S. acutus",D1013="S. californicus",D1013="S. tabernaemontani"),G1013=0),E1013*[1]Sheet1!$D$7+[1]Sheet1!$L$7,IF(AND(OR(D1013="S. acutus",D1013="S. tabernaemontani"),G1013&gt;0),E1013*[1]Sheet1!$D$8+N1013*[1]Sheet1!$E$8,IF(AND(D1013="S. californicus",G1013&gt;0),E1013*[1]Sheet1!$D$9+N1013*[1]Sheet1!$E$9,IF(D1013="S. maritimus",F1013*[1]Sheet1!$C$10+E1013*[1]Sheet1!$D$10+G1013*[1]Sheet1!$F$10+[1]Sheet1!$L$10,IF(D1013="S. americanus",F1013*[1]Sheet1!$C$6+E1013*[1]Sheet1!$D$6+[1]Sheet1!$L$6,IF(AND(OR(D1013="T. domingensis",D1013="T. latifolia"),E1013&gt;0),F1013*[1]Sheet1!$C$4+E1013*[1]Sheet1!$D$4+H1013*[1]Sheet1!$J$4+I1013*[1]Sheet1!$K$4+[1]Sheet1!$L$4,IF(AND(OR(D1013="T. domingensis",D1013="T. latifolia"),J1013&gt;0),J1013*[1]Sheet1!$G$5+K1013*[1]Sheet1!$H$5+L1013*[1]Sheet1!$I$5+[1]Sheet1!$L$5,0)))))))</f>
        <v>15.521966754670855</v>
      </c>
    </row>
    <row r="1014" spans="1:15">
      <c r="A1014" s="2">
        <v>40724</v>
      </c>
      <c r="B1014" t="s">
        <v>22</v>
      </c>
      <c r="C1014">
        <v>58</v>
      </c>
      <c r="D1014" s="6" t="s">
        <v>12</v>
      </c>
      <c r="E1014">
        <v>178</v>
      </c>
      <c r="F1014">
        <v>2.09</v>
      </c>
      <c r="G1014">
        <v>9</v>
      </c>
      <c r="N1014">
        <f t="shared" si="15"/>
        <v>203.55455930516661</v>
      </c>
      <c r="O1014">
        <f>IF(AND(OR(D1014="S. acutus",D1014="S. californicus",D1014="S. tabernaemontani"),G1014=0),E1014*[1]Sheet1!$D$7+[1]Sheet1!$L$7,IF(AND(OR(D1014="S. acutus",D1014="S. tabernaemontani"),G1014&gt;0),E1014*[1]Sheet1!$D$8+N1014*[1]Sheet1!$E$8,IF(AND(D1014="S. californicus",G1014&gt;0),E1014*[1]Sheet1!$D$9+N1014*[1]Sheet1!$E$9,IF(D1014="S. maritimus",F1014*[1]Sheet1!$C$10+E1014*[1]Sheet1!$D$10+G1014*[1]Sheet1!$F$10+[1]Sheet1!$L$10,IF(D1014="S. americanus",F1014*[1]Sheet1!$C$6+E1014*[1]Sheet1!$D$6+[1]Sheet1!$L$6,IF(AND(OR(D1014="T. domingensis",D1014="T. latifolia"),E1014&gt;0),F1014*[1]Sheet1!$C$4+E1014*[1]Sheet1!$D$4+H1014*[1]Sheet1!$J$4+I1014*[1]Sheet1!$K$4+[1]Sheet1!$L$4,IF(AND(OR(D1014="T. domingensis",D1014="T. latifolia"),J1014&gt;0),J1014*[1]Sheet1!$G$5+K1014*[1]Sheet1!$H$5+L1014*[1]Sheet1!$I$5+[1]Sheet1!$L$5,0)))))))</f>
        <v>13.40890380872974</v>
      </c>
    </row>
    <row r="1015" spans="1:15">
      <c r="A1015" s="2">
        <v>40724</v>
      </c>
      <c r="B1015" t="s">
        <v>22</v>
      </c>
      <c r="C1015">
        <v>58</v>
      </c>
      <c r="D1015" s="6" t="s">
        <v>12</v>
      </c>
      <c r="E1015">
        <v>181</v>
      </c>
      <c r="F1015">
        <v>2.36</v>
      </c>
      <c r="G1015">
        <v>8</v>
      </c>
      <c r="N1015">
        <f t="shared" si="15"/>
        <v>263.91911159866663</v>
      </c>
      <c r="O1015">
        <f>IF(AND(OR(D1015="S. acutus",D1015="S. californicus",D1015="S. tabernaemontani"),G1015=0),E1015*[1]Sheet1!$D$7+[1]Sheet1!$L$7,IF(AND(OR(D1015="S. acutus",D1015="S. tabernaemontani"),G1015&gt;0),E1015*[1]Sheet1!$D$8+N1015*[1]Sheet1!$E$8,IF(AND(D1015="S. californicus",G1015&gt;0),E1015*[1]Sheet1!$D$9+N1015*[1]Sheet1!$E$9,IF(D1015="S. maritimus",F1015*[1]Sheet1!$C$10+E1015*[1]Sheet1!$D$10+G1015*[1]Sheet1!$F$10+[1]Sheet1!$L$10,IF(D1015="S. americanus",F1015*[1]Sheet1!$C$6+E1015*[1]Sheet1!$D$6+[1]Sheet1!$L$6,IF(AND(OR(D1015="T. domingensis",D1015="T. latifolia"),E1015&gt;0),F1015*[1]Sheet1!$C$4+E1015*[1]Sheet1!$D$4+H1015*[1]Sheet1!$J$4+I1015*[1]Sheet1!$K$4+[1]Sheet1!$L$4,IF(AND(OR(D1015="T. domingensis",D1015="T. latifolia"),J1015&gt;0),J1015*[1]Sheet1!$G$5+K1015*[1]Sheet1!$H$5+L1015*[1]Sheet1!$I$5+[1]Sheet1!$L$5,0)))))))</f>
        <v>15.468218020677504</v>
      </c>
    </row>
    <row r="1016" spans="1:15">
      <c r="A1016" s="2">
        <v>40724</v>
      </c>
      <c r="B1016" t="s">
        <v>22</v>
      </c>
      <c r="C1016">
        <v>58</v>
      </c>
      <c r="D1016" s="6" t="s">
        <v>12</v>
      </c>
      <c r="E1016">
        <v>188</v>
      </c>
      <c r="F1016">
        <v>1.88</v>
      </c>
      <c r="G1016">
        <v>0</v>
      </c>
      <c r="N1016">
        <f t="shared" si="15"/>
        <v>173.95695923733331</v>
      </c>
      <c r="O1016">
        <f>IF(AND(OR(D1016="S. acutus",D1016="S. californicus",D1016="S. tabernaemontani"),G1016=0),E1016*[1]Sheet1!$D$7+[1]Sheet1!$L$7,IF(AND(OR(D1016="S. acutus",D1016="S. tabernaemontani"),G1016&gt;0),E1016*[1]Sheet1!$D$8+N1016*[1]Sheet1!$E$8,IF(AND(D1016="S. californicus",G1016&gt;0),E1016*[1]Sheet1!$D$9+N1016*[1]Sheet1!$E$9,IF(D1016="S. maritimus",F1016*[1]Sheet1!$C$10+E1016*[1]Sheet1!$D$10+G1016*[1]Sheet1!$F$10+[1]Sheet1!$L$10,IF(D1016="S. americanus",F1016*[1]Sheet1!$C$6+E1016*[1]Sheet1!$D$6+[1]Sheet1!$L$6,IF(AND(OR(D1016="T. domingensis",D1016="T. latifolia"),E1016&gt;0),F1016*[1]Sheet1!$C$4+E1016*[1]Sheet1!$D$4+H1016*[1]Sheet1!$J$4+I1016*[1]Sheet1!$K$4+[1]Sheet1!$L$4,IF(AND(OR(D1016="T. domingensis",D1016="T. latifolia"),J1016&gt;0),J1016*[1]Sheet1!$G$5+K1016*[1]Sheet1!$H$5+L1016*[1]Sheet1!$I$5+[1]Sheet1!$L$5,0)))))))</f>
        <v>8.589143</v>
      </c>
    </row>
    <row r="1017" spans="1:15">
      <c r="A1017" s="2">
        <v>40724</v>
      </c>
      <c r="B1017" t="s">
        <v>22</v>
      </c>
      <c r="C1017">
        <v>58</v>
      </c>
      <c r="D1017" s="6" t="s">
        <v>12</v>
      </c>
      <c r="E1017">
        <v>188</v>
      </c>
      <c r="F1017">
        <v>2.23</v>
      </c>
      <c r="G1017">
        <v>0</v>
      </c>
      <c r="N1017">
        <f t="shared" si="15"/>
        <v>244.75740227233331</v>
      </c>
      <c r="O1017">
        <f>IF(AND(OR(D1017="S. acutus",D1017="S. californicus",D1017="S. tabernaemontani"),G1017=0),E1017*[1]Sheet1!$D$7+[1]Sheet1!$L$7,IF(AND(OR(D1017="S. acutus",D1017="S. tabernaemontani"),G1017&gt;0),E1017*[1]Sheet1!$D$8+N1017*[1]Sheet1!$E$8,IF(AND(D1017="S. californicus",G1017&gt;0),E1017*[1]Sheet1!$D$9+N1017*[1]Sheet1!$E$9,IF(D1017="S. maritimus",F1017*[1]Sheet1!$C$10+E1017*[1]Sheet1!$D$10+G1017*[1]Sheet1!$F$10+[1]Sheet1!$L$10,IF(D1017="S. americanus",F1017*[1]Sheet1!$C$6+E1017*[1]Sheet1!$D$6+[1]Sheet1!$L$6,IF(AND(OR(D1017="T. domingensis",D1017="T. latifolia"),E1017&gt;0),F1017*[1]Sheet1!$C$4+E1017*[1]Sheet1!$D$4+H1017*[1]Sheet1!$J$4+I1017*[1]Sheet1!$K$4+[1]Sheet1!$L$4,IF(AND(OR(D1017="T. domingensis",D1017="T. latifolia"),J1017&gt;0),J1017*[1]Sheet1!$G$5+K1017*[1]Sheet1!$H$5+L1017*[1]Sheet1!$I$5+[1]Sheet1!$L$5,0)))))))</f>
        <v>8.589143</v>
      </c>
    </row>
    <row r="1018" spans="1:15">
      <c r="A1018" s="2">
        <v>40724</v>
      </c>
      <c r="B1018" t="s">
        <v>22</v>
      </c>
      <c r="C1018">
        <v>58</v>
      </c>
      <c r="D1018" s="6" t="s">
        <v>12</v>
      </c>
      <c r="E1018">
        <v>190</v>
      </c>
      <c r="F1018">
        <v>1.95</v>
      </c>
      <c r="G1018">
        <v>0</v>
      </c>
      <c r="N1018">
        <f t="shared" si="15"/>
        <v>189.14335293749997</v>
      </c>
      <c r="O1018">
        <f>IF(AND(OR(D1018="S. acutus",D1018="S. californicus",D1018="S. tabernaemontani"),G1018=0),E1018*[1]Sheet1!$D$7+[1]Sheet1!$L$7,IF(AND(OR(D1018="S. acutus",D1018="S. tabernaemontani"),G1018&gt;0),E1018*[1]Sheet1!$D$8+N1018*[1]Sheet1!$E$8,IF(AND(D1018="S. californicus",G1018&gt;0),E1018*[1]Sheet1!$D$9+N1018*[1]Sheet1!$E$9,IF(D1018="S. maritimus",F1018*[1]Sheet1!$C$10+E1018*[1]Sheet1!$D$10+G1018*[1]Sheet1!$F$10+[1]Sheet1!$L$10,IF(D1018="S. americanus",F1018*[1]Sheet1!$C$6+E1018*[1]Sheet1!$D$6+[1]Sheet1!$L$6,IF(AND(OR(D1018="T. domingensis",D1018="T. latifolia"),E1018&gt;0),F1018*[1]Sheet1!$C$4+E1018*[1]Sheet1!$D$4+H1018*[1]Sheet1!$J$4+I1018*[1]Sheet1!$K$4+[1]Sheet1!$L$4,IF(AND(OR(D1018="T. domingensis",D1018="T. latifolia"),J1018&gt;0),J1018*[1]Sheet1!$G$5+K1018*[1]Sheet1!$H$5+L1018*[1]Sheet1!$I$5+[1]Sheet1!$L$5,0)))))))</f>
        <v>8.7293529999999997</v>
      </c>
    </row>
    <row r="1019" spans="1:15">
      <c r="A1019" s="2">
        <v>40724</v>
      </c>
      <c r="B1019" t="s">
        <v>22</v>
      </c>
      <c r="C1019">
        <v>58</v>
      </c>
      <c r="D1019" s="6" t="s">
        <v>12</v>
      </c>
      <c r="E1019">
        <v>199</v>
      </c>
      <c r="F1019">
        <v>2.64</v>
      </c>
      <c r="G1019">
        <v>5</v>
      </c>
      <c r="N1019">
        <f t="shared" si="15"/>
        <v>363.10245892799998</v>
      </c>
      <c r="O1019">
        <f>IF(AND(OR(D1019="S. acutus",D1019="S. californicus",D1019="S. tabernaemontani"),G1019=0),E1019*[1]Sheet1!$D$7+[1]Sheet1!$L$7,IF(AND(OR(D1019="S. acutus",D1019="S. tabernaemontani"),G1019&gt;0),E1019*[1]Sheet1!$D$8+N1019*[1]Sheet1!$E$8,IF(AND(D1019="S. californicus",G1019&gt;0),E1019*[1]Sheet1!$D$9+N1019*[1]Sheet1!$E$9,IF(D1019="S. maritimus",F1019*[1]Sheet1!$C$10+E1019*[1]Sheet1!$D$10+G1019*[1]Sheet1!$F$10+[1]Sheet1!$L$10,IF(D1019="S. americanus",F1019*[1]Sheet1!$C$6+E1019*[1]Sheet1!$D$6+[1]Sheet1!$L$6,IF(AND(OR(D1019="T. domingensis",D1019="T. latifolia"),E1019&gt;0),F1019*[1]Sheet1!$C$4+E1019*[1]Sheet1!$D$4+H1019*[1]Sheet1!$J$4+I1019*[1]Sheet1!$K$4+[1]Sheet1!$L$4,IF(AND(OR(D1019="T. domingensis",D1019="T. latifolia"),J1019&gt;0),J1019*[1]Sheet1!$G$5+K1019*[1]Sheet1!$H$5+L1019*[1]Sheet1!$I$5+[1]Sheet1!$L$5,0)))))))</f>
        <v>19.355138869694635</v>
      </c>
    </row>
    <row r="1020" spans="1:15">
      <c r="A1020" s="2">
        <v>40724</v>
      </c>
      <c r="B1020" t="s">
        <v>22</v>
      </c>
      <c r="C1020">
        <v>58</v>
      </c>
      <c r="D1020" s="6" t="s">
        <v>12</v>
      </c>
      <c r="E1020">
        <v>200</v>
      </c>
      <c r="F1020">
        <v>1.94</v>
      </c>
      <c r="G1020">
        <v>0</v>
      </c>
      <c r="N1020">
        <f t="shared" si="15"/>
        <v>197.0614687333333</v>
      </c>
      <c r="O1020">
        <f>IF(AND(OR(D1020="S. acutus",D1020="S. californicus",D1020="S. tabernaemontani"),G1020=0),E1020*[1]Sheet1!$D$7+[1]Sheet1!$L$7,IF(AND(OR(D1020="S. acutus",D1020="S. tabernaemontani"),G1020&gt;0),E1020*[1]Sheet1!$D$8+N1020*[1]Sheet1!$E$8,IF(AND(D1020="S. californicus",G1020&gt;0),E1020*[1]Sheet1!$D$9+N1020*[1]Sheet1!$E$9,IF(D1020="S. maritimus",F1020*[1]Sheet1!$C$10+E1020*[1]Sheet1!$D$10+G1020*[1]Sheet1!$F$10+[1]Sheet1!$L$10,IF(D1020="S. americanus",F1020*[1]Sheet1!$C$6+E1020*[1]Sheet1!$D$6+[1]Sheet1!$L$6,IF(AND(OR(D1020="T. domingensis",D1020="T. latifolia"),E1020&gt;0),F1020*[1]Sheet1!$C$4+E1020*[1]Sheet1!$D$4+H1020*[1]Sheet1!$J$4+I1020*[1]Sheet1!$K$4+[1]Sheet1!$L$4,IF(AND(OR(D1020="T. domingensis",D1020="T. latifolia"),J1020&gt;0),J1020*[1]Sheet1!$G$5+K1020*[1]Sheet1!$H$5+L1020*[1]Sheet1!$I$5+[1]Sheet1!$L$5,0)))))))</f>
        <v>9.4304030000000019</v>
      </c>
    </row>
    <row r="1021" spans="1:15">
      <c r="A1021" s="2">
        <v>40724</v>
      </c>
      <c r="B1021" t="s">
        <v>22</v>
      </c>
      <c r="C1021">
        <v>58</v>
      </c>
      <c r="D1021" s="6" t="s">
        <v>12</v>
      </c>
      <c r="E1021">
        <v>202</v>
      </c>
      <c r="F1021">
        <v>2.8</v>
      </c>
      <c r="G1021">
        <v>6</v>
      </c>
      <c r="N1021">
        <f t="shared" si="15"/>
        <v>414.60610426666659</v>
      </c>
      <c r="O1021">
        <f>IF(AND(OR(D1021="S. acutus",D1021="S. californicus",D1021="S. tabernaemontani"),G1021=0),E1021*[1]Sheet1!$D$7+[1]Sheet1!$L$7,IF(AND(OR(D1021="S. acutus",D1021="S. tabernaemontani"),G1021&gt;0),E1021*[1]Sheet1!$D$8+N1021*[1]Sheet1!$E$8,IF(AND(D1021="S. californicus",G1021&gt;0),E1021*[1]Sheet1!$D$9+N1021*[1]Sheet1!$E$9,IF(D1021="S. maritimus",F1021*[1]Sheet1!$C$10+E1021*[1]Sheet1!$D$10+G1021*[1]Sheet1!$F$10+[1]Sheet1!$L$10,IF(D1021="S. americanus",F1021*[1]Sheet1!$C$6+E1021*[1]Sheet1!$D$6+[1]Sheet1!$L$6,IF(AND(OR(D1021="T. domingensis",D1021="T. latifolia"),E1021&gt;0),F1021*[1]Sheet1!$C$4+E1021*[1]Sheet1!$D$4+H1021*[1]Sheet1!$J$4+I1021*[1]Sheet1!$K$4+[1]Sheet1!$L$4,IF(AND(OR(D1021="T. domingensis",D1021="T. latifolia"),J1021&gt;0),J1021*[1]Sheet1!$G$5+K1021*[1]Sheet1!$H$5+L1021*[1]Sheet1!$I$5+[1]Sheet1!$L$5,0)))))))</f>
        <v>21.129123902880504</v>
      </c>
    </row>
    <row r="1022" spans="1:15">
      <c r="A1022" s="2">
        <v>40724</v>
      </c>
      <c r="B1022" t="s">
        <v>22</v>
      </c>
      <c r="C1022">
        <v>58</v>
      </c>
      <c r="D1022" s="6" t="s">
        <v>12</v>
      </c>
      <c r="E1022">
        <v>211</v>
      </c>
      <c r="F1022">
        <v>2.36</v>
      </c>
      <c r="G1022">
        <v>0</v>
      </c>
      <c r="N1022">
        <f t="shared" si="15"/>
        <v>307.66261075866663</v>
      </c>
      <c r="O1022">
        <f>IF(AND(OR(D1022="S. acutus",D1022="S. californicus",D1022="S. tabernaemontani"),G1022=0),E1022*[1]Sheet1!$D$7+[1]Sheet1!$L$7,IF(AND(OR(D1022="S. acutus",D1022="S. tabernaemontani"),G1022&gt;0),E1022*[1]Sheet1!$D$8+N1022*[1]Sheet1!$E$8,IF(AND(D1022="S. californicus",G1022&gt;0),E1022*[1]Sheet1!$D$9+N1022*[1]Sheet1!$E$9,IF(D1022="S. maritimus",F1022*[1]Sheet1!$C$10+E1022*[1]Sheet1!$D$10+G1022*[1]Sheet1!$F$10+[1]Sheet1!$L$10,IF(D1022="S. americanus",F1022*[1]Sheet1!$C$6+E1022*[1]Sheet1!$D$6+[1]Sheet1!$L$6,IF(AND(OR(D1022="T. domingensis",D1022="T. latifolia"),E1022&gt;0),F1022*[1]Sheet1!$C$4+E1022*[1]Sheet1!$D$4+H1022*[1]Sheet1!$J$4+I1022*[1]Sheet1!$K$4+[1]Sheet1!$L$4,IF(AND(OR(D1022="T. domingensis",D1022="T. latifolia"),J1022&gt;0),J1022*[1]Sheet1!$G$5+K1022*[1]Sheet1!$H$5+L1022*[1]Sheet1!$I$5+[1]Sheet1!$L$5,0)))))))</f>
        <v>10.201557999999999</v>
      </c>
    </row>
    <row r="1023" spans="1:15">
      <c r="A1023" s="2">
        <v>40724</v>
      </c>
      <c r="B1023" t="s">
        <v>22</v>
      </c>
      <c r="C1023">
        <v>58</v>
      </c>
      <c r="D1023" s="6" t="s">
        <v>12</v>
      </c>
      <c r="E1023">
        <v>211</v>
      </c>
      <c r="F1023">
        <v>2.4300000000000002</v>
      </c>
      <c r="G1023">
        <v>0</v>
      </c>
      <c r="N1023">
        <f t="shared" si="15"/>
        <v>326.18445674174995</v>
      </c>
      <c r="O1023">
        <f>IF(AND(OR(D1023="S. acutus",D1023="S. californicus",D1023="S. tabernaemontani"),G1023=0),E1023*[1]Sheet1!$D$7+[1]Sheet1!$L$7,IF(AND(OR(D1023="S. acutus",D1023="S. tabernaemontani"),G1023&gt;0),E1023*[1]Sheet1!$D$8+N1023*[1]Sheet1!$E$8,IF(AND(D1023="S. californicus",G1023&gt;0),E1023*[1]Sheet1!$D$9+N1023*[1]Sheet1!$E$9,IF(D1023="S. maritimus",F1023*[1]Sheet1!$C$10+E1023*[1]Sheet1!$D$10+G1023*[1]Sheet1!$F$10+[1]Sheet1!$L$10,IF(D1023="S. americanus",F1023*[1]Sheet1!$C$6+E1023*[1]Sheet1!$D$6+[1]Sheet1!$L$6,IF(AND(OR(D1023="T. domingensis",D1023="T. latifolia"),E1023&gt;0),F1023*[1]Sheet1!$C$4+E1023*[1]Sheet1!$D$4+H1023*[1]Sheet1!$J$4+I1023*[1]Sheet1!$K$4+[1]Sheet1!$L$4,IF(AND(OR(D1023="T. domingensis",D1023="T. latifolia"),J1023&gt;0),J1023*[1]Sheet1!$G$5+K1023*[1]Sheet1!$H$5+L1023*[1]Sheet1!$I$5+[1]Sheet1!$L$5,0)))))))</f>
        <v>10.201557999999999</v>
      </c>
    </row>
    <row r="1024" spans="1:15">
      <c r="A1024" s="2">
        <v>40738</v>
      </c>
      <c r="B1024" t="s">
        <v>40</v>
      </c>
      <c r="C1024">
        <v>9</v>
      </c>
      <c r="D1024" s="6" t="s">
        <v>12</v>
      </c>
      <c r="E1024">
        <v>282</v>
      </c>
      <c r="F1024">
        <v>1.69</v>
      </c>
      <c r="G1024">
        <v>5</v>
      </c>
      <c r="N1024">
        <f t="shared" si="15"/>
        <v>210.85833717649996</v>
      </c>
      <c r="O1024">
        <f>IF(AND(OR(D1024="S. acutus",D1024="S. californicus",D1024="S. tabernaemontani"),G1024=0),E1024*[1]Sheet1!$D$7+[1]Sheet1!$L$7,IF(AND(OR(D1024="S. acutus",D1024="S. tabernaemontani"),G1024&gt;0),E1024*[1]Sheet1!$D$8+N1024*[1]Sheet1!$E$8,IF(AND(D1024="S. californicus",G1024&gt;0),E1024*[1]Sheet1!$D$9+N1024*[1]Sheet1!$E$9,IF(D1024="S. maritimus",F1024*[1]Sheet1!$C$10+E1024*[1]Sheet1!$D$10+G1024*[1]Sheet1!$F$10+[1]Sheet1!$L$10,IF(D1024="S. americanus",F1024*[1]Sheet1!$C$6+E1024*[1]Sheet1!$D$6+[1]Sheet1!$L$6,IF(AND(OR(D1024="T. domingensis",D1024="T. latifolia"),E1024&gt;0),F1024*[1]Sheet1!$C$4+E1024*[1]Sheet1!$D$4+H1024*[1]Sheet1!$J$4+I1024*[1]Sheet1!$K$4+[1]Sheet1!$L$4,IF(AND(OR(D1024="T. domingensis",D1024="T. latifolia"),J1024&gt;0),J1024*[1]Sheet1!$G$5+K1024*[1]Sheet1!$H$5+L1024*[1]Sheet1!$I$5+[1]Sheet1!$L$5,0)))))))</f>
        <v>17.648830429586759</v>
      </c>
    </row>
    <row r="1025" spans="1:15">
      <c r="A1025" s="2">
        <v>40738</v>
      </c>
      <c r="B1025" t="s">
        <v>40</v>
      </c>
      <c r="C1025">
        <v>9</v>
      </c>
      <c r="D1025" s="6" t="s">
        <v>12</v>
      </c>
      <c r="E1025">
        <v>301</v>
      </c>
      <c r="F1025">
        <v>1.1499999999999999</v>
      </c>
      <c r="G1025">
        <v>16</v>
      </c>
      <c r="N1025">
        <f t="shared" si="15"/>
        <v>104.21504877291663</v>
      </c>
      <c r="O1025">
        <f>IF(AND(OR(D1025="S. acutus",D1025="S. californicus",D1025="S. tabernaemontani"),G1025=0),E1025*[1]Sheet1!$D$7+[1]Sheet1!$L$7,IF(AND(OR(D1025="S. acutus",D1025="S. tabernaemontani"),G1025&gt;0),E1025*[1]Sheet1!$D$8+N1025*[1]Sheet1!$E$8,IF(AND(D1025="S. californicus",G1025&gt;0),E1025*[1]Sheet1!$D$9+N1025*[1]Sheet1!$E$9,IF(D1025="S. maritimus",F1025*[1]Sheet1!$C$10+E1025*[1]Sheet1!$D$10+G1025*[1]Sheet1!$F$10+[1]Sheet1!$L$10,IF(D1025="S. americanus",F1025*[1]Sheet1!$C$6+E1025*[1]Sheet1!$D$6+[1]Sheet1!$L$6,IF(AND(OR(D1025="T. domingensis",D1025="T. latifolia"),E1025&gt;0),F1025*[1]Sheet1!$C$4+E1025*[1]Sheet1!$D$4+H1025*[1]Sheet1!$J$4+I1025*[1]Sheet1!$K$4+[1]Sheet1!$L$4,IF(AND(OR(D1025="T. domingensis",D1025="T. latifolia"),J1025&gt;0),J1025*[1]Sheet1!$G$5+K1025*[1]Sheet1!$H$5+L1025*[1]Sheet1!$I$5+[1]Sheet1!$L$5,0)))))))</f>
        <v>14.946455464031811</v>
      </c>
    </row>
    <row r="1026" spans="1:15">
      <c r="A1026" s="2">
        <v>40738</v>
      </c>
      <c r="B1026" t="s">
        <v>40</v>
      </c>
      <c r="C1026">
        <v>9</v>
      </c>
      <c r="D1026" s="6" t="s">
        <v>12</v>
      </c>
      <c r="E1026">
        <v>347</v>
      </c>
      <c r="F1026">
        <v>1.45</v>
      </c>
      <c r="G1026">
        <v>4</v>
      </c>
      <c r="N1026">
        <f t="shared" si="15"/>
        <v>191.00016352708332</v>
      </c>
      <c r="O1026">
        <f>IF(AND(OR(D1026="S. acutus",D1026="S. californicus",D1026="S. tabernaemontani"),G1026=0),E1026*[1]Sheet1!$D$7+[1]Sheet1!$L$7,IF(AND(OR(D1026="S. acutus",D1026="S. tabernaemontani"),G1026&gt;0),E1026*[1]Sheet1!$D$8+N1026*[1]Sheet1!$E$8,IF(AND(D1026="S. californicus",G1026&gt;0),E1026*[1]Sheet1!$D$9+N1026*[1]Sheet1!$E$9,IF(D1026="S. maritimus",F1026*[1]Sheet1!$C$10+E1026*[1]Sheet1!$D$10+G1026*[1]Sheet1!$F$10+[1]Sheet1!$L$10,IF(D1026="S. americanus",F1026*[1]Sheet1!$C$6+E1026*[1]Sheet1!$D$6+[1]Sheet1!$L$6,IF(AND(OR(D1026="T. domingensis",D1026="T. latifolia"),E1026&gt;0),F1026*[1]Sheet1!$C$4+E1026*[1]Sheet1!$D$4+H1026*[1]Sheet1!$J$4+I1026*[1]Sheet1!$K$4+[1]Sheet1!$L$4,IF(AND(OR(D1026="T. domingensis",D1026="T. latifolia"),J1026&gt;0),J1026*[1]Sheet1!$G$5+K1026*[1]Sheet1!$H$5+L1026*[1]Sheet1!$I$5+[1]Sheet1!$L$5,0)))))))</f>
        <v>19.512340865719256</v>
      </c>
    </row>
    <row r="1027" spans="1:15">
      <c r="A1027" s="2">
        <v>40738</v>
      </c>
      <c r="B1027" t="s">
        <v>40</v>
      </c>
      <c r="C1027">
        <v>9</v>
      </c>
      <c r="D1027" s="6" t="s">
        <v>12</v>
      </c>
      <c r="E1027">
        <v>350</v>
      </c>
      <c r="F1027">
        <v>1.42</v>
      </c>
      <c r="G1027">
        <v>11</v>
      </c>
      <c r="N1027">
        <f t="shared" si="15"/>
        <v>184.76214388333332</v>
      </c>
      <c r="O1027">
        <f>IF(AND(OR(D1027="S. acutus",D1027="S. californicus",D1027="S. tabernaemontani"),G1027=0),E1027*[1]Sheet1!$D$7+[1]Sheet1!$L$7,IF(AND(OR(D1027="S. acutus",D1027="S. tabernaemontani"),G1027&gt;0),E1027*[1]Sheet1!$D$8+N1027*[1]Sheet1!$E$8,IF(AND(D1027="S. californicus",G1027&gt;0),E1027*[1]Sheet1!$D$9+N1027*[1]Sheet1!$E$9,IF(D1027="S. maritimus",F1027*[1]Sheet1!$C$10+E1027*[1]Sheet1!$D$10+G1027*[1]Sheet1!$F$10+[1]Sheet1!$L$10,IF(D1027="S. americanus",F1027*[1]Sheet1!$C$6+E1027*[1]Sheet1!$D$6+[1]Sheet1!$L$6,IF(AND(OR(D1027="T. domingensis",D1027="T. latifolia"),E1027&gt;0),F1027*[1]Sheet1!$C$4+E1027*[1]Sheet1!$D$4+H1027*[1]Sheet1!$J$4+I1027*[1]Sheet1!$K$4+[1]Sheet1!$L$4,IF(AND(OR(D1027="T. domingensis",D1027="T. latifolia"),J1027&gt;0),J1027*[1]Sheet1!$G$5+K1027*[1]Sheet1!$H$5+L1027*[1]Sheet1!$I$5+[1]Sheet1!$L$5,0)))))))</f>
        <v>19.426992318972829</v>
      </c>
    </row>
    <row r="1028" spans="1:15">
      <c r="A1028" s="2">
        <v>40738</v>
      </c>
      <c r="B1028" t="s">
        <v>40</v>
      </c>
      <c r="C1028">
        <v>9</v>
      </c>
      <c r="D1028" s="6" t="s">
        <v>12</v>
      </c>
      <c r="E1028">
        <v>376</v>
      </c>
      <c r="F1028">
        <v>1.84</v>
      </c>
      <c r="G1028">
        <v>0</v>
      </c>
      <c r="N1028">
        <f t="shared" si="15"/>
        <v>333.26656925866666</v>
      </c>
      <c r="O1028">
        <f>IF(AND(OR(D1028="S. acutus",D1028="S. californicus",D1028="S. tabernaemontani"),G1028=0),E1028*[1]Sheet1!$D$7+[1]Sheet1!$L$7,IF(AND(OR(D1028="S. acutus",D1028="S. tabernaemontani"),G1028&gt;0),E1028*[1]Sheet1!$D$8+N1028*[1]Sheet1!$E$8,IF(AND(D1028="S. californicus",G1028&gt;0),E1028*[1]Sheet1!$D$9+N1028*[1]Sheet1!$E$9,IF(D1028="S. maritimus",F1028*[1]Sheet1!$C$10+E1028*[1]Sheet1!$D$10+G1028*[1]Sheet1!$F$10+[1]Sheet1!$L$10,IF(D1028="S. americanus",F1028*[1]Sheet1!$C$6+E1028*[1]Sheet1!$D$6+[1]Sheet1!$L$6,IF(AND(OR(D1028="T. domingensis",D1028="T. latifolia"),E1028&gt;0),F1028*[1]Sheet1!$C$4+E1028*[1]Sheet1!$D$4+H1028*[1]Sheet1!$J$4+I1028*[1]Sheet1!$K$4+[1]Sheet1!$L$4,IF(AND(OR(D1028="T. domingensis",D1028="T. latifolia"),J1028&gt;0),J1028*[1]Sheet1!$G$5+K1028*[1]Sheet1!$H$5+L1028*[1]Sheet1!$I$5+[1]Sheet1!$L$5,0)))))))</f>
        <v>21.768883000000002</v>
      </c>
    </row>
    <row r="1029" spans="1:15">
      <c r="A1029" s="2">
        <v>40738</v>
      </c>
      <c r="B1029" t="s">
        <v>40</v>
      </c>
      <c r="C1029">
        <v>9</v>
      </c>
      <c r="D1029" s="6" t="s">
        <v>42</v>
      </c>
      <c r="E1029" s="15">
        <v>317</v>
      </c>
      <c r="F1029">
        <v>1.66</v>
      </c>
      <c r="G1029">
        <v>17</v>
      </c>
      <c r="N1029">
        <f>((1/3)*(3.14159)*((F1029/2)^2)*E1029)</f>
        <v>228.68816942233329</v>
      </c>
      <c r="O1029">
        <f>IF(AND(OR(D1029="S. acutus",D1029="S. californicus",D1029="S. tabernaemontani"),G1029=0),E1029*[1]Sheet1!$D$7+[1]Sheet1!$L$7,IF(AND(OR(D1029="S. acutus",D1029="S. tabernaemontani"),G1029&gt;0),E1029*[1]Sheet1!$D$8+N1029*[1]Sheet1!$E$8,IF(AND(D1029="S. californicus",G1029&gt;0),E1029*[1]Sheet1!$D$9+N1029*[1]Sheet1!$E$9,IF(D1029="S. maritimus",F1029*[1]Sheet1!$C$10+E1029*[1]Sheet1!$D$10+G1029*[1]Sheet1!$F$10+[1]Sheet1!$L$10,IF(D1029="S. americanus",F1029*[1]Sheet1!$C$6+E1029*[1]Sheet1!$D$6+[1]Sheet1!$L$6,IF(AND(OR(D1029="T. domingensis",D1029="T. latifolia"),E1029&gt;0),F1029*[1]Sheet1!$C$4+E1029*[1]Sheet1!$D$4+H1029*[1]Sheet1!$J$4+I1029*[1]Sheet1!$K$4+[1]Sheet1!$L$4,IF(AND(OR(D1029="T. domingensis",D1029="T. latifolia"),J1029&gt;0),J1029*[1]Sheet1!$G$5+K1029*[1]Sheet1!$H$5+L1029*[1]Sheet1!$I$5+[1]Sheet1!$L$5,0)))))))</f>
        <v>20.953832683263652</v>
      </c>
    </row>
    <row r="1030" spans="1:15">
      <c r="A1030" s="2">
        <v>40738</v>
      </c>
      <c r="B1030" t="s">
        <v>40</v>
      </c>
      <c r="C1030">
        <v>9</v>
      </c>
      <c r="D1030" s="6" t="s">
        <v>42</v>
      </c>
      <c r="E1030" s="15">
        <v>333</v>
      </c>
      <c r="F1030">
        <v>1.86</v>
      </c>
      <c r="G1030">
        <v>0</v>
      </c>
      <c r="N1030">
        <f t="shared" ref="N1030:N1054" si="16">((1/3)*(3.14159)*((F1030/2)^2)*E1030)</f>
        <v>301.60489220100004</v>
      </c>
      <c r="O1030">
        <f>IF(AND(OR(D1030="S. acutus",D1030="S. californicus",D1030="S. tabernaemontani"),G1030=0),E1030*[1]Sheet1!$D$7+[1]Sheet1!$L$7,IF(AND(OR(D1030="S. acutus",D1030="S. tabernaemontani"),G1030&gt;0),E1030*[1]Sheet1!$D$8+N1030*[1]Sheet1!$E$8,IF(AND(D1030="S. californicus",G1030&gt;0),E1030*[1]Sheet1!$D$9+N1030*[1]Sheet1!$E$9,IF(D1030="S. maritimus",F1030*[1]Sheet1!$C$10+E1030*[1]Sheet1!$D$10+G1030*[1]Sheet1!$F$10+[1]Sheet1!$L$10,IF(D1030="S. americanus",F1030*[1]Sheet1!$C$6+E1030*[1]Sheet1!$D$6+[1]Sheet1!$L$6,IF(AND(OR(D1030="T. domingensis",D1030="T. latifolia"),E1030&gt;0),F1030*[1]Sheet1!$C$4+E1030*[1]Sheet1!$D$4+H1030*[1]Sheet1!$J$4+I1030*[1]Sheet1!$K$4+[1]Sheet1!$L$4,IF(AND(OR(D1030="T. domingensis",D1030="T. latifolia"),J1030&gt;0),J1030*[1]Sheet1!$G$5+K1030*[1]Sheet1!$H$5+L1030*[1]Sheet1!$I$5+[1]Sheet1!$L$5,0)))))))</f>
        <v>18.754368000000003</v>
      </c>
    </row>
    <row r="1031" spans="1:15">
      <c r="A1031" s="2">
        <v>40738</v>
      </c>
      <c r="B1031" t="s">
        <v>40</v>
      </c>
      <c r="C1031">
        <v>9</v>
      </c>
      <c r="D1031" s="7" t="s">
        <v>16</v>
      </c>
      <c r="E1031">
        <v>49</v>
      </c>
      <c r="F1031">
        <v>0.56999999999999995</v>
      </c>
      <c r="G1031">
        <v>0</v>
      </c>
      <c r="N1031">
        <f t="shared" si="16"/>
        <v>4.1678689132499986</v>
      </c>
      <c r="O1031">
        <f>IF(AND(OR(D1031="S. acutus",D1031="S. californicus",D1031="S. tabernaemontani"),G1031=0),E1031*[1]Sheet1!$D$7+[1]Sheet1!$L$7,IF(AND(OR(D1031="S. acutus",D1031="S. tabernaemontani"),G1031&gt;0),E1031*[1]Sheet1!$D$8+N1031*[1]Sheet1!$E$8,IF(AND(D1031="S. californicus",G1031&gt;0),E1031*[1]Sheet1!$D$9+N1031*[1]Sheet1!$E$9,IF(D1031="S. maritimus",F1031*[1]Sheet1!$C$10+E1031*[1]Sheet1!$D$10+G1031*[1]Sheet1!$F$10+[1]Sheet1!$L$10,IF(D1031="S. americanus",F1031*[1]Sheet1!$C$6+E1031*[1]Sheet1!$D$6+[1]Sheet1!$L$6,IF(AND(OR(D1031="T. domingensis",D1031="T. latifolia"),E1031&gt;0),F1031*[1]Sheet1!$C$4+E1031*[1]Sheet1!$D$4+H1031*[1]Sheet1!$J$4+I1031*[1]Sheet1!$K$4+[1]Sheet1!$L$4,IF(AND(OR(D1031="T. domingensis",D1031="T. latifolia"),J1031&gt;0),J1031*[1]Sheet1!$G$5+K1031*[1]Sheet1!$H$5+L1031*[1]Sheet1!$I$5+[1]Sheet1!$L$5,0)))))))</f>
        <v>-1.1554519999999999</v>
      </c>
    </row>
    <row r="1032" spans="1:15">
      <c r="A1032" s="2">
        <v>40738</v>
      </c>
      <c r="B1032" t="s">
        <v>40</v>
      </c>
      <c r="C1032">
        <v>9</v>
      </c>
      <c r="D1032" s="6" t="s">
        <v>16</v>
      </c>
      <c r="E1032">
        <v>173</v>
      </c>
      <c r="F1032">
        <v>1.67</v>
      </c>
      <c r="G1032">
        <v>0</v>
      </c>
      <c r="N1032">
        <f t="shared" si="16"/>
        <v>126.31278339358332</v>
      </c>
      <c r="O1032">
        <f>IF(AND(OR(D1032="S. acutus",D1032="S. californicus",D1032="S. tabernaemontani"),G1032=0),E1032*[1]Sheet1!$D$7+[1]Sheet1!$L$7,IF(AND(OR(D1032="S. acutus",D1032="S. tabernaemontani"),G1032&gt;0),E1032*[1]Sheet1!$D$8+N1032*[1]Sheet1!$E$8,IF(AND(D1032="S. californicus",G1032&gt;0),E1032*[1]Sheet1!$D$9+N1032*[1]Sheet1!$E$9,IF(D1032="S. maritimus",F1032*[1]Sheet1!$C$10+E1032*[1]Sheet1!$D$10+G1032*[1]Sheet1!$F$10+[1]Sheet1!$L$10,IF(D1032="S. americanus",F1032*[1]Sheet1!$C$6+E1032*[1]Sheet1!$D$6+[1]Sheet1!$L$6,IF(AND(OR(D1032="T. domingensis",D1032="T. latifolia"),E1032&gt;0),F1032*[1]Sheet1!$C$4+E1032*[1]Sheet1!$D$4+H1032*[1]Sheet1!$J$4+I1032*[1]Sheet1!$K$4+[1]Sheet1!$L$4,IF(AND(OR(D1032="T. domingensis",D1032="T. latifolia"),J1032&gt;0),J1032*[1]Sheet1!$G$5+K1032*[1]Sheet1!$H$5+L1032*[1]Sheet1!$I$5+[1]Sheet1!$L$5,0)))))))</f>
        <v>7.5375680000000012</v>
      </c>
    </row>
    <row r="1033" spans="1:15">
      <c r="A1033" s="2">
        <v>40738</v>
      </c>
      <c r="B1033" t="s">
        <v>40</v>
      </c>
      <c r="C1033">
        <v>9</v>
      </c>
      <c r="D1033" s="6" t="s">
        <v>16</v>
      </c>
      <c r="E1033">
        <v>190</v>
      </c>
      <c r="F1033">
        <v>0.95</v>
      </c>
      <c r="G1033">
        <v>0</v>
      </c>
      <c r="N1033">
        <f t="shared" si="16"/>
        <v>44.89201210416666</v>
      </c>
      <c r="O1033">
        <f>IF(AND(OR(D1033="S. acutus",D1033="S. californicus",D1033="S. tabernaemontani"),G1033=0),E1033*[1]Sheet1!$D$7+[1]Sheet1!$L$7,IF(AND(OR(D1033="S. acutus",D1033="S. tabernaemontani"),G1033&gt;0),E1033*[1]Sheet1!$D$8+N1033*[1]Sheet1!$E$8,IF(AND(D1033="S. californicus",G1033&gt;0),E1033*[1]Sheet1!$D$9+N1033*[1]Sheet1!$E$9,IF(D1033="S. maritimus",F1033*[1]Sheet1!$C$10+E1033*[1]Sheet1!$D$10+G1033*[1]Sheet1!$F$10+[1]Sheet1!$L$10,IF(D1033="S. americanus",F1033*[1]Sheet1!$C$6+E1033*[1]Sheet1!$D$6+[1]Sheet1!$L$6,IF(AND(OR(D1033="T. domingensis",D1033="T. latifolia"),E1033&gt;0),F1033*[1]Sheet1!$C$4+E1033*[1]Sheet1!$D$4+H1033*[1]Sheet1!$J$4+I1033*[1]Sheet1!$K$4+[1]Sheet1!$L$4,IF(AND(OR(D1033="T. domingensis",D1033="T. latifolia"),J1033&gt;0),J1033*[1]Sheet1!$G$5+K1033*[1]Sheet1!$H$5+L1033*[1]Sheet1!$I$5+[1]Sheet1!$L$5,0)))))))</f>
        <v>8.7293529999999997</v>
      </c>
    </row>
    <row r="1034" spans="1:15">
      <c r="A1034" s="2">
        <v>40738</v>
      </c>
      <c r="B1034" t="s">
        <v>40</v>
      </c>
      <c r="C1034">
        <v>9</v>
      </c>
      <c r="D1034" s="6" t="s">
        <v>16</v>
      </c>
      <c r="E1034">
        <v>219</v>
      </c>
      <c r="F1034">
        <v>2.65</v>
      </c>
      <c r="G1034">
        <v>0</v>
      </c>
      <c r="N1034">
        <f t="shared" si="16"/>
        <v>402.62813789374997</v>
      </c>
      <c r="O1034">
        <f>IF(AND(OR(D1034="S. acutus",D1034="S. californicus",D1034="S. tabernaemontani"),G1034=0),E1034*[1]Sheet1!$D$7+[1]Sheet1!$L$7,IF(AND(OR(D1034="S. acutus",D1034="S. tabernaemontani"),G1034&gt;0),E1034*[1]Sheet1!$D$8+N1034*[1]Sheet1!$E$8,IF(AND(D1034="S. californicus",G1034&gt;0),E1034*[1]Sheet1!$D$9+N1034*[1]Sheet1!$E$9,IF(D1034="S. maritimus",F1034*[1]Sheet1!$C$10+E1034*[1]Sheet1!$D$10+G1034*[1]Sheet1!$F$10+[1]Sheet1!$L$10,IF(D1034="S. americanus",F1034*[1]Sheet1!$C$6+E1034*[1]Sheet1!$D$6+[1]Sheet1!$L$6,IF(AND(OR(D1034="T. domingensis",D1034="T. latifolia"),E1034&gt;0),F1034*[1]Sheet1!$C$4+E1034*[1]Sheet1!$D$4+H1034*[1]Sheet1!$J$4+I1034*[1]Sheet1!$K$4+[1]Sheet1!$L$4,IF(AND(OR(D1034="T. domingensis",D1034="T. latifolia"),J1034&gt;0),J1034*[1]Sheet1!$G$5+K1034*[1]Sheet1!$H$5+L1034*[1]Sheet1!$I$5+[1]Sheet1!$L$5,0)))))))</f>
        <v>10.762398000000001</v>
      </c>
    </row>
    <row r="1035" spans="1:15">
      <c r="A1035" s="2">
        <v>40738</v>
      </c>
      <c r="B1035" t="s">
        <v>40</v>
      </c>
      <c r="C1035">
        <v>9</v>
      </c>
      <c r="D1035" s="6" t="s">
        <v>16</v>
      </c>
      <c r="E1035">
        <v>234</v>
      </c>
      <c r="F1035">
        <v>1.01</v>
      </c>
      <c r="G1035">
        <v>0</v>
      </c>
      <c r="N1035">
        <f t="shared" si="16"/>
        <v>62.492351200499996</v>
      </c>
      <c r="O1035">
        <f>IF(AND(OR(D1035="S. acutus",D1035="S. californicus",D1035="S. tabernaemontani"),G1035=0),E1035*[1]Sheet1!$D$7+[1]Sheet1!$L$7,IF(AND(OR(D1035="S. acutus",D1035="S. tabernaemontani"),G1035&gt;0),E1035*[1]Sheet1!$D$8+N1035*[1]Sheet1!$E$8,IF(AND(D1035="S. californicus",G1035&gt;0),E1035*[1]Sheet1!$D$9+N1035*[1]Sheet1!$E$9,IF(D1035="S. maritimus",F1035*[1]Sheet1!$C$10+E1035*[1]Sheet1!$D$10+G1035*[1]Sheet1!$F$10+[1]Sheet1!$L$10,IF(D1035="S. americanus",F1035*[1]Sheet1!$C$6+E1035*[1]Sheet1!$D$6+[1]Sheet1!$L$6,IF(AND(OR(D1035="T. domingensis",D1035="T. latifolia"),E1035&gt;0),F1035*[1]Sheet1!$C$4+E1035*[1]Sheet1!$D$4+H1035*[1]Sheet1!$J$4+I1035*[1]Sheet1!$K$4+[1]Sheet1!$L$4,IF(AND(OR(D1035="T. domingensis",D1035="T. latifolia"),J1035&gt;0),J1035*[1]Sheet1!$G$5+K1035*[1]Sheet1!$H$5+L1035*[1]Sheet1!$I$5+[1]Sheet1!$L$5,0)))))))</f>
        <v>11.813973000000001</v>
      </c>
    </row>
    <row r="1036" spans="1:15">
      <c r="A1036" s="2">
        <v>40738</v>
      </c>
      <c r="B1036" t="s">
        <v>40</v>
      </c>
      <c r="C1036">
        <v>9</v>
      </c>
      <c r="D1036" s="6" t="s">
        <v>16</v>
      </c>
      <c r="E1036">
        <v>240</v>
      </c>
      <c r="F1036">
        <v>0.75</v>
      </c>
      <c r="G1036">
        <v>0</v>
      </c>
      <c r="N1036">
        <f t="shared" si="16"/>
        <v>35.342887499999996</v>
      </c>
      <c r="O1036">
        <f>IF(AND(OR(D1036="S. acutus",D1036="S. californicus",D1036="S. tabernaemontani"),G1036=0),E1036*[1]Sheet1!$D$7+[1]Sheet1!$L$7,IF(AND(OR(D1036="S. acutus",D1036="S. tabernaemontani"),G1036&gt;0),E1036*[1]Sheet1!$D$8+N1036*[1]Sheet1!$E$8,IF(AND(D1036="S. californicus",G1036&gt;0),E1036*[1]Sheet1!$D$9+N1036*[1]Sheet1!$E$9,IF(D1036="S. maritimus",F1036*[1]Sheet1!$C$10+E1036*[1]Sheet1!$D$10+G1036*[1]Sheet1!$F$10+[1]Sheet1!$L$10,IF(D1036="S. americanus",F1036*[1]Sheet1!$C$6+E1036*[1]Sheet1!$D$6+[1]Sheet1!$L$6,IF(AND(OR(D1036="T. domingensis",D1036="T. latifolia"),E1036&gt;0),F1036*[1]Sheet1!$C$4+E1036*[1]Sheet1!$D$4+H1036*[1]Sheet1!$J$4+I1036*[1]Sheet1!$K$4+[1]Sheet1!$L$4,IF(AND(OR(D1036="T. domingensis",D1036="T. latifolia"),J1036&gt;0),J1036*[1]Sheet1!$G$5+K1036*[1]Sheet1!$H$5+L1036*[1]Sheet1!$I$5+[1]Sheet1!$L$5,0)))))))</f>
        <v>12.234603</v>
      </c>
    </row>
    <row r="1037" spans="1:15">
      <c r="A1037" s="2">
        <v>40738</v>
      </c>
      <c r="B1037" t="s">
        <v>40</v>
      </c>
      <c r="C1037">
        <v>9</v>
      </c>
      <c r="D1037" s="7" t="s">
        <v>16</v>
      </c>
      <c r="E1037">
        <v>244</v>
      </c>
      <c r="F1037">
        <v>1.56</v>
      </c>
      <c r="G1037">
        <v>0</v>
      </c>
      <c r="N1037">
        <f t="shared" si="16"/>
        <v>155.45592628799997</v>
      </c>
      <c r="O1037">
        <f>IF(AND(OR(D1037="S. acutus",D1037="S. californicus",D1037="S. tabernaemontani"),G1037=0),E1037*[1]Sheet1!$D$7+[1]Sheet1!$L$7,IF(AND(OR(D1037="S. acutus",D1037="S. tabernaemontani"),G1037&gt;0),E1037*[1]Sheet1!$D$8+N1037*[1]Sheet1!$E$8,IF(AND(D1037="S. californicus",G1037&gt;0),E1037*[1]Sheet1!$D$9+N1037*[1]Sheet1!$E$9,IF(D1037="S. maritimus",F1037*[1]Sheet1!$C$10+E1037*[1]Sheet1!$D$10+G1037*[1]Sheet1!$F$10+[1]Sheet1!$L$10,IF(D1037="S. americanus",F1037*[1]Sheet1!$C$6+E1037*[1]Sheet1!$D$6+[1]Sheet1!$L$6,IF(AND(OR(D1037="T. domingensis",D1037="T. latifolia"),E1037&gt;0),F1037*[1]Sheet1!$C$4+E1037*[1]Sheet1!$D$4+H1037*[1]Sheet1!$J$4+I1037*[1]Sheet1!$K$4+[1]Sheet1!$L$4,IF(AND(OR(D1037="T. domingensis",D1037="T. latifolia"),J1037&gt;0),J1037*[1]Sheet1!$G$5+K1037*[1]Sheet1!$H$5+L1037*[1]Sheet1!$I$5+[1]Sheet1!$L$5,0)))))))</f>
        <v>12.515023000000003</v>
      </c>
    </row>
    <row r="1038" spans="1:15">
      <c r="A1038" s="2">
        <v>40738</v>
      </c>
      <c r="B1038" t="s">
        <v>40</v>
      </c>
      <c r="C1038">
        <v>9</v>
      </c>
      <c r="D1038" s="6" t="s">
        <v>16</v>
      </c>
      <c r="E1038">
        <v>262</v>
      </c>
      <c r="F1038">
        <v>1.65</v>
      </c>
      <c r="G1038">
        <v>0</v>
      </c>
      <c r="N1038">
        <f t="shared" si="16"/>
        <v>186.74003658749996</v>
      </c>
      <c r="O1038">
        <f>IF(AND(OR(D1038="S. acutus",D1038="S. californicus",D1038="S. tabernaemontani"),G1038=0),E1038*[1]Sheet1!$D$7+[1]Sheet1!$L$7,IF(AND(OR(D1038="S. acutus",D1038="S. tabernaemontani"),G1038&gt;0),E1038*[1]Sheet1!$D$8+N1038*[1]Sheet1!$E$8,IF(AND(D1038="S. californicus",G1038&gt;0),E1038*[1]Sheet1!$D$9+N1038*[1]Sheet1!$E$9,IF(D1038="S. maritimus",F1038*[1]Sheet1!$C$10+E1038*[1]Sheet1!$D$10+G1038*[1]Sheet1!$F$10+[1]Sheet1!$L$10,IF(D1038="S. americanus",F1038*[1]Sheet1!$C$6+E1038*[1]Sheet1!$D$6+[1]Sheet1!$L$6,IF(AND(OR(D1038="T. domingensis",D1038="T. latifolia"),E1038&gt;0),F1038*[1]Sheet1!$C$4+E1038*[1]Sheet1!$D$4+H1038*[1]Sheet1!$J$4+I1038*[1]Sheet1!$K$4+[1]Sheet1!$L$4,IF(AND(OR(D1038="T. domingensis",D1038="T. latifolia"),J1038&gt;0),J1038*[1]Sheet1!$G$5+K1038*[1]Sheet1!$H$5+L1038*[1]Sheet1!$I$5+[1]Sheet1!$L$5,0)))))))</f>
        <v>13.776913</v>
      </c>
    </row>
    <row r="1039" spans="1:15">
      <c r="A1039" s="2">
        <v>40738</v>
      </c>
      <c r="B1039" t="s">
        <v>40</v>
      </c>
      <c r="C1039">
        <v>9</v>
      </c>
      <c r="D1039" s="6" t="s">
        <v>16</v>
      </c>
      <c r="E1039">
        <v>271</v>
      </c>
      <c r="F1039">
        <v>1.37</v>
      </c>
      <c r="G1039">
        <v>0</v>
      </c>
      <c r="N1039">
        <f t="shared" si="16"/>
        <v>133.16150195341666</v>
      </c>
      <c r="O1039">
        <f>IF(AND(OR(D1039="S. acutus",D1039="S. californicus",D1039="S. tabernaemontani"),G1039=0),E1039*[1]Sheet1!$D$7+[1]Sheet1!$L$7,IF(AND(OR(D1039="S. acutus",D1039="S. tabernaemontani"),G1039&gt;0),E1039*[1]Sheet1!$D$8+N1039*[1]Sheet1!$E$8,IF(AND(D1039="S. californicus",G1039&gt;0),E1039*[1]Sheet1!$D$9+N1039*[1]Sheet1!$E$9,IF(D1039="S. maritimus",F1039*[1]Sheet1!$C$10+E1039*[1]Sheet1!$D$10+G1039*[1]Sheet1!$F$10+[1]Sheet1!$L$10,IF(D1039="S. americanus",F1039*[1]Sheet1!$C$6+E1039*[1]Sheet1!$D$6+[1]Sheet1!$L$6,IF(AND(OR(D1039="T. domingensis",D1039="T. latifolia"),E1039&gt;0),F1039*[1]Sheet1!$C$4+E1039*[1]Sheet1!$D$4+H1039*[1]Sheet1!$J$4+I1039*[1]Sheet1!$K$4+[1]Sheet1!$L$4,IF(AND(OR(D1039="T. domingensis",D1039="T. latifolia"),J1039&gt;0),J1039*[1]Sheet1!$G$5+K1039*[1]Sheet1!$H$5+L1039*[1]Sheet1!$I$5+[1]Sheet1!$L$5,0)))))))</f>
        <v>14.407858000000001</v>
      </c>
    </row>
    <row r="1040" spans="1:15">
      <c r="A1040" s="2">
        <v>40738</v>
      </c>
      <c r="B1040" t="s">
        <v>40</v>
      </c>
      <c r="C1040">
        <v>9</v>
      </c>
      <c r="D1040" s="6" t="s">
        <v>16</v>
      </c>
      <c r="E1040">
        <v>274</v>
      </c>
      <c r="F1040">
        <v>2.09</v>
      </c>
      <c r="G1040">
        <v>0</v>
      </c>
      <c r="N1040">
        <f t="shared" si="16"/>
        <v>313.33679353716656</v>
      </c>
      <c r="O1040">
        <f>IF(AND(OR(D1040="S. acutus",D1040="S. californicus",D1040="S. tabernaemontani"),G1040=0),E1040*[1]Sheet1!$D$7+[1]Sheet1!$L$7,IF(AND(OR(D1040="S. acutus",D1040="S. tabernaemontani"),G1040&gt;0),E1040*[1]Sheet1!$D$8+N1040*[1]Sheet1!$E$8,IF(AND(D1040="S. californicus",G1040&gt;0),E1040*[1]Sheet1!$D$9+N1040*[1]Sheet1!$E$9,IF(D1040="S. maritimus",F1040*[1]Sheet1!$C$10+E1040*[1]Sheet1!$D$10+G1040*[1]Sheet1!$F$10+[1]Sheet1!$L$10,IF(D1040="S. americanus",F1040*[1]Sheet1!$C$6+E1040*[1]Sheet1!$D$6+[1]Sheet1!$L$6,IF(AND(OR(D1040="T. domingensis",D1040="T. latifolia"),E1040&gt;0),F1040*[1]Sheet1!$C$4+E1040*[1]Sheet1!$D$4+H1040*[1]Sheet1!$J$4+I1040*[1]Sheet1!$K$4+[1]Sheet1!$L$4,IF(AND(OR(D1040="T. domingensis",D1040="T. latifolia"),J1040&gt;0),J1040*[1]Sheet1!$G$5+K1040*[1]Sheet1!$H$5+L1040*[1]Sheet1!$I$5+[1]Sheet1!$L$5,0)))))))</f>
        <v>14.618173000000002</v>
      </c>
    </row>
    <row r="1041" spans="1:15">
      <c r="A1041" s="2">
        <v>40738</v>
      </c>
      <c r="B1041" t="s">
        <v>40</v>
      </c>
      <c r="C1041">
        <v>9</v>
      </c>
      <c r="D1041" s="6" t="s">
        <v>16</v>
      </c>
      <c r="E1041">
        <v>279</v>
      </c>
      <c r="F1041">
        <v>1.4</v>
      </c>
      <c r="G1041">
        <v>0</v>
      </c>
      <c r="N1041">
        <f t="shared" si="16"/>
        <v>143.16225629999997</v>
      </c>
      <c r="O1041">
        <f>IF(AND(OR(D1041="S. acutus",D1041="S. californicus",D1041="S. tabernaemontani"),G1041=0),E1041*[1]Sheet1!$D$7+[1]Sheet1!$L$7,IF(AND(OR(D1041="S. acutus",D1041="S. tabernaemontani"),G1041&gt;0),E1041*[1]Sheet1!$D$8+N1041*[1]Sheet1!$E$8,IF(AND(D1041="S. californicus",G1041&gt;0),E1041*[1]Sheet1!$D$9+N1041*[1]Sheet1!$E$9,IF(D1041="S. maritimus",F1041*[1]Sheet1!$C$10+E1041*[1]Sheet1!$D$10+G1041*[1]Sheet1!$F$10+[1]Sheet1!$L$10,IF(D1041="S. americanus",F1041*[1]Sheet1!$C$6+E1041*[1]Sheet1!$D$6+[1]Sheet1!$L$6,IF(AND(OR(D1041="T. domingensis",D1041="T. latifolia"),E1041&gt;0),F1041*[1]Sheet1!$C$4+E1041*[1]Sheet1!$D$4+H1041*[1]Sheet1!$J$4+I1041*[1]Sheet1!$K$4+[1]Sheet1!$L$4,IF(AND(OR(D1041="T. domingensis",D1041="T. latifolia"),J1041&gt;0),J1041*[1]Sheet1!$G$5+K1041*[1]Sheet1!$H$5+L1041*[1]Sheet1!$I$5+[1]Sheet1!$L$5,0)))))))</f>
        <v>14.968698</v>
      </c>
    </row>
    <row r="1042" spans="1:15">
      <c r="A1042" s="2">
        <v>40738</v>
      </c>
      <c r="B1042" t="s">
        <v>40</v>
      </c>
      <c r="C1042">
        <v>9</v>
      </c>
      <c r="D1042" s="6" t="s">
        <v>16</v>
      </c>
      <c r="E1042">
        <v>287</v>
      </c>
      <c r="F1042">
        <v>1.85</v>
      </c>
      <c r="G1042">
        <v>0</v>
      </c>
      <c r="N1042">
        <f t="shared" si="16"/>
        <v>257.15419495208334</v>
      </c>
      <c r="O1042">
        <f>IF(AND(OR(D1042="S. acutus",D1042="S. californicus",D1042="S. tabernaemontani"),G1042=0),E1042*[1]Sheet1!$D$7+[1]Sheet1!$L$7,IF(AND(OR(D1042="S. acutus",D1042="S. tabernaemontani"),G1042&gt;0),E1042*[1]Sheet1!$D$8+N1042*[1]Sheet1!$E$8,IF(AND(D1042="S. californicus",G1042&gt;0),E1042*[1]Sheet1!$D$9+N1042*[1]Sheet1!$E$9,IF(D1042="S. maritimus",F1042*[1]Sheet1!$C$10+E1042*[1]Sheet1!$D$10+G1042*[1]Sheet1!$F$10+[1]Sheet1!$L$10,IF(D1042="S. americanus",F1042*[1]Sheet1!$C$6+E1042*[1]Sheet1!$D$6+[1]Sheet1!$L$6,IF(AND(OR(D1042="T. domingensis",D1042="T. latifolia"),E1042&gt;0),F1042*[1]Sheet1!$C$4+E1042*[1]Sheet1!$D$4+H1042*[1]Sheet1!$J$4+I1042*[1]Sheet1!$K$4+[1]Sheet1!$L$4,IF(AND(OR(D1042="T. domingensis",D1042="T. latifolia"),J1042&gt;0),J1042*[1]Sheet1!$G$5+K1042*[1]Sheet1!$H$5+L1042*[1]Sheet1!$I$5+[1]Sheet1!$L$5,0)))))))</f>
        <v>15.529538000000002</v>
      </c>
    </row>
    <row r="1043" spans="1:15">
      <c r="A1043" s="2">
        <v>40738</v>
      </c>
      <c r="B1043" t="s">
        <v>40</v>
      </c>
      <c r="C1043">
        <v>9</v>
      </c>
      <c r="D1043" s="7" t="s">
        <v>16</v>
      </c>
      <c r="E1043">
        <v>298</v>
      </c>
      <c r="F1043">
        <v>1.06</v>
      </c>
      <c r="G1043">
        <v>0</v>
      </c>
      <c r="N1043">
        <f t="shared" si="16"/>
        <v>87.65894801266667</v>
      </c>
      <c r="O1043">
        <f>IF(AND(OR(D1043="S. acutus",D1043="S. californicus",D1043="S. tabernaemontani"),G1043=0),E1043*[1]Sheet1!$D$7+[1]Sheet1!$L$7,IF(AND(OR(D1043="S. acutus",D1043="S. tabernaemontani"),G1043&gt;0),E1043*[1]Sheet1!$D$8+N1043*[1]Sheet1!$E$8,IF(AND(D1043="S. californicus",G1043&gt;0),E1043*[1]Sheet1!$D$9+N1043*[1]Sheet1!$E$9,IF(D1043="S. maritimus",F1043*[1]Sheet1!$C$10+E1043*[1]Sheet1!$D$10+G1043*[1]Sheet1!$F$10+[1]Sheet1!$L$10,IF(D1043="S. americanus",F1043*[1]Sheet1!$C$6+E1043*[1]Sheet1!$D$6+[1]Sheet1!$L$6,IF(AND(OR(D1043="T. domingensis",D1043="T. latifolia"),E1043&gt;0),F1043*[1]Sheet1!$C$4+E1043*[1]Sheet1!$D$4+H1043*[1]Sheet1!$J$4+I1043*[1]Sheet1!$K$4+[1]Sheet1!$L$4,IF(AND(OR(D1043="T. domingensis",D1043="T. latifolia"),J1043&gt;0),J1043*[1]Sheet1!$G$5+K1043*[1]Sheet1!$H$5+L1043*[1]Sheet1!$I$5+[1]Sheet1!$L$5,0)))))))</f>
        <v>16.300693000000003</v>
      </c>
    </row>
    <row r="1044" spans="1:15">
      <c r="A1044" s="2">
        <v>40738</v>
      </c>
      <c r="B1044" t="s">
        <v>40</v>
      </c>
      <c r="C1044">
        <v>9</v>
      </c>
      <c r="D1044" s="7" t="s">
        <v>16</v>
      </c>
      <c r="E1044">
        <v>302</v>
      </c>
      <c r="F1044">
        <v>1.93</v>
      </c>
      <c r="G1044">
        <v>0</v>
      </c>
      <c r="N1044">
        <f t="shared" si="16"/>
        <v>294.5030662068333</v>
      </c>
      <c r="O1044">
        <f>IF(AND(OR(D1044="S. acutus",D1044="S. californicus",D1044="S. tabernaemontani"),G1044=0),E1044*[1]Sheet1!$D$7+[1]Sheet1!$L$7,IF(AND(OR(D1044="S. acutus",D1044="S. tabernaemontani"),G1044&gt;0),E1044*[1]Sheet1!$D$8+N1044*[1]Sheet1!$E$8,IF(AND(D1044="S. californicus",G1044&gt;0),E1044*[1]Sheet1!$D$9+N1044*[1]Sheet1!$E$9,IF(D1044="S. maritimus",F1044*[1]Sheet1!$C$10+E1044*[1]Sheet1!$D$10+G1044*[1]Sheet1!$F$10+[1]Sheet1!$L$10,IF(D1044="S. americanus",F1044*[1]Sheet1!$C$6+E1044*[1]Sheet1!$D$6+[1]Sheet1!$L$6,IF(AND(OR(D1044="T. domingensis",D1044="T. latifolia"),E1044&gt;0),F1044*[1]Sheet1!$C$4+E1044*[1]Sheet1!$D$4+H1044*[1]Sheet1!$J$4+I1044*[1]Sheet1!$K$4+[1]Sheet1!$L$4,IF(AND(OR(D1044="T. domingensis",D1044="T. latifolia"),J1044&gt;0),J1044*[1]Sheet1!$G$5+K1044*[1]Sheet1!$H$5+L1044*[1]Sheet1!$I$5+[1]Sheet1!$L$5,0)))))))</f>
        <v>16.581113000000002</v>
      </c>
    </row>
    <row r="1045" spans="1:15">
      <c r="A1045" s="2">
        <v>40738</v>
      </c>
      <c r="B1045" t="s">
        <v>40</v>
      </c>
      <c r="C1045">
        <v>9</v>
      </c>
      <c r="D1045" s="7" t="s">
        <v>16</v>
      </c>
      <c r="E1045">
        <v>309</v>
      </c>
      <c r="F1045">
        <v>1.52</v>
      </c>
      <c r="G1045">
        <v>0</v>
      </c>
      <c r="N1045">
        <f t="shared" si="16"/>
        <v>186.90198555199999</v>
      </c>
      <c r="O1045">
        <f>IF(AND(OR(D1045="S. acutus",D1045="S. californicus",D1045="S. tabernaemontani"),G1045=0),E1045*[1]Sheet1!$D$7+[1]Sheet1!$L$7,IF(AND(OR(D1045="S. acutus",D1045="S. tabernaemontani"),G1045&gt;0),E1045*[1]Sheet1!$D$8+N1045*[1]Sheet1!$E$8,IF(AND(D1045="S. californicus",G1045&gt;0),E1045*[1]Sheet1!$D$9+N1045*[1]Sheet1!$E$9,IF(D1045="S. maritimus",F1045*[1]Sheet1!$C$10+E1045*[1]Sheet1!$D$10+G1045*[1]Sheet1!$F$10+[1]Sheet1!$L$10,IF(D1045="S. americanus",F1045*[1]Sheet1!$C$6+E1045*[1]Sheet1!$D$6+[1]Sheet1!$L$6,IF(AND(OR(D1045="T. domingensis",D1045="T. latifolia"),E1045&gt;0),F1045*[1]Sheet1!$C$4+E1045*[1]Sheet1!$D$4+H1045*[1]Sheet1!$J$4+I1045*[1]Sheet1!$K$4+[1]Sheet1!$L$4,IF(AND(OR(D1045="T. domingensis",D1045="T. latifolia"),J1045&gt;0),J1045*[1]Sheet1!$G$5+K1045*[1]Sheet1!$H$5+L1045*[1]Sheet1!$I$5+[1]Sheet1!$L$5,0)))))))</f>
        <v>17.071848000000003</v>
      </c>
    </row>
    <row r="1046" spans="1:15">
      <c r="A1046" s="2">
        <v>40738</v>
      </c>
      <c r="B1046" t="s">
        <v>40</v>
      </c>
      <c r="C1046">
        <v>9</v>
      </c>
      <c r="D1046" s="6" t="s">
        <v>16</v>
      </c>
      <c r="E1046">
        <v>324</v>
      </c>
      <c r="F1046">
        <v>1.33</v>
      </c>
      <c r="G1046">
        <v>8</v>
      </c>
      <c r="N1046">
        <f t="shared" si="16"/>
        <v>150.043280877</v>
      </c>
      <c r="O1046">
        <f>IF(AND(OR(D1046="S. acutus",D1046="S. californicus",D1046="S. tabernaemontani"),G1046=0),E1046*[1]Sheet1!$D$7+[1]Sheet1!$L$7,IF(AND(OR(D1046="S. acutus",D1046="S. tabernaemontani"),G1046&gt;0),E1046*[1]Sheet1!$D$8+N1046*[1]Sheet1!$E$8,IF(AND(D1046="S. californicus",G1046&gt;0),E1046*[1]Sheet1!$D$9+N1046*[1]Sheet1!$E$9,IF(D1046="S. maritimus",F1046*[1]Sheet1!$C$10+E1046*[1]Sheet1!$D$10+G1046*[1]Sheet1!$F$10+[1]Sheet1!$L$10,IF(D1046="S. americanus",F1046*[1]Sheet1!$C$6+E1046*[1]Sheet1!$D$6+[1]Sheet1!$L$6,IF(AND(OR(D1046="T. domingensis",D1046="T. latifolia"),E1046&gt;0),F1046*[1]Sheet1!$C$4+E1046*[1]Sheet1!$D$4+H1046*[1]Sheet1!$J$4+I1046*[1]Sheet1!$K$4+[1]Sheet1!$L$4,IF(AND(OR(D1046="T. domingensis",D1046="T. latifolia"),J1046&gt;0),J1046*[1]Sheet1!$G$5+K1046*[1]Sheet1!$H$5+L1046*[1]Sheet1!$I$5+[1]Sheet1!$L$5,0)))))))</f>
        <v>17.307829083192189</v>
      </c>
    </row>
    <row r="1047" spans="1:15">
      <c r="A1047" s="2">
        <v>40738</v>
      </c>
      <c r="B1047" t="s">
        <v>40</v>
      </c>
      <c r="C1047">
        <v>9</v>
      </c>
      <c r="D1047" s="6" t="s">
        <v>16</v>
      </c>
      <c r="E1047">
        <v>330</v>
      </c>
      <c r="F1047">
        <v>1.89</v>
      </c>
      <c r="G1047">
        <v>12</v>
      </c>
      <c r="N1047">
        <f t="shared" si="16"/>
        <v>308.60702507249994</v>
      </c>
      <c r="O1047">
        <f>IF(AND(OR(D1047="S. acutus",D1047="S. californicus",D1047="S. tabernaemontani"),G1047=0),E1047*[1]Sheet1!$D$7+[1]Sheet1!$L$7,IF(AND(OR(D1047="S. acutus",D1047="S. tabernaemontani"),G1047&gt;0),E1047*[1]Sheet1!$D$8+N1047*[1]Sheet1!$E$8,IF(AND(D1047="S. californicus",G1047&gt;0),E1047*[1]Sheet1!$D$9+N1047*[1]Sheet1!$E$9,IF(D1047="S. maritimus",F1047*[1]Sheet1!$C$10+E1047*[1]Sheet1!$D$10+G1047*[1]Sheet1!$F$10+[1]Sheet1!$L$10,IF(D1047="S. americanus",F1047*[1]Sheet1!$C$6+E1047*[1]Sheet1!$D$6+[1]Sheet1!$L$6,IF(AND(OR(D1047="T. domingensis",D1047="T. latifolia"),E1047&gt;0),F1047*[1]Sheet1!$C$4+E1047*[1]Sheet1!$D$4+H1047*[1]Sheet1!$J$4+I1047*[1]Sheet1!$K$4+[1]Sheet1!$L$4,IF(AND(OR(D1047="T. domingensis",D1047="T. latifolia"),J1047&gt;0),J1047*[1]Sheet1!$G$5+K1047*[1]Sheet1!$H$5+L1047*[1]Sheet1!$I$5+[1]Sheet1!$L$5,0)))))))</f>
        <v>22.644766953657061</v>
      </c>
    </row>
    <row r="1048" spans="1:15">
      <c r="A1048" s="2">
        <v>40738</v>
      </c>
      <c r="B1048" t="s">
        <v>40</v>
      </c>
      <c r="C1048">
        <v>9</v>
      </c>
      <c r="D1048" s="7" t="s">
        <v>16</v>
      </c>
      <c r="E1048">
        <v>338</v>
      </c>
      <c r="F1048">
        <v>1.79</v>
      </c>
      <c r="G1048">
        <v>0</v>
      </c>
      <c r="N1048">
        <f t="shared" si="16"/>
        <v>283.5247799518333</v>
      </c>
      <c r="O1048">
        <f>IF(AND(OR(D1048="S. acutus",D1048="S. californicus",D1048="S. tabernaemontani"),G1048=0),E1048*[1]Sheet1!$D$7+[1]Sheet1!$L$7,IF(AND(OR(D1048="S. acutus",D1048="S. tabernaemontani"),G1048&gt;0),E1048*[1]Sheet1!$D$8+N1048*[1]Sheet1!$E$8,IF(AND(D1048="S. californicus",G1048&gt;0),E1048*[1]Sheet1!$D$9+N1048*[1]Sheet1!$E$9,IF(D1048="S. maritimus",F1048*[1]Sheet1!$C$10+E1048*[1]Sheet1!$D$10+G1048*[1]Sheet1!$F$10+[1]Sheet1!$L$10,IF(D1048="S. americanus",F1048*[1]Sheet1!$C$6+E1048*[1]Sheet1!$D$6+[1]Sheet1!$L$6,IF(AND(OR(D1048="T. domingensis",D1048="T. latifolia"),E1048&gt;0),F1048*[1]Sheet1!$C$4+E1048*[1]Sheet1!$D$4+H1048*[1]Sheet1!$J$4+I1048*[1]Sheet1!$K$4+[1]Sheet1!$L$4,IF(AND(OR(D1048="T. domingensis",D1048="T. latifolia"),J1048&gt;0),J1048*[1]Sheet1!$G$5+K1048*[1]Sheet1!$H$5+L1048*[1]Sheet1!$I$5+[1]Sheet1!$L$5,0)))))))</f>
        <v>19.104893000000001</v>
      </c>
    </row>
    <row r="1049" spans="1:15">
      <c r="A1049" s="2">
        <v>40738</v>
      </c>
      <c r="B1049" t="s">
        <v>40</v>
      </c>
      <c r="C1049">
        <v>9</v>
      </c>
      <c r="D1049" s="6" t="s">
        <v>16</v>
      </c>
      <c r="E1049">
        <v>343</v>
      </c>
      <c r="F1049">
        <v>1.48</v>
      </c>
      <c r="G1049">
        <v>12</v>
      </c>
      <c r="N1049">
        <f t="shared" si="16"/>
        <v>196.69159887066664</v>
      </c>
      <c r="O1049">
        <f>IF(AND(OR(D1049="S. acutus",D1049="S. californicus",D1049="S. tabernaemontani"),G1049=0),E1049*[1]Sheet1!$D$7+[1]Sheet1!$L$7,IF(AND(OR(D1049="S. acutus",D1049="S. tabernaemontani"),G1049&gt;0),E1049*[1]Sheet1!$D$8+N1049*[1]Sheet1!$E$8,IF(AND(D1049="S. californicus",G1049&gt;0),E1049*[1]Sheet1!$D$9+N1049*[1]Sheet1!$E$9,IF(D1049="S. maritimus",F1049*[1]Sheet1!$C$10+E1049*[1]Sheet1!$D$10+G1049*[1]Sheet1!$F$10+[1]Sheet1!$L$10,IF(D1049="S. americanus",F1049*[1]Sheet1!$C$6+E1049*[1]Sheet1!$D$6+[1]Sheet1!$L$6,IF(AND(OR(D1049="T. domingensis",D1049="T. latifolia"),E1049&gt;0),F1049*[1]Sheet1!$C$4+E1049*[1]Sheet1!$D$4+H1049*[1]Sheet1!$J$4+I1049*[1]Sheet1!$K$4+[1]Sheet1!$L$4,IF(AND(OR(D1049="T. domingensis",D1049="T. latifolia"),J1049&gt;0),J1049*[1]Sheet1!$G$5+K1049*[1]Sheet1!$H$5+L1049*[1]Sheet1!$I$5+[1]Sheet1!$L$5,0)))))))</f>
        <v>19.541581806074451</v>
      </c>
    </row>
    <row r="1050" spans="1:15">
      <c r="A1050" s="2">
        <v>40738</v>
      </c>
      <c r="B1050" t="s">
        <v>40</v>
      </c>
      <c r="C1050">
        <v>9</v>
      </c>
      <c r="D1050" s="7" t="s">
        <v>16</v>
      </c>
      <c r="E1050">
        <v>352</v>
      </c>
      <c r="F1050">
        <v>2.14</v>
      </c>
      <c r="G1050">
        <v>0</v>
      </c>
      <c r="N1050">
        <f t="shared" si="16"/>
        <v>422.0252832106666</v>
      </c>
      <c r="O1050">
        <f>IF(AND(OR(D1050="S. acutus",D1050="S. californicus",D1050="S. tabernaemontani"),G1050=0),E1050*[1]Sheet1!$D$7+[1]Sheet1!$L$7,IF(AND(OR(D1050="S. acutus",D1050="S. tabernaemontani"),G1050&gt;0),E1050*[1]Sheet1!$D$8+N1050*[1]Sheet1!$E$8,IF(AND(D1050="S. californicus",G1050&gt;0),E1050*[1]Sheet1!$D$9+N1050*[1]Sheet1!$E$9,IF(D1050="S. maritimus",F1050*[1]Sheet1!$C$10+E1050*[1]Sheet1!$D$10+G1050*[1]Sheet1!$F$10+[1]Sheet1!$L$10,IF(D1050="S. americanus",F1050*[1]Sheet1!$C$6+E1050*[1]Sheet1!$D$6+[1]Sheet1!$L$6,IF(AND(OR(D1050="T. domingensis",D1050="T. latifolia"),E1050&gt;0),F1050*[1]Sheet1!$C$4+E1050*[1]Sheet1!$D$4+H1050*[1]Sheet1!$J$4+I1050*[1]Sheet1!$K$4+[1]Sheet1!$L$4,IF(AND(OR(D1050="T. domingensis",D1050="T. latifolia"),J1050&gt;0),J1050*[1]Sheet1!$G$5+K1050*[1]Sheet1!$H$5+L1050*[1]Sheet1!$I$5+[1]Sheet1!$L$5,0)))))))</f>
        <v>20.086363000000002</v>
      </c>
    </row>
    <row r="1051" spans="1:15">
      <c r="A1051" s="2">
        <v>40738</v>
      </c>
      <c r="B1051" t="s">
        <v>40</v>
      </c>
      <c r="C1051">
        <v>9</v>
      </c>
      <c r="D1051" s="6" t="s">
        <v>16</v>
      </c>
      <c r="E1051">
        <v>360</v>
      </c>
      <c r="F1051">
        <v>1.55</v>
      </c>
      <c r="G1051">
        <v>0</v>
      </c>
      <c r="N1051">
        <f t="shared" si="16"/>
        <v>226.43009924999998</v>
      </c>
      <c r="O1051">
        <f>IF(AND(OR(D1051="S. acutus",D1051="S. californicus",D1051="S. tabernaemontani"),G1051=0),E1051*[1]Sheet1!$D$7+[1]Sheet1!$L$7,IF(AND(OR(D1051="S. acutus",D1051="S. tabernaemontani"),G1051&gt;0),E1051*[1]Sheet1!$D$8+N1051*[1]Sheet1!$E$8,IF(AND(D1051="S. californicus",G1051&gt;0),E1051*[1]Sheet1!$D$9+N1051*[1]Sheet1!$E$9,IF(D1051="S. maritimus",F1051*[1]Sheet1!$C$10+E1051*[1]Sheet1!$D$10+G1051*[1]Sheet1!$F$10+[1]Sheet1!$L$10,IF(D1051="S. americanus",F1051*[1]Sheet1!$C$6+E1051*[1]Sheet1!$D$6+[1]Sheet1!$L$6,IF(AND(OR(D1051="T. domingensis",D1051="T. latifolia"),E1051&gt;0),F1051*[1]Sheet1!$C$4+E1051*[1]Sheet1!$D$4+H1051*[1]Sheet1!$J$4+I1051*[1]Sheet1!$K$4+[1]Sheet1!$L$4,IF(AND(OR(D1051="T. domingensis",D1051="T. latifolia"),J1051&gt;0),J1051*[1]Sheet1!$G$5+K1051*[1]Sheet1!$H$5+L1051*[1]Sheet1!$I$5+[1]Sheet1!$L$5,0)))))))</f>
        <v>20.647203000000001</v>
      </c>
    </row>
    <row r="1052" spans="1:15">
      <c r="A1052" s="2">
        <v>40738</v>
      </c>
      <c r="B1052" t="s">
        <v>40</v>
      </c>
      <c r="C1052">
        <v>9</v>
      </c>
      <c r="D1052" s="6" t="s">
        <v>16</v>
      </c>
      <c r="E1052">
        <v>363</v>
      </c>
      <c r="F1052">
        <v>1.44</v>
      </c>
      <c r="G1052">
        <v>0</v>
      </c>
      <c r="N1052">
        <f t="shared" si="16"/>
        <v>197.06063097599997</v>
      </c>
      <c r="O1052">
        <f>IF(AND(OR(D1052="S. acutus",D1052="S. californicus",D1052="S. tabernaemontani"),G1052=0),E1052*[1]Sheet1!$D$7+[1]Sheet1!$L$7,IF(AND(OR(D1052="S. acutus",D1052="S. tabernaemontani"),G1052&gt;0),E1052*[1]Sheet1!$D$8+N1052*[1]Sheet1!$E$8,IF(AND(D1052="S. californicus",G1052&gt;0),E1052*[1]Sheet1!$D$9+N1052*[1]Sheet1!$E$9,IF(D1052="S. maritimus",F1052*[1]Sheet1!$C$10+E1052*[1]Sheet1!$D$10+G1052*[1]Sheet1!$F$10+[1]Sheet1!$L$10,IF(D1052="S. americanus",F1052*[1]Sheet1!$C$6+E1052*[1]Sheet1!$D$6+[1]Sheet1!$L$6,IF(AND(OR(D1052="T. domingensis",D1052="T. latifolia"),E1052&gt;0),F1052*[1]Sheet1!$C$4+E1052*[1]Sheet1!$D$4+H1052*[1]Sheet1!$J$4+I1052*[1]Sheet1!$K$4+[1]Sheet1!$L$4,IF(AND(OR(D1052="T. domingensis",D1052="T. latifolia"),J1052&gt;0),J1052*[1]Sheet1!$G$5+K1052*[1]Sheet1!$H$5+L1052*[1]Sheet1!$I$5+[1]Sheet1!$L$5,0)))))))</f>
        <v>20.857518000000002</v>
      </c>
    </row>
    <row r="1053" spans="1:15">
      <c r="A1053" s="2">
        <v>40738</v>
      </c>
      <c r="B1053" t="s">
        <v>40</v>
      </c>
      <c r="C1053">
        <v>9</v>
      </c>
      <c r="D1053" s="6" t="s">
        <v>16</v>
      </c>
      <c r="E1053">
        <v>380</v>
      </c>
      <c r="F1053">
        <v>1.25</v>
      </c>
      <c r="G1053">
        <v>12</v>
      </c>
      <c r="N1053">
        <f t="shared" si="16"/>
        <v>155.44325520833331</v>
      </c>
      <c r="O1053">
        <f>IF(AND(OR(D1053="S. acutus",D1053="S. californicus",D1053="S. tabernaemontani"),G1053=0),E1053*[1]Sheet1!$D$7+[1]Sheet1!$L$7,IF(AND(OR(D1053="S. acutus",D1053="S. tabernaemontani"),G1053&gt;0),E1053*[1]Sheet1!$D$8+N1053*[1]Sheet1!$E$8,IF(AND(D1053="S. californicus",G1053&gt;0),E1053*[1]Sheet1!$D$9+N1053*[1]Sheet1!$E$9,IF(D1053="S. maritimus",F1053*[1]Sheet1!$C$10+E1053*[1]Sheet1!$D$10+G1053*[1]Sheet1!$F$10+[1]Sheet1!$L$10,IF(D1053="S. americanus",F1053*[1]Sheet1!$C$6+E1053*[1]Sheet1!$D$6+[1]Sheet1!$L$6,IF(AND(OR(D1053="T. domingensis",D1053="T. latifolia"),E1053&gt;0),F1053*[1]Sheet1!$C$4+E1053*[1]Sheet1!$D$4+H1053*[1]Sheet1!$J$4+I1053*[1]Sheet1!$K$4+[1]Sheet1!$L$4,IF(AND(OR(D1053="T. domingensis",D1053="T. latifolia"),J1053&gt;0),J1053*[1]Sheet1!$G$5+K1053*[1]Sheet1!$H$5+L1053*[1]Sheet1!$I$5+[1]Sheet1!$L$5,0)))))))</f>
        <v>19.638110716638021</v>
      </c>
    </row>
    <row r="1054" spans="1:15">
      <c r="A1054" s="2">
        <v>40738</v>
      </c>
      <c r="B1054" t="s">
        <v>40</v>
      </c>
      <c r="C1054">
        <v>9</v>
      </c>
      <c r="D1054" s="6" t="s">
        <v>16</v>
      </c>
      <c r="E1054">
        <v>385</v>
      </c>
      <c r="F1054">
        <v>2.69</v>
      </c>
      <c r="G1054">
        <v>0</v>
      </c>
      <c r="N1054">
        <f t="shared" si="16"/>
        <v>729.34590571791659</v>
      </c>
      <c r="O1054">
        <f>IF(AND(OR(D1054="S. acutus",D1054="S. californicus",D1054="S. tabernaemontani"),G1054=0),E1054*[1]Sheet1!$D$7+[1]Sheet1!$L$7,IF(AND(OR(D1054="S. acutus",D1054="S. tabernaemontani"),G1054&gt;0),E1054*[1]Sheet1!$D$8+N1054*[1]Sheet1!$E$8,IF(AND(D1054="S. californicus",G1054&gt;0),E1054*[1]Sheet1!$D$9+N1054*[1]Sheet1!$E$9,IF(D1054="S. maritimus",F1054*[1]Sheet1!$C$10+E1054*[1]Sheet1!$D$10+G1054*[1]Sheet1!$F$10+[1]Sheet1!$L$10,IF(D1054="S. americanus",F1054*[1]Sheet1!$C$6+E1054*[1]Sheet1!$D$6+[1]Sheet1!$L$6,IF(AND(OR(D1054="T. domingensis",D1054="T. latifolia"),E1054&gt;0),F1054*[1]Sheet1!$C$4+E1054*[1]Sheet1!$D$4+H1054*[1]Sheet1!$J$4+I1054*[1]Sheet1!$K$4+[1]Sheet1!$L$4,IF(AND(OR(D1054="T. domingensis",D1054="T. latifolia"),J1054&gt;0),J1054*[1]Sheet1!$G$5+K1054*[1]Sheet1!$H$5+L1054*[1]Sheet1!$I$5+[1]Sheet1!$L$5,0)))))))</f>
        <v>22.399828000000003</v>
      </c>
    </row>
    <row r="1055" spans="1:15">
      <c r="A1055" s="2">
        <v>40738</v>
      </c>
      <c r="B1055" t="s">
        <v>40</v>
      </c>
      <c r="C1055">
        <v>9</v>
      </c>
      <c r="D1055" s="6" t="s">
        <v>19</v>
      </c>
      <c r="E1055">
        <v>297</v>
      </c>
      <c r="F1055">
        <v>4.22</v>
      </c>
      <c r="H1055">
        <v>26</v>
      </c>
      <c r="I1055">
        <v>2.5</v>
      </c>
      <c r="O1055">
        <f>IF(AND(OR(D1055="S. acutus",D1055="S. californicus",D1055="S. tabernaemontani"),G1055=0),E1055*[1]Sheet1!$D$7+[1]Sheet1!$L$7,IF(AND(OR(D1055="S. acutus",D1055="S. tabernaemontani"),G1055&gt;0),E1055*[1]Sheet1!$D$8+N1055*[1]Sheet1!$E$8,IF(AND(D1055="S. californicus",G1055&gt;0),E1055*[1]Sheet1!$D$9+N1055*[1]Sheet1!$E$9,IF(D1055="S. maritimus",F1055*[1]Sheet1!$C$10+E1055*[1]Sheet1!$D$10+G1055*[1]Sheet1!$F$10+[1]Sheet1!$L$10,IF(D1055="S. americanus",F1055*[1]Sheet1!$C$6+E1055*[1]Sheet1!$D$6+[1]Sheet1!$L$6,IF(AND(OR(D1055="T. domingensis",D1055="T. latifolia"),E1055&gt;0),F1055*[1]Sheet1!$C$4+E1055*[1]Sheet1!$D$4+H1055*[1]Sheet1!$J$4+I1055*[1]Sheet1!$K$4+[1]Sheet1!$L$4,IF(AND(OR(D1055="T. domingensis",D1055="T. latifolia"),J1055&gt;0),J1055*[1]Sheet1!$G$5+K1055*[1]Sheet1!$H$5+L1055*[1]Sheet1!$I$5+[1]Sheet1!$L$5,0)))))))</f>
        <v>141.22984633999999</v>
      </c>
    </row>
    <row r="1056" spans="1:15">
      <c r="A1056" s="2">
        <v>40738</v>
      </c>
      <c r="B1056" t="s">
        <v>40</v>
      </c>
      <c r="C1056">
        <v>9</v>
      </c>
      <c r="D1056" s="6" t="s">
        <v>19</v>
      </c>
      <c r="F1056">
        <v>2.3199999999999998</v>
      </c>
      <c r="J1056">
        <f>SUM(225,273,296,325,343)</f>
        <v>1462</v>
      </c>
      <c r="K1056">
        <v>5</v>
      </c>
      <c r="L1056">
        <v>343</v>
      </c>
      <c r="O1056">
        <f>IF(AND(OR(D1056="S. acutus",D1056="S. californicus",D1056="S. tabernaemontani"),G1056=0),E1056*[1]Sheet1!$D$7+[1]Sheet1!$L$7,IF(AND(OR(D1056="S. acutus",D1056="S. tabernaemontani"),G1056&gt;0),E1056*[1]Sheet1!$D$8+N1056*[1]Sheet1!$E$8,IF(AND(D1056="S. californicus",G1056&gt;0),E1056*[1]Sheet1!$D$9+N1056*[1]Sheet1!$E$9,IF(D1056="S. maritimus",F1056*[1]Sheet1!$C$10+E1056*[1]Sheet1!$D$10+G1056*[1]Sheet1!$F$10+[1]Sheet1!$L$10,IF(D1056="S. americanus",F1056*[1]Sheet1!$C$6+E1056*[1]Sheet1!$D$6+[1]Sheet1!$L$6,IF(AND(OR(D1056="T. domingensis",D1056="T. latifolia"),E1056&gt;0),F1056*[1]Sheet1!$C$4+E1056*[1]Sheet1!$D$4+H1056*[1]Sheet1!$J$4+I1056*[1]Sheet1!$K$4+[1]Sheet1!$L$4,IF(AND(OR(D1056="T. domingensis",D1056="T. latifolia"),J1056&gt;0),J1056*[1]Sheet1!$G$5+K1056*[1]Sheet1!$H$5+L1056*[1]Sheet1!$I$5+[1]Sheet1!$L$5,0)))))))</f>
        <v>31.667994000000029</v>
      </c>
    </row>
    <row r="1057" spans="1:16">
      <c r="A1057" s="2">
        <v>40738</v>
      </c>
      <c r="B1057" t="s">
        <v>40</v>
      </c>
      <c r="C1057">
        <v>9</v>
      </c>
      <c r="D1057" s="6" t="s">
        <v>19</v>
      </c>
      <c r="F1057">
        <v>2.74</v>
      </c>
      <c r="J1057">
        <f>SUM(241,287,232,257,267)</f>
        <v>1284</v>
      </c>
      <c r="K1057">
        <v>5</v>
      </c>
      <c r="L1057">
        <v>287</v>
      </c>
      <c r="O1057">
        <f>IF(AND(OR(D1057="S. acutus",D1057="S. californicus",D1057="S. tabernaemontani"),G1057=0),E1057*[1]Sheet1!$D$7+[1]Sheet1!$L$7,IF(AND(OR(D1057="S. acutus",D1057="S. tabernaemontani"),G1057&gt;0),E1057*[1]Sheet1!$D$8+N1057*[1]Sheet1!$E$8,IF(AND(D1057="S. californicus",G1057&gt;0),E1057*[1]Sheet1!$D$9+N1057*[1]Sheet1!$E$9,IF(D1057="S. maritimus",F1057*[1]Sheet1!$C$10+E1057*[1]Sheet1!$D$10+G1057*[1]Sheet1!$F$10+[1]Sheet1!$L$10,IF(D1057="S. americanus",F1057*[1]Sheet1!$C$6+E1057*[1]Sheet1!$D$6+[1]Sheet1!$L$6,IF(AND(OR(D1057="T. domingensis",D1057="T. latifolia"),E1057&gt;0),F1057*[1]Sheet1!$C$4+E1057*[1]Sheet1!$D$4+H1057*[1]Sheet1!$J$4+I1057*[1]Sheet1!$K$4+[1]Sheet1!$L$4,IF(AND(OR(D1057="T. domingensis",D1057="T. latifolia"),J1057&gt;0),J1057*[1]Sheet1!$G$5+K1057*[1]Sheet1!$H$5+L1057*[1]Sheet1!$I$5+[1]Sheet1!$L$5,0)))))))</f>
        <v>31.849324000000003</v>
      </c>
    </row>
    <row r="1058" spans="1:16">
      <c r="A1058" s="2">
        <v>40738</v>
      </c>
      <c r="B1058" t="s">
        <v>40</v>
      </c>
      <c r="C1058">
        <v>9</v>
      </c>
      <c r="D1058" s="6" t="s">
        <v>19</v>
      </c>
      <c r="F1058">
        <v>2.4</v>
      </c>
      <c r="J1058">
        <f>SUM(255,320,345,366,384,389)</f>
        <v>2059</v>
      </c>
      <c r="K1058">
        <v>6</v>
      </c>
      <c r="L1058">
        <v>389</v>
      </c>
      <c r="O1058">
        <f>IF(AND(OR(D1058="S. acutus",D1058="S. californicus",D1058="S. tabernaemontani"),G1058=0),E1058*[1]Sheet1!$D$7+[1]Sheet1!$L$7,IF(AND(OR(D1058="S. acutus",D1058="S. tabernaemontani"),G1058&gt;0),E1058*[1]Sheet1!$D$8+N1058*[1]Sheet1!$E$8,IF(AND(D1058="S. californicus",G1058&gt;0),E1058*[1]Sheet1!$D$9+N1058*[1]Sheet1!$E$9,IF(D1058="S. maritimus",F1058*[1]Sheet1!$C$10+E1058*[1]Sheet1!$D$10+G1058*[1]Sheet1!$F$10+[1]Sheet1!$L$10,IF(D1058="S. americanus",F1058*[1]Sheet1!$C$6+E1058*[1]Sheet1!$D$6+[1]Sheet1!$L$6,IF(AND(OR(D1058="T. domingensis",D1058="T. latifolia"),E1058&gt;0),F1058*[1]Sheet1!$C$4+E1058*[1]Sheet1!$D$4+H1058*[1]Sheet1!$J$4+I1058*[1]Sheet1!$K$4+[1]Sheet1!$L$4,IF(AND(OR(D1058="T. domingensis",D1058="T. latifolia"),J1058&gt;0),J1058*[1]Sheet1!$G$5+K1058*[1]Sheet1!$H$5+L1058*[1]Sheet1!$I$5+[1]Sheet1!$L$5,0)))))))</f>
        <v>66.760106000000007</v>
      </c>
    </row>
    <row r="1059" spans="1:16">
      <c r="A1059" s="2">
        <v>40738</v>
      </c>
      <c r="B1059" t="s">
        <v>40</v>
      </c>
      <c r="C1059">
        <v>9</v>
      </c>
      <c r="D1059" s="6" t="s">
        <v>19</v>
      </c>
      <c r="F1059">
        <v>1.25</v>
      </c>
      <c r="J1059">
        <f>SUM(275,313,345,352,367,375)</f>
        <v>2027</v>
      </c>
      <c r="K1059">
        <v>6</v>
      </c>
      <c r="L1059">
        <v>375</v>
      </c>
      <c r="O1059">
        <f>IF(AND(OR(D1059="S. acutus",D1059="S. californicus",D1059="S. tabernaemontani"),G1059=0),E1059*[1]Sheet1!$D$7+[1]Sheet1!$L$7,IF(AND(OR(D1059="S. acutus",D1059="S. tabernaemontani"),G1059&gt;0),E1059*[1]Sheet1!$D$8+N1059*[1]Sheet1!$E$8,IF(AND(D1059="S. californicus",G1059&gt;0),E1059*[1]Sheet1!$D$9+N1059*[1]Sheet1!$E$9,IF(D1059="S. maritimus",F1059*[1]Sheet1!$C$10+E1059*[1]Sheet1!$D$10+G1059*[1]Sheet1!$F$10+[1]Sheet1!$L$10,IF(D1059="S. americanus",F1059*[1]Sheet1!$C$6+E1059*[1]Sheet1!$D$6+[1]Sheet1!$L$6,IF(AND(OR(D1059="T. domingensis",D1059="T. latifolia"),E1059&gt;0),F1059*[1]Sheet1!$C$4+E1059*[1]Sheet1!$D$4+H1059*[1]Sheet1!$J$4+I1059*[1]Sheet1!$K$4+[1]Sheet1!$L$4,IF(AND(OR(D1059="T. domingensis",D1059="T. latifolia"),J1059&gt;0),J1059*[1]Sheet1!$G$5+K1059*[1]Sheet1!$H$5+L1059*[1]Sheet1!$I$5+[1]Sheet1!$L$5,0)))))))</f>
        <v>67.977376000000021</v>
      </c>
    </row>
    <row r="1060" spans="1:16">
      <c r="A1060" s="2">
        <v>40738</v>
      </c>
      <c r="B1060" t="s">
        <v>40</v>
      </c>
      <c r="C1060">
        <v>15</v>
      </c>
      <c r="D1060" t="s">
        <v>12</v>
      </c>
      <c r="E1060">
        <v>256</v>
      </c>
      <c r="F1060">
        <f>0.92-0.03</f>
        <v>0.89</v>
      </c>
      <c r="G1060">
        <v>8</v>
      </c>
      <c r="M1060" t="s">
        <v>51</v>
      </c>
      <c r="N1060">
        <f>(1/3)*(3.14159)*((F1060/2)^2)*E1060</f>
        <v>53.087006698666663</v>
      </c>
      <c r="O1060">
        <f>IF(AND(OR(D1060="S. acutus",D1060="S. californicus",D1060="S. tabernaemontani"),G1060=0),E1060*[1]Sheet1!$D$7+[1]Sheet1!$L$7,IF(AND(OR(D1060="S. acutus",D1060="S. tabernaemontani"),G1060&gt;0),E1060*[1]Sheet1!$D$8+N1060*[1]Sheet1!$E$8,IF(AND(D1060="S. californicus",G1060&gt;0),E1060*[1]Sheet1!$D$9+N1060*[1]Sheet1!$E$9,IF(D1060="S. maritimus",F1060*[1]Sheet1!$C$10+E1060*[1]Sheet1!$D$10+G1060*[1]Sheet1!$F$10+[1]Sheet1!$L$10,IF(D1060="S. americanus",F1060*[1]Sheet1!$C$6+E1060*[1]Sheet1!$D$6+[1]Sheet1!$L$6,IF(AND(OR(D1060="T. domingensis",D1060="T. latifolia"),E1060&gt;0),F1060*[1]Sheet1!$C$4+E1060*[1]Sheet1!$D$4+H1060*[1]Sheet1!$J$4+I1060*[1]Sheet1!$K$4+[1]Sheet1!$L$4,IF(AND(OR(D1060="T. domingensis",D1060="T. latifolia"),J1060&gt;0),J1060*[1]Sheet1!$G$5+K1060*[1]Sheet1!$H$5+L1060*[1]Sheet1!$I$5+[1]Sheet1!$L$5,0)))))))</f>
        <v>11.567266994003095</v>
      </c>
    </row>
    <row r="1061" spans="1:16">
      <c r="A1061" s="2">
        <v>40738</v>
      </c>
      <c r="B1061" t="s">
        <v>40</v>
      </c>
      <c r="C1061">
        <v>15</v>
      </c>
      <c r="D1061" s="6" t="s">
        <v>16</v>
      </c>
      <c r="E1061">
        <v>38</v>
      </c>
      <c r="F1061">
        <v>0.44</v>
      </c>
      <c r="G1061">
        <v>0</v>
      </c>
      <c r="N1061">
        <f t="shared" ref="N1061:N1102" si="17">((1/3)*(3.14159)*((F1061/2)^2)*E1061)</f>
        <v>1.9260041093333331</v>
      </c>
      <c r="O1061">
        <f>IF(AND(OR(D1061="S. acutus",D1061="S. californicus",D1061="S. tabernaemontani"),G1061=0),E1061*[1]Sheet1!$D$7+[1]Sheet1!$L$7,IF(AND(OR(D1061="S. acutus",D1061="S. tabernaemontani"),G1061&gt;0),E1061*[1]Sheet1!$D$8+N1061*[1]Sheet1!$E$8,IF(AND(D1061="S. californicus",G1061&gt;0),E1061*[1]Sheet1!$D$9+N1061*[1]Sheet1!$E$9,IF(D1061="S. maritimus",F1061*[1]Sheet1!$C$10+E1061*[1]Sheet1!$D$10+G1061*[1]Sheet1!$F$10+[1]Sheet1!$L$10,IF(D1061="S. americanus",F1061*[1]Sheet1!$C$6+E1061*[1]Sheet1!$D$6+[1]Sheet1!$L$6,IF(AND(OR(D1061="T. domingensis",D1061="T. latifolia"),E1061&gt;0),F1061*[1]Sheet1!$C$4+E1061*[1]Sheet1!$D$4+H1061*[1]Sheet1!$J$4+I1061*[1]Sheet1!$K$4+[1]Sheet1!$L$4,IF(AND(OR(D1061="T. domingensis",D1061="T. latifolia"),J1061&gt;0),J1061*[1]Sheet1!$G$5+K1061*[1]Sheet1!$H$5+L1061*[1]Sheet1!$I$5+[1]Sheet1!$L$5,0)))))))</f>
        <v>-1.9266069999999997</v>
      </c>
    </row>
    <row r="1062" spans="1:16">
      <c r="A1062" s="2">
        <v>40738</v>
      </c>
      <c r="B1062" t="s">
        <v>40</v>
      </c>
      <c r="C1062">
        <v>15</v>
      </c>
      <c r="D1062" s="6" t="s">
        <v>16</v>
      </c>
      <c r="E1062">
        <v>81</v>
      </c>
      <c r="F1062">
        <v>0.4</v>
      </c>
      <c r="G1062">
        <v>0</v>
      </c>
      <c r="N1062">
        <f t="shared" si="17"/>
        <v>3.3929172000000003</v>
      </c>
      <c r="O1062">
        <f>IF(AND(OR(D1062="S. acutus",D1062="S. californicus",D1062="S. tabernaemontani"),G1062=0),E1062*[1]Sheet1!$D$7+[1]Sheet1!$L$7,IF(AND(OR(D1062="S. acutus",D1062="S. tabernaemontani"),G1062&gt;0),E1062*[1]Sheet1!$D$8+N1062*[1]Sheet1!$E$8,IF(AND(D1062="S. californicus",G1062&gt;0),E1062*[1]Sheet1!$D$9+N1062*[1]Sheet1!$E$9,IF(D1062="S. maritimus",F1062*[1]Sheet1!$C$10+E1062*[1]Sheet1!$D$10+G1062*[1]Sheet1!$F$10+[1]Sheet1!$L$10,IF(D1062="S. americanus",F1062*[1]Sheet1!$C$6+E1062*[1]Sheet1!$D$6+[1]Sheet1!$L$6,IF(AND(OR(D1062="T. domingensis",D1062="T. latifolia"),E1062&gt;0),F1062*[1]Sheet1!$C$4+E1062*[1]Sheet1!$D$4+H1062*[1]Sheet1!$J$4+I1062*[1]Sheet1!$K$4+[1]Sheet1!$L$4,IF(AND(OR(D1062="T. domingensis",D1062="T. latifolia"),J1062&gt;0),J1062*[1]Sheet1!$G$5+K1062*[1]Sheet1!$H$5+L1062*[1]Sheet1!$I$5+[1]Sheet1!$L$5,0)))))))</f>
        <v>1.0879080000000005</v>
      </c>
    </row>
    <row r="1063" spans="1:16">
      <c r="A1063" s="2">
        <v>40738</v>
      </c>
      <c r="B1063" t="s">
        <v>40</v>
      </c>
      <c r="C1063">
        <v>15</v>
      </c>
      <c r="D1063" s="6" t="s">
        <v>16</v>
      </c>
      <c r="E1063">
        <v>85</v>
      </c>
      <c r="F1063">
        <v>0.28999999999999998</v>
      </c>
      <c r="G1063">
        <v>0</v>
      </c>
      <c r="N1063">
        <f t="shared" si="17"/>
        <v>1.8714713429166663</v>
      </c>
      <c r="O1063">
        <f>IF(AND(OR(D1063="S. acutus",D1063="S. californicus",D1063="S. tabernaemontani"),G1063=0),E1063*[1]Sheet1!$D$7+[1]Sheet1!$L$7,IF(AND(OR(D1063="S. acutus",D1063="S. tabernaemontani"),G1063&gt;0),E1063*[1]Sheet1!$D$8+N1063*[1]Sheet1!$E$8,IF(AND(D1063="S. californicus",G1063&gt;0),E1063*[1]Sheet1!$D$9+N1063*[1]Sheet1!$E$9,IF(D1063="S. maritimus",F1063*[1]Sheet1!$C$10+E1063*[1]Sheet1!$D$10+G1063*[1]Sheet1!$F$10+[1]Sheet1!$L$10,IF(D1063="S. americanus",F1063*[1]Sheet1!$C$6+E1063*[1]Sheet1!$D$6+[1]Sheet1!$L$6,IF(AND(OR(D1063="T. domingensis",D1063="T. latifolia"),E1063&gt;0),F1063*[1]Sheet1!$C$4+E1063*[1]Sheet1!$D$4+H1063*[1]Sheet1!$J$4+I1063*[1]Sheet1!$K$4+[1]Sheet1!$L$4,IF(AND(OR(D1063="T. domingensis",D1063="T. latifolia"),J1063&gt;0),J1063*[1]Sheet1!$G$5+K1063*[1]Sheet1!$H$5+L1063*[1]Sheet1!$I$5+[1]Sheet1!$L$5,0)))))))</f>
        <v>1.368328</v>
      </c>
    </row>
    <row r="1064" spans="1:16">
      <c r="A1064" s="2">
        <v>40738</v>
      </c>
      <c r="B1064" t="s">
        <v>40</v>
      </c>
      <c r="C1064">
        <v>15</v>
      </c>
      <c r="D1064" t="s">
        <v>16</v>
      </c>
      <c r="E1064">
        <v>126</v>
      </c>
      <c r="F1064">
        <f>0.73-0.03</f>
        <v>0.7</v>
      </c>
      <c r="G1064">
        <v>0</v>
      </c>
      <c r="M1064" t="s">
        <v>51</v>
      </c>
      <c r="N1064">
        <f t="shared" si="17"/>
        <v>16.163480549999996</v>
      </c>
      <c r="O1064">
        <f>IF(AND(OR(D1064="S. acutus",D1064="S. californicus",D1064="S. tabernaemontani"),G1064=0),E1064*[1]Sheet1!$D$7+[1]Sheet1!$L$7,IF(AND(OR(D1064="S. acutus",D1064="S. tabernaemontani"),G1064&gt;0),E1064*[1]Sheet1!$D$8+N1064*[1]Sheet1!$E$8,IF(AND(D1064="S. californicus",G1064&gt;0),E1064*[1]Sheet1!$D$9+N1064*[1]Sheet1!$E$9,IF(D1064="S. maritimus",F1064*[1]Sheet1!$C$10+E1064*[1]Sheet1!$D$10+G1064*[1]Sheet1!$F$10+[1]Sheet1!$L$10,IF(D1064="S. americanus",F1064*[1]Sheet1!$C$6+E1064*[1]Sheet1!$D$6+[1]Sheet1!$L$6,IF(AND(OR(D1064="T. domingensis",D1064="T. latifolia"),E1064&gt;0),F1064*[1]Sheet1!$C$4+E1064*[1]Sheet1!$D$4+H1064*[1]Sheet1!$J$4+I1064*[1]Sheet1!$K$4+[1]Sheet1!$L$4,IF(AND(OR(D1064="T. domingensis",D1064="T. latifolia"),J1064&gt;0),J1064*[1]Sheet1!$G$5+K1064*[1]Sheet1!$H$5+L1064*[1]Sheet1!$I$5+[1]Sheet1!$L$5,0)))))))</f>
        <v>4.2426330000000005</v>
      </c>
    </row>
    <row r="1065" spans="1:16">
      <c r="A1065" s="2">
        <v>40738</v>
      </c>
      <c r="B1065" t="s">
        <v>40</v>
      </c>
      <c r="C1065">
        <v>15</v>
      </c>
      <c r="D1065" t="s">
        <v>16</v>
      </c>
      <c r="E1065">
        <v>129</v>
      </c>
      <c r="F1065">
        <f>1.03-0.03</f>
        <v>1</v>
      </c>
      <c r="G1065">
        <v>0</v>
      </c>
      <c r="M1065" t="s">
        <v>51</v>
      </c>
      <c r="N1065">
        <f t="shared" si="17"/>
        <v>33.772092499999999</v>
      </c>
      <c r="O1065">
        <f>IF(AND(OR(D1065="S. acutus",D1065="S. californicus",D1065="S. tabernaemontani"),G1065=0),E1065*[1]Sheet1!$D$7+[1]Sheet1!$L$7,IF(AND(OR(D1065="S. acutus",D1065="S. tabernaemontani"),G1065&gt;0),E1065*[1]Sheet1!$D$8+N1065*[1]Sheet1!$E$8,IF(AND(D1065="S. californicus",G1065&gt;0),E1065*[1]Sheet1!$D$9+N1065*[1]Sheet1!$E$9,IF(D1065="S. maritimus",F1065*[1]Sheet1!$C$10+E1065*[1]Sheet1!$D$10+G1065*[1]Sheet1!$F$10+[1]Sheet1!$L$10,IF(D1065="S. americanus",F1065*[1]Sheet1!$C$6+E1065*[1]Sheet1!$D$6+[1]Sheet1!$L$6,IF(AND(OR(D1065="T. domingensis",D1065="T. latifolia"),E1065&gt;0),F1065*[1]Sheet1!$C$4+E1065*[1]Sheet1!$D$4+H1065*[1]Sheet1!$J$4+I1065*[1]Sheet1!$K$4+[1]Sheet1!$L$4,IF(AND(OR(D1065="T. domingensis",D1065="T. latifolia"),J1065&gt;0),J1065*[1]Sheet1!$G$5+K1065*[1]Sheet1!$H$5+L1065*[1]Sheet1!$I$5+[1]Sheet1!$L$5,0)))))))</f>
        <v>4.4529480000000001</v>
      </c>
    </row>
    <row r="1066" spans="1:16">
      <c r="A1066" s="2">
        <v>40738</v>
      </c>
      <c r="B1066" t="s">
        <v>40</v>
      </c>
      <c r="C1066">
        <v>15</v>
      </c>
      <c r="D1066" t="s">
        <v>16</v>
      </c>
      <c r="E1066">
        <v>170</v>
      </c>
      <c r="F1066">
        <f>0.74-0.03</f>
        <v>0.71</v>
      </c>
      <c r="G1066">
        <v>9</v>
      </c>
      <c r="M1066" t="s">
        <v>51</v>
      </c>
      <c r="N1066">
        <f t="shared" si="17"/>
        <v>22.435403185833334</v>
      </c>
      <c r="O1066">
        <f>IF(AND(OR(D1066="S. acutus",D1066="S. californicus",D1066="S. tabernaemontani"),G1066=0),E1066*[1]Sheet1!$D$7+[1]Sheet1!$L$7,IF(AND(OR(D1066="S. acutus",D1066="S. tabernaemontani"),G1066&gt;0),E1066*[1]Sheet1!$D$8+N1066*[1]Sheet1!$E$8,IF(AND(D1066="S. californicus",G1066&gt;0),E1066*[1]Sheet1!$D$9+N1066*[1]Sheet1!$E$9,IF(D1066="S. maritimus",F1066*[1]Sheet1!$C$10+E1066*[1]Sheet1!$D$10+G1066*[1]Sheet1!$F$10+[1]Sheet1!$L$10,IF(D1066="S. americanus",F1066*[1]Sheet1!$C$6+E1066*[1]Sheet1!$D$6+[1]Sheet1!$L$6,IF(AND(OR(D1066="T. domingensis",D1066="T. latifolia"),E1066&gt;0),F1066*[1]Sheet1!$C$4+E1066*[1]Sheet1!$D$4+H1066*[1]Sheet1!$J$4+I1066*[1]Sheet1!$K$4+[1]Sheet1!$L$4,IF(AND(OR(D1066="T. domingensis",D1066="T. latifolia"),J1066&gt;0),J1066*[1]Sheet1!$G$5+K1066*[1]Sheet1!$H$5+L1066*[1]Sheet1!$I$5+[1]Sheet1!$L$5,0)))))))</f>
        <v>7.2686471744467012</v>
      </c>
    </row>
    <row r="1067" spans="1:16" s="10" customFormat="1">
      <c r="A1067" s="2">
        <v>40738</v>
      </c>
      <c r="B1067" t="s">
        <v>40</v>
      </c>
      <c r="C1067">
        <v>15</v>
      </c>
      <c r="D1067" t="s">
        <v>16</v>
      </c>
      <c r="E1067">
        <v>174</v>
      </c>
      <c r="F1067">
        <f>0.74-0.03</f>
        <v>0.71</v>
      </c>
      <c r="G1067">
        <v>0</v>
      </c>
      <c r="H1067"/>
      <c r="I1067"/>
      <c r="J1067"/>
      <c r="K1067"/>
      <c r="L1067"/>
      <c r="M1067" t="s">
        <v>51</v>
      </c>
      <c r="N1067">
        <f t="shared" si="17"/>
        <v>22.963295025499999</v>
      </c>
      <c r="O1067">
        <f>IF(AND(OR(D1067="S. acutus",D1067="S. californicus",D1067="S. tabernaemontani"),G1067=0),E1067*[1]Sheet1!$D$7+[1]Sheet1!$L$7,IF(AND(OR(D1067="S. acutus",D1067="S. tabernaemontani"),G1067&gt;0),E1067*[1]Sheet1!$D$8+N1067*[1]Sheet1!$E$8,IF(AND(D1067="S. californicus",G1067&gt;0),E1067*[1]Sheet1!$D$9+N1067*[1]Sheet1!$E$9,IF(D1067="S. maritimus",F1067*[1]Sheet1!$C$10+E1067*[1]Sheet1!$D$10+G1067*[1]Sheet1!$F$10+[1]Sheet1!$L$10,IF(D1067="S. americanus",F1067*[1]Sheet1!$C$6+E1067*[1]Sheet1!$D$6+[1]Sheet1!$L$6,IF(AND(OR(D1067="T. domingensis",D1067="T. latifolia"),E1067&gt;0),F1067*[1]Sheet1!$C$4+E1067*[1]Sheet1!$D$4+H1067*[1]Sheet1!$J$4+I1067*[1]Sheet1!$K$4+[1]Sheet1!$L$4,IF(AND(OR(D1067="T. domingensis",D1067="T. latifolia"),J1067&gt;0),J1067*[1]Sheet1!$G$5+K1067*[1]Sheet1!$H$5+L1067*[1]Sheet1!$I$5+[1]Sheet1!$L$5,0)))))))</f>
        <v>7.607673000000001</v>
      </c>
      <c r="P1067"/>
    </row>
    <row r="1068" spans="1:16" s="10" customFormat="1">
      <c r="A1068" s="2">
        <v>40738</v>
      </c>
      <c r="B1068" t="s">
        <v>40</v>
      </c>
      <c r="C1068">
        <v>15</v>
      </c>
      <c r="D1068" t="s">
        <v>16</v>
      </c>
      <c r="E1068">
        <v>201</v>
      </c>
      <c r="F1068">
        <f>0.74-0.03</f>
        <v>0.71</v>
      </c>
      <c r="G1068">
        <v>0</v>
      </c>
      <c r="H1068"/>
      <c r="I1068"/>
      <c r="J1068"/>
      <c r="K1068"/>
      <c r="L1068"/>
      <c r="M1068" t="s">
        <v>51</v>
      </c>
      <c r="N1068">
        <f t="shared" si="17"/>
        <v>26.526564943249998</v>
      </c>
      <c r="O1068">
        <f>IF(AND(OR(D1068="S. acutus",D1068="S. californicus",D1068="S. tabernaemontani"),G1068=0),E1068*[1]Sheet1!$D$7+[1]Sheet1!$L$7,IF(AND(OR(D1068="S. acutus",D1068="S. tabernaemontani"),G1068&gt;0),E1068*[1]Sheet1!$D$8+N1068*[1]Sheet1!$E$8,IF(AND(D1068="S. californicus",G1068&gt;0),E1068*[1]Sheet1!$D$9+N1068*[1]Sheet1!$E$9,IF(D1068="S. maritimus",F1068*[1]Sheet1!$C$10+E1068*[1]Sheet1!$D$10+G1068*[1]Sheet1!$F$10+[1]Sheet1!$L$10,IF(D1068="S. americanus",F1068*[1]Sheet1!$C$6+E1068*[1]Sheet1!$D$6+[1]Sheet1!$L$6,IF(AND(OR(D1068="T. domingensis",D1068="T. latifolia"),E1068&gt;0),F1068*[1]Sheet1!$C$4+E1068*[1]Sheet1!$D$4+H1068*[1]Sheet1!$J$4+I1068*[1]Sheet1!$K$4+[1]Sheet1!$L$4,IF(AND(OR(D1068="T. domingensis",D1068="T. latifolia"),J1068&gt;0),J1068*[1]Sheet1!$G$5+K1068*[1]Sheet1!$H$5+L1068*[1]Sheet1!$I$5+[1]Sheet1!$L$5,0)))))))</f>
        <v>9.500508</v>
      </c>
      <c r="P1068"/>
    </row>
    <row r="1069" spans="1:16" s="10" customFormat="1">
      <c r="A1069" s="2">
        <v>40738</v>
      </c>
      <c r="B1069" t="s">
        <v>40</v>
      </c>
      <c r="C1069">
        <v>15</v>
      </c>
      <c r="D1069" s="6" t="s">
        <v>16</v>
      </c>
      <c r="E1069">
        <v>205</v>
      </c>
      <c r="F1069">
        <v>0.49</v>
      </c>
      <c r="G1069">
        <v>3</v>
      </c>
      <c r="H1069"/>
      <c r="I1069"/>
      <c r="J1069"/>
      <c r="K1069"/>
      <c r="L1069"/>
      <c r="M1069"/>
      <c r="N1069">
        <f t="shared" si="17"/>
        <v>12.885885882916664</v>
      </c>
      <c r="O1069">
        <f>IF(AND(OR(D1069="S. acutus",D1069="S. californicus",D1069="S. tabernaemontani"),G1069=0),E1069*[1]Sheet1!$D$7+[1]Sheet1!$L$7,IF(AND(OR(D1069="S. acutus",D1069="S. tabernaemontani"),G1069&gt;0),E1069*[1]Sheet1!$D$8+N1069*[1]Sheet1!$E$8,IF(AND(D1069="S. californicus",G1069&gt;0),E1069*[1]Sheet1!$D$9+N1069*[1]Sheet1!$E$9,IF(D1069="S. maritimus",F1069*[1]Sheet1!$C$10+E1069*[1]Sheet1!$D$10+G1069*[1]Sheet1!$F$10+[1]Sheet1!$L$10,IF(D1069="S. americanus",F1069*[1]Sheet1!$C$6+E1069*[1]Sheet1!$D$6+[1]Sheet1!$L$6,IF(AND(OR(D1069="T. domingensis",D1069="T. latifolia"),E1069&gt;0),F1069*[1]Sheet1!$C$4+E1069*[1]Sheet1!$D$4+H1069*[1]Sheet1!$J$4+I1069*[1]Sheet1!$K$4+[1]Sheet1!$L$4,IF(AND(OR(D1069="T. domingensis",D1069="T. latifolia"),J1069&gt;0),J1069*[1]Sheet1!$G$5+K1069*[1]Sheet1!$H$5+L1069*[1]Sheet1!$I$5+[1]Sheet1!$L$5,0)))))))</f>
        <v>8.3088926227272122</v>
      </c>
      <c r="P1069"/>
    </row>
    <row r="1070" spans="1:16" s="10" customFormat="1">
      <c r="A1070" s="2">
        <v>40738</v>
      </c>
      <c r="B1070" t="s">
        <v>40</v>
      </c>
      <c r="C1070">
        <v>15</v>
      </c>
      <c r="D1070" t="s">
        <v>16</v>
      </c>
      <c r="E1070">
        <v>206</v>
      </c>
      <c r="F1070">
        <f>0.71-0.03</f>
        <v>0.67999999999999994</v>
      </c>
      <c r="G1070">
        <v>0</v>
      </c>
      <c r="H1070"/>
      <c r="I1070"/>
      <c r="J1070"/>
      <c r="K1070"/>
      <c r="L1070"/>
      <c r="M1070" t="s">
        <v>51</v>
      </c>
      <c r="N1070">
        <f t="shared" si="17"/>
        <v>24.937522541333326</v>
      </c>
      <c r="O1070">
        <f>IF(AND(OR(D1070="S. acutus",D1070="S. californicus",D1070="S. tabernaemontani"),G1070=0),E1070*[1]Sheet1!$D$7+[1]Sheet1!$L$7,IF(AND(OR(D1070="S. acutus",D1070="S. tabernaemontani"),G1070&gt;0),E1070*[1]Sheet1!$D$8+N1070*[1]Sheet1!$E$8,IF(AND(D1070="S. californicus",G1070&gt;0),E1070*[1]Sheet1!$D$9+N1070*[1]Sheet1!$E$9,IF(D1070="S. maritimus",F1070*[1]Sheet1!$C$10+E1070*[1]Sheet1!$D$10+G1070*[1]Sheet1!$F$10+[1]Sheet1!$L$10,IF(D1070="S. americanus",F1070*[1]Sheet1!$C$6+E1070*[1]Sheet1!$D$6+[1]Sheet1!$L$6,IF(AND(OR(D1070="T. domingensis",D1070="T. latifolia"),E1070&gt;0),F1070*[1]Sheet1!$C$4+E1070*[1]Sheet1!$D$4+H1070*[1]Sheet1!$J$4+I1070*[1]Sheet1!$K$4+[1]Sheet1!$L$4,IF(AND(OR(D1070="T. domingensis",D1070="T. latifolia"),J1070&gt;0),J1070*[1]Sheet1!$G$5+K1070*[1]Sheet1!$H$5+L1070*[1]Sheet1!$I$5+[1]Sheet1!$L$5,0)))))))</f>
        <v>9.851033000000001</v>
      </c>
      <c r="P1070"/>
    </row>
    <row r="1071" spans="1:16" s="10" customFormat="1">
      <c r="A1071" s="2">
        <v>40738</v>
      </c>
      <c r="B1071" t="s">
        <v>40</v>
      </c>
      <c r="C1071">
        <v>15</v>
      </c>
      <c r="D1071" s="6" t="s">
        <v>16</v>
      </c>
      <c r="E1071">
        <v>209</v>
      </c>
      <c r="F1071">
        <v>0.35</v>
      </c>
      <c r="G1071">
        <v>0</v>
      </c>
      <c r="H1071"/>
      <c r="I1071"/>
      <c r="J1071"/>
      <c r="K1071"/>
      <c r="L1071"/>
      <c r="M1071"/>
      <c r="N1071">
        <f t="shared" si="17"/>
        <v>6.702713164583332</v>
      </c>
      <c r="O1071">
        <f>IF(AND(OR(D1071="S. acutus",D1071="S. californicus",D1071="S. tabernaemontani"),G1071=0),E1071*[1]Sheet1!$D$7+[1]Sheet1!$L$7,IF(AND(OR(D1071="S. acutus",D1071="S. tabernaemontani"),G1071&gt;0),E1071*[1]Sheet1!$D$8+N1071*[1]Sheet1!$E$8,IF(AND(D1071="S. californicus",G1071&gt;0),E1071*[1]Sheet1!$D$9+N1071*[1]Sheet1!$E$9,IF(D1071="S. maritimus",F1071*[1]Sheet1!$C$10+E1071*[1]Sheet1!$D$10+G1071*[1]Sheet1!$F$10+[1]Sheet1!$L$10,IF(D1071="S. americanus",F1071*[1]Sheet1!$C$6+E1071*[1]Sheet1!$D$6+[1]Sheet1!$L$6,IF(AND(OR(D1071="T. domingensis",D1071="T. latifolia"),E1071&gt;0),F1071*[1]Sheet1!$C$4+E1071*[1]Sheet1!$D$4+H1071*[1]Sheet1!$J$4+I1071*[1]Sheet1!$K$4+[1]Sheet1!$L$4,IF(AND(OR(D1071="T. domingensis",D1071="T. latifolia"),J1071&gt;0),J1071*[1]Sheet1!$G$5+K1071*[1]Sheet1!$H$5+L1071*[1]Sheet1!$I$5+[1]Sheet1!$L$5,0)))))))</f>
        <v>10.061347999999999</v>
      </c>
      <c r="P1071"/>
    </row>
    <row r="1072" spans="1:16" s="10" customFormat="1">
      <c r="A1072" s="2">
        <v>40738</v>
      </c>
      <c r="B1072" t="s">
        <v>40</v>
      </c>
      <c r="C1072">
        <v>15</v>
      </c>
      <c r="D1072" t="s">
        <v>16</v>
      </c>
      <c r="E1072">
        <v>211</v>
      </c>
      <c r="F1072">
        <f>1.29-0.03</f>
        <v>1.26</v>
      </c>
      <c r="G1072">
        <v>0</v>
      </c>
      <c r="H1072"/>
      <c r="I1072"/>
      <c r="J1072"/>
      <c r="K1072"/>
      <c r="L1072"/>
      <c r="M1072" t="s">
        <v>51</v>
      </c>
      <c r="N1072">
        <f t="shared" si="17"/>
        <v>87.698427327000005</v>
      </c>
      <c r="O1072">
        <f>IF(AND(OR(D1072="S. acutus",D1072="S. californicus",D1072="S. tabernaemontani"),G1072=0),E1072*[1]Sheet1!$D$7+[1]Sheet1!$L$7,IF(AND(OR(D1072="S. acutus",D1072="S. tabernaemontani"),G1072&gt;0),E1072*[1]Sheet1!$D$8+N1072*[1]Sheet1!$E$8,IF(AND(D1072="S. californicus",G1072&gt;0),E1072*[1]Sheet1!$D$9+N1072*[1]Sheet1!$E$9,IF(D1072="S. maritimus",F1072*[1]Sheet1!$C$10+E1072*[1]Sheet1!$D$10+G1072*[1]Sheet1!$F$10+[1]Sheet1!$L$10,IF(D1072="S. americanus",F1072*[1]Sheet1!$C$6+E1072*[1]Sheet1!$D$6+[1]Sheet1!$L$6,IF(AND(OR(D1072="T. domingensis",D1072="T. latifolia"),E1072&gt;0),F1072*[1]Sheet1!$C$4+E1072*[1]Sheet1!$D$4+H1072*[1]Sheet1!$J$4+I1072*[1]Sheet1!$K$4+[1]Sheet1!$L$4,IF(AND(OR(D1072="T. domingensis",D1072="T. latifolia"),J1072&gt;0),J1072*[1]Sheet1!$G$5+K1072*[1]Sheet1!$H$5+L1072*[1]Sheet1!$I$5+[1]Sheet1!$L$5,0)))))))</f>
        <v>10.201557999999999</v>
      </c>
      <c r="P1072"/>
    </row>
    <row r="1073" spans="1:16" s="10" customFormat="1">
      <c r="A1073" s="2">
        <v>40738</v>
      </c>
      <c r="B1073" t="s">
        <v>40</v>
      </c>
      <c r="C1073">
        <v>15</v>
      </c>
      <c r="D1073" s="6" t="s">
        <v>16</v>
      </c>
      <c r="E1073">
        <v>216</v>
      </c>
      <c r="F1073">
        <v>0.5</v>
      </c>
      <c r="G1073">
        <v>0</v>
      </c>
      <c r="H1073"/>
      <c r="I1073"/>
      <c r="J1073"/>
      <c r="K1073"/>
      <c r="L1073"/>
      <c r="M1073"/>
      <c r="N1073">
        <f t="shared" si="17"/>
        <v>14.137154999999998</v>
      </c>
      <c r="O1073">
        <f>IF(AND(OR(D1073="S. acutus",D1073="S. californicus",D1073="S. tabernaemontani"),G1073=0),E1073*[1]Sheet1!$D$7+[1]Sheet1!$L$7,IF(AND(OR(D1073="S. acutus",D1073="S. tabernaemontani"),G1073&gt;0),E1073*[1]Sheet1!$D$8+N1073*[1]Sheet1!$E$8,IF(AND(D1073="S. californicus",G1073&gt;0),E1073*[1]Sheet1!$D$9+N1073*[1]Sheet1!$E$9,IF(D1073="S. maritimus",F1073*[1]Sheet1!$C$10+E1073*[1]Sheet1!$D$10+G1073*[1]Sheet1!$F$10+[1]Sheet1!$L$10,IF(D1073="S. americanus",F1073*[1]Sheet1!$C$6+E1073*[1]Sheet1!$D$6+[1]Sheet1!$L$6,IF(AND(OR(D1073="T. domingensis",D1073="T. latifolia"),E1073&gt;0),F1073*[1]Sheet1!$C$4+E1073*[1]Sheet1!$D$4+H1073*[1]Sheet1!$J$4+I1073*[1]Sheet1!$K$4+[1]Sheet1!$L$4,IF(AND(OR(D1073="T. domingensis",D1073="T. latifolia"),J1073&gt;0),J1073*[1]Sheet1!$G$5+K1073*[1]Sheet1!$H$5+L1073*[1]Sheet1!$I$5+[1]Sheet1!$L$5,0)))))))</f>
        <v>10.552083</v>
      </c>
      <c r="P1073"/>
    </row>
    <row r="1074" spans="1:16" s="10" customFormat="1">
      <c r="A1074" s="2">
        <v>40738</v>
      </c>
      <c r="B1074" t="s">
        <v>40</v>
      </c>
      <c r="C1074">
        <v>15</v>
      </c>
      <c r="D1074" s="6" t="s">
        <v>16</v>
      </c>
      <c r="E1074">
        <v>219</v>
      </c>
      <c r="F1074">
        <v>0.79</v>
      </c>
      <c r="G1074">
        <v>0</v>
      </c>
      <c r="H1074"/>
      <c r="I1074"/>
      <c r="J1074"/>
      <c r="K1074"/>
      <c r="L1074"/>
      <c r="M1074"/>
      <c r="N1074">
        <f t="shared" si="17"/>
        <v>35.782160321750005</v>
      </c>
      <c r="O1074">
        <f>IF(AND(OR(D1074="S. acutus",D1074="S. californicus",D1074="S. tabernaemontani"),G1074=0),E1074*[1]Sheet1!$D$7+[1]Sheet1!$L$7,IF(AND(OR(D1074="S. acutus",D1074="S. tabernaemontani"),G1074&gt;0),E1074*[1]Sheet1!$D$8+N1074*[1]Sheet1!$E$8,IF(AND(D1074="S. californicus",G1074&gt;0),E1074*[1]Sheet1!$D$9+N1074*[1]Sheet1!$E$9,IF(D1074="S. maritimus",F1074*[1]Sheet1!$C$10+E1074*[1]Sheet1!$D$10+G1074*[1]Sheet1!$F$10+[1]Sheet1!$L$10,IF(D1074="S. americanus",F1074*[1]Sheet1!$C$6+E1074*[1]Sheet1!$D$6+[1]Sheet1!$L$6,IF(AND(OR(D1074="T. domingensis",D1074="T. latifolia"),E1074&gt;0),F1074*[1]Sheet1!$C$4+E1074*[1]Sheet1!$D$4+H1074*[1]Sheet1!$J$4+I1074*[1]Sheet1!$K$4+[1]Sheet1!$L$4,IF(AND(OR(D1074="T. domingensis",D1074="T. latifolia"),J1074&gt;0),J1074*[1]Sheet1!$G$5+K1074*[1]Sheet1!$H$5+L1074*[1]Sheet1!$I$5+[1]Sheet1!$L$5,0)))))))</f>
        <v>10.762398000000001</v>
      </c>
      <c r="P1074"/>
    </row>
    <row r="1075" spans="1:16" s="10" customFormat="1">
      <c r="A1075" s="2">
        <v>40738</v>
      </c>
      <c r="B1075" t="s">
        <v>40</v>
      </c>
      <c r="C1075">
        <v>15</v>
      </c>
      <c r="D1075" s="6" t="s">
        <v>16</v>
      </c>
      <c r="E1075">
        <v>221</v>
      </c>
      <c r="F1075">
        <v>0.5</v>
      </c>
      <c r="G1075">
        <v>5</v>
      </c>
      <c r="H1075"/>
      <c r="I1075"/>
      <c r="J1075"/>
      <c r="K1075"/>
      <c r="L1075"/>
      <c r="M1075"/>
      <c r="N1075">
        <f t="shared" si="17"/>
        <v>14.464403958333332</v>
      </c>
      <c r="O1075">
        <f>IF(AND(OR(D1075="S. acutus",D1075="S. californicus",D1075="S. tabernaemontani"),G1075=0),E1075*[1]Sheet1!$D$7+[1]Sheet1!$L$7,IF(AND(OR(D1075="S. acutus",D1075="S. tabernaemontani"),G1075&gt;0),E1075*[1]Sheet1!$D$8+N1075*[1]Sheet1!$E$8,IF(AND(D1075="S. californicus",G1075&gt;0),E1075*[1]Sheet1!$D$9+N1075*[1]Sheet1!$E$9,IF(D1075="S. maritimus",F1075*[1]Sheet1!$C$10+E1075*[1]Sheet1!$D$10+G1075*[1]Sheet1!$F$10+[1]Sheet1!$L$10,IF(D1075="S. americanus",F1075*[1]Sheet1!$C$6+E1075*[1]Sheet1!$D$6+[1]Sheet1!$L$6,IF(AND(OR(D1075="T. domingensis",D1075="T. latifolia"),E1075&gt;0),F1075*[1]Sheet1!$C$4+E1075*[1]Sheet1!$D$4+H1075*[1]Sheet1!$J$4+I1075*[1]Sheet1!$K$4+[1]Sheet1!$L$4,IF(AND(OR(D1075="T. domingensis",D1075="T. latifolia"),J1075&gt;0),J1075*[1]Sheet1!$G$5+K1075*[1]Sheet1!$H$5+L1075*[1]Sheet1!$I$5+[1]Sheet1!$L$5,0)))))))</f>
        <v>8.9758359254218973</v>
      </c>
      <c r="P1075"/>
    </row>
    <row r="1076" spans="1:16" s="10" customFormat="1">
      <c r="A1076" s="2">
        <v>40738</v>
      </c>
      <c r="B1076" t="s">
        <v>40</v>
      </c>
      <c r="C1076">
        <v>15</v>
      </c>
      <c r="D1076" s="6" t="s">
        <v>16</v>
      </c>
      <c r="E1076">
        <v>227</v>
      </c>
      <c r="F1076">
        <v>0.8</v>
      </c>
      <c r="G1076">
        <v>0</v>
      </c>
      <c r="H1076"/>
      <c r="I1076"/>
      <c r="J1076"/>
      <c r="K1076"/>
      <c r="L1076"/>
      <c r="M1076"/>
      <c r="N1076">
        <f t="shared" si="17"/>
        <v>38.034182933333334</v>
      </c>
      <c r="O1076">
        <f>IF(AND(OR(D1076="S. acutus",D1076="S. californicus",D1076="S. tabernaemontani"),G1076=0),E1076*[1]Sheet1!$D$7+[1]Sheet1!$L$7,IF(AND(OR(D1076="S. acutus",D1076="S. tabernaemontani"),G1076&gt;0),E1076*[1]Sheet1!$D$8+N1076*[1]Sheet1!$E$8,IF(AND(D1076="S. californicus",G1076&gt;0),E1076*[1]Sheet1!$D$9+N1076*[1]Sheet1!$E$9,IF(D1076="S. maritimus",F1076*[1]Sheet1!$C$10+E1076*[1]Sheet1!$D$10+G1076*[1]Sheet1!$F$10+[1]Sheet1!$L$10,IF(D1076="S. americanus",F1076*[1]Sheet1!$C$6+E1076*[1]Sheet1!$D$6+[1]Sheet1!$L$6,IF(AND(OR(D1076="T. domingensis",D1076="T. latifolia"),E1076&gt;0),F1076*[1]Sheet1!$C$4+E1076*[1]Sheet1!$D$4+H1076*[1]Sheet1!$J$4+I1076*[1]Sheet1!$K$4+[1]Sheet1!$L$4,IF(AND(OR(D1076="T. domingensis",D1076="T. latifolia"),J1076&gt;0),J1076*[1]Sheet1!$G$5+K1076*[1]Sheet1!$H$5+L1076*[1]Sheet1!$I$5+[1]Sheet1!$L$5,0)))))))</f>
        <v>11.323238</v>
      </c>
      <c r="P1076"/>
    </row>
    <row r="1077" spans="1:16" s="10" customFormat="1">
      <c r="A1077" s="2">
        <v>40738</v>
      </c>
      <c r="B1077" t="s">
        <v>40</v>
      </c>
      <c r="C1077">
        <v>15</v>
      </c>
      <c r="D1077" s="6" t="s">
        <v>16</v>
      </c>
      <c r="E1077">
        <v>228</v>
      </c>
      <c r="F1077">
        <v>0.4</v>
      </c>
      <c r="G1077">
        <v>0</v>
      </c>
      <c r="H1077"/>
      <c r="I1077"/>
      <c r="J1077"/>
      <c r="K1077"/>
      <c r="L1077"/>
      <c r="M1077"/>
      <c r="N1077">
        <f t="shared" si="17"/>
        <v>9.5504335999999999</v>
      </c>
      <c r="O1077">
        <f>IF(AND(OR(D1077="S. acutus",D1077="S. californicus",D1077="S. tabernaemontani"),G1077=0),E1077*[1]Sheet1!$D$7+[1]Sheet1!$L$7,IF(AND(OR(D1077="S. acutus",D1077="S. tabernaemontani"),G1077&gt;0),E1077*[1]Sheet1!$D$8+N1077*[1]Sheet1!$E$8,IF(AND(D1077="S. californicus",G1077&gt;0),E1077*[1]Sheet1!$D$9+N1077*[1]Sheet1!$E$9,IF(D1077="S. maritimus",F1077*[1]Sheet1!$C$10+E1077*[1]Sheet1!$D$10+G1077*[1]Sheet1!$F$10+[1]Sheet1!$L$10,IF(D1077="S. americanus",F1077*[1]Sheet1!$C$6+E1077*[1]Sheet1!$D$6+[1]Sheet1!$L$6,IF(AND(OR(D1077="T. domingensis",D1077="T. latifolia"),E1077&gt;0),F1077*[1]Sheet1!$C$4+E1077*[1]Sheet1!$D$4+H1077*[1]Sheet1!$J$4+I1077*[1]Sheet1!$K$4+[1]Sheet1!$L$4,IF(AND(OR(D1077="T. domingensis",D1077="T. latifolia"),J1077&gt;0),J1077*[1]Sheet1!$G$5+K1077*[1]Sheet1!$H$5+L1077*[1]Sheet1!$I$5+[1]Sheet1!$L$5,0)))))))</f>
        <v>11.393343000000002</v>
      </c>
      <c r="P1077"/>
    </row>
    <row r="1078" spans="1:16" s="10" customFormat="1">
      <c r="A1078" s="2">
        <v>40738</v>
      </c>
      <c r="B1078" t="s">
        <v>40</v>
      </c>
      <c r="C1078">
        <v>15</v>
      </c>
      <c r="D1078" s="6" t="s">
        <v>16</v>
      </c>
      <c r="E1078">
        <v>231</v>
      </c>
      <c r="F1078">
        <v>0.78</v>
      </c>
      <c r="G1078">
        <v>5</v>
      </c>
      <c r="H1078"/>
      <c r="I1078"/>
      <c r="J1078"/>
      <c r="K1078"/>
      <c r="L1078"/>
      <c r="M1078"/>
      <c r="N1078">
        <f t="shared" si="17"/>
        <v>36.793359602999999</v>
      </c>
      <c r="O1078">
        <f>IF(AND(OR(D1078="S. acutus",D1078="S. californicus",D1078="S. tabernaemontani"),G1078=0),E1078*[1]Sheet1!$D$7+[1]Sheet1!$L$7,IF(AND(OR(D1078="S. acutus",D1078="S. tabernaemontani"),G1078&gt;0),E1078*[1]Sheet1!$D$8+N1078*[1]Sheet1!$E$8,IF(AND(D1078="S. californicus",G1078&gt;0),E1078*[1]Sheet1!$D$9+N1078*[1]Sheet1!$E$9,IF(D1078="S. maritimus",F1078*[1]Sheet1!$C$10+E1078*[1]Sheet1!$D$10+G1078*[1]Sheet1!$F$10+[1]Sheet1!$L$10,IF(D1078="S. americanus",F1078*[1]Sheet1!$C$6+E1078*[1]Sheet1!$D$6+[1]Sheet1!$L$6,IF(AND(OR(D1078="T. domingensis",D1078="T. latifolia"),E1078&gt;0),F1078*[1]Sheet1!$C$4+E1078*[1]Sheet1!$D$4+H1078*[1]Sheet1!$J$4+I1078*[1]Sheet1!$K$4+[1]Sheet1!$L$4,IF(AND(OR(D1078="T. domingensis",D1078="T. latifolia"),J1078&gt;0),J1078*[1]Sheet1!$G$5+K1078*[1]Sheet1!$H$5+L1078*[1]Sheet1!$I$5+[1]Sheet1!$L$5,0)))))))</f>
        <v>10.079919393240242</v>
      </c>
      <c r="P1078"/>
    </row>
    <row r="1079" spans="1:16" s="10" customFormat="1">
      <c r="A1079" s="2">
        <v>40738</v>
      </c>
      <c r="B1079" t="s">
        <v>40</v>
      </c>
      <c r="C1079">
        <v>15</v>
      </c>
      <c r="D1079" s="6" t="s">
        <v>16</v>
      </c>
      <c r="E1079">
        <v>232</v>
      </c>
      <c r="F1079">
        <v>0.84</v>
      </c>
      <c r="G1079">
        <v>0</v>
      </c>
      <c r="H1079"/>
      <c r="I1079"/>
      <c r="J1079"/>
      <c r="K1079"/>
      <c r="L1079"/>
      <c r="M1079"/>
      <c r="N1079">
        <f t="shared" si="17"/>
        <v>42.856314143999988</v>
      </c>
      <c r="O1079">
        <f>IF(AND(OR(D1079="S. acutus",D1079="S. californicus",D1079="S. tabernaemontani"),G1079=0),E1079*[1]Sheet1!$D$7+[1]Sheet1!$L$7,IF(AND(OR(D1079="S. acutus",D1079="S. tabernaemontani"),G1079&gt;0),E1079*[1]Sheet1!$D$8+N1079*[1]Sheet1!$E$8,IF(AND(D1079="S. californicus",G1079&gt;0),E1079*[1]Sheet1!$D$9+N1079*[1]Sheet1!$E$9,IF(D1079="S. maritimus",F1079*[1]Sheet1!$C$10+E1079*[1]Sheet1!$D$10+G1079*[1]Sheet1!$F$10+[1]Sheet1!$L$10,IF(D1079="S. americanus",F1079*[1]Sheet1!$C$6+E1079*[1]Sheet1!$D$6+[1]Sheet1!$L$6,IF(AND(OR(D1079="T. domingensis",D1079="T. latifolia"),E1079&gt;0),F1079*[1]Sheet1!$C$4+E1079*[1]Sheet1!$D$4+H1079*[1]Sheet1!$J$4+I1079*[1]Sheet1!$K$4+[1]Sheet1!$L$4,IF(AND(OR(D1079="T. domingensis",D1079="T. latifolia"),J1079&gt;0),J1079*[1]Sheet1!$G$5+K1079*[1]Sheet1!$H$5+L1079*[1]Sheet1!$I$5+[1]Sheet1!$L$5,0)))))))</f>
        <v>11.673763000000001</v>
      </c>
      <c r="P1079"/>
    </row>
    <row r="1080" spans="1:16" s="10" customFormat="1">
      <c r="A1080" s="2">
        <v>40738</v>
      </c>
      <c r="B1080" t="s">
        <v>40</v>
      </c>
      <c r="C1080">
        <v>15</v>
      </c>
      <c r="D1080" s="6" t="s">
        <v>16</v>
      </c>
      <c r="E1080">
        <v>233</v>
      </c>
      <c r="F1080">
        <v>0.7</v>
      </c>
      <c r="G1080">
        <v>0</v>
      </c>
      <c r="H1080"/>
      <c r="I1080"/>
      <c r="J1080"/>
      <c r="K1080"/>
      <c r="L1080"/>
      <c r="M1080"/>
      <c r="N1080">
        <f t="shared" si="17"/>
        <v>29.889610858333327</v>
      </c>
      <c r="O1080">
        <f>IF(AND(OR(D1080="S. acutus",D1080="S. californicus",D1080="S. tabernaemontani"),G1080=0),E1080*[1]Sheet1!$D$7+[1]Sheet1!$L$7,IF(AND(OR(D1080="S. acutus",D1080="S. tabernaemontani"),G1080&gt;0),E1080*[1]Sheet1!$D$8+N1080*[1]Sheet1!$E$8,IF(AND(D1080="S. californicus",G1080&gt;0),E1080*[1]Sheet1!$D$9+N1080*[1]Sheet1!$E$9,IF(D1080="S. maritimus",F1080*[1]Sheet1!$C$10+E1080*[1]Sheet1!$D$10+G1080*[1]Sheet1!$F$10+[1]Sheet1!$L$10,IF(D1080="S. americanus",F1080*[1]Sheet1!$C$6+E1080*[1]Sheet1!$D$6+[1]Sheet1!$L$6,IF(AND(OR(D1080="T. domingensis",D1080="T. latifolia"),E1080&gt;0),F1080*[1]Sheet1!$C$4+E1080*[1]Sheet1!$D$4+H1080*[1]Sheet1!$J$4+I1080*[1]Sheet1!$K$4+[1]Sheet1!$L$4,IF(AND(OR(D1080="T. domingensis",D1080="T. latifolia"),J1080&gt;0),J1080*[1]Sheet1!$G$5+K1080*[1]Sheet1!$H$5+L1080*[1]Sheet1!$I$5+[1]Sheet1!$L$5,0)))))))</f>
        <v>11.743868000000003</v>
      </c>
      <c r="P1080"/>
    </row>
    <row r="1081" spans="1:16" s="10" customFormat="1">
      <c r="A1081" s="2">
        <v>40738</v>
      </c>
      <c r="B1081" t="s">
        <v>40</v>
      </c>
      <c r="C1081">
        <v>15</v>
      </c>
      <c r="D1081" t="s">
        <v>16</v>
      </c>
      <c r="E1081">
        <v>233</v>
      </c>
      <c r="F1081">
        <f>0.78-0.03</f>
        <v>0.75</v>
      </c>
      <c r="G1081">
        <v>0</v>
      </c>
      <c r="H1081"/>
      <c r="I1081"/>
      <c r="J1081"/>
      <c r="K1081"/>
      <c r="L1081"/>
      <c r="M1081" t="s">
        <v>51</v>
      </c>
      <c r="N1081">
        <f t="shared" si="17"/>
        <v>34.312053281249995</v>
      </c>
      <c r="O1081">
        <f>IF(AND(OR(D1081="S. acutus",D1081="S. californicus",D1081="S. tabernaemontani"),G1081=0),E1081*[1]Sheet1!$D$7+[1]Sheet1!$L$7,IF(AND(OR(D1081="S. acutus",D1081="S. tabernaemontani"),G1081&gt;0),E1081*[1]Sheet1!$D$8+N1081*[1]Sheet1!$E$8,IF(AND(D1081="S. californicus",G1081&gt;0),E1081*[1]Sheet1!$D$9+N1081*[1]Sheet1!$E$9,IF(D1081="S. maritimus",F1081*[1]Sheet1!$C$10+E1081*[1]Sheet1!$D$10+G1081*[1]Sheet1!$F$10+[1]Sheet1!$L$10,IF(D1081="S. americanus",F1081*[1]Sheet1!$C$6+E1081*[1]Sheet1!$D$6+[1]Sheet1!$L$6,IF(AND(OR(D1081="T. domingensis",D1081="T. latifolia"),E1081&gt;0),F1081*[1]Sheet1!$C$4+E1081*[1]Sheet1!$D$4+H1081*[1]Sheet1!$J$4+I1081*[1]Sheet1!$K$4+[1]Sheet1!$L$4,IF(AND(OR(D1081="T. domingensis",D1081="T. latifolia"),J1081&gt;0),J1081*[1]Sheet1!$G$5+K1081*[1]Sheet1!$H$5+L1081*[1]Sheet1!$I$5+[1]Sheet1!$L$5,0)))))))</f>
        <v>11.743868000000003</v>
      </c>
      <c r="P1081"/>
    </row>
    <row r="1082" spans="1:16" s="10" customFormat="1">
      <c r="A1082" s="2">
        <v>40738</v>
      </c>
      <c r="B1082" t="s">
        <v>40</v>
      </c>
      <c r="C1082">
        <v>15</v>
      </c>
      <c r="D1082" t="s">
        <v>16</v>
      </c>
      <c r="E1082">
        <v>239</v>
      </c>
      <c r="F1082">
        <f>0.69-0.03</f>
        <v>0.65999999999999992</v>
      </c>
      <c r="G1082">
        <v>0</v>
      </c>
      <c r="H1082"/>
      <c r="I1082"/>
      <c r="J1082"/>
      <c r="K1082"/>
      <c r="L1082"/>
      <c r="M1082" t="s">
        <v>51</v>
      </c>
      <c r="N1082">
        <f t="shared" si="17"/>
        <v>27.255492362999991</v>
      </c>
      <c r="O1082">
        <f>IF(AND(OR(D1082="S. acutus",D1082="S. californicus",D1082="S. tabernaemontani"),G1082=0),E1082*[1]Sheet1!$D$7+[1]Sheet1!$L$7,IF(AND(OR(D1082="S. acutus",D1082="S. tabernaemontani"),G1082&gt;0),E1082*[1]Sheet1!$D$8+N1082*[1]Sheet1!$E$8,IF(AND(D1082="S. californicus",G1082&gt;0),E1082*[1]Sheet1!$D$9+N1082*[1]Sheet1!$E$9,IF(D1082="S. maritimus",F1082*[1]Sheet1!$C$10+E1082*[1]Sheet1!$D$10+G1082*[1]Sheet1!$F$10+[1]Sheet1!$L$10,IF(D1082="S. americanus",F1082*[1]Sheet1!$C$6+E1082*[1]Sheet1!$D$6+[1]Sheet1!$L$6,IF(AND(OR(D1082="T. domingensis",D1082="T. latifolia"),E1082&gt;0),F1082*[1]Sheet1!$C$4+E1082*[1]Sheet1!$D$4+H1082*[1]Sheet1!$J$4+I1082*[1]Sheet1!$K$4+[1]Sheet1!$L$4,IF(AND(OR(D1082="T. domingensis",D1082="T. latifolia"),J1082&gt;0),J1082*[1]Sheet1!$G$5+K1082*[1]Sheet1!$H$5+L1082*[1]Sheet1!$I$5+[1]Sheet1!$L$5,0)))))))</f>
        <v>12.164498000000002</v>
      </c>
      <c r="P1082"/>
    </row>
    <row r="1083" spans="1:16" s="10" customFormat="1">
      <c r="A1083" s="2">
        <v>40738</v>
      </c>
      <c r="B1083" t="s">
        <v>40</v>
      </c>
      <c r="C1083">
        <v>15</v>
      </c>
      <c r="D1083" s="6" t="s">
        <v>16</v>
      </c>
      <c r="E1083">
        <v>240</v>
      </c>
      <c r="F1083">
        <v>0.79</v>
      </c>
      <c r="G1083">
        <v>7</v>
      </c>
      <c r="H1083"/>
      <c r="I1083"/>
      <c r="J1083"/>
      <c r="K1083"/>
      <c r="L1083"/>
      <c r="M1083"/>
      <c r="N1083">
        <f t="shared" si="17"/>
        <v>39.213326380000005</v>
      </c>
      <c r="O1083">
        <f>IF(AND(OR(D1083="S. acutus",D1083="S. californicus",D1083="S. tabernaemontani"),G1083=0),E1083*[1]Sheet1!$D$7+[1]Sheet1!$L$7,IF(AND(OR(D1083="S. acutus",D1083="S. tabernaemontani"),G1083&gt;0),E1083*[1]Sheet1!$D$8+N1083*[1]Sheet1!$E$8,IF(AND(D1083="S. californicus",G1083&gt;0),E1083*[1]Sheet1!$D$9+N1083*[1]Sheet1!$E$9,IF(D1083="S. maritimus",F1083*[1]Sheet1!$C$10+E1083*[1]Sheet1!$D$10+G1083*[1]Sheet1!$F$10+[1]Sheet1!$L$10,IF(D1083="S. americanus",F1083*[1]Sheet1!$C$6+E1083*[1]Sheet1!$D$6+[1]Sheet1!$L$6,IF(AND(OR(D1083="T. domingensis",D1083="T. latifolia"),E1083&gt;0),F1083*[1]Sheet1!$C$4+E1083*[1]Sheet1!$D$4+H1083*[1]Sheet1!$J$4+I1083*[1]Sheet1!$K$4+[1]Sheet1!$L$4,IF(AND(OR(D1083="T. domingensis",D1083="T. latifolia"),J1083&gt;0),J1083*[1]Sheet1!$G$5+K1083*[1]Sheet1!$H$5+L1083*[1]Sheet1!$I$5+[1]Sheet1!$L$5,0)))))))</f>
        <v>10.504408401429743</v>
      </c>
      <c r="P1083"/>
    </row>
    <row r="1084" spans="1:16" s="10" customFormat="1">
      <c r="A1084" s="2">
        <v>40738</v>
      </c>
      <c r="B1084" t="s">
        <v>40</v>
      </c>
      <c r="C1084">
        <v>15</v>
      </c>
      <c r="D1084" t="s">
        <v>16</v>
      </c>
      <c r="E1084">
        <v>243</v>
      </c>
      <c r="F1084">
        <f>0.62-0.03</f>
        <v>0.59</v>
      </c>
      <c r="G1084">
        <v>0</v>
      </c>
      <c r="H1084"/>
      <c r="I1084"/>
      <c r="J1084"/>
      <c r="K1084"/>
      <c r="L1084"/>
      <c r="M1084" t="s">
        <v>51</v>
      </c>
      <c r="N1084">
        <f t="shared" si="17"/>
        <v>22.145146449749998</v>
      </c>
      <c r="O1084">
        <f>IF(AND(OR(D1084="S. acutus",D1084="S. californicus",D1084="S. tabernaemontani"),G1084=0),E1084*[1]Sheet1!$D$7+[1]Sheet1!$L$7,IF(AND(OR(D1084="S. acutus",D1084="S. tabernaemontani"),G1084&gt;0),E1084*[1]Sheet1!$D$8+N1084*[1]Sheet1!$E$8,IF(AND(D1084="S. californicus",G1084&gt;0),E1084*[1]Sheet1!$D$9+N1084*[1]Sheet1!$E$9,IF(D1084="S. maritimus",F1084*[1]Sheet1!$C$10+E1084*[1]Sheet1!$D$10+G1084*[1]Sheet1!$F$10+[1]Sheet1!$L$10,IF(D1084="S. americanus",F1084*[1]Sheet1!$C$6+E1084*[1]Sheet1!$D$6+[1]Sheet1!$L$6,IF(AND(OR(D1084="T. domingensis",D1084="T. latifolia"),E1084&gt;0),F1084*[1]Sheet1!$C$4+E1084*[1]Sheet1!$D$4+H1084*[1]Sheet1!$J$4+I1084*[1]Sheet1!$K$4+[1]Sheet1!$L$4,IF(AND(OR(D1084="T. domingensis",D1084="T. latifolia"),J1084&gt;0),J1084*[1]Sheet1!$G$5+K1084*[1]Sheet1!$H$5+L1084*[1]Sheet1!$I$5+[1]Sheet1!$L$5,0)))))))</f>
        <v>12.444918000000001</v>
      </c>
      <c r="P1084"/>
    </row>
    <row r="1085" spans="1:16" s="10" customFormat="1">
      <c r="A1085" s="2">
        <v>40738</v>
      </c>
      <c r="B1085" t="s">
        <v>40</v>
      </c>
      <c r="C1085">
        <v>15</v>
      </c>
      <c r="D1085" t="s">
        <v>16</v>
      </c>
      <c r="E1085">
        <v>245</v>
      </c>
      <c r="F1085">
        <f>1.01-0.03</f>
        <v>0.98</v>
      </c>
      <c r="G1085">
        <v>8</v>
      </c>
      <c r="H1085"/>
      <c r="I1085"/>
      <c r="J1085"/>
      <c r="K1085"/>
      <c r="L1085"/>
      <c r="M1085" t="s">
        <v>51</v>
      </c>
      <c r="N1085">
        <f t="shared" si="17"/>
        <v>61.600820318333319</v>
      </c>
      <c r="O1085">
        <f>IF(AND(OR(D1085="S. acutus",D1085="S. californicus",D1085="S. tabernaemontani"),G1085=0),E1085*[1]Sheet1!$D$7+[1]Sheet1!$L$7,IF(AND(OR(D1085="S. acutus",D1085="S. tabernaemontani"),G1085&gt;0),E1085*[1]Sheet1!$D$8+N1085*[1]Sheet1!$E$8,IF(AND(D1085="S. californicus",G1085&gt;0),E1085*[1]Sheet1!$D$9+N1085*[1]Sheet1!$E$9,IF(D1085="S. maritimus",F1085*[1]Sheet1!$C$10+E1085*[1]Sheet1!$D$10+G1085*[1]Sheet1!$F$10+[1]Sheet1!$L$10,IF(D1085="S. americanus",F1085*[1]Sheet1!$C$6+E1085*[1]Sheet1!$D$6+[1]Sheet1!$L$6,IF(AND(OR(D1085="T. domingensis",D1085="T. latifolia"),E1085&gt;0),F1085*[1]Sheet1!$C$4+E1085*[1]Sheet1!$D$4+H1085*[1]Sheet1!$J$4+I1085*[1]Sheet1!$K$4+[1]Sheet1!$L$4,IF(AND(OR(D1085="T. domingensis",D1085="T. latifolia"),J1085&gt;0),J1085*[1]Sheet1!$G$5+K1085*[1]Sheet1!$H$5+L1085*[1]Sheet1!$I$5+[1]Sheet1!$L$5,0)))))))</f>
        <v>11.417841354988619</v>
      </c>
      <c r="P1085"/>
    </row>
    <row r="1086" spans="1:16" s="10" customFormat="1">
      <c r="A1086" s="2">
        <v>40738</v>
      </c>
      <c r="B1086" t="s">
        <v>40</v>
      </c>
      <c r="C1086">
        <v>15</v>
      </c>
      <c r="D1086" s="6" t="s">
        <v>16</v>
      </c>
      <c r="E1086">
        <v>247</v>
      </c>
      <c r="F1086">
        <v>0.7</v>
      </c>
      <c r="G1086">
        <v>0</v>
      </c>
      <c r="H1086"/>
      <c r="I1086"/>
      <c r="J1086"/>
      <c r="K1086"/>
      <c r="L1086"/>
      <c r="M1086"/>
      <c r="N1086">
        <f t="shared" si="17"/>
        <v>31.685553141666659</v>
      </c>
      <c r="O1086">
        <f>IF(AND(OR(D1086="S. acutus",D1086="S. californicus",D1086="S. tabernaemontani"),G1086=0),E1086*[1]Sheet1!$D$7+[1]Sheet1!$L$7,IF(AND(OR(D1086="S. acutus",D1086="S. tabernaemontani"),G1086&gt;0),E1086*[1]Sheet1!$D$8+N1086*[1]Sheet1!$E$8,IF(AND(D1086="S. californicus",G1086&gt;0),E1086*[1]Sheet1!$D$9+N1086*[1]Sheet1!$E$9,IF(D1086="S. maritimus",F1086*[1]Sheet1!$C$10+E1086*[1]Sheet1!$D$10+G1086*[1]Sheet1!$F$10+[1]Sheet1!$L$10,IF(D1086="S. americanus",F1086*[1]Sheet1!$C$6+E1086*[1]Sheet1!$D$6+[1]Sheet1!$L$6,IF(AND(OR(D1086="T. domingensis",D1086="T. latifolia"),E1086&gt;0),F1086*[1]Sheet1!$C$4+E1086*[1]Sheet1!$D$4+H1086*[1]Sheet1!$J$4+I1086*[1]Sheet1!$K$4+[1]Sheet1!$L$4,IF(AND(OR(D1086="T. domingensis",D1086="T. latifolia"),J1086&gt;0),J1086*[1]Sheet1!$G$5+K1086*[1]Sheet1!$H$5+L1086*[1]Sheet1!$I$5+[1]Sheet1!$L$5,0)))))))</f>
        <v>12.725338000000001</v>
      </c>
      <c r="P1086"/>
    </row>
    <row r="1087" spans="1:16" s="10" customFormat="1">
      <c r="A1087" s="2">
        <v>40738</v>
      </c>
      <c r="B1087" t="s">
        <v>40</v>
      </c>
      <c r="C1087">
        <v>15</v>
      </c>
      <c r="D1087" s="6" t="s">
        <v>16</v>
      </c>
      <c r="E1087">
        <v>248</v>
      </c>
      <c r="F1087">
        <v>0.8</v>
      </c>
      <c r="G1087">
        <v>0</v>
      </c>
      <c r="H1087"/>
      <c r="I1087"/>
      <c r="J1087"/>
      <c r="K1087"/>
      <c r="L1087"/>
      <c r="M1087"/>
      <c r="N1087">
        <f t="shared" si="17"/>
        <v>41.552763733333336</v>
      </c>
      <c r="O1087">
        <f>IF(AND(OR(D1087="S. acutus",D1087="S. californicus",D1087="S. tabernaemontani"),G1087=0),E1087*[1]Sheet1!$D$7+[1]Sheet1!$L$7,IF(AND(OR(D1087="S. acutus",D1087="S. tabernaemontani"),G1087&gt;0),E1087*[1]Sheet1!$D$8+N1087*[1]Sheet1!$E$8,IF(AND(D1087="S. californicus",G1087&gt;0),E1087*[1]Sheet1!$D$9+N1087*[1]Sheet1!$E$9,IF(D1087="S. maritimus",F1087*[1]Sheet1!$C$10+E1087*[1]Sheet1!$D$10+G1087*[1]Sheet1!$F$10+[1]Sheet1!$L$10,IF(D1087="S. americanus",F1087*[1]Sheet1!$C$6+E1087*[1]Sheet1!$D$6+[1]Sheet1!$L$6,IF(AND(OR(D1087="T. domingensis",D1087="T. latifolia"),E1087&gt;0),F1087*[1]Sheet1!$C$4+E1087*[1]Sheet1!$D$4+H1087*[1]Sheet1!$J$4+I1087*[1]Sheet1!$K$4+[1]Sheet1!$L$4,IF(AND(OR(D1087="T. domingensis",D1087="T. latifolia"),J1087&gt;0),J1087*[1]Sheet1!$G$5+K1087*[1]Sheet1!$H$5+L1087*[1]Sheet1!$I$5+[1]Sheet1!$L$5,0)))))))</f>
        <v>12.795443000000002</v>
      </c>
      <c r="P1087"/>
    </row>
    <row r="1088" spans="1:16" s="10" customFormat="1">
      <c r="A1088" s="2">
        <v>40738</v>
      </c>
      <c r="B1088" t="s">
        <v>40</v>
      </c>
      <c r="C1088">
        <v>15</v>
      </c>
      <c r="D1088" t="s">
        <v>16</v>
      </c>
      <c r="E1088">
        <v>251</v>
      </c>
      <c r="F1088">
        <f>0.76-0.03</f>
        <v>0.73</v>
      </c>
      <c r="G1088">
        <v>0</v>
      </c>
      <c r="H1088"/>
      <c r="I1088"/>
      <c r="J1088"/>
      <c r="K1088"/>
      <c r="L1088"/>
      <c r="M1088" t="s">
        <v>51</v>
      </c>
      <c r="N1088">
        <f t="shared" si="17"/>
        <v>35.017706755083324</v>
      </c>
      <c r="O1088">
        <f>IF(AND(OR(D1088="S. acutus",D1088="S. californicus",D1088="S. tabernaemontani"),G1088=0),E1088*[1]Sheet1!$D$7+[1]Sheet1!$L$7,IF(AND(OR(D1088="S. acutus",D1088="S. tabernaemontani"),G1088&gt;0),E1088*[1]Sheet1!$D$8+N1088*[1]Sheet1!$E$8,IF(AND(D1088="S. californicus",G1088&gt;0),E1088*[1]Sheet1!$D$9+N1088*[1]Sheet1!$E$9,IF(D1088="S. maritimus",F1088*[1]Sheet1!$C$10+E1088*[1]Sheet1!$D$10+G1088*[1]Sheet1!$F$10+[1]Sheet1!$L$10,IF(D1088="S. americanus",F1088*[1]Sheet1!$C$6+E1088*[1]Sheet1!$D$6+[1]Sheet1!$L$6,IF(AND(OR(D1088="T. domingensis",D1088="T. latifolia"),E1088&gt;0),F1088*[1]Sheet1!$C$4+E1088*[1]Sheet1!$D$4+H1088*[1]Sheet1!$J$4+I1088*[1]Sheet1!$K$4+[1]Sheet1!$L$4,IF(AND(OR(D1088="T. domingensis",D1088="T. latifolia"),J1088&gt;0),J1088*[1]Sheet1!$G$5+K1088*[1]Sheet1!$H$5+L1088*[1]Sheet1!$I$5+[1]Sheet1!$L$5,0)))))))</f>
        <v>13.005758</v>
      </c>
      <c r="P1088"/>
    </row>
    <row r="1089" spans="1:16" s="10" customFormat="1">
      <c r="A1089" s="2">
        <v>40738</v>
      </c>
      <c r="B1089" t="s">
        <v>40</v>
      </c>
      <c r="C1089">
        <v>15</v>
      </c>
      <c r="D1089" s="6" t="s">
        <v>16</v>
      </c>
      <c r="E1089">
        <v>251</v>
      </c>
      <c r="F1089">
        <v>1.0900000000000001</v>
      </c>
      <c r="G1089">
        <v>0</v>
      </c>
      <c r="H1089"/>
      <c r="I1089"/>
      <c r="J1089"/>
      <c r="K1089"/>
      <c r="L1089"/>
      <c r="M1089"/>
      <c r="N1089">
        <f t="shared" si="17"/>
        <v>78.071941069083337</v>
      </c>
      <c r="O1089">
        <f>IF(AND(OR(D1089="S. acutus",D1089="S. californicus",D1089="S. tabernaemontani"),G1089=0),E1089*[1]Sheet1!$D$7+[1]Sheet1!$L$7,IF(AND(OR(D1089="S. acutus",D1089="S. tabernaemontani"),G1089&gt;0),E1089*[1]Sheet1!$D$8+N1089*[1]Sheet1!$E$8,IF(AND(D1089="S. californicus",G1089&gt;0),E1089*[1]Sheet1!$D$9+N1089*[1]Sheet1!$E$9,IF(D1089="S. maritimus",F1089*[1]Sheet1!$C$10+E1089*[1]Sheet1!$D$10+G1089*[1]Sheet1!$F$10+[1]Sheet1!$L$10,IF(D1089="S. americanus",F1089*[1]Sheet1!$C$6+E1089*[1]Sheet1!$D$6+[1]Sheet1!$L$6,IF(AND(OR(D1089="T. domingensis",D1089="T. latifolia"),E1089&gt;0),F1089*[1]Sheet1!$C$4+E1089*[1]Sheet1!$D$4+H1089*[1]Sheet1!$J$4+I1089*[1]Sheet1!$K$4+[1]Sheet1!$L$4,IF(AND(OR(D1089="T. domingensis",D1089="T. latifolia"),J1089&gt;0),J1089*[1]Sheet1!$G$5+K1089*[1]Sheet1!$H$5+L1089*[1]Sheet1!$I$5+[1]Sheet1!$L$5,0)))))))</f>
        <v>13.005758</v>
      </c>
      <c r="P1089"/>
    </row>
    <row r="1090" spans="1:16" s="10" customFormat="1">
      <c r="A1090" s="2">
        <v>40738</v>
      </c>
      <c r="B1090" t="s">
        <v>40</v>
      </c>
      <c r="C1090">
        <v>15</v>
      </c>
      <c r="D1090" t="s">
        <v>16</v>
      </c>
      <c r="E1090">
        <v>251</v>
      </c>
      <c r="F1090">
        <f>0.96-0.03</f>
        <v>0.92999999999999994</v>
      </c>
      <c r="G1090">
        <v>3</v>
      </c>
      <c r="H1090"/>
      <c r="I1090"/>
      <c r="J1090"/>
      <c r="K1090"/>
      <c r="L1090"/>
      <c r="M1090" t="s">
        <v>51</v>
      </c>
      <c r="N1090">
        <f t="shared" si="17"/>
        <v>56.833954911749984</v>
      </c>
      <c r="O1090">
        <f>IF(AND(OR(D1090="S. acutus",D1090="S. californicus",D1090="S. tabernaemontani"),G1090=0),E1090*[1]Sheet1!$D$7+[1]Sheet1!$L$7,IF(AND(OR(D1090="S. acutus",D1090="S. tabernaemontani"),G1090&gt;0),E1090*[1]Sheet1!$D$8+N1090*[1]Sheet1!$E$8,IF(AND(D1090="S. californicus",G1090&gt;0),E1090*[1]Sheet1!$D$9+N1090*[1]Sheet1!$E$9,IF(D1090="S. maritimus",F1090*[1]Sheet1!$C$10+E1090*[1]Sheet1!$D$10+G1090*[1]Sheet1!$F$10+[1]Sheet1!$L$10,IF(D1090="S. americanus",F1090*[1]Sheet1!$C$6+E1090*[1]Sheet1!$D$6+[1]Sheet1!$L$6,IF(AND(OR(D1090="T. domingensis",D1090="T. latifolia"),E1090&gt;0),F1090*[1]Sheet1!$C$4+E1090*[1]Sheet1!$D$4+H1090*[1]Sheet1!$J$4+I1090*[1]Sheet1!$K$4+[1]Sheet1!$L$4,IF(AND(OR(D1090="T. domingensis",D1090="T. latifolia"),J1090&gt;0),J1090*[1]Sheet1!$G$5+K1090*[1]Sheet1!$H$5+L1090*[1]Sheet1!$I$5+[1]Sheet1!$L$5,0)))))))</f>
        <v>11.49538659871777</v>
      </c>
      <c r="P1090"/>
    </row>
    <row r="1091" spans="1:16">
      <c r="A1091" s="2">
        <v>40738</v>
      </c>
      <c r="B1091" t="s">
        <v>40</v>
      </c>
      <c r="C1091">
        <v>15</v>
      </c>
      <c r="D1091" s="6" t="s">
        <v>16</v>
      </c>
      <c r="E1091">
        <v>252</v>
      </c>
      <c r="F1091">
        <v>1.44</v>
      </c>
      <c r="G1091">
        <v>5</v>
      </c>
      <c r="N1091">
        <f t="shared" si="17"/>
        <v>136.80242150399997</v>
      </c>
      <c r="O1091">
        <f>IF(AND(OR(D1091="S. acutus",D1091="S. californicus",D1091="S. tabernaemontani"),G1091=0),E1091*[1]Sheet1!$D$7+[1]Sheet1!$L$7,IF(AND(OR(D1091="S. acutus",D1091="S. tabernaemontani"),G1091&gt;0),E1091*[1]Sheet1!$D$8+N1091*[1]Sheet1!$E$8,IF(AND(D1091="S. californicus",G1091&gt;0),E1091*[1]Sheet1!$D$9+N1091*[1]Sheet1!$E$9,IF(D1091="S. maritimus",F1091*[1]Sheet1!$C$10+E1091*[1]Sheet1!$D$10+G1091*[1]Sheet1!$F$10+[1]Sheet1!$L$10,IF(D1091="S. americanus",F1091*[1]Sheet1!$C$6+E1091*[1]Sheet1!$D$6+[1]Sheet1!$L$6,IF(AND(OR(D1091="T. domingensis",D1091="T. latifolia"),E1091&gt;0),F1091*[1]Sheet1!$C$4+E1091*[1]Sheet1!$D$4+H1091*[1]Sheet1!$J$4+I1091*[1]Sheet1!$K$4+[1]Sheet1!$L$4,IF(AND(OR(D1091="T. domingensis",D1091="T. latifolia"),J1091&gt;0),J1091*[1]Sheet1!$G$5+K1091*[1]Sheet1!$H$5+L1091*[1]Sheet1!$I$5+[1]Sheet1!$L$5,0)))))))</f>
        <v>14.108950294608153</v>
      </c>
    </row>
    <row r="1092" spans="1:16">
      <c r="A1092" s="2">
        <v>40738</v>
      </c>
      <c r="B1092" t="s">
        <v>40</v>
      </c>
      <c r="C1092">
        <v>15</v>
      </c>
      <c r="D1092" t="s">
        <v>16</v>
      </c>
      <c r="E1092">
        <v>258</v>
      </c>
      <c r="F1092">
        <f>0.66-0.03</f>
        <v>0.63</v>
      </c>
      <c r="G1092">
        <v>9</v>
      </c>
      <c r="M1092" t="s">
        <v>51</v>
      </c>
      <c r="N1092">
        <f t="shared" si="17"/>
        <v>26.8082870265</v>
      </c>
      <c r="O1092">
        <f>IF(AND(OR(D1092="S. acutus",D1092="S. californicus",D1092="S. tabernaemontani"),G1092=0),E1092*[1]Sheet1!$D$7+[1]Sheet1!$L$7,IF(AND(OR(D1092="S. acutus",D1092="S. tabernaemontani"),G1092&gt;0),E1092*[1]Sheet1!$D$8+N1092*[1]Sheet1!$E$8,IF(AND(D1092="S. californicus",G1092&gt;0),E1092*[1]Sheet1!$D$9+N1092*[1]Sheet1!$E$9,IF(D1092="S. maritimus",F1092*[1]Sheet1!$C$10+E1092*[1]Sheet1!$D$10+G1092*[1]Sheet1!$F$10+[1]Sheet1!$L$10,IF(D1092="S. americanus",F1092*[1]Sheet1!$C$6+E1092*[1]Sheet1!$D$6+[1]Sheet1!$L$6,IF(AND(OR(D1092="T. domingensis",D1092="T. latifolia"),E1092&gt;0),F1092*[1]Sheet1!$C$4+E1092*[1]Sheet1!$D$4+H1092*[1]Sheet1!$J$4+I1092*[1]Sheet1!$K$4+[1]Sheet1!$L$4,IF(AND(OR(D1092="T. domingensis",D1092="T. latifolia"),J1092&gt;0),J1092*[1]Sheet1!$G$5+K1092*[1]Sheet1!$H$5+L1092*[1]Sheet1!$I$5+[1]Sheet1!$L$5,0)))))))</f>
        <v>10.798082769711625</v>
      </c>
    </row>
    <row r="1093" spans="1:16">
      <c r="A1093" s="2">
        <v>40738</v>
      </c>
      <c r="B1093" t="s">
        <v>40</v>
      </c>
      <c r="C1093">
        <v>15</v>
      </c>
      <c r="D1093" s="6" t="s">
        <v>16</v>
      </c>
      <c r="E1093">
        <v>258</v>
      </c>
      <c r="F1093">
        <v>1.1100000000000001</v>
      </c>
      <c r="G1093">
        <v>1</v>
      </c>
      <c r="N1093">
        <f t="shared" si="17"/>
        <v>83.221190338499994</v>
      </c>
      <c r="O1093">
        <f>IF(AND(OR(D1093="S. acutus",D1093="S. californicus",D1093="S. tabernaemontani"),G1093=0),E1093*[1]Sheet1!$D$7+[1]Sheet1!$L$7,IF(AND(OR(D1093="S. acutus",D1093="S. tabernaemontani"),G1093&gt;0),E1093*[1]Sheet1!$D$8+N1093*[1]Sheet1!$E$8,IF(AND(D1093="S. californicus",G1093&gt;0),E1093*[1]Sheet1!$D$9+N1093*[1]Sheet1!$E$9,IF(D1093="S. maritimus",F1093*[1]Sheet1!$C$10+E1093*[1]Sheet1!$D$10+G1093*[1]Sheet1!$F$10+[1]Sheet1!$L$10,IF(D1093="S. americanus",F1093*[1]Sheet1!$C$6+E1093*[1]Sheet1!$D$6+[1]Sheet1!$L$6,IF(AND(OR(D1093="T. domingensis",D1093="T. latifolia"),E1093&gt;0),F1093*[1]Sheet1!$C$4+E1093*[1]Sheet1!$D$4+H1093*[1]Sheet1!$J$4+I1093*[1]Sheet1!$K$4+[1]Sheet1!$L$4,IF(AND(OR(D1093="T. domingensis",D1093="T. latifolia"),J1093&gt;0),J1093*[1]Sheet1!$G$5+K1093*[1]Sheet1!$H$5+L1093*[1]Sheet1!$I$5+[1]Sheet1!$L$5,0)))))))</f>
        <v>12.614629027971006</v>
      </c>
    </row>
    <row r="1094" spans="1:16">
      <c r="A1094" s="2">
        <v>40738</v>
      </c>
      <c r="B1094" t="s">
        <v>40</v>
      </c>
      <c r="C1094">
        <v>15</v>
      </c>
      <c r="D1094" s="6" t="s">
        <v>16</v>
      </c>
      <c r="E1094">
        <v>261</v>
      </c>
      <c r="F1094">
        <v>0.81</v>
      </c>
      <c r="G1094">
        <v>5</v>
      </c>
      <c r="N1094">
        <f t="shared" si="17"/>
        <v>44.831039078250008</v>
      </c>
      <c r="O1094">
        <f>IF(AND(OR(D1094="S. acutus",D1094="S. californicus",D1094="S. tabernaemontani"),G1094=0),E1094*[1]Sheet1!$D$7+[1]Sheet1!$L$7,IF(AND(OR(D1094="S. acutus",D1094="S. tabernaemontani"),G1094&gt;0),E1094*[1]Sheet1!$D$8+N1094*[1]Sheet1!$E$8,IF(AND(D1094="S. californicus",G1094&gt;0),E1094*[1]Sheet1!$D$9+N1094*[1]Sheet1!$E$9,IF(D1094="S. maritimus",F1094*[1]Sheet1!$C$10+E1094*[1]Sheet1!$D$10+G1094*[1]Sheet1!$F$10+[1]Sheet1!$L$10,IF(D1094="S. americanus",F1094*[1]Sheet1!$C$6+E1094*[1]Sheet1!$D$6+[1]Sheet1!$L$6,IF(AND(OR(D1094="T. domingensis",D1094="T. latifolia"),E1094&gt;0),F1094*[1]Sheet1!$C$4+E1094*[1]Sheet1!$D$4+H1094*[1]Sheet1!$J$4+I1094*[1]Sheet1!$K$4+[1]Sheet1!$L$4,IF(AND(OR(D1094="T. domingensis",D1094="T. latifolia"),J1094&gt;0),J1094*[1]Sheet1!$G$5+K1094*[1]Sheet1!$H$5+L1094*[1]Sheet1!$I$5+[1]Sheet1!$L$5,0)))))))</f>
        <v>11.493952906254821</v>
      </c>
    </row>
    <row r="1095" spans="1:16">
      <c r="A1095" s="2">
        <v>40738</v>
      </c>
      <c r="B1095" t="s">
        <v>40</v>
      </c>
      <c r="C1095">
        <v>15</v>
      </c>
      <c r="D1095" t="s">
        <v>16</v>
      </c>
      <c r="E1095">
        <v>263</v>
      </c>
      <c r="F1095">
        <f>0.95-0.03</f>
        <v>0.91999999999999993</v>
      </c>
      <c r="G1095">
        <v>0</v>
      </c>
      <c r="M1095" t="s">
        <v>51</v>
      </c>
      <c r="N1095">
        <f t="shared" si="17"/>
        <v>58.27733225733332</v>
      </c>
      <c r="O1095">
        <f>IF(AND(OR(D1095="S. acutus",D1095="S. californicus",D1095="S. tabernaemontani"),G1095=0),E1095*[1]Sheet1!$D$7+[1]Sheet1!$L$7,IF(AND(OR(D1095="S. acutus",D1095="S. tabernaemontani"),G1095&gt;0),E1095*[1]Sheet1!$D$8+N1095*[1]Sheet1!$E$8,IF(AND(D1095="S. californicus",G1095&gt;0),E1095*[1]Sheet1!$D$9+N1095*[1]Sheet1!$E$9,IF(D1095="S. maritimus",F1095*[1]Sheet1!$C$10+E1095*[1]Sheet1!$D$10+G1095*[1]Sheet1!$F$10+[1]Sheet1!$L$10,IF(D1095="S. americanus",F1095*[1]Sheet1!$C$6+E1095*[1]Sheet1!$D$6+[1]Sheet1!$L$6,IF(AND(OR(D1095="T. domingensis",D1095="T. latifolia"),E1095&gt;0),F1095*[1]Sheet1!$C$4+E1095*[1]Sheet1!$D$4+H1095*[1]Sheet1!$J$4+I1095*[1]Sheet1!$K$4+[1]Sheet1!$L$4,IF(AND(OR(D1095="T. domingensis",D1095="T. latifolia"),J1095&gt;0),J1095*[1]Sheet1!$G$5+K1095*[1]Sheet1!$H$5+L1095*[1]Sheet1!$I$5+[1]Sheet1!$L$5,0)))))))</f>
        <v>13.847018000000002</v>
      </c>
    </row>
    <row r="1096" spans="1:16">
      <c r="A1096" s="2">
        <v>40738</v>
      </c>
      <c r="B1096" t="s">
        <v>40</v>
      </c>
      <c r="C1096">
        <v>15</v>
      </c>
      <c r="D1096" t="s">
        <v>16</v>
      </c>
      <c r="E1096">
        <v>265</v>
      </c>
      <c r="F1096">
        <f>0.89-0.03</f>
        <v>0.86</v>
      </c>
      <c r="G1096">
        <v>9</v>
      </c>
      <c r="M1096" t="s">
        <v>51</v>
      </c>
      <c r="N1096">
        <f t="shared" si="17"/>
        <v>51.311065871666656</v>
      </c>
      <c r="O1096">
        <f>IF(AND(OR(D1096="S. acutus",D1096="S. californicus",D1096="S. tabernaemontani"),G1096=0),E1096*[1]Sheet1!$D$7+[1]Sheet1!$L$7,IF(AND(OR(D1096="S. acutus",D1096="S. tabernaemontani"),G1096&gt;0),E1096*[1]Sheet1!$D$8+N1096*[1]Sheet1!$E$8,IF(AND(D1096="S. californicus",G1096&gt;0),E1096*[1]Sheet1!$D$9+N1096*[1]Sheet1!$E$9,IF(D1096="S. maritimus",F1096*[1]Sheet1!$C$10+E1096*[1]Sheet1!$D$10+G1096*[1]Sheet1!$F$10+[1]Sheet1!$L$10,IF(D1096="S. americanus",F1096*[1]Sheet1!$C$6+E1096*[1]Sheet1!$D$6+[1]Sheet1!$L$6,IF(AND(OR(D1096="T. domingensis",D1096="T. latifolia"),E1096&gt;0),F1096*[1]Sheet1!$C$4+E1096*[1]Sheet1!$D$4+H1096*[1]Sheet1!$J$4+I1096*[1]Sheet1!$K$4+[1]Sheet1!$L$4,IF(AND(OR(D1096="T. domingensis",D1096="T. latifolia"),J1096&gt;0),J1096*[1]Sheet1!$G$5+K1096*[1]Sheet1!$H$5+L1096*[1]Sheet1!$I$5+[1]Sheet1!$L$5,0)))))))</f>
        <v>11.85664400102695</v>
      </c>
    </row>
    <row r="1097" spans="1:16">
      <c r="A1097" s="2">
        <v>40738</v>
      </c>
      <c r="B1097" t="s">
        <v>40</v>
      </c>
      <c r="C1097">
        <v>15</v>
      </c>
      <c r="D1097" s="6" t="s">
        <v>16</v>
      </c>
      <c r="E1097">
        <v>266</v>
      </c>
      <c r="F1097">
        <v>0.5</v>
      </c>
      <c r="G1097">
        <v>12</v>
      </c>
      <c r="N1097">
        <f t="shared" si="17"/>
        <v>17.409644583333332</v>
      </c>
      <c r="O1097">
        <f>IF(AND(OR(D1097="S. acutus",D1097="S. californicus",D1097="S. tabernaemontani"),G1097=0),E1097*[1]Sheet1!$D$7+[1]Sheet1!$L$7,IF(AND(OR(D1097="S. acutus",D1097="S. tabernaemontani"),G1097&gt;0),E1097*[1]Sheet1!$D$8+N1097*[1]Sheet1!$E$8,IF(AND(D1097="S. californicus",G1097&gt;0),E1097*[1]Sheet1!$D$9+N1097*[1]Sheet1!$E$9,IF(D1097="S. maritimus",F1097*[1]Sheet1!$C$10+E1097*[1]Sheet1!$D$10+G1097*[1]Sheet1!$F$10+[1]Sheet1!$L$10,IF(D1097="S. americanus",F1097*[1]Sheet1!$C$6+E1097*[1]Sheet1!$D$6+[1]Sheet1!$L$6,IF(AND(OR(D1097="T. domingensis",D1097="T. latifolia"),E1097&gt;0),F1097*[1]Sheet1!$C$4+E1097*[1]Sheet1!$D$4+H1097*[1]Sheet1!$J$4+I1097*[1]Sheet1!$K$4+[1]Sheet1!$L$4,IF(AND(OR(D1097="T. domingensis",D1097="T. latifolia"),J1097&gt;0),J1097*[1]Sheet1!$G$5+K1097*[1]Sheet1!$H$5+L1097*[1]Sheet1!$I$5+[1]Sheet1!$L$5,0)))))))</f>
        <v>10.803494824263458</v>
      </c>
    </row>
    <row r="1098" spans="1:16">
      <c r="A1098" s="2">
        <v>40738</v>
      </c>
      <c r="B1098" t="s">
        <v>40</v>
      </c>
      <c r="C1098">
        <v>15</v>
      </c>
      <c r="D1098" t="s">
        <v>16</v>
      </c>
      <c r="E1098">
        <v>275</v>
      </c>
      <c r="F1098">
        <f>0.96-0.03</f>
        <v>0.92999999999999994</v>
      </c>
      <c r="G1098">
        <v>8</v>
      </c>
      <c r="M1098" t="s">
        <v>51</v>
      </c>
      <c r="N1098">
        <f t="shared" si="17"/>
        <v>62.268277293749982</v>
      </c>
      <c r="O1098">
        <f>IF(AND(OR(D1098="S. acutus",D1098="S. californicus",D1098="S. tabernaemontani"),G1098=0),E1098*[1]Sheet1!$D$7+[1]Sheet1!$L$7,IF(AND(OR(D1098="S. acutus",D1098="S. tabernaemontani"),G1098&gt;0),E1098*[1]Sheet1!$D$8+N1098*[1]Sheet1!$E$8,IF(AND(D1098="S. californicus",G1098&gt;0),E1098*[1]Sheet1!$D$9+N1098*[1]Sheet1!$E$9,IF(D1098="S. maritimus",F1098*[1]Sheet1!$C$10+E1098*[1]Sheet1!$D$10+G1098*[1]Sheet1!$F$10+[1]Sheet1!$L$10,IF(D1098="S. americanus",F1098*[1]Sheet1!$C$6+E1098*[1]Sheet1!$D$6+[1]Sheet1!$L$6,IF(AND(OR(D1098="T. domingensis",D1098="T. latifolia"),E1098&gt;0),F1098*[1]Sheet1!$C$4+E1098*[1]Sheet1!$D$4+H1098*[1]Sheet1!$J$4+I1098*[1]Sheet1!$K$4+[1]Sheet1!$L$4,IF(AND(OR(D1098="T. domingensis",D1098="T. latifolia"),J1098&gt;0),J1098*[1]Sheet1!$G$5+K1098*[1]Sheet1!$H$5+L1098*[1]Sheet1!$I$5+[1]Sheet1!$L$5,0)))))))</f>
        <v>12.594547070308314</v>
      </c>
    </row>
    <row r="1099" spans="1:16">
      <c r="A1099" s="2">
        <v>40738</v>
      </c>
      <c r="B1099" t="s">
        <v>40</v>
      </c>
      <c r="C1099">
        <v>15</v>
      </c>
      <c r="D1099" t="s">
        <v>16</v>
      </c>
      <c r="E1099">
        <v>276</v>
      </c>
      <c r="F1099">
        <f>1.09-0.03</f>
        <v>1.06</v>
      </c>
      <c r="G1099">
        <v>8</v>
      </c>
      <c r="M1099" t="s">
        <v>51</v>
      </c>
      <c r="N1099">
        <f t="shared" si="17"/>
        <v>81.187482052000007</v>
      </c>
      <c r="O1099">
        <f>IF(AND(OR(D1099="S. acutus",D1099="S. californicus",D1099="S. tabernaemontani"),G1099=0),E1099*[1]Sheet1!$D$7+[1]Sheet1!$L$7,IF(AND(OR(D1099="S. acutus",D1099="S. tabernaemontani"),G1099&gt;0),E1099*[1]Sheet1!$D$8+N1099*[1]Sheet1!$E$8,IF(AND(D1099="S. californicus",G1099&gt;0),E1099*[1]Sheet1!$D$9+N1099*[1]Sheet1!$E$9,IF(D1099="S. maritimus",F1099*[1]Sheet1!$C$10+E1099*[1]Sheet1!$D$10+G1099*[1]Sheet1!$F$10+[1]Sheet1!$L$10,IF(D1099="S. americanus",F1099*[1]Sheet1!$C$6+E1099*[1]Sheet1!$D$6+[1]Sheet1!$L$6,IF(AND(OR(D1099="T. domingensis",D1099="T. latifolia"),E1099&gt;0),F1099*[1]Sheet1!$C$4+E1099*[1]Sheet1!$D$4+H1099*[1]Sheet1!$J$4+I1099*[1]Sheet1!$K$4+[1]Sheet1!$L$4,IF(AND(OR(D1099="T. domingensis",D1099="T. latifolia"),J1099&gt;0),J1099*[1]Sheet1!$G$5+K1099*[1]Sheet1!$H$5+L1099*[1]Sheet1!$I$5+[1]Sheet1!$L$5,0)))))))</f>
        <v>13.242269590808247</v>
      </c>
    </row>
    <row r="1100" spans="1:16">
      <c r="A1100" s="2">
        <v>40738</v>
      </c>
      <c r="B1100" t="s">
        <v>40</v>
      </c>
      <c r="C1100">
        <v>15</v>
      </c>
      <c r="D1100" t="s">
        <v>16</v>
      </c>
      <c r="E1100">
        <v>280</v>
      </c>
      <c r="F1100">
        <f>0.85-0.03</f>
        <v>0.82</v>
      </c>
      <c r="G1100">
        <v>4</v>
      </c>
      <c r="M1100" t="s">
        <v>51</v>
      </c>
      <c r="N1100">
        <f t="shared" si="17"/>
        <v>49.289452706666651</v>
      </c>
      <c r="O1100">
        <f>IF(AND(OR(D1100="S. acutus",D1100="S. californicus",D1100="S. tabernaemontani"),G1100=0),E1100*[1]Sheet1!$D$7+[1]Sheet1!$L$7,IF(AND(OR(D1100="S. acutus",D1100="S. tabernaemontani"),G1100&gt;0),E1100*[1]Sheet1!$D$8+N1100*[1]Sheet1!$E$8,IF(AND(D1100="S. californicus",G1100&gt;0),E1100*[1]Sheet1!$D$9+N1100*[1]Sheet1!$E$9,IF(D1100="S. maritimus",F1100*[1]Sheet1!$C$10+E1100*[1]Sheet1!$D$10+G1100*[1]Sheet1!$F$10+[1]Sheet1!$L$10,IF(D1100="S. americanus",F1100*[1]Sheet1!$C$6+E1100*[1]Sheet1!$D$6+[1]Sheet1!$L$6,IF(AND(OR(D1100="T. domingensis",D1100="T. latifolia"),E1100&gt;0),F1100*[1]Sheet1!$C$4+E1100*[1]Sheet1!$D$4+H1100*[1]Sheet1!$J$4+I1100*[1]Sheet1!$K$4+[1]Sheet1!$L$4,IF(AND(OR(D1100="T. domingensis",D1100="T. latifolia"),J1100&gt;0),J1100*[1]Sheet1!$G$5+K1100*[1]Sheet1!$H$5+L1100*[1]Sheet1!$I$5+[1]Sheet1!$L$5,0)))))))</f>
        <v>12.369152737662102</v>
      </c>
    </row>
    <row r="1101" spans="1:16">
      <c r="A1101" s="2">
        <v>40738</v>
      </c>
      <c r="B1101" t="s">
        <v>40</v>
      </c>
      <c r="C1101">
        <v>15</v>
      </c>
      <c r="D1101" s="6" t="s">
        <v>16</v>
      </c>
      <c r="E1101">
        <v>281</v>
      </c>
      <c r="F1101">
        <v>1.04</v>
      </c>
      <c r="G1101">
        <v>8</v>
      </c>
      <c r="N1101">
        <f t="shared" si="17"/>
        <v>79.568516005333322</v>
      </c>
      <c r="O1101">
        <f>IF(AND(OR(D1101="S. acutus",D1101="S. californicus",D1101="S. tabernaemontani"),G1101=0),E1101*[1]Sheet1!$D$7+[1]Sheet1!$L$7,IF(AND(OR(D1101="S. acutus",D1101="S. tabernaemontani"),G1101&gt;0),E1101*[1]Sheet1!$D$8+N1101*[1]Sheet1!$E$8,IF(AND(D1101="S. californicus",G1101&gt;0),E1101*[1]Sheet1!$D$9+N1101*[1]Sheet1!$E$9,IF(D1101="S. maritimus",F1101*[1]Sheet1!$C$10+E1101*[1]Sheet1!$D$10+G1101*[1]Sheet1!$F$10+[1]Sheet1!$L$10,IF(D1101="S. americanus",F1101*[1]Sheet1!$C$6+E1101*[1]Sheet1!$D$6+[1]Sheet1!$L$6,IF(AND(OR(D1101="T. domingensis",D1101="T. latifolia"),E1101&gt;0),F1101*[1]Sheet1!$C$4+E1101*[1]Sheet1!$D$4+H1101*[1]Sheet1!$J$4+I1101*[1]Sheet1!$K$4+[1]Sheet1!$L$4,IF(AND(OR(D1101="T. domingensis",D1101="T. latifolia"),J1101&gt;0),J1101*[1]Sheet1!$G$5+K1101*[1]Sheet1!$H$5+L1101*[1]Sheet1!$I$5+[1]Sheet1!$L$5,0)))))))</f>
        <v>13.382672927036138</v>
      </c>
    </row>
    <row r="1102" spans="1:16">
      <c r="A1102" s="2">
        <v>40738</v>
      </c>
      <c r="B1102" t="s">
        <v>40</v>
      </c>
      <c r="C1102">
        <v>15</v>
      </c>
      <c r="D1102" t="s">
        <v>16</v>
      </c>
      <c r="E1102">
        <v>356</v>
      </c>
      <c r="F1102">
        <f>1.05-0.03</f>
        <v>1.02</v>
      </c>
      <c r="G1102">
        <v>0</v>
      </c>
      <c r="M1102" t="s">
        <v>51</v>
      </c>
      <c r="N1102">
        <f t="shared" si="17"/>
        <v>96.965803667999978</v>
      </c>
      <c r="O1102">
        <f>IF(AND(OR(D1102="S. acutus",D1102="S. californicus",D1102="S. tabernaemontani"),G1102=0),E1102*[1]Sheet1!$D$7+[1]Sheet1!$L$7,IF(AND(OR(D1102="S. acutus",D1102="S. tabernaemontani"),G1102&gt;0),E1102*[1]Sheet1!$D$8+N1102*[1]Sheet1!$E$8,IF(AND(D1102="S. californicus",G1102&gt;0),E1102*[1]Sheet1!$D$9+N1102*[1]Sheet1!$E$9,IF(D1102="S. maritimus",F1102*[1]Sheet1!$C$10+E1102*[1]Sheet1!$D$10+G1102*[1]Sheet1!$F$10+[1]Sheet1!$L$10,IF(D1102="S. americanus",F1102*[1]Sheet1!$C$6+E1102*[1]Sheet1!$D$6+[1]Sheet1!$L$6,IF(AND(OR(D1102="T. domingensis",D1102="T. latifolia"),E1102&gt;0),F1102*[1]Sheet1!$C$4+E1102*[1]Sheet1!$D$4+H1102*[1]Sheet1!$J$4+I1102*[1]Sheet1!$K$4+[1]Sheet1!$L$4,IF(AND(OR(D1102="T. domingensis",D1102="T. latifolia"),J1102&gt;0),J1102*[1]Sheet1!$G$5+K1102*[1]Sheet1!$H$5+L1102*[1]Sheet1!$I$5+[1]Sheet1!$L$5,0)))))))</f>
        <v>20.366783000000002</v>
      </c>
    </row>
    <row r="1103" spans="1:16">
      <c r="A1103" s="2">
        <v>40738</v>
      </c>
      <c r="B1103" t="s">
        <v>40</v>
      </c>
      <c r="C1103">
        <v>15</v>
      </c>
      <c r="D1103" s="6" t="s">
        <v>19</v>
      </c>
      <c r="E1103">
        <v>263</v>
      </c>
      <c r="F1103">
        <v>2.25</v>
      </c>
      <c r="H1103">
        <v>25</v>
      </c>
      <c r="I1103">
        <v>2.2000000000000002</v>
      </c>
      <c r="O1103">
        <f>IF(AND(OR(D1103="S. acutus",D1103="S. californicus",D1103="S. tabernaemontani"),G1103=0),E1103*[1]Sheet1!$D$7+[1]Sheet1!$L$7,IF(AND(OR(D1103="S. acutus",D1103="S. tabernaemontani"),G1103&gt;0),E1103*[1]Sheet1!$D$8+N1103*[1]Sheet1!$E$8,IF(AND(D1103="S. californicus",G1103&gt;0),E1103*[1]Sheet1!$D$9+N1103*[1]Sheet1!$E$9,IF(D1103="S. maritimus",F1103*[1]Sheet1!$C$10+E1103*[1]Sheet1!$D$10+G1103*[1]Sheet1!$F$10+[1]Sheet1!$L$10,IF(D1103="S. americanus",F1103*[1]Sheet1!$C$6+E1103*[1]Sheet1!$D$6+[1]Sheet1!$L$6,IF(AND(OR(D1103="T. domingensis",D1103="T. latifolia"),E1103&gt;0),F1103*[1]Sheet1!$C$4+E1103*[1]Sheet1!$D$4+H1103*[1]Sheet1!$J$4+I1103*[1]Sheet1!$K$4+[1]Sheet1!$L$4,IF(AND(OR(D1103="T. domingensis",D1103="T. latifolia"),J1103&gt;0),J1103*[1]Sheet1!$G$5+K1103*[1]Sheet1!$H$5+L1103*[1]Sheet1!$I$5+[1]Sheet1!$L$5,0)))))))</f>
        <v>86.77673544999999</v>
      </c>
    </row>
    <row r="1104" spans="1:16">
      <c r="A1104" s="2">
        <v>40738</v>
      </c>
      <c r="B1104" t="s">
        <v>40</v>
      </c>
      <c r="C1104">
        <v>15</v>
      </c>
      <c r="D1104" s="6" t="s">
        <v>19</v>
      </c>
      <c r="E1104">
        <v>264</v>
      </c>
      <c r="F1104">
        <v>2.57</v>
      </c>
      <c r="H1104">
        <v>16</v>
      </c>
      <c r="I1104">
        <v>2</v>
      </c>
      <c r="O1104">
        <f>IF(AND(OR(D1104="S. acutus",D1104="S. californicus",D1104="S. tabernaemontani"),G1104=0),E1104*[1]Sheet1!$D$7+[1]Sheet1!$L$7,IF(AND(OR(D1104="S. acutus",D1104="S. tabernaemontani"),G1104&gt;0),E1104*[1]Sheet1!$D$8+N1104*[1]Sheet1!$E$8,IF(AND(D1104="S. californicus",G1104&gt;0),E1104*[1]Sheet1!$D$9+N1104*[1]Sheet1!$E$9,IF(D1104="S. maritimus",F1104*[1]Sheet1!$C$10+E1104*[1]Sheet1!$D$10+G1104*[1]Sheet1!$F$10+[1]Sheet1!$L$10,IF(D1104="S. americanus",F1104*[1]Sheet1!$C$6+E1104*[1]Sheet1!$D$6+[1]Sheet1!$L$6,IF(AND(OR(D1104="T. domingensis",D1104="T. latifolia"),E1104&gt;0),F1104*[1]Sheet1!$C$4+E1104*[1]Sheet1!$D$4+H1104*[1]Sheet1!$J$4+I1104*[1]Sheet1!$K$4+[1]Sheet1!$L$4,IF(AND(OR(D1104="T. domingensis",D1104="T. latifolia"),J1104&gt;0),J1104*[1]Sheet1!$G$5+K1104*[1]Sheet1!$H$5+L1104*[1]Sheet1!$I$5+[1]Sheet1!$L$5,0)))))))</f>
        <v>81.377663689999963</v>
      </c>
    </row>
    <row r="1105" spans="1:15">
      <c r="A1105" s="2">
        <v>40738</v>
      </c>
      <c r="B1105" t="s">
        <v>40</v>
      </c>
      <c r="C1105">
        <v>15</v>
      </c>
      <c r="D1105" t="s">
        <v>19</v>
      </c>
      <c r="E1105">
        <v>268</v>
      </c>
      <c r="F1105">
        <f>2.55-0.03</f>
        <v>2.52</v>
      </c>
      <c r="H1105">
        <v>29</v>
      </c>
      <c r="I1105">
        <v>2.4</v>
      </c>
      <c r="M1105" t="s">
        <v>51</v>
      </c>
      <c r="O1105">
        <f>IF(AND(OR(D1105="S. acutus",D1105="S. californicus",D1105="S. tabernaemontani"),G1105=0),E1105*[1]Sheet1!$D$7+[1]Sheet1!$L$7,IF(AND(OR(D1105="S. acutus",D1105="S. tabernaemontani"),G1105&gt;0),E1105*[1]Sheet1!$D$8+N1105*[1]Sheet1!$E$8,IF(AND(D1105="S. californicus",G1105&gt;0),E1105*[1]Sheet1!$D$9+N1105*[1]Sheet1!$E$9,IF(D1105="S. maritimus",F1105*[1]Sheet1!$C$10+E1105*[1]Sheet1!$D$10+G1105*[1]Sheet1!$F$10+[1]Sheet1!$L$10,IF(D1105="S. americanus",F1105*[1]Sheet1!$C$6+E1105*[1]Sheet1!$D$6+[1]Sheet1!$L$6,IF(AND(OR(D1105="T. domingensis",D1105="T. latifolia"),E1105&gt;0),F1105*[1]Sheet1!$C$4+E1105*[1]Sheet1!$D$4+H1105*[1]Sheet1!$J$4+I1105*[1]Sheet1!$K$4+[1]Sheet1!$L$4,IF(AND(OR(D1105="T. domingensis",D1105="T. latifolia"),J1105&gt;0),J1105*[1]Sheet1!$G$5+K1105*[1]Sheet1!$H$5+L1105*[1]Sheet1!$I$5+[1]Sheet1!$L$5,0)))))))</f>
        <v>100.71318144</v>
      </c>
    </row>
    <row r="1106" spans="1:15">
      <c r="A1106" s="2">
        <v>40738</v>
      </c>
      <c r="B1106" t="s">
        <v>40</v>
      </c>
      <c r="C1106">
        <v>15</v>
      </c>
      <c r="D1106" t="s">
        <v>19</v>
      </c>
      <c r="E1106">
        <v>307</v>
      </c>
      <c r="F1106">
        <f>2.19-0.03</f>
        <v>2.16</v>
      </c>
      <c r="H1106">
        <v>27</v>
      </c>
      <c r="I1106">
        <v>2.6</v>
      </c>
      <c r="M1106" t="s">
        <v>51</v>
      </c>
      <c r="O1106">
        <f>IF(AND(OR(D1106="S. acutus",D1106="S. californicus",D1106="S. tabernaemontani"),G1106=0),E1106*[1]Sheet1!$D$7+[1]Sheet1!$L$7,IF(AND(OR(D1106="S. acutus",D1106="S. tabernaemontani"),G1106&gt;0),E1106*[1]Sheet1!$D$8+N1106*[1]Sheet1!$E$8,IF(AND(D1106="S. californicus",G1106&gt;0),E1106*[1]Sheet1!$D$9+N1106*[1]Sheet1!$E$9,IF(D1106="S. maritimus",F1106*[1]Sheet1!$C$10+E1106*[1]Sheet1!$D$10+G1106*[1]Sheet1!$F$10+[1]Sheet1!$L$10,IF(D1106="S. americanus",F1106*[1]Sheet1!$C$6+E1106*[1]Sheet1!$D$6+[1]Sheet1!$L$6,IF(AND(OR(D1106="T. domingensis",D1106="T. latifolia"),E1106&gt;0),F1106*[1]Sheet1!$C$4+E1106*[1]Sheet1!$D$4+H1106*[1]Sheet1!$J$4+I1106*[1]Sheet1!$K$4+[1]Sheet1!$L$4,IF(AND(OR(D1106="T. domingensis",D1106="T. latifolia"),J1106&gt;0),J1106*[1]Sheet1!$G$5+K1106*[1]Sheet1!$H$5+L1106*[1]Sheet1!$I$5+[1]Sheet1!$L$5,0)))))))</f>
        <v>107.26465632</v>
      </c>
    </row>
    <row r="1107" spans="1:15">
      <c r="A1107" s="2">
        <v>40738</v>
      </c>
      <c r="B1107" t="s">
        <v>40</v>
      </c>
      <c r="C1107">
        <v>15</v>
      </c>
      <c r="D1107" s="6" t="s">
        <v>19</v>
      </c>
      <c r="F1107">
        <v>1.2</v>
      </c>
      <c r="J1107">
        <f>SUM(186,197,219,270,265)</f>
        <v>1137</v>
      </c>
      <c r="K1107">
        <v>5</v>
      </c>
      <c r="L1107">
        <v>270</v>
      </c>
      <c r="O1107">
        <f>IF(AND(OR(D1107="S. acutus",D1107="S. californicus",D1107="S. tabernaemontani"),G1107=0),E1107*[1]Sheet1!$D$7+[1]Sheet1!$L$7,IF(AND(OR(D1107="S. acutus",D1107="S. tabernaemontani"),G1107&gt;0),E1107*[1]Sheet1!$D$8+N1107*[1]Sheet1!$E$8,IF(AND(D1107="S. californicus",G1107&gt;0),E1107*[1]Sheet1!$D$9+N1107*[1]Sheet1!$E$9,IF(D1107="S. maritimus",F1107*[1]Sheet1!$C$10+E1107*[1]Sheet1!$D$10+G1107*[1]Sheet1!$F$10+[1]Sheet1!$L$10,IF(D1107="S. americanus",F1107*[1]Sheet1!$C$6+E1107*[1]Sheet1!$D$6+[1]Sheet1!$L$6,IF(AND(OR(D1107="T. domingensis",D1107="T. latifolia"),E1107&gt;0),F1107*[1]Sheet1!$C$4+E1107*[1]Sheet1!$D$4+H1107*[1]Sheet1!$J$4+I1107*[1]Sheet1!$K$4+[1]Sheet1!$L$4,IF(AND(OR(D1107="T. domingensis",D1107="T. latifolia"),J1107&gt;0),J1107*[1]Sheet1!$G$5+K1107*[1]Sheet1!$H$5+L1107*[1]Sheet1!$I$5+[1]Sheet1!$L$5,0)))))))</f>
        <v>23.188504000000016</v>
      </c>
    </row>
    <row r="1108" spans="1:15">
      <c r="A1108" s="2">
        <v>40738</v>
      </c>
      <c r="B1108" t="s">
        <v>40</v>
      </c>
      <c r="C1108">
        <v>15</v>
      </c>
      <c r="D1108" s="6" t="s">
        <v>19</v>
      </c>
      <c r="F1108">
        <v>1.78</v>
      </c>
      <c r="J1108">
        <f>SUM(182,229,266,287,291)</f>
        <v>1255</v>
      </c>
      <c r="K1108">
        <v>5</v>
      </c>
      <c r="L1108">
        <v>291</v>
      </c>
      <c r="O1108">
        <f>IF(AND(OR(D1108="S. acutus",D1108="S. californicus",D1108="S. tabernaemontani"),G1108=0),E1108*[1]Sheet1!$D$7+[1]Sheet1!$L$7,IF(AND(OR(D1108="S. acutus",D1108="S. tabernaemontani"),G1108&gt;0),E1108*[1]Sheet1!$D$8+N1108*[1]Sheet1!$E$8,IF(AND(D1108="S. californicus",G1108&gt;0),E1108*[1]Sheet1!$D$9+N1108*[1]Sheet1!$E$9,IF(D1108="S. maritimus",F1108*[1]Sheet1!$C$10+E1108*[1]Sheet1!$D$10+G1108*[1]Sheet1!$F$10+[1]Sheet1!$L$10,IF(D1108="S. americanus",F1108*[1]Sheet1!$C$6+E1108*[1]Sheet1!$D$6+[1]Sheet1!$L$6,IF(AND(OR(D1108="T. domingensis",D1108="T. latifolia"),E1108&gt;0),F1108*[1]Sheet1!$C$4+E1108*[1]Sheet1!$D$4+H1108*[1]Sheet1!$J$4+I1108*[1]Sheet1!$K$4+[1]Sheet1!$L$4,IF(AND(OR(D1108="T. domingensis",D1108="T. latifolia"),J1108&gt;0),J1108*[1]Sheet1!$G$5+K1108*[1]Sheet1!$H$5+L1108*[1]Sheet1!$I$5+[1]Sheet1!$L$5,0)))))))</f>
        <v>27.925448999999993</v>
      </c>
    </row>
    <row r="1109" spans="1:15">
      <c r="A1109" s="2">
        <v>40738</v>
      </c>
      <c r="B1109" t="s">
        <v>40</v>
      </c>
      <c r="C1109">
        <v>15</v>
      </c>
      <c r="D1109" t="s">
        <v>19</v>
      </c>
      <c r="F1109">
        <f>2.73-0.03</f>
        <v>2.7</v>
      </c>
      <c r="J1109">
        <f>SUM(124,176,255,297,301,323)</f>
        <v>1476</v>
      </c>
      <c r="K1109">
        <v>6</v>
      </c>
      <c r="L1109">
        <v>323</v>
      </c>
      <c r="M1109" t="s">
        <v>51</v>
      </c>
      <c r="O1109">
        <f>IF(AND(OR(D1109="S. acutus",D1109="S. californicus",D1109="S. tabernaemontani"),G1109=0),E1109*[1]Sheet1!$D$7+[1]Sheet1!$L$7,IF(AND(OR(D1109="S. acutus",D1109="S. tabernaemontani"),G1109&gt;0),E1109*[1]Sheet1!$D$8+N1109*[1]Sheet1!$E$8,IF(AND(D1109="S. californicus",G1109&gt;0),E1109*[1]Sheet1!$D$9+N1109*[1]Sheet1!$E$9,IF(D1109="S. maritimus",F1109*[1]Sheet1!$C$10+E1109*[1]Sheet1!$D$10+G1109*[1]Sheet1!$F$10+[1]Sheet1!$L$10,IF(D1109="S. americanus",F1109*[1]Sheet1!$C$6+E1109*[1]Sheet1!$D$6+[1]Sheet1!$L$6,IF(AND(OR(D1109="T. domingensis",D1109="T. latifolia"),E1109&gt;0),F1109*[1]Sheet1!$C$4+E1109*[1]Sheet1!$D$4+H1109*[1]Sheet1!$J$4+I1109*[1]Sheet1!$K$4+[1]Sheet1!$L$4,IF(AND(OR(D1109="T. domingensis",D1109="T. latifolia"),J1109&gt;0),J1109*[1]Sheet1!$G$5+K1109*[1]Sheet1!$H$5+L1109*[1]Sheet1!$I$5+[1]Sheet1!$L$5,0)))))))</f>
        <v>31.983111000000015</v>
      </c>
    </row>
    <row r="1110" spans="1:15">
      <c r="A1110" s="2">
        <v>40738</v>
      </c>
      <c r="B1110" t="s">
        <v>40</v>
      </c>
      <c r="C1110">
        <v>18</v>
      </c>
      <c r="D1110" s="6" t="s">
        <v>16</v>
      </c>
      <c r="E1110">
        <v>110</v>
      </c>
      <c r="F1110">
        <v>0.72</v>
      </c>
      <c r="G1110">
        <v>0</v>
      </c>
      <c r="N1110">
        <f t="shared" ref="N1110:N1128" si="18">((1/3)*(3.14159)*((F1110/2)^2)*E1110)</f>
        <v>14.928835679999997</v>
      </c>
      <c r="O1110">
        <f>IF(AND(OR(D1110="S. acutus",D1110="S. californicus",D1110="S. tabernaemontani"),G1110=0),E1110*[1]Sheet1!$D$7+[1]Sheet1!$L$7,IF(AND(OR(D1110="S. acutus",D1110="S. tabernaemontani"),G1110&gt;0),E1110*[1]Sheet1!$D$8+N1110*[1]Sheet1!$E$8,IF(AND(D1110="S. californicus",G1110&gt;0),E1110*[1]Sheet1!$D$9+N1110*[1]Sheet1!$E$9,IF(D1110="S. maritimus",F1110*[1]Sheet1!$C$10+E1110*[1]Sheet1!$D$10+G1110*[1]Sheet1!$F$10+[1]Sheet1!$L$10,IF(D1110="S. americanus",F1110*[1]Sheet1!$C$6+E1110*[1]Sheet1!$D$6+[1]Sheet1!$L$6,IF(AND(OR(D1110="T. domingensis",D1110="T. latifolia"),E1110&gt;0),F1110*[1]Sheet1!$C$4+E1110*[1]Sheet1!$D$4+H1110*[1]Sheet1!$J$4+I1110*[1]Sheet1!$K$4+[1]Sheet1!$L$4,IF(AND(OR(D1110="T. domingensis",D1110="T. latifolia"),J1110&gt;0),J1110*[1]Sheet1!$G$5+K1110*[1]Sheet1!$H$5+L1110*[1]Sheet1!$I$5+[1]Sheet1!$L$5,0)))))))</f>
        <v>3.1209530000000001</v>
      </c>
    </row>
    <row r="1111" spans="1:15">
      <c r="A1111" s="2">
        <v>40738</v>
      </c>
      <c r="B1111" t="s">
        <v>40</v>
      </c>
      <c r="C1111">
        <v>18</v>
      </c>
      <c r="D1111" s="6" t="s">
        <v>16</v>
      </c>
      <c r="E1111">
        <v>168</v>
      </c>
      <c r="F1111">
        <v>0.75</v>
      </c>
      <c r="G1111">
        <v>0</v>
      </c>
      <c r="N1111">
        <f t="shared" si="18"/>
        <v>24.740021249999998</v>
      </c>
      <c r="O1111">
        <f>IF(AND(OR(D1111="S. acutus",D1111="S. californicus",D1111="S. tabernaemontani"),G1111=0),E1111*[1]Sheet1!$D$7+[1]Sheet1!$L$7,IF(AND(OR(D1111="S. acutus",D1111="S. tabernaemontani"),G1111&gt;0),E1111*[1]Sheet1!$D$8+N1111*[1]Sheet1!$E$8,IF(AND(D1111="S. californicus",G1111&gt;0),E1111*[1]Sheet1!$D$9+N1111*[1]Sheet1!$E$9,IF(D1111="S. maritimus",F1111*[1]Sheet1!$C$10+E1111*[1]Sheet1!$D$10+G1111*[1]Sheet1!$F$10+[1]Sheet1!$L$10,IF(D1111="S. americanus",F1111*[1]Sheet1!$C$6+E1111*[1]Sheet1!$D$6+[1]Sheet1!$L$6,IF(AND(OR(D1111="T. domingensis",D1111="T. latifolia"),E1111&gt;0),F1111*[1]Sheet1!$C$4+E1111*[1]Sheet1!$D$4+H1111*[1]Sheet1!$J$4+I1111*[1]Sheet1!$K$4+[1]Sheet1!$L$4,IF(AND(OR(D1111="T. domingensis",D1111="T. latifolia"),J1111&gt;0),J1111*[1]Sheet1!$G$5+K1111*[1]Sheet1!$H$5+L1111*[1]Sheet1!$I$5+[1]Sheet1!$L$5,0)))))))</f>
        <v>7.1870430000000001</v>
      </c>
    </row>
    <row r="1112" spans="1:15">
      <c r="A1112" s="2">
        <v>40738</v>
      </c>
      <c r="B1112" t="s">
        <v>40</v>
      </c>
      <c r="C1112">
        <v>18</v>
      </c>
      <c r="D1112" s="6" t="s">
        <v>16</v>
      </c>
      <c r="E1112">
        <v>170</v>
      </c>
      <c r="F1112">
        <v>0.78</v>
      </c>
      <c r="G1112">
        <v>0</v>
      </c>
      <c r="N1112">
        <f t="shared" si="18"/>
        <v>27.077364209999999</v>
      </c>
      <c r="O1112">
        <f>IF(AND(OR(D1112="S. acutus",D1112="S. californicus",D1112="S. tabernaemontani"),G1112=0),E1112*[1]Sheet1!$D$7+[1]Sheet1!$L$7,IF(AND(OR(D1112="S. acutus",D1112="S. tabernaemontani"),G1112&gt;0),E1112*[1]Sheet1!$D$8+N1112*[1]Sheet1!$E$8,IF(AND(D1112="S. californicus",G1112&gt;0),E1112*[1]Sheet1!$D$9+N1112*[1]Sheet1!$E$9,IF(D1112="S. maritimus",F1112*[1]Sheet1!$C$10+E1112*[1]Sheet1!$D$10+G1112*[1]Sheet1!$F$10+[1]Sheet1!$L$10,IF(D1112="S. americanus",F1112*[1]Sheet1!$C$6+E1112*[1]Sheet1!$D$6+[1]Sheet1!$L$6,IF(AND(OR(D1112="T. domingensis",D1112="T. latifolia"),E1112&gt;0),F1112*[1]Sheet1!$C$4+E1112*[1]Sheet1!$D$4+H1112*[1]Sheet1!$J$4+I1112*[1]Sheet1!$K$4+[1]Sheet1!$L$4,IF(AND(OR(D1112="T. domingensis",D1112="T. latifolia"),J1112&gt;0),J1112*[1]Sheet1!$G$5+K1112*[1]Sheet1!$H$5+L1112*[1]Sheet1!$I$5+[1]Sheet1!$L$5,0)))))))</f>
        <v>7.3272529999999998</v>
      </c>
    </row>
    <row r="1113" spans="1:15">
      <c r="A1113" s="2">
        <v>40738</v>
      </c>
      <c r="B1113" t="s">
        <v>40</v>
      </c>
      <c r="C1113">
        <v>18</v>
      </c>
      <c r="D1113" s="6" t="s">
        <v>16</v>
      </c>
      <c r="E1113">
        <v>181</v>
      </c>
      <c r="F1113">
        <v>0.67</v>
      </c>
      <c r="G1113">
        <v>0</v>
      </c>
      <c r="N1113">
        <f t="shared" si="18"/>
        <v>21.271417910916668</v>
      </c>
      <c r="O1113">
        <f>IF(AND(OR(D1113="S. acutus",D1113="S. californicus",D1113="S. tabernaemontani"),G1113=0),E1113*[1]Sheet1!$D$7+[1]Sheet1!$L$7,IF(AND(OR(D1113="S. acutus",D1113="S. tabernaemontani"),G1113&gt;0),E1113*[1]Sheet1!$D$8+N1113*[1]Sheet1!$E$8,IF(AND(D1113="S. californicus",G1113&gt;0),E1113*[1]Sheet1!$D$9+N1113*[1]Sheet1!$E$9,IF(D1113="S. maritimus",F1113*[1]Sheet1!$C$10+E1113*[1]Sheet1!$D$10+G1113*[1]Sheet1!$F$10+[1]Sheet1!$L$10,IF(D1113="S. americanus",F1113*[1]Sheet1!$C$6+E1113*[1]Sheet1!$D$6+[1]Sheet1!$L$6,IF(AND(OR(D1113="T. domingensis",D1113="T. latifolia"),E1113&gt;0),F1113*[1]Sheet1!$C$4+E1113*[1]Sheet1!$D$4+H1113*[1]Sheet1!$J$4+I1113*[1]Sheet1!$K$4+[1]Sheet1!$L$4,IF(AND(OR(D1113="T. domingensis",D1113="T. latifolia"),J1113&gt;0),J1113*[1]Sheet1!$G$5+K1113*[1]Sheet1!$H$5+L1113*[1]Sheet1!$I$5+[1]Sheet1!$L$5,0)))))))</f>
        <v>8.0984079999999992</v>
      </c>
    </row>
    <row r="1114" spans="1:15">
      <c r="A1114" s="2">
        <v>40738</v>
      </c>
      <c r="B1114" t="s">
        <v>40</v>
      </c>
      <c r="C1114">
        <v>18</v>
      </c>
      <c r="D1114" s="6" t="s">
        <v>16</v>
      </c>
      <c r="E1114">
        <v>185</v>
      </c>
      <c r="F1114">
        <v>0.97</v>
      </c>
      <c r="G1114">
        <v>2</v>
      </c>
      <c r="N1114">
        <f t="shared" si="18"/>
        <v>45.570464644583325</v>
      </c>
      <c r="O1114">
        <f>IF(AND(OR(D1114="S. acutus",D1114="S. californicus",D1114="S. tabernaemontani"),G1114=0),E1114*[1]Sheet1!$D$7+[1]Sheet1!$L$7,IF(AND(OR(D1114="S. acutus",D1114="S. tabernaemontani"),G1114&gt;0),E1114*[1]Sheet1!$D$8+N1114*[1]Sheet1!$E$8,IF(AND(D1114="S. californicus",G1114&gt;0),E1114*[1]Sheet1!$D$9+N1114*[1]Sheet1!$E$9,IF(D1114="S. maritimus",F1114*[1]Sheet1!$C$10+E1114*[1]Sheet1!$D$10+G1114*[1]Sheet1!$F$10+[1]Sheet1!$L$10,IF(D1114="S. americanus",F1114*[1]Sheet1!$C$6+E1114*[1]Sheet1!$D$6+[1]Sheet1!$L$6,IF(AND(OR(D1114="T. domingensis",D1114="T. latifolia"),E1114&gt;0),F1114*[1]Sheet1!$C$4+E1114*[1]Sheet1!$D$4+H1114*[1]Sheet1!$J$4+I1114*[1]Sheet1!$K$4+[1]Sheet1!$L$4,IF(AND(OR(D1114="T. domingensis",D1114="T. latifolia"),J1114&gt;0),J1114*[1]Sheet1!$G$5+K1114*[1]Sheet1!$H$5+L1114*[1]Sheet1!$I$5+[1]Sheet1!$L$5,0)))))))</f>
        <v>8.5912234749737628</v>
      </c>
    </row>
    <row r="1115" spans="1:15">
      <c r="A1115" s="2">
        <v>40738</v>
      </c>
      <c r="B1115" t="s">
        <v>40</v>
      </c>
      <c r="C1115">
        <v>18</v>
      </c>
      <c r="D1115" s="6" t="s">
        <v>16</v>
      </c>
      <c r="E1115">
        <v>188</v>
      </c>
      <c r="F1115">
        <v>1.1599999999999999</v>
      </c>
      <c r="G1115">
        <v>3</v>
      </c>
      <c r="N1115">
        <f t="shared" si="18"/>
        <v>66.228068229333317</v>
      </c>
      <c r="O1115">
        <f>IF(AND(OR(D1115="S. acutus",D1115="S. californicus",D1115="S. tabernaemontani"),G1115=0),E1115*[1]Sheet1!$D$7+[1]Sheet1!$L$7,IF(AND(OR(D1115="S. acutus",D1115="S. tabernaemontani"),G1115&gt;0),E1115*[1]Sheet1!$D$8+N1115*[1]Sheet1!$E$8,IF(AND(D1115="S. californicus",G1115&gt;0),E1115*[1]Sheet1!$D$9+N1115*[1]Sheet1!$E$9,IF(D1115="S. maritimus",F1115*[1]Sheet1!$C$10+E1115*[1]Sheet1!$D$10+G1115*[1]Sheet1!$F$10+[1]Sheet1!$L$10,IF(D1115="S. americanus",F1115*[1]Sheet1!$C$6+E1115*[1]Sheet1!$D$6+[1]Sheet1!$L$6,IF(AND(OR(D1115="T. domingensis",D1115="T. latifolia"),E1115&gt;0),F1115*[1]Sheet1!$C$4+E1115*[1]Sheet1!$D$4+H1115*[1]Sheet1!$J$4+I1115*[1]Sheet1!$K$4+[1]Sheet1!$L$4,IF(AND(OR(D1115="T. domingensis",D1115="T. latifolia"),J1115&gt;0),J1115*[1]Sheet1!$G$5+K1115*[1]Sheet1!$H$5+L1115*[1]Sheet1!$I$5+[1]Sheet1!$L$5,0)))))))</f>
        <v>9.3719382022459392</v>
      </c>
    </row>
    <row r="1116" spans="1:15">
      <c r="A1116" s="2">
        <v>40738</v>
      </c>
      <c r="B1116" t="s">
        <v>40</v>
      </c>
      <c r="C1116">
        <v>18</v>
      </c>
      <c r="D1116" s="6" t="s">
        <v>16</v>
      </c>
      <c r="E1116">
        <v>198</v>
      </c>
      <c r="F1116">
        <v>0.87</v>
      </c>
      <c r="G1116">
        <v>0</v>
      </c>
      <c r="N1116">
        <f t="shared" si="18"/>
        <v>39.234846271499997</v>
      </c>
      <c r="O1116">
        <f>IF(AND(OR(D1116="S. acutus",D1116="S. californicus",D1116="S. tabernaemontani"),G1116=0),E1116*[1]Sheet1!$D$7+[1]Sheet1!$L$7,IF(AND(OR(D1116="S. acutus",D1116="S. tabernaemontani"),G1116&gt;0),E1116*[1]Sheet1!$D$8+N1116*[1]Sheet1!$E$8,IF(AND(D1116="S. californicus",G1116&gt;0),E1116*[1]Sheet1!$D$9+N1116*[1]Sheet1!$E$9,IF(D1116="S. maritimus",F1116*[1]Sheet1!$C$10+E1116*[1]Sheet1!$D$10+G1116*[1]Sheet1!$F$10+[1]Sheet1!$L$10,IF(D1116="S. americanus",F1116*[1]Sheet1!$C$6+E1116*[1]Sheet1!$D$6+[1]Sheet1!$L$6,IF(AND(OR(D1116="T. domingensis",D1116="T. latifolia"),E1116&gt;0),F1116*[1]Sheet1!$C$4+E1116*[1]Sheet1!$D$4+H1116*[1]Sheet1!$J$4+I1116*[1]Sheet1!$K$4+[1]Sheet1!$L$4,IF(AND(OR(D1116="T. domingensis",D1116="T. latifolia"),J1116&gt;0),J1116*[1]Sheet1!$G$5+K1116*[1]Sheet1!$H$5+L1116*[1]Sheet1!$I$5+[1]Sheet1!$L$5,0)))))))</f>
        <v>9.2901929999999986</v>
      </c>
    </row>
    <row r="1117" spans="1:15">
      <c r="A1117" s="2">
        <v>40738</v>
      </c>
      <c r="B1117" t="s">
        <v>40</v>
      </c>
      <c r="C1117">
        <v>18</v>
      </c>
      <c r="D1117" s="6" t="s">
        <v>16</v>
      </c>
      <c r="E1117">
        <v>210</v>
      </c>
      <c r="F1117">
        <v>0.79</v>
      </c>
      <c r="G1117">
        <v>0</v>
      </c>
      <c r="N1117">
        <f t="shared" si="18"/>
        <v>34.311660582500004</v>
      </c>
      <c r="O1117">
        <f>IF(AND(OR(D1117="S. acutus",D1117="S. californicus",D1117="S. tabernaemontani"),G1117=0),E1117*[1]Sheet1!$D$7+[1]Sheet1!$L$7,IF(AND(OR(D1117="S. acutus",D1117="S. tabernaemontani"),G1117&gt;0),E1117*[1]Sheet1!$D$8+N1117*[1]Sheet1!$E$8,IF(AND(D1117="S. californicus",G1117&gt;0),E1117*[1]Sheet1!$D$9+N1117*[1]Sheet1!$E$9,IF(D1117="S. maritimus",F1117*[1]Sheet1!$C$10+E1117*[1]Sheet1!$D$10+G1117*[1]Sheet1!$F$10+[1]Sheet1!$L$10,IF(D1117="S. americanus",F1117*[1]Sheet1!$C$6+E1117*[1]Sheet1!$D$6+[1]Sheet1!$L$6,IF(AND(OR(D1117="T. domingensis",D1117="T. latifolia"),E1117&gt;0),F1117*[1]Sheet1!$C$4+E1117*[1]Sheet1!$D$4+H1117*[1]Sheet1!$J$4+I1117*[1]Sheet1!$K$4+[1]Sheet1!$L$4,IF(AND(OR(D1117="T. domingensis",D1117="T. latifolia"),J1117&gt;0),J1117*[1]Sheet1!$G$5+K1117*[1]Sheet1!$H$5+L1117*[1]Sheet1!$I$5+[1]Sheet1!$L$5,0)))))))</f>
        <v>10.131453</v>
      </c>
    </row>
    <row r="1118" spans="1:15">
      <c r="A1118" s="2">
        <v>40738</v>
      </c>
      <c r="B1118" t="s">
        <v>40</v>
      </c>
      <c r="C1118">
        <v>18</v>
      </c>
      <c r="D1118" s="6" t="s">
        <v>16</v>
      </c>
      <c r="E1118">
        <v>211</v>
      </c>
      <c r="F1118">
        <v>0.98</v>
      </c>
      <c r="G1118">
        <v>0</v>
      </c>
      <c r="N1118">
        <f t="shared" si="18"/>
        <v>53.052135049666653</v>
      </c>
      <c r="O1118">
        <f>IF(AND(OR(D1118="S. acutus",D1118="S. californicus",D1118="S. tabernaemontani"),G1118=0),E1118*[1]Sheet1!$D$7+[1]Sheet1!$L$7,IF(AND(OR(D1118="S. acutus",D1118="S. tabernaemontani"),G1118&gt;0),E1118*[1]Sheet1!$D$8+N1118*[1]Sheet1!$E$8,IF(AND(D1118="S. californicus",G1118&gt;0),E1118*[1]Sheet1!$D$9+N1118*[1]Sheet1!$E$9,IF(D1118="S. maritimus",F1118*[1]Sheet1!$C$10+E1118*[1]Sheet1!$D$10+G1118*[1]Sheet1!$F$10+[1]Sheet1!$L$10,IF(D1118="S. americanus",F1118*[1]Sheet1!$C$6+E1118*[1]Sheet1!$D$6+[1]Sheet1!$L$6,IF(AND(OR(D1118="T. domingensis",D1118="T. latifolia"),E1118&gt;0),F1118*[1]Sheet1!$C$4+E1118*[1]Sheet1!$D$4+H1118*[1]Sheet1!$J$4+I1118*[1]Sheet1!$K$4+[1]Sheet1!$L$4,IF(AND(OR(D1118="T. domingensis",D1118="T. latifolia"),J1118&gt;0),J1118*[1]Sheet1!$G$5+K1118*[1]Sheet1!$H$5+L1118*[1]Sheet1!$I$5+[1]Sheet1!$L$5,0)))))))</f>
        <v>10.201557999999999</v>
      </c>
    </row>
    <row r="1119" spans="1:15">
      <c r="A1119" s="2">
        <v>40738</v>
      </c>
      <c r="B1119" t="s">
        <v>40</v>
      </c>
      <c r="C1119">
        <v>18</v>
      </c>
      <c r="D1119" s="6" t="s">
        <v>16</v>
      </c>
      <c r="E1119">
        <v>219</v>
      </c>
      <c r="F1119">
        <v>0.83</v>
      </c>
      <c r="G1119">
        <v>0</v>
      </c>
      <c r="N1119">
        <f t="shared" si="18"/>
        <v>39.497404655749996</v>
      </c>
      <c r="O1119">
        <f>IF(AND(OR(D1119="S. acutus",D1119="S. californicus",D1119="S. tabernaemontani"),G1119=0),E1119*[1]Sheet1!$D$7+[1]Sheet1!$L$7,IF(AND(OR(D1119="S. acutus",D1119="S. tabernaemontani"),G1119&gt;0),E1119*[1]Sheet1!$D$8+N1119*[1]Sheet1!$E$8,IF(AND(D1119="S. californicus",G1119&gt;0),E1119*[1]Sheet1!$D$9+N1119*[1]Sheet1!$E$9,IF(D1119="S. maritimus",F1119*[1]Sheet1!$C$10+E1119*[1]Sheet1!$D$10+G1119*[1]Sheet1!$F$10+[1]Sheet1!$L$10,IF(D1119="S. americanus",F1119*[1]Sheet1!$C$6+E1119*[1]Sheet1!$D$6+[1]Sheet1!$L$6,IF(AND(OR(D1119="T. domingensis",D1119="T. latifolia"),E1119&gt;0),F1119*[1]Sheet1!$C$4+E1119*[1]Sheet1!$D$4+H1119*[1]Sheet1!$J$4+I1119*[1]Sheet1!$K$4+[1]Sheet1!$L$4,IF(AND(OR(D1119="T. domingensis",D1119="T. latifolia"),J1119&gt;0),J1119*[1]Sheet1!$G$5+K1119*[1]Sheet1!$H$5+L1119*[1]Sheet1!$I$5+[1]Sheet1!$L$5,0)))))))</f>
        <v>10.762398000000001</v>
      </c>
    </row>
    <row r="1120" spans="1:15">
      <c r="A1120" s="2">
        <v>40738</v>
      </c>
      <c r="B1120" t="s">
        <v>40</v>
      </c>
      <c r="C1120">
        <v>18</v>
      </c>
      <c r="D1120" s="6" t="s">
        <v>16</v>
      </c>
      <c r="E1120">
        <v>219</v>
      </c>
      <c r="F1120">
        <v>0.66</v>
      </c>
      <c r="G1120">
        <v>7</v>
      </c>
      <c r="N1120">
        <f t="shared" si="18"/>
        <v>24.974698022999998</v>
      </c>
      <c r="O1120">
        <f>IF(AND(OR(D1120="S. acutus",D1120="S. californicus",D1120="S. tabernaemontani"),G1120=0),E1120*[1]Sheet1!$D$7+[1]Sheet1!$L$7,IF(AND(OR(D1120="S. acutus",D1120="S. tabernaemontani"),G1120&gt;0),E1120*[1]Sheet1!$D$8+N1120*[1]Sheet1!$E$8,IF(AND(D1120="S. californicus",G1120&gt;0),E1120*[1]Sheet1!$D$9+N1120*[1]Sheet1!$E$9,IF(D1120="S. maritimus",F1120*[1]Sheet1!$C$10+E1120*[1]Sheet1!$D$10+G1120*[1]Sheet1!$F$10+[1]Sheet1!$L$10,IF(D1120="S. americanus",F1120*[1]Sheet1!$C$6+E1120*[1]Sheet1!$D$6+[1]Sheet1!$L$6,IF(AND(OR(D1120="T. domingensis",D1120="T. latifolia"),E1120&gt;0),F1120*[1]Sheet1!$C$4+E1120*[1]Sheet1!$D$4+H1120*[1]Sheet1!$J$4+I1120*[1]Sheet1!$K$4+[1]Sheet1!$L$4,IF(AND(OR(D1120="T. domingensis",D1120="T. latifolia"),J1120&gt;0),J1120*[1]Sheet1!$G$5+K1120*[1]Sheet1!$H$5+L1120*[1]Sheet1!$I$5+[1]Sheet1!$L$5,0)))))))</f>
        <v>9.2372626535688198</v>
      </c>
    </row>
    <row r="1121" spans="1:15">
      <c r="A1121" s="2">
        <v>40738</v>
      </c>
      <c r="B1121" t="s">
        <v>40</v>
      </c>
      <c r="C1121">
        <v>18</v>
      </c>
      <c r="D1121" s="6" t="s">
        <v>16</v>
      </c>
      <c r="E1121">
        <v>227</v>
      </c>
      <c r="F1121">
        <v>0.84</v>
      </c>
      <c r="G1121">
        <v>0</v>
      </c>
      <c r="N1121">
        <f t="shared" si="18"/>
        <v>41.932686683999989</v>
      </c>
      <c r="O1121">
        <f>IF(AND(OR(D1121="S. acutus",D1121="S. californicus",D1121="S. tabernaemontani"),G1121=0),E1121*[1]Sheet1!$D$7+[1]Sheet1!$L$7,IF(AND(OR(D1121="S. acutus",D1121="S. tabernaemontani"),G1121&gt;0),E1121*[1]Sheet1!$D$8+N1121*[1]Sheet1!$E$8,IF(AND(D1121="S. californicus",G1121&gt;0),E1121*[1]Sheet1!$D$9+N1121*[1]Sheet1!$E$9,IF(D1121="S. maritimus",F1121*[1]Sheet1!$C$10+E1121*[1]Sheet1!$D$10+G1121*[1]Sheet1!$F$10+[1]Sheet1!$L$10,IF(D1121="S. americanus",F1121*[1]Sheet1!$C$6+E1121*[1]Sheet1!$D$6+[1]Sheet1!$L$6,IF(AND(OR(D1121="T. domingensis",D1121="T. latifolia"),E1121&gt;0),F1121*[1]Sheet1!$C$4+E1121*[1]Sheet1!$D$4+H1121*[1]Sheet1!$J$4+I1121*[1]Sheet1!$K$4+[1]Sheet1!$L$4,IF(AND(OR(D1121="T. domingensis",D1121="T. latifolia"),J1121&gt;0),J1121*[1]Sheet1!$G$5+K1121*[1]Sheet1!$H$5+L1121*[1]Sheet1!$I$5+[1]Sheet1!$L$5,0)))))))</f>
        <v>11.323238</v>
      </c>
    </row>
    <row r="1122" spans="1:15">
      <c r="A1122" s="2">
        <v>40738</v>
      </c>
      <c r="B1122" t="s">
        <v>40</v>
      </c>
      <c r="C1122">
        <v>18</v>
      </c>
      <c r="D1122" s="6" t="s">
        <v>16</v>
      </c>
      <c r="E1122">
        <v>227</v>
      </c>
      <c r="F1122">
        <v>0.64</v>
      </c>
      <c r="G1122">
        <v>3</v>
      </c>
      <c r="N1122">
        <f t="shared" si="18"/>
        <v>24.341877077333333</v>
      </c>
      <c r="O1122">
        <f>IF(AND(OR(D1122="S. acutus",D1122="S. californicus",D1122="S. tabernaemontani"),G1122=0),E1122*[1]Sheet1!$D$7+[1]Sheet1!$L$7,IF(AND(OR(D1122="S. acutus",D1122="S. tabernaemontani"),G1122&gt;0),E1122*[1]Sheet1!$D$8+N1122*[1]Sheet1!$E$8,IF(AND(D1122="S. californicus",G1122&gt;0),E1122*[1]Sheet1!$D$9+N1122*[1]Sheet1!$E$9,IF(D1122="S. maritimus",F1122*[1]Sheet1!$C$10+E1122*[1]Sheet1!$D$10+G1122*[1]Sheet1!$F$10+[1]Sheet1!$L$10,IF(D1122="S. americanus",F1122*[1]Sheet1!$C$6+E1122*[1]Sheet1!$D$6+[1]Sheet1!$L$6,IF(AND(OR(D1122="T. domingensis",D1122="T. latifolia"),E1122&gt;0),F1122*[1]Sheet1!$C$4+E1122*[1]Sheet1!$D$4+H1122*[1]Sheet1!$J$4+I1122*[1]Sheet1!$K$4+[1]Sheet1!$L$4,IF(AND(OR(D1122="T. domingensis",D1122="T. latifolia"),J1122&gt;0),J1122*[1]Sheet1!$G$5+K1122*[1]Sheet1!$H$5+L1122*[1]Sheet1!$I$5+[1]Sheet1!$L$5,0)))))))</f>
        <v>9.5249420495795043</v>
      </c>
    </row>
    <row r="1123" spans="1:15">
      <c r="A1123" s="2">
        <v>40738</v>
      </c>
      <c r="B1123" t="s">
        <v>40</v>
      </c>
      <c r="C1123">
        <v>18</v>
      </c>
      <c r="D1123" s="6" t="s">
        <v>16</v>
      </c>
      <c r="E1123">
        <v>231</v>
      </c>
      <c r="F1123">
        <v>1.1499999999999999</v>
      </c>
      <c r="G1123">
        <v>8</v>
      </c>
      <c r="N1123">
        <f t="shared" si="18"/>
        <v>79.978990918749972</v>
      </c>
      <c r="O1123">
        <f>IF(AND(OR(D1123="S. acutus",D1123="S. californicus",D1123="S. tabernaemontani"),G1123=0),E1123*[1]Sheet1!$D$7+[1]Sheet1!$L$7,IF(AND(OR(D1123="S. acutus",D1123="S. tabernaemontani"),G1123&gt;0),E1123*[1]Sheet1!$D$8+N1123*[1]Sheet1!$E$8,IF(AND(D1123="S. californicus",G1123&gt;0),E1123*[1]Sheet1!$D$9+N1123*[1]Sheet1!$E$9,IF(D1123="S. maritimus",F1123*[1]Sheet1!$C$10+E1123*[1]Sheet1!$D$10+G1123*[1]Sheet1!$F$10+[1]Sheet1!$L$10,IF(D1123="S. americanus",F1123*[1]Sheet1!$C$6+E1123*[1]Sheet1!$D$6+[1]Sheet1!$L$6,IF(AND(OR(D1123="T. domingensis",D1123="T. latifolia"),E1123&gt;0),F1123*[1]Sheet1!$C$4+E1123*[1]Sheet1!$D$4+H1123*[1]Sheet1!$J$4+I1123*[1]Sheet1!$K$4+[1]Sheet1!$L$4,IF(AND(OR(D1123="T. domingensis",D1123="T. latifolia"),J1123&gt;0),J1123*[1]Sheet1!$G$5+K1123*[1]Sheet1!$H$5+L1123*[1]Sheet1!$I$5+[1]Sheet1!$L$5,0)))))))</f>
        <v>11.470535588675578</v>
      </c>
    </row>
    <row r="1124" spans="1:15">
      <c r="A1124" s="2">
        <v>40738</v>
      </c>
      <c r="B1124" t="s">
        <v>40</v>
      </c>
      <c r="C1124">
        <v>18</v>
      </c>
      <c r="D1124" s="6" t="s">
        <v>16</v>
      </c>
      <c r="E1124">
        <v>235</v>
      </c>
      <c r="F1124">
        <v>0.96</v>
      </c>
      <c r="G1124">
        <v>10</v>
      </c>
      <c r="N1124">
        <f t="shared" si="18"/>
        <v>56.69941631999999</v>
      </c>
      <c r="O1124">
        <f>IF(AND(OR(D1124="S. acutus",D1124="S. californicus",D1124="S. tabernaemontani"),G1124=0),E1124*[1]Sheet1!$D$7+[1]Sheet1!$L$7,IF(AND(OR(D1124="S. acutus",D1124="S. tabernaemontani"),G1124&gt;0),E1124*[1]Sheet1!$D$8+N1124*[1]Sheet1!$E$8,IF(AND(D1124="S. californicus",G1124&gt;0),E1124*[1]Sheet1!$D$9+N1124*[1]Sheet1!$E$9,IF(D1124="S. maritimus",F1124*[1]Sheet1!$C$10+E1124*[1]Sheet1!$D$10+G1124*[1]Sheet1!$F$10+[1]Sheet1!$L$10,IF(D1124="S. americanus",F1124*[1]Sheet1!$C$6+E1124*[1]Sheet1!$D$6+[1]Sheet1!$L$6,IF(AND(OR(D1124="T. domingensis",D1124="T. latifolia"),E1124&gt;0),F1124*[1]Sheet1!$C$4+E1124*[1]Sheet1!$D$4+H1124*[1]Sheet1!$J$4+I1124*[1]Sheet1!$K$4+[1]Sheet1!$L$4,IF(AND(OR(D1124="T. domingensis",D1124="T. latifolia"),J1124&gt;0),J1124*[1]Sheet1!$G$5+K1124*[1]Sheet1!$H$5+L1124*[1]Sheet1!$I$5+[1]Sheet1!$L$5,0)))))))</f>
        <v>10.874940734978688</v>
      </c>
    </row>
    <row r="1125" spans="1:15">
      <c r="A1125" s="2">
        <v>40738</v>
      </c>
      <c r="B1125" t="s">
        <v>40</v>
      </c>
      <c r="C1125">
        <v>18</v>
      </c>
      <c r="D1125" s="6" t="s">
        <v>16</v>
      </c>
      <c r="E1125">
        <v>240</v>
      </c>
      <c r="F1125">
        <v>0.88</v>
      </c>
      <c r="G1125">
        <v>4</v>
      </c>
      <c r="N1125">
        <f t="shared" si="18"/>
        <v>48.656945919999991</v>
      </c>
      <c r="O1125">
        <f>IF(AND(OR(D1125="S. acutus",D1125="S. californicus",D1125="S. tabernaemontani"),G1125=0),E1125*[1]Sheet1!$D$7+[1]Sheet1!$L$7,IF(AND(OR(D1125="S. acutus",D1125="S. tabernaemontani"),G1125&gt;0),E1125*[1]Sheet1!$D$8+N1125*[1]Sheet1!$E$8,IF(AND(D1125="S. californicus",G1125&gt;0),E1125*[1]Sheet1!$D$9+N1125*[1]Sheet1!$E$9,IF(D1125="S. maritimus",F1125*[1]Sheet1!$C$10+E1125*[1]Sheet1!$D$10+G1125*[1]Sheet1!$F$10+[1]Sheet1!$L$10,IF(D1125="S. americanus",F1125*[1]Sheet1!$C$6+E1125*[1]Sheet1!$D$6+[1]Sheet1!$L$6,IF(AND(OR(D1125="T. domingensis",D1125="T. latifolia"),E1125&gt;0),F1125*[1]Sheet1!$C$4+E1125*[1]Sheet1!$D$4+H1125*[1]Sheet1!$J$4+I1125*[1]Sheet1!$K$4+[1]Sheet1!$L$4,IF(AND(OR(D1125="T. domingensis",D1125="T. latifolia"),J1125&gt;0),J1125*[1]Sheet1!$G$5+K1125*[1]Sheet1!$H$5+L1125*[1]Sheet1!$I$5+[1]Sheet1!$L$5,0)))))))</f>
        <v>10.808501449875328</v>
      </c>
    </row>
    <row r="1126" spans="1:15">
      <c r="A1126" s="2">
        <v>40738</v>
      </c>
      <c r="B1126" t="s">
        <v>40</v>
      </c>
      <c r="C1126">
        <v>18</v>
      </c>
      <c r="D1126" s="6" t="s">
        <v>16</v>
      </c>
      <c r="E1126">
        <v>246</v>
      </c>
      <c r="F1126">
        <v>1.25</v>
      </c>
      <c r="G1126">
        <v>3</v>
      </c>
      <c r="N1126">
        <f t="shared" si="18"/>
        <v>100.62905468749999</v>
      </c>
      <c r="O1126">
        <f>IF(AND(OR(D1126="S. acutus",D1126="S. californicus",D1126="S. tabernaemontani"),G1126=0),E1126*[1]Sheet1!$D$7+[1]Sheet1!$L$7,IF(AND(OR(D1126="S. acutus",D1126="S. tabernaemontani"),G1126&gt;0),E1126*[1]Sheet1!$D$8+N1126*[1]Sheet1!$E$8,IF(AND(D1126="S. californicus",G1126&gt;0),E1126*[1]Sheet1!$D$9+N1126*[1]Sheet1!$E$9,IF(D1126="S. maritimus",F1126*[1]Sheet1!$C$10+E1126*[1]Sheet1!$D$10+G1126*[1]Sheet1!$F$10+[1]Sheet1!$L$10,IF(D1126="S. americanus",F1126*[1]Sheet1!$C$6+E1126*[1]Sheet1!$D$6+[1]Sheet1!$L$6,IF(AND(OR(D1126="T. domingensis",D1126="T. latifolia"),E1126&gt;0),F1126*[1]Sheet1!$C$4+E1126*[1]Sheet1!$D$4+H1126*[1]Sheet1!$J$4+I1126*[1]Sheet1!$K$4+[1]Sheet1!$L$4,IF(AND(OR(D1126="T. domingensis",D1126="T. latifolia"),J1126&gt;0),J1126*[1]Sheet1!$G$5+K1126*[1]Sheet1!$H$5+L1126*[1]Sheet1!$I$5+[1]Sheet1!$L$5,0)))))))</f>
        <v>12.713092727086719</v>
      </c>
    </row>
    <row r="1127" spans="1:15">
      <c r="A1127" s="2">
        <v>40738</v>
      </c>
      <c r="B1127" t="s">
        <v>40</v>
      </c>
      <c r="C1127">
        <v>18</v>
      </c>
      <c r="D1127" s="6" t="s">
        <v>16</v>
      </c>
      <c r="E1127">
        <v>260</v>
      </c>
      <c r="F1127">
        <v>0.75</v>
      </c>
      <c r="G1127">
        <v>4</v>
      </c>
      <c r="N1127">
        <f t="shared" si="18"/>
        <v>38.288128124999993</v>
      </c>
      <c r="O1127">
        <f>IF(AND(OR(D1127="S. acutus",D1127="S. californicus",D1127="S. tabernaemontani"),G1127=0),E1127*[1]Sheet1!$D$7+[1]Sheet1!$L$7,IF(AND(OR(D1127="S. acutus",D1127="S. tabernaemontani"),G1127&gt;0),E1127*[1]Sheet1!$D$8+N1127*[1]Sheet1!$E$8,IF(AND(D1127="S. californicus",G1127&gt;0),E1127*[1]Sheet1!$D$9+N1127*[1]Sheet1!$E$9,IF(D1127="S. maritimus",F1127*[1]Sheet1!$C$10+E1127*[1]Sheet1!$D$10+G1127*[1]Sheet1!$F$10+[1]Sheet1!$L$10,IF(D1127="S. americanus",F1127*[1]Sheet1!$C$6+E1127*[1]Sheet1!$D$6+[1]Sheet1!$L$6,IF(AND(OR(D1127="T. domingensis",D1127="T. latifolia"),E1127&gt;0),F1127*[1]Sheet1!$C$4+E1127*[1]Sheet1!$D$4+H1127*[1]Sheet1!$J$4+I1127*[1]Sheet1!$K$4+[1]Sheet1!$L$4,IF(AND(OR(D1127="T. domingensis",D1127="T. latifolia"),J1127&gt;0),J1127*[1]Sheet1!$G$5+K1127*[1]Sheet1!$H$5+L1127*[1]Sheet1!$I$5+[1]Sheet1!$L$5,0)))))))</f>
        <v>11.244758184940313</v>
      </c>
    </row>
    <row r="1128" spans="1:15">
      <c r="A1128" s="2">
        <v>40738</v>
      </c>
      <c r="B1128" t="s">
        <v>40</v>
      </c>
      <c r="C1128">
        <v>18</v>
      </c>
      <c r="D1128" s="6" t="s">
        <v>16</v>
      </c>
      <c r="E1128">
        <v>261</v>
      </c>
      <c r="F1128">
        <v>0.82</v>
      </c>
      <c r="G1128">
        <v>8</v>
      </c>
      <c r="N1128">
        <f t="shared" si="18"/>
        <v>45.944811272999992</v>
      </c>
      <c r="O1128">
        <f>IF(AND(OR(D1128="S. acutus",D1128="S. californicus",D1128="S. tabernaemontani"),G1128=0),E1128*[1]Sheet1!$D$7+[1]Sheet1!$L$7,IF(AND(OR(D1128="S. acutus",D1128="S. tabernaemontani"),G1128&gt;0),E1128*[1]Sheet1!$D$8+N1128*[1]Sheet1!$E$8,IF(AND(D1128="S. californicus",G1128&gt;0),E1128*[1]Sheet1!$D$9+N1128*[1]Sheet1!$E$9,IF(D1128="S. maritimus",F1128*[1]Sheet1!$C$10+E1128*[1]Sheet1!$D$10+G1128*[1]Sheet1!$F$10+[1]Sheet1!$L$10,IF(D1128="S. americanus",F1128*[1]Sheet1!$C$6+E1128*[1]Sheet1!$D$6+[1]Sheet1!$L$6,IF(AND(OR(D1128="T. domingensis",D1128="T. latifolia"),E1128&gt;0),F1128*[1]Sheet1!$C$4+E1128*[1]Sheet1!$D$4+H1128*[1]Sheet1!$J$4+I1128*[1]Sheet1!$K$4+[1]Sheet1!$L$4,IF(AND(OR(D1128="T. domingensis",D1128="T. latifolia"),J1128&gt;0),J1128*[1]Sheet1!$G$5+K1128*[1]Sheet1!$H$5+L1128*[1]Sheet1!$I$5+[1]Sheet1!$L$5,0)))))))</f>
        <v>11.529817373320746</v>
      </c>
    </row>
    <row r="1129" spans="1:15">
      <c r="A1129" s="2">
        <v>40738</v>
      </c>
      <c r="B1129" t="s">
        <v>40</v>
      </c>
      <c r="C1129">
        <v>18</v>
      </c>
      <c r="D1129" s="6" t="s">
        <v>13</v>
      </c>
      <c r="E1129">
        <v>202</v>
      </c>
      <c r="F1129">
        <v>1.21</v>
      </c>
      <c r="H1129">
        <v>9</v>
      </c>
      <c r="I1129">
        <v>1.2</v>
      </c>
      <c r="O1129">
        <f>IF(AND(OR(D1129="S. acutus",D1129="S. californicus",D1129="S. tabernaemontani"),G1129=0),E1129*[1]Sheet1!$D$7+[1]Sheet1!$L$7,IF(AND(OR(D1129="S. acutus",D1129="S. tabernaemontani"),G1129&gt;0),E1129*[1]Sheet1!$D$8+N1129*[1]Sheet1!$E$8,IF(AND(D1129="S. californicus",G1129&gt;0),E1129*[1]Sheet1!$D$9+N1129*[1]Sheet1!$E$9,IF(D1129="S. maritimus",F1129*[1]Sheet1!$C$10+E1129*[1]Sheet1!$D$10+G1129*[1]Sheet1!$F$10+[1]Sheet1!$L$10,IF(D1129="S. americanus",F1129*[1]Sheet1!$C$6+E1129*[1]Sheet1!$D$6+[1]Sheet1!$L$6,IF(AND(OR(D1129="T. domingensis",D1129="T. latifolia"),E1129&gt;0),F1129*[1]Sheet1!$C$4+E1129*[1]Sheet1!$D$4+H1129*[1]Sheet1!$J$4+I1129*[1]Sheet1!$K$4+[1]Sheet1!$L$4,IF(AND(OR(D1129="T. domingensis",D1129="T. latifolia"),J1129&gt;0),J1129*[1]Sheet1!$G$5+K1129*[1]Sheet1!$H$5+L1129*[1]Sheet1!$I$5+[1]Sheet1!$L$5,0)))))))</f>
        <v>15.847098369999998</v>
      </c>
    </row>
    <row r="1130" spans="1:15">
      <c r="A1130" s="2">
        <v>40738</v>
      </c>
      <c r="B1130" t="s">
        <v>40</v>
      </c>
      <c r="C1130">
        <v>18</v>
      </c>
      <c r="D1130" s="6" t="s">
        <v>13</v>
      </c>
      <c r="E1130">
        <v>243</v>
      </c>
      <c r="F1130">
        <v>1.82</v>
      </c>
      <c r="H1130">
        <v>21</v>
      </c>
      <c r="I1130">
        <v>1.9</v>
      </c>
      <c r="O1130">
        <f>IF(AND(OR(D1130="S. acutus",D1130="S. californicus",D1130="S. tabernaemontani"),G1130=0),E1130*[1]Sheet1!$D$7+[1]Sheet1!$L$7,IF(AND(OR(D1130="S. acutus",D1130="S. tabernaemontani"),G1130&gt;0),E1130*[1]Sheet1!$D$8+N1130*[1]Sheet1!$E$8,IF(AND(D1130="S. californicus",G1130&gt;0),E1130*[1]Sheet1!$D$9+N1130*[1]Sheet1!$E$9,IF(D1130="S. maritimus",F1130*[1]Sheet1!$C$10+E1130*[1]Sheet1!$D$10+G1130*[1]Sheet1!$F$10+[1]Sheet1!$L$10,IF(D1130="S. americanus",F1130*[1]Sheet1!$C$6+E1130*[1]Sheet1!$D$6+[1]Sheet1!$L$6,IF(AND(OR(D1130="T. domingensis",D1130="T. latifolia"),E1130&gt;0),F1130*[1]Sheet1!$C$4+E1130*[1]Sheet1!$D$4+H1130*[1]Sheet1!$J$4+I1130*[1]Sheet1!$K$4+[1]Sheet1!$L$4,IF(AND(OR(D1130="T. domingensis",D1130="T. latifolia"),J1130&gt;0),J1130*[1]Sheet1!$G$5+K1130*[1]Sheet1!$H$5+L1130*[1]Sheet1!$I$5+[1]Sheet1!$L$5,0)))))))</f>
        <v>63.452382940000007</v>
      </c>
    </row>
    <row r="1131" spans="1:15">
      <c r="A1131" s="2">
        <v>40738</v>
      </c>
      <c r="B1131" t="s">
        <v>40</v>
      </c>
      <c r="C1131">
        <v>18</v>
      </c>
      <c r="D1131" s="6" t="s">
        <v>13</v>
      </c>
      <c r="E1131">
        <v>265</v>
      </c>
      <c r="F1131">
        <v>1.69</v>
      </c>
      <c r="H1131">
        <v>18</v>
      </c>
      <c r="I1131">
        <v>1.9</v>
      </c>
      <c r="O1131">
        <f>IF(AND(OR(D1131="S. acutus",D1131="S. californicus",D1131="S. tabernaemontani"),G1131=0),E1131*[1]Sheet1!$D$7+[1]Sheet1!$L$7,IF(AND(OR(D1131="S. acutus",D1131="S. tabernaemontani"),G1131&gt;0),E1131*[1]Sheet1!$D$8+N1131*[1]Sheet1!$E$8,IF(AND(D1131="S. californicus",G1131&gt;0),E1131*[1]Sheet1!$D$9+N1131*[1]Sheet1!$E$9,IF(D1131="S. maritimus",F1131*[1]Sheet1!$C$10+E1131*[1]Sheet1!$D$10+G1131*[1]Sheet1!$F$10+[1]Sheet1!$L$10,IF(D1131="S. americanus",F1131*[1]Sheet1!$C$6+E1131*[1]Sheet1!$D$6+[1]Sheet1!$L$6,IF(AND(OR(D1131="T. domingensis",D1131="T. latifolia"),E1131&gt;0),F1131*[1]Sheet1!$C$4+E1131*[1]Sheet1!$D$4+H1131*[1]Sheet1!$J$4+I1131*[1]Sheet1!$K$4+[1]Sheet1!$L$4,IF(AND(OR(D1131="T. domingensis",D1131="T. latifolia"),J1131&gt;0),J1131*[1]Sheet1!$G$5+K1131*[1]Sheet1!$H$5+L1131*[1]Sheet1!$I$5+[1]Sheet1!$L$5,0)))))))</f>
        <v>64.842976529999987</v>
      </c>
    </row>
    <row r="1132" spans="1:15">
      <c r="A1132" s="2">
        <v>40738</v>
      </c>
      <c r="B1132" t="s">
        <v>40</v>
      </c>
      <c r="C1132">
        <v>18</v>
      </c>
      <c r="D1132" s="6" t="s">
        <v>19</v>
      </c>
      <c r="E1132">
        <v>310</v>
      </c>
      <c r="F1132">
        <v>1.95</v>
      </c>
      <c r="H1132">
        <v>21</v>
      </c>
      <c r="I1132">
        <v>2.2000000000000002</v>
      </c>
      <c r="O1132">
        <f>IF(AND(OR(D1132="S. acutus",D1132="S. californicus",D1132="S. tabernaemontani"),G1132=0),E1132*[1]Sheet1!$D$7+[1]Sheet1!$L$7,IF(AND(OR(D1132="S. acutus",D1132="S. tabernaemontani"),G1132&gt;0),E1132*[1]Sheet1!$D$8+N1132*[1]Sheet1!$E$8,IF(AND(D1132="S. californicus",G1132&gt;0),E1132*[1]Sheet1!$D$9+N1132*[1]Sheet1!$E$9,IF(D1132="S. maritimus",F1132*[1]Sheet1!$C$10+E1132*[1]Sheet1!$D$10+G1132*[1]Sheet1!$F$10+[1]Sheet1!$L$10,IF(D1132="S. americanus",F1132*[1]Sheet1!$C$6+E1132*[1]Sheet1!$D$6+[1]Sheet1!$L$6,IF(AND(OR(D1132="T. domingensis",D1132="T. latifolia"),E1132&gt;0),F1132*[1]Sheet1!$C$4+E1132*[1]Sheet1!$D$4+H1132*[1]Sheet1!$J$4+I1132*[1]Sheet1!$K$4+[1]Sheet1!$L$4,IF(AND(OR(D1132="T. domingensis",D1132="T. latifolia"),J1132&gt;0),J1132*[1]Sheet1!$G$5+K1132*[1]Sheet1!$H$5+L1132*[1]Sheet1!$I$5+[1]Sheet1!$L$5,0)))))))</f>
        <v>91.559498949999977</v>
      </c>
    </row>
    <row r="1133" spans="1:15">
      <c r="A1133" s="2">
        <v>40738</v>
      </c>
      <c r="B1133" t="s">
        <v>40</v>
      </c>
      <c r="C1133">
        <v>18</v>
      </c>
      <c r="D1133" s="6" t="s">
        <v>19</v>
      </c>
      <c r="E1133">
        <v>310</v>
      </c>
      <c r="F1133">
        <v>2</v>
      </c>
      <c r="H1133">
        <v>19</v>
      </c>
      <c r="I1133">
        <v>1.9</v>
      </c>
      <c r="O1133">
        <f>IF(AND(OR(D1133="S. acutus",D1133="S. californicus",D1133="S. tabernaemontani"),G1133=0),E1133*[1]Sheet1!$D$7+[1]Sheet1!$L$7,IF(AND(OR(D1133="S. acutus",D1133="S. tabernaemontani"),G1133&gt;0),E1133*[1]Sheet1!$D$8+N1133*[1]Sheet1!$E$8,IF(AND(D1133="S. californicus",G1133&gt;0),E1133*[1]Sheet1!$D$9+N1133*[1]Sheet1!$E$9,IF(D1133="S. maritimus",F1133*[1]Sheet1!$C$10+E1133*[1]Sheet1!$D$10+G1133*[1]Sheet1!$F$10+[1]Sheet1!$L$10,IF(D1133="S. americanus",F1133*[1]Sheet1!$C$6+E1133*[1]Sheet1!$D$6+[1]Sheet1!$L$6,IF(AND(OR(D1133="T. domingensis",D1133="T. latifolia"),E1133&gt;0),F1133*[1]Sheet1!$C$4+E1133*[1]Sheet1!$D$4+H1133*[1]Sheet1!$J$4+I1133*[1]Sheet1!$K$4+[1]Sheet1!$L$4,IF(AND(OR(D1133="T. domingensis",D1133="T. latifolia"),J1133&gt;0),J1133*[1]Sheet1!$G$5+K1133*[1]Sheet1!$H$5+L1133*[1]Sheet1!$I$5+[1]Sheet1!$L$5,0)))))))</f>
        <v>85.41952299999997</v>
      </c>
    </row>
    <row r="1134" spans="1:15">
      <c r="A1134" s="2">
        <v>40738</v>
      </c>
      <c r="B1134" t="s">
        <v>40</v>
      </c>
      <c r="C1134">
        <v>18</v>
      </c>
      <c r="D1134" s="6" t="s">
        <v>19</v>
      </c>
      <c r="E1134">
        <v>312</v>
      </c>
      <c r="F1134">
        <v>1.92</v>
      </c>
      <c r="H1134">
        <v>16</v>
      </c>
      <c r="I1134">
        <v>1.4</v>
      </c>
      <c r="O1134">
        <f>IF(AND(OR(D1134="S. acutus",D1134="S. californicus",D1134="S. tabernaemontani"),G1134=0),E1134*[1]Sheet1!$D$7+[1]Sheet1!$L$7,IF(AND(OR(D1134="S. acutus",D1134="S. tabernaemontani"),G1134&gt;0),E1134*[1]Sheet1!$D$8+N1134*[1]Sheet1!$E$8,IF(AND(D1134="S. californicus",G1134&gt;0),E1134*[1]Sheet1!$D$9+N1134*[1]Sheet1!$E$9,IF(D1134="S. maritimus",F1134*[1]Sheet1!$C$10+E1134*[1]Sheet1!$D$10+G1134*[1]Sheet1!$F$10+[1]Sheet1!$L$10,IF(D1134="S. americanus",F1134*[1]Sheet1!$C$6+E1134*[1]Sheet1!$D$6+[1]Sheet1!$L$6,IF(AND(OR(D1134="T. domingensis",D1134="T. latifolia"),E1134&gt;0),F1134*[1]Sheet1!$C$4+E1134*[1]Sheet1!$D$4+H1134*[1]Sheet1!$J$4+I1134*[1]Sheet1!$K$4+[1]Sheet1!$L$4,IF(AND(OR(D1134="T. domingensis",D1134="T. latifolia"),J1134&gt;0),J1134*[1]Sheet1!$G$5+K1134*[1]Sheet1!$H$5+L1134*[1]Sheet1!$I$5+[1]Sheet1!$L$5,0)))))))</f>
        <v>72.957779439999996</v>
      </c>
    </row>
    <row r="1135" spans="1:15">
      <c r="A1135" s="2">
        <v>40738</v>
      </c>
      <c r="B1135" t="s">
        <v>40</v>
      </c>
      <c r="C1135">
        <v>18</v>
      </c>
      <c r="D1135" s="6" t="s">
        <v>19</v>
      </c>
      <c r="E1135">
        <v>325</v>
      </c>
      <c r="F1135">
        <v>2.42</v>
      </c>
      <c r="H1135">
        <v>25</v>
      </c>
      <c r="I1135">
        <v>2.2000000000000002</v>
      </c>
      <c r="O1135">
        <f>IF(AND(OR(D1135="S. acutus",D1135="S. californicus",D1135="S. tabernaemontani"),G1135=0),E1135*[1]Sheet1!$D$7+[1]Sheet1!$L$7,IF(AND(OR(D1135="S. acutus",D1135="S. tabernaemontani"),G1135&gt;0),E1135*[1]Sheet1!$D$8+N1135*[1]Sheet1!$E$8,IF(AND(D1135="S. californicus",G1135&gt;0),E1135*[1]Sheet1!$D$9+N1135*[1]Sheet1!$E$9,IF(D1135="S. maritimus",F1135*[1]Sheet1!$C$10+E1135*[1]Sheet1!$D$10+G1135*[1]Sheet1!$F$10+[1]Sheet1!$L$10,IF(D1135="S. americanus",F1135*[1]Sheet1!$C$6+E1135*[1]Sheet1!$D$6+[1]Sheet1!$L$6,IF(AND(OR(D1135="T. domingensis",D1135="T. latifolia"),E1135&gt;0),F1135*[1]Sheet1!$C$4+E1135*[1]Sheet1!$D$4+H1135*[1]Sheet1!$J$4+I1135*[1]Sheet1!$K$4+[1]Sheet1!$L$4,IF(AND(OR(D1135="T. domingensis",D1135="T. latifolia"),J1135&gt;0),J1135*[1]Sheet1!$G$5+K1135*[1]Sheet1!$H$5+L1135*[1]Sheet1!$I$5+[1]Sheet1!$L$5,0)))))))</f>
        <v>108.89226874000002</v>
      </c>
    </row>
    <row r="1136" spans="1:15">
      <c r="A1136" s="2">
        <v>40738</v>
      </c>
      <c r="B1136" t="s">
        <v>40</v>
      </c>
      <c r="C1136">
        <v>18</v>
      </c>
      <c r="D1136" s="6" t="s">
        <v>19</v>
      </c>
      <c r="F1136">
        <v>0.51</v>
      </c>
      <c r="J1136">
        <f>SUM(151,162)</f>
        <v>313</v>
      </c>
      <c r="K1136">
        <v>2</v>
      </c>
      <c r="L1136">
        <v>162</v>
      </c>
      <c r="O1136">
        <f>IF(AND(OR(D1136="S. acutus",D1136="S. californicus",D1136="S. tabernaemontani"),G1136=0),E1136*[1]Sheet1!$D$7+[1]Sheet1!$L$7,IF(AND(OR(D1136="S. acutus",D1136="S. tabernaemontani"),G1136&gt;0),E1136*[1]Sheet1!$D$8+N1136*[1]Sheet1!$E$8,IF(AND(D1136="S. californicus",G1136&gt;0),E1136*[1]Sheet1!$D$9+N1136*[1]Sheet1!$E$9,IF(D1136="S. maritimus",F1136*[1]Sheet1!$C$10+E1136*[1]Sheet1!$D$10+G1136*[1]Sheet1!$F$10+[1]Sheet1!$L$10,IF(D1136="S. americanus",F1136*[1]Sheet1!$C$6+E1136*[1]Sheet1!$D$6+[1]Sheet1!$L$6,IF(AND(OR(D1136="T. domingensis",D1136="T. latifolia"),E1136&gt;0),F1136*[1]Sheet1!$C$4+E1136*[1]Sheet1!$D$4+H1136*[1]Sheet1!$J$4+I1136*[1]Sheet1!$K$4+[1]Sheet1!$L$4,IF(AND(OR(D1136="T. domingensis",D1136="T. latifolia"),J1136&gt;0),J1136*[1]Sheet1!$G$5+K1136*[1]Sheet1!$H$5+L1136*[1]Sheet1!$I$5+[1]Sheet1!$L$5,0)))))))</f>
        <v>-0.46409700000000242</v>
      </c>
    </row>
    <row r="1137" spans="1:15">
      <c r="A1137" s="2">
        <v>40738</v>
      </c>
      <c r="B1137" t="s">
        <v>40</v>
      </c>
      <c r="C1137">
        <v>18</v>
      </c>
      <c r="D1137" s="6" t="s">
        <v>19</v>
      </c>
      <c r="E1137" s="6"/>
      <c r="F1137">
        <v>0.8</v>
      </c>
      <c r="J1137">
        <f>SUM(123,164,165)</f>
        <v>452</v>
      </c>
      <c r="K1137">
        <v>3</v>
      </c>
      <c r="L1137">
        <v>165</v>
      </c>
      <c r="O1137">
        <f>IF(AND(OR(D1137="S. acutus",D1137="S. californicus",D1137="S. tabernaemontani"),G1137=0),E1137*[1]Sheet1!$D$7+[1]Sheet1!$L$7,IF(AND(OR(D1137="S. acutus",D1137="S. tabernaemontani"),G1137&gt;0),E1137*[1]Sheet1!$D$8+N1137*[1]Sheet1!$E$8,IF(AND(D1137="S. californicus",G1137&gt;0),E1137*[1]Sheet1!$D$9+N1137*[1]Sheet1!$E$9,IF(D1137="S. maritimus",F1137*[1]Sheet1!$C$10+E1137*[1]Sheet1!$D$10+G1137*[1]Sheet1!$F$10+[1]Sheet1!$L$10,IF(D1137="S. americanus",F1137*[1]Sheet1!$C$6+E1137*[1]Sheet1!$D$6+[1]Sheet1!$L$6,IF(AND(OR(D1137="T. domingensis",D1137="T. latifolia"),E1137&gt;0),F1137*[1]Sheet1!$C$4+E1137*[1]Sheet1!$D$4+H1137*[1]Sheet1!$J$4+I1137*[1]Sheet1!$K$4+[1]Sheet1!$L$4,IF(AND(OR(D1137="T. domingensis",D1137="T. latifolia"),J1137&gt;0),J1137*[1]Sheet1!$G$5+K1137*[1]Sheet1!$H$5+L1137*[1]Sheet1!$I$5+[1]Sheet1!$L$5,0)))))))</f>
        <v>4.6417599999999979</v>
      </c>
    </row>
    <row r="1138" spans="1:15">
      <c r="A1138" s="2">
        <v>40738</v>
      </c>
      <c r="B1138" t="s">
        <v>40</v>
      </c>
      <c r="C1138">
        <v>18</v>
      </c>
      <c r="D1138" s="6" t="s">
        <v>19</v>
      </c>
      <c r="F1138">
        <v>0.72</v>
      </c>
      <c r="J1138">
        <f>SUM(258,263,269)</f>
        <v>790</v>
      </c>
      <c r="K1138">
        <v>3</v>
      </c>
      <c r="L1138">
        <v>269</v>
      </c>
      <c r="O1138">
        <f>IF(AND(OR(D1138="S. acutus",D1138="S. californicus",D1138="S. tabernaemontani"),G1138=0),E1138*[1]Sheet1!$D$7+[1]Sheet1!$L$7,IF(AND(OR(D1138="S. acutus",D1138="S. tabernaemontani"),G1138&gt;0),E1138*[1]Sheet1!$D$8+N1138*[1]Sheet1!$E$8,IF(AND(D1138="S. californicus",G1138&gt;0),E1138*[1]Sheet1!$D$9+N1138*[1]Sheet1!$E$9,IF(D1138="S. maritimus",F1138*[1]Sheet1!$C$10+E1138*[1]Sheet1!$D$10+G1138*[1]Sheet1!$F$10+[1]Sheet1!$L$10,IF(D1138="S. americanus",F1138*[1]Sheet1!$C$6+E1138*[1]Sheet1!$D$6+[1]Sheet1!$L$6,IF(AND(OR(D1138="T. domingensis",D1138="T. latifolia"),E1138&gt;0),F1138*[1]Sheet1!$C$4+E1138*[1]Sheet1!$D$4+H1138*[1]Sheet1!$J$4+I1138*[1]Sheet1!$K$4+[1]Sheet1!$L$4,IF(AND(OR(D1138="T. domingensis",D1138="T. latifolia"),J1138&gt;0),J1138*[1]Sheet1!$G$5+K1138*[1]Sheet1!$H$5+L1138*[1]Sheet1!$I$5+[1]Sheet1!$L$5,0)))))))</f>
        <v>5.0014700000000047</v>
      </c>
    </row>
    <row r="1139" spans="1:15">
      <c r="A1139" s="2">
        <v>40738</v>
      </c>
      <c r="B1139" t="s">
        <v>40</v>
      </c>
      <c r="C1139">
        <v>18</v>
      </c>
      <c r="D1139" s="6" t="s">
        <v>19</v>
      </c>
      <c r="F1139">
        <v>1.63</v>
      </c>
      <c r="J1139">
        <f>SUM(157,176,213,253,256)</f>
        <v>1055</v>
      </c>
      <c r="K1139">
        <v>5</v>
      </c>
      <c r="L1139">
        <v>256</v>
      </c>
      <c r="O1139">
        <f>IF(AND(OR(D1139="S. acutus",D1139="S. californicus",D1139="S. tabernaemontani"),G1139=0),E1139*[1]Sheet1!$D$7+[1]Sheet1!$L$7,IF(AND(OR(D1139="S. acutus",D1139="S. tabernaemontani"),G1139&gt;0),E1139*[1]Sheet1!$D$8+N1139*[1]Sheet1!$E$8,IF(AND(D1139="S. californicus",G1139&gt;0),E1139*[1]Sheet1!$D$9+N1139*[1]Sheet1!$E$9,IF(D1139="S. maritimus",F1139*[1]Sheet1!$C$10+E1139*[1]Sheet1!$D$10+G1139*[1]Sheet1!$F$10+[1]Sheet1!$L$10,IF(D1139="S. americanus",F1139*[1]Sheet1!$C$6+E1139*[1]Sheet1!$D$6+[1]Sheet1!$L$6,IF(AND(OR(D1139="T. domingensis",D1139="T. latifolia"),E1139&gt;0),F1139*[1]Sheet1!$C$4+E1139*[1]Sheet1!$D$4+H1139*[1]Sheet1!$J$4+I1139*[1]Sheet1!$K$4+[1]Sheet1!$L$4,IF(AND(OR(D1139="T. domingensis",D1139="T. latifolia"),J1139&gt;0),J1139*[1]Sheet1!$G$5+K1139*[1]Sheet1!$H$5+L1139*[1]Sheet1!$I$5+[1]Sheet1!$L$5,0)))))))</f>
        <v>19.718024000000014</v>
      </c>
    </row>
    <row r="1140" spans="1:15">
      <c r="A1140" s="2">
        <v>40738</v>
      </c>
      <c r="B1140" t="s">
        <v>40</v>
      </c>
      <c r="C1140">
        <v>18</v>
      </c>
      <c r="D1140" s="6" t="s">
        <v>19</v>
      </c>
      <c r="F1140">
        <v>2.4900000000000002</v>
      </c>
      <c r="G1140" s="6"/>
      <c r="J1140">
        <f>SUM(90,214,240,268,292,310)</f>
        <v>1414</v>
      </c>
      <c r="K1140">
        <v>6</v>
      </c>
      <c r="L1140">
        <v>310</v>
      </c>
      <c r="O1140">
        <f>IF(AND(OR(D1140="S. acutus",D1140="S. californicus",D1140="S. tabernaemontani"),G1140=0),E1140*[1]Sheet1!$D$7+[1]Sheet1!$L$7,IF(AND(OR(D1140="S. acutus",D1140="S. tabernaemontani"),G1140&gt;0),E1140*[1]Sheet1!$D$8+N1140*[1]Sheet1!$E$8,IF(AND(D1140="S. californicus",G1140&gt;0),E1140*[1]Sheet1!$D$9+N1140*[1]Sheet1!$E$9,IF(D1140="S. maritimus",F1140*[1]Sheet1!$C$10+E1140*[1]Sheet1!$D$10+G1140*[1]Sheet1!$F$10+[1]Sheet1!$L$10,IF(D1140="S. americanus",F1140*[1]Sheet1!$C$6+E1140*[1]Sheet1!$D$6+[1]Sheet1!$L$6,IF(AND(OR(D1140="T. domingensis",D1140="T. latifolia"),E1140&gt;0),F1140*[1]Sheet1!$C$4+E1140*[1]Sheet1!$D$4+H1140*[1]Sheet1!$J$4+I1140*[1]Sheet1!$K$4+[1]Sheet1!$L$4,IF(AND(OR(D1140="T. domingensis",D1140="T. latifolia"),J1140&gt;0),J1140*[1]Sheet1!$G$5+K1140*[1]Sheet1!$H$5+L1140*[1]Sheet1!$I$5+[1]Sheet1!$L$5,0)))))))</f>
        <v>30.086486000000001</v>
      </c>
    </row>
    <row r="1141" spans="1:15">
      <c r="A1141" s="2">
        <v>40738</v>
      </c>
      <c r="B1141" t="s">
        <v>40</v>
      </c>
      <c r="C1141">
        <v>18</v>
      </c>
      <c r="D1141" s="6" t="s">
        <v>19</v>
      </c>
      <c r="F1141">
        <v>2.15</v>
      </c>
      <c r="J1141">
        <f>SUM(193,200,233,248,283,306)</f>
        <v>1463</v>
      </c>
      <c r="K1141">
        <v>6</v>
      </c>
      <c r="L1141">
        <v>306</v>
      </c>
      <c r="O1141">
        <f>IF(AND(OR(D1141="S. acutus",D1141="S. californicus",D1141="S. tabernaemontani"),G1141=0),E1141*[1]Sheet1!$D$7+[1]Sheet1!$L$7,IF(AND(OR(D1141="S. acutus",D1141="S. tabernaemontani"),G1141&gt;0),E1141*[1]Sheet1!$D$8+N1141*[1]Sheet1!$E$8,IF(AND(D1141="S. californicus",G1141&gt;0),E1141*[1]Sheet1!$D$9+N1141*[1]Sheet1!$E$9,IF(D1141="S. maritimus",F1141*[1]Sheet1!$C$10+E1141*[1]Sheet1!$D$10+G1141*[1]Sheet1!$F$10+[1]Sheet1!$L$10,IF(D1141="S. americanus",F1141*[1]Sheet1!$C$6+E1141*[1]Sheet1!$D$6+[1]Sheet1!$L$6,IF(AND(OR(D1141="T. domingensis",D1141="T. latifolia"),E1141&gt;0),F1141*[1]Sheet1!$C$4+E1141*[1]Sheet1!$D$4+H1141*[1]Sheet1!$J$4+I1141*[1]Sheet1!$K$4+[1]Sheet1!$L$4,IF(AND(OR(D1141="T. domingensis",D1141="T. latifolia"),J1141&gt;0),J1141*[1]Sheet1!$G$5+K1141*[1]Sheet1!$H$5+L1141*[1]Sheet1!$I$5+[1]Sheet1!$L$5,0)))))))</f>
        <v>35.885460999999999</v>
      </c>
    </row>
    <row r="1142" spans="1:15">
      <c r="A1142" s="2">
        <v>40738</v>
      </c>
      <c r="B1142" t="s">
        <v>40</v>
      </c>
      <c r="C1142">
        <v>18</v>
      </c>
      <c r="D1142" s="6" t="s">
        <v>19</v>
      </c>
      <c r="F1142">
        <v>3.99</v>
      </c>
      <c r="J1142">
        <f>SUM(178,234,250,282,293,332,368,367)</f>
        <v>2304</v>
      </c>
      <c r="K1142">
        <v>8</v>
      </c>
      <c r="L1142">
        <v>368</v>
      </c>
      <c r="O1142">
        <f>IF(AND(OR(D1142="S. acutus",D1142="S. californicus",D1142="S. tabernaemontani"),G1142=0),E1142*[1]Sheet1!$D$7+[1]Sheet1!$L$7,IF(AND(OR(D1142="S. acutus",D1142="S. tabernaemontani"),G1142&gt;0),E1142*[1]Sheet1!$D$8+N1142*[1]Sheet1!$E$8,IF(AND(D1142="S. californicus",G1142&gt;0),E1142*[1]Sheet1!$D$9+N1142*[1]Sheet1!$E$9,IF(D1142="S. maritimus",F1142*[1]Sheet1!$C$10+E1142*[1]Sheet1!$D$10+G1142*[1]Sheet1!$F$10+[1]Sheet1!$L$10,IF(D1142="S. americanus",F1142*[1]Sheet1!$C$6+E1142*[1]Sheet1!$D$6+[1]Sheet1!$L$6,IF(AND(OR(D1142="T. domingensis",D1142="T. latifolia"),E1142&gt;0),F1142*[1]Sheet1!$C$4+E1142*[1]Sheet1!$D$4+H1142*[1]Sheet1!$J$4+I1142*[1]Sheet1!$K$4+[1]Sheet1!$L$4,IF(AND(OR(D1142="T. domingensis",D1142="T. latifolia"),J1142&gt;0),J1142*[1]Sheet1!$G$5+K1142*[1]Sheet1!$H$5+L1142*[1]Sheet1!$I$5+[1]Sheet1!$L$5,0)))))))</f>
        <v>82.011520000000019</v>
      </c>
    </row>
    <row r="1143" spans="1:15">
      <c r="A1143" s="2">
        <v>40738</v>
      </c>
      <c r="B1143" t="s">
        <v>40</v>
      </c>
      <c r="C1143">
        <v>26</v>
      </c>
      <c r="D1143" s="6" t="s">
        <v>12</v>
      </c>
      <c r="E1143">
        <v>305</v>
      </c>
      <c r="F1143">
        <v>1.58</v>
      </c>
      <c r="G1143">
        <v>20</v>
      </c>
      <c r="N1143">
        <f>(1/3)*(3.14159)*((F1143/2)^2)*E1143</f>
        <v>199.33440909833337</v>
      </c>
      <c r="O1143">
        <f>IF(AND(OR(D1143="S. acutus",D1143="S. californicus",D1143="S. tabernaemontani"),G1143=0),E1143*[1]Sheet1!$D$7+[1]Sheet1!$L$7,IF(AND(OR(D1143="S. acutus",D1143="S. tabernaemontani"),G1143&gt;0),E1143*[1]Sheet1!$D$8+N1143*[1]Sheet1!$E$8,IF(AND(D1143="S. californicus",G1143&gt;0),E1143*[1]Sheet1!$D$9+N1143*[1]Sheet1!$E$9,IF(D1143="S. maritimus",F1143*[1]Sheet1!$C$10+E1143*[1]Sheet1!$D$10+G1143*[1]Sheet1!$F$10+[1]Sheet1!$L$10,IF(D1143="S. americanus",F1143*[1]Sheet1!$C$6+E1143*[1]Sheet1!$D$6+[1]Sheet1!$L$6,IF(AND(OR(D1143="T. domingensis",D1143="T. latifolia"),E1143&gt;0),F1143*[1]Sheet1!$C$4+E1143*[1]Sheet1!$D$4+H1143*[1]Sheet1!$J$4+I1143*[1]Sheet1!$K$4+[1]Sheet1!$L$4,IF(AND(OR(D1143="T. domingensis",D1143="T. latifolia"),J1143&gt;0),J1143*[1]Sheet1!$G$5+K1143*[1]Sheet1!$H$5+L1143*[1]Sheet1!$I$5+[1]Sheet1!$L$5,0)))))))</f>
        <v>18.163412873934522</v>
      </c>
    </row>
    <row r="1144" spans="1:15">
      <c r="A1144" s="2">
        <v>40738</v>
      </c>
      <c r="B1144" t="s">
        <v>40</v>
      </c>
      <c r="C1144">
        <v>26</v>
      </c>
      <c r="D1144" s="6" t="s">
        <v>16</v>
      </c>
      <c r="E1144">
        <v>88</v>
      </c>
      <c r="F1144">
        <v>1.0900000000000001</v>
      </c>
      <c r="G1144">
        <v>2</v>
      </c>
      <c r="N1144">
        <f t="shared" ref="N1144:N1162" si="19">((1/3)*(3.14159)*((F1144/2)^2)*E1144)</f>
        <v>27.371835912666668</v>
      </c>
      <c r="O1144">
        <f>IF(AND(OR(D1144="S. acutus",D1144="S. californicus",D1144="S. tabernaemontani"),G1144=0),E1144*[1]Sheet1!$D$7+[1]Sheet1!$L$7,IF(AND(OR(D1144="S. acutus",D1144="S. tabernaemontani"),G1144&gt;0),E1144*[1]Sheet1!$D$8+N1144*[1]Sheet1!$E$8,IF(AND(D1144="S. californicus",G1144&gt;0),E1144*[1]Sheet1!$D$9+N1144*[1]Sheet1!$E$9,IF(D1144="S. maritimus",F1144*[1]Sheet1!$C$10+E1144*[1]Sheet1!$D$10+G1144*[1]Sheet1!$F$10+[1]Sheet1!$L$10,IF(D1144="S. americanus",F1144*[1]Sheet1!$C$6+E1144*[1]Sheet1!$D$6+[1]Sheet1!$L$6,IF(AND(OR(D1144="T. domingensis",D1144="T. latifolia"),E1144&gt;0),F1144*[1]Sheet1!$C$4+E1144*[1]Sheet1!$D$4+H1144*[1]Sheet1!$J$4+I1144*[1]Sheet1!$K$4+[1]Sheet1!$L$4,IF(AND(OR(D1144="T. domingensis",D1144="T. latifolia"),J1144&gt;0),J1144*[1]Sheet1!$G$5+K1144*[1]Sheet1!$H$5+L1144*[1]Sheet1!$I$5+[1]Sheet1!$L$5,0)))))))</f>
        <v>4.2700225510401886</v>
      </c>
    </row>
    <row r="1145" spans="1:15">
      <c r="A1145" s="2">
        <v>40738</v>
      </c>
      <c r="B1145" t="s">
        <v>40</v>
      </c>
      <c r="C1145">
        <v>26</v>
      </c>
      <c r="D1145" s="6" t="s">
        <v>16</v>
      </c>
      <c r="E1145">
        <v>203</v>
      </c>
      <c r="F1145">
        <v>0.85</v>
      </c>
      <c r="G1145">
        <v>0</v>
      </c>
      <c r="N1145">
        <f t="shared" si="19"/>
        <v>38.397429277083326</v>
      </c>
      <c r="O1145">
        <f>IF(AND(OR(D1145="S. acutus",D1145="S. californicus",D1145="S. tabernaemontani"),G1145=0),E1145*[1]Sheet1!$D$7+[1]Sheet1!$L$7,IF(AND(OR(D1145="S. acutus",D1145="S. tabernaemontani"),G1145&gt;0),E1145*[1]Sheet1!$D$8+N1145*[1]Sheet1!$E$8,IF(AND(D1145="S. californicus",G1145&gt;0),E1145*[1]Sheet1!$D$9+N1145*[1]Sheet1!$E$9,IF(D1145="S. maritimus",F1145*[1]Sheet1!$C$10+E1145*[1]Sheet1!$D$10+G1145*[1]Sheet1!$F$10+[1]Sheet1!$L$10,IF(D1145="S. americanus",F1145*[1]Sheet1!$C$6+E1145*[1]Sheet1!$D$6+[1]Sheet1!$L$6,IF(AND(OR(D1145="T. domingensis",D1145="T. latifolia"),E1145&gt;0),F1145*[1]Sheet1!$C$4+E1145*[1]Sheet1!$D$4+H1145*[1]Sheet1!$J$4+I1145*[1]Sheet1!$K$4+[1]Sheet1!$L$4,IF(AND(OR(D1145="T. domingensis",D1145="T. latifolia"),J1145&gt;0),J1145*[1]Sheet1!$G$5+K1145*[1]Sheet1!$H$5+L1145*[1]Sheet1!$I$5+[1]Sheet1!$L$5,0)))))))</f>
        <v>9.6407179999999997</v>
      </c>
    </row>
    <row r="1146" spans="1:15">
      <c r="A1146" s="2">
        <v>40738</v>
      </c>
      <c r="B1146" t="s">
        <v>40</v>
      </c>
      <c r="C1146">
        <v>26</v>
      </c>
      <c r="D1146" s="6" t="s">
        <v>16</v>
      </c>
      <c r="E1146">
        <v>213</v>
      </c>
      <c r="F1146">
        <v>0.74</v>
      </c>
      <c r="G1146">
        <v>0</v>
      </c>
      <c r="N1146">
        <f t="shared" si="19"/>
        <v>30.535940640999996</v>
      </c>
      <c r="O1146">
        <f>IF(AND(OR(D1146="S. acutus",D1146="S. californicus",D1146="S. tabernaemontani"),G1146=0),E1146*[1]Sheet1!$D$7+[1]Sheet1!$L$7,IF(AND(OR(D1146="S. acutus",D1146="S. tabernaemontani"),G1146&gt;0),E1146*[1]Sheet1!$D$8+N1146*[1]Sheet1!$E$8,IF(AND(D1146="S. californicus",G1146&gt;0),E1146*[1]Sheet1!$D$9+N1146*[1]Sheet1!$E$9,IF(D1146="S. maritimus",F1146*[1]Sheet1!$C$10+E1146*[1]Sheet1!$D$10+G1146*[1]Sheet1!$F$10+[1]Sheet1!$L$10,IF(D1146="S. americanus",F1146*[1]Sheet1!$C$6+E1146*[1]Sheet1!$D$6+[1]Sheet1!$L$6,IF(AND(OR(D1146="T. domingensis",D1146="T. latifolia"),E1146&gt;0),F1146*[1]Sheet1!$C$4+E1146*[1]Sheet1!$D$4+H1146*[1]Sheet1!$J$4+I1146*[1]Sheet1!$K$4+[1]Sheet1!$L$4,IF(AND(OR(D1146="T. domingensis",D1146="T. latifolia"),J1146&gt;0),J1146*[1]Sheet1!$G$5+K1146*[1]Sheet1!$H$5+L1146*[1]Sheet1!$I$5+[1]Sheet1!$L$5,0)))))))</f>
        <v>10.341768000000002</v>
      </c>
    </row>
    <row r="1147" spans="1:15">
      <c r="A1147" s="2">
        <v>40738</v>
      </c>
      <c r="B1147" t="s">
        <v>40</v>
      </c>
      <c r="C1147">
        <v>26</v>
      </c>
      <c r="D1147" s="6" t="s">
        <v>16</v>
      </c>
      <c r="E1147">
        <v>233</v>
      </c>
      <c r="F1147">
        <v>0.74</v>
      </c>
      <c r="G1147">
        <v>0</v>
      </c>
      <c r="N1147">
        <f t="shared" si="19"/>
        <v>33.403165114333326</v>
      </c>
      <c r="O1147">
        <f>IF(AND(OR(D1147="S. acutus",D1147="S. californicus",D1147="S. tabernaemontani"),G1147=0),E1147*[1]Sheet1!$D$7+[1]Sheet1!$L$7,IF(AND(OR(D1147="S. acutus",D1147="S. tabernaemontani"),G1147&gt;0),E1147*[1]Sheet1!$D$8+N1147*[1]Sheet1!$E$8,IF(AND(D1147="S. californicus",G1147&gt;0),E1147*[1]Sheet1!$D$9+N1147*[1]Sheet1!$E$9,IF(D1147="S. maritimus",F1147*[1]Sheet1!$C$10+E1147*[1]Sheet1!$D$10+G1147*[1]Sheet1!$F$10+[1]Sheet1!$L$10,IF(D1147="S. americanus",F1147*[1]Sheet1!$C$6+E1147*[1]Sheet1!$D$6+[1]Sheet1!$L$6,IF(AND(OR(D1147="T. domingensis",D1147="T. latifolia"),E1147&gt;0),F1147*[1]Sheet1!$C$4+E1147*[1]Sheet1!$D$4+H1147*[1]Sheet1!$J$4+I1147*[1]Sheet1!$K$4+[1]Sheet1!$L$4,IF(AND(OR(D1147="T. domingensis",D1147="T. latifolia"),J1147&gt;0),J1147*[1]Sheet1!$G$5+K1147*[1]Sheet1!$H$5+L1147*[1]Sheet1!$I$5+[1]Sheet1!$L$5,0)))))))</f>
        <v>11.743868000000003</v>
      </c>
    </row>
    <row r="1148" spans="1:15">
      <c r="A1148" s="2">
        <v>40738</v>
      </c>
      <c r="B1148" t="s">
        <v>40</v>
      </c>
      <c r="C1148">
        <v>26</v>
      </c>
      <c r="D1148" s="6" t="s">
        <v>16</v>
      </c>
      <c r="E1148">
        <v>233</v>
      </c>
      <c r="F1148">
        <v>1.53</v>
      </c>
      <c r="G1148">
        <v>0</v>
      </c>
      <c r="N1148">
        <f t="shared" si="19"/>
        <v>142.79304093524999</v>
      </c>
      <c r="O1148">
        <f>IF(AND(OR(D1148="S. acutus",D1148="S. californicus",D1148="S. tabernaemontani"),G1148=0),E1148*[1]Sheet1!$D$7+[1]Sheet1!$L$7,IF(AND(OR(D1148="S. acutus",D1148="S. tabernaemontani"),G1148&gt;0),E1148*[1]Sheet1!$D$8+N1148*[1]Sheet1!$E$8,IF(AND(D1148="S. californicus",G1148&gt;0),E1148*[1]Sheet1!$D$9+N1148*[1]Sheet1!$E$9,IF(D1148="S. maritimus",F1148*[1]Sheet1!$C$10+E1148*[1]Sheet1!$D$10+G1148*[1]Sheet1!$F$10+[1]Sheet1!$L$10,IF(D1148="S. americanus",F1148*[1]Sheet1!$C$6+E1148*[1]Sheet1!$D$6+[1]Sheet1!$L$6,IF(AND(OR(D1148="T. domingensis",D1148="T. latifolia"),E1148&gt;0),F1148*[1]Sheet1!$C$4+E1148*[1]Sheet1!$D$4+H1148*[1]Sheet1!$J$4+I1148*[1]Sheet1!$K$4+[1]Sheet1!$L$4,IF(AND(OR(D1148="T. domingensis",D1148="T. latifolia"),J1148&gt;0),J1148*[1]Sheet1!$G$5+K1148*[1]Sheet1!$H$5+L1148*[1]Sheet1!$I$5+[1]Sheet1!$L$5,0)))))))</f>
        <v>11.743868000000003</v>
      </c>
    </row>
    <row r="1149" spans="1:15">
      <c r="A1149" s="2">
        <v>40738</v>
      </c>
      <c r="B1149" t="s">
        <v>40</v>
      </c>
      <c r="C1149">
        <v>26</v>
      </c>
      <c r="D1149" s="6" t="s">
        <v>16</v>
      </c>
      <c r="E1149">
        <v>238</v>
      </c>
      <c r="F1149">
        <v>0.98</v>
      </c>
      <c r="G1149">
        <v>2</v>
      </c>
      <c r="N1149">
        <f t="shared" si="19"/>
        <v>59.840796880666652</v>
      </c>
      <c r="O1149">
        <f>IF(AND(OR(D1149="S. acutus",D1149="S. californicus",D1149="S. tabernaemontani"),G1149=0),E1149*[1]Sheet1!$D$7+[1]Sheet1!$L$7,IF(AND(OR(D1149="S. acutus",D1149="S. tabernaemontani"),G1149&gt;0),E1149*[1]Sheet1!$D$8+N1149*[1]Sheet1!$E$8,IF(AND(D1149="S. californicus",G1149&gt;0),E1149*[1]Sheet1!$D$9+N1149*[1]Sheet1!$E$9,IF(D1149="S. maritimus",F1149*[1]Sheet1!$C$10+E1149*[1]Sheet1!$D$10+G1149*[1]Sheet1!$F$10+[1]Sheet1!$L$10,IF(D1149="S. americanus",F1149*[1]Sheet1!$C$6+E1149*[1]Sheet1!$D$6+[1]Sheet1!$L$6,IF(AND(OR(D1149="T. domingensis",D1149="T. latifolia"),E1149&gt;0),F1149*[1]Sheet1!$C$4+E1149*[1]Sheet1!$D$4+H1149*[1]Sheet1!$J$4+I1149*[1]Sheet1!$K$4+[1]Sheet1!$L$4,IF(AND(OR(D1149="T. domingensis",D1149="T. latifolia"),J1149&gt;0),J1149*[1]Sheet1!$G$5+K1149*[1]Sheet1!$H$5+L1149*[1]Sheet1!$I$5+[1]Sheet1!$L$5,0)))))))</f>
        <v>11.091617316274661</v>
      </c>
    </row>
    <row r="1150" spans="1:15">
      <c r="A1150" s="2">
        <v>40738</v>
      </c>
      <c r="B1150" t="s">
        <v>40</v>
      </c>
      <c r="C1150">
        <v>26</v>
      </c>
      <c r="D1150" s="6" t="s">
        <v>16</v>
      </c>
      <c r="E1150">
        <v>247</v>
      </c>
      <c r="F1150">
        <v>0.97</v>
      </c>
      <c r="G1150">
        <v>0</v>
      </c>
      <c r="N1150">
        <f t="shared" si="19"/>
        <v>60.842728471416656</v>
      </c>
      <c r="O1150">
        <f>IF(AND(OR(D1150="S. acutus",D1150="S. californicus",D1150="S. tabernaemontani"),G1150=0),E1150*[1]Sheet1!$D$7+[1]Sheet1!$L$7,IF(AND(OR(D1150="S. acutus",D1150="S. tabernaemontani"),G1150&gt;0),E1150*[1]Sheet1!$D$8+N1150*[1]Sheet1!$E$8,IF(AND(D1150="S. californicus",G1150&gt;0),E1150*[1]Sheet1!$D$9+N1150*[1]Sheet1!$E$9,IF(D1150="S. maritimus",F1150*[1]Sheet1!$C$10+E1150*[1]Sheet1!$D$10+G1150*[1]Sheet1!$F$10+[1]Sheet1!$L$10,IF(D1150="S. americanus",F1150*[1]Sheet1!$C$6+E1150*[1]Sheet1!$D$6+[1]Sheet1!$L$6,IF(AND(OR(D1150="T. domingensis",D1150="T. latifolia"),E1150&gt;0),F1150*[1]Sheet1!$C$4+E1150*[1]Sheet1!$D$4+H1150*[1]Sheet1!$J$4+I1150*[1]Sheet1!$K$4+[1]Sheet1!$L$4,IF(AND(OR(D1150="T. domingensis",D1150="T. latifolia"),J1150&gt;0),J1150*[1]Sheet1!$G$5+K1150*[1]Sheet1!$H$5+L1150*[1]Sheet1!$I$5+[1]Sheet1!$L$5,0)))))))</f>
        <v>12.725338000000001</v>
      </c>
    </row>
    <row r="1151" spans="1:15">
      <c r="A1151" s="2">
        <v>40738</v>
      </c>
      <c r="B1151" t="s">
        <v>40</v>
      </c>
      <c r="C1151">
        <v>26</v>
      </c>
      <c r="D1151" s="6" t="s">
        <v>16</v>
      </c>
      <c r="E1151">
        <v>251</v>
      </c>
      <c r="F1151">
        <v>0.52</v>
      </c>
      <c r="G1151">
        <v>0</v>
      </c>
      <c r="N1151">
        <f t="shared" si="19"/>
        <v>17.768414161333332</v>
      </c>
      <c r="O1151">
        <f>IF(AND(OR(D1151="S. acutus",D1151="S. californicus",D1151="S. tabernaemontani"),G1151=0),E1151*[1]Sheet1!$D$7+[1]Sheet1!$L$7,IF(AND(OR(D1151="S. acutus",D1151="S. tabernaemontani"),G1151&gt;0),E1151*[1]Sheet1!$D$8+N1151*[1]Sheet1!$E$8,IF(AND(D1151="S. californicus",G1151&gt;0),E1151*[1]Sheet1!$D$9+N1151*[1]Sheet1!$E$9,IF(D1151="S. maritimus",F1151*[1]Sheet1!$C$10+E1151*[1]Sheet1!$D$10+G1151*[1]Sheet1!$F$10+[1]Sheet1!$L$10,IF(D1151="S. americanus",F1151*[1]Sheet1!$C$6+E1151*[1]Sheet1!$D$6+[1]Sheet1!$L$6,IF(AND(OR(D1151="T. domingensis",D1151="T. latifolia"),E1151&gt;0),F1151*[1]Sheet1!$C$4+E1151*[1]Sheet1!$D$4+H1151*[1]Sheet1!$J$4+I1151*[1]Sheet1!$K$4+[1]Sheet1!$L$4,IF(AND(OR(D1151="T. domingensis",D1151="T. latifolia"),J1151&gt;0),J1151*[1]Sheet1!$G$5+K1151*[1]Sheet1!$H$5+L1151*[1]Sheet1!$I$5+[1]Sheet1!$L$5,0)))))))</f>
        <v>13.005758</v>
      </c>
    </row>
    <row r="1152" spans="1:15">
      <c r="A1152" s="2">
        <v>40738</v>
      </c>
      <c r="B1152" t="s">
        <v>40</v>
      </c>
      <c r="C1152">
        <v>26</v>
      </c>
      <c r="D1152" s="6" t="s">
        <v>16</v>
      </c>
      <c r="E1152">
        <v>254</v>
      </c>
      <c r="F1152">
        <v>0.94</v>
      </c>
      <c r="G1152">
        <v>0</v>
      </c>
      <c r="N1152">
        <f t="shared" si="19"/>
        <v>58.756738891333328</v>
      </c>
      <c r="O1152">
        <f>IF(AND(OR(D1152="S. acutus",D1152="S. californicus",D1152="S. tabernaemontani"),G1152=0),E1152*[1]Sheet1!$D$7+[1]Sheet1!$L$7,IF(AND(OR(D1152="S. acutus",D1152="S. tabernaemontani"),G1152&gt;0),E1152*[1]Sheet1!$D$8+N1152*[1]Sheet1!$E$8,IF(AND(D1152="S. californicus",G1152&gt;0),E1152*[1]Sheet1!$D$9+N1152*[1]Sheet1!$E$9,IF(D1152="S. maritimus",F1152*[1]Sheet1!$C$10+E1152*[1]Sheet1!$D$10+G1152*[1]Sheet1!$F$10+[1]Sheet1!$L$10,IF(D1152="S. americanus",F1152*[1]Sheet1!$C$6+E1152*[1]Sheet1!$D$6+[1]Sheet1!$L$6,IF(AND(OR(D1152="T. domingensis",D1152="T. latifolia"),E1152&gt;0),F1152*[1]Sheet1!$C$4+E1152*[1]Sheet1!$D$4+H1152*[1]Sheet1!$J$4+I1152*[1]Sheet1!$K$4+[1]Sheet1!$L$4,IF(AND(OR(D1152="T. domingensis",D1152="T. latifolia"),J1152&gt;0),J1152*[1]Sheet1!$G$5+K1152*[1]Sheet1!$H$5+L1152*[1]Sheet1!$I$5+[1]Sheet1!$L$5,0)))))))</f>
        <v>13.216073000000002</v>
      </c>
    </row>
    <row r="1153" spans="1:16">
      <c r="A1153" s="2">
        <v>40738</v>
      </c>
      <c r="B1153" t="s">
        <v>40</v>
      </c>
      <c r="C1153">
        <v>26</v>
      </c>
      <c r="D1153" s="6" t="s">
        <v>16</v>
      </c>
      <c r="E1153">
        <v>258</v>
      </c>
      <c r="F1153">
        <v>1.05</v>
      </c>
      <c r="G1153">
        <v>0</v>
      </c>
      <c r="N1153">
        <f t="shared" si="19"/>
        <v>74.467463962499991</v>
      </c>
      <c r="O1153">
        <f>IF(AND(OR(D1153="S. acutus",D1153="S. californicus",D1153="S. tabernaemontani"),G1153=0),E1153*[1]Sheet1!$D$7+[1]Sheet1!$L$7,IF(AND(OR(D1153="S. acutus",D1153="S. tabernaemontani"),G1153&gt;0),E1153*[1]Sheet1!$D$8+N1153*[1]Sheet1!$E$8,IF(AND(D1153="S. californicus",G1153&gt;0),E1153*[1]Sheet1!$D$9+N1153*[1]Sheet1!$E$9,IF(D1153="S. maritimus",F1153*[1]Sheet1!$C$10+E1153*[1]Sheet1!$D$10+G1153*[1]Sheet1!$F$10+[1]Sheet1!$L$10,IF(D1153="S. americanus",F1153*[1]Sheet1!$C$6+E1153*[1]Sheet1!$D$6+[1]Sheet1!$L$6,IF(AND(OR(D1153="T. domingensis",D1153="T. latifolia"),E1153&gt;0),F1153*[1]Sheet1!$C$4+E1153*[1]Sheet1!$D$4+H1153*[1]Sheet1!$J$4+I1153*[1]Sheet1!$K$4+[1]Sheet1!$L$4,IF(AND(OR(D1153="T. domingensis",D1153="T. latifolia"),J1153&gt;0),J1153*[1]Sheet1!$G$5+K1153*[1]Sheet1!$H$5+L1153*[1]Sheet1!$I$5+[1]Sheet1!$L$5,0)))))))</f>
        <v>13.496493000000001</v>
      </c>
    </row>
    <row r="1154" spans="1:16">
      <c r="A1154" s="2">
        <v>40738</v>
      </c>
      <c r="B1154" t="s">
        <v>40</v>
      </c>
      <c r="C1154">
        <v>26</v>
      </c>
      <c r="D1154" s="6" t="s">
        <v>16</v>
      </c>
      <c r="E1154">
        <v>261</v>
      </c>
      <c r="F1154">
        <v>0.8</v>
      </c>
      <c r="G1154">
        <v>0</v>
      </c>
      <c r="N1154">
        <f t="shared" si="19"/>
        <v>43.730932800000005</v>
      </c>
      <c r="O1154">
        <f>IF(AND(OR(D1154="S. acutus",D1154="S. californicus",D1154="S. tabernaemontani"),G1154=0),E1154*[1]Sheet1!$D$7+[1]Sheet1!$L$7,IF(AND(OR(D1154="S. acutus",D1154="S. tabernaemontani"),G1154&gt;0),E1154*[1]Sheet1!$D$8+N1154*[1]Sheet1!$E$8,IF(AND(D1154="S. californicus",G1154&gt;0),E1154*[1]Sheet1!$D$9+N1154*[1]Sheet1!$E$9,IF(D1154="S. maritimus",F1154*[1]Sheet1!$C$10+E1154*[1]Sheet1!$D$10+G1154*[1]Sheet1!$F$10+[1]Sheet1!$L$10,IF(D1154="S. americanus",F1154*[1]Sheet1!$C$6+E1154*[1]Sheet1!$D$6+[1]Sheet1!$L$6,IF(AND(OR(D1154="T. domingensis",D1154="T. latifolia"),E1154&gt;0),F1154*[1]Sheet1!$C$4+E1154*[1]Sheet1!$D$4+H1154*[1]Sheet1!$J$4+I1154*[1]Sheet1!$K$4+[1]Sheet1!$L$4,IF(AND(OR(D1154="T. domingensis",D1154="T. latifolia"),J1154&gt;0),J1154*[1]Sheet1!$G$5+K1154*[1]Sheet1!$H$5+L1154*[1]Sheet1!$I$5+[1]Sheet1!$L$5,0)))))))</f>
        <v>13.706808000000002</v>
      </c>
    </row>
    <row r="1155" spans="1:16">
      <c r="A1155" s="2">
        <v>40738</v>
      </c>
      <c r="B1155" t="s">
        <v>40</v>
      </c>
      <c r="C1155">
        <v>26</v>
      </c>
      <c r="D1155" s="6" t="s">
        <v>16</v>
      </c>
      <c r="E1155">
        <v>264</v>
      </c>
      <c r="F1155">
        <v>1.01</v>
      </c>
      <c r="G1155">
        <v>0</v>
      </c>
      <c r="N1155">
        <f t="shared" si="19"/>
        <v>70.504191097999993</v>
      </c>
      <c r="O1155">
        <f>IF(AND(OR(D1155="S. acutus",D1155="S. californicus",D1155="S. tabernaemontani"),G1155=0),E1155*[1]Sheet1!$D$7+[1]Sheet1!$L$7,IF(AND(OR(D1155="S. acutus",D1155="S. tabernaemontani"),G1155&gt;0),E1155*[1]Sheet1!$D$8+N1155*[1]Sheet1!$E$8,IF(AND(D1155="S. californicus",G1155&gt;0),E1155*[1]Sheet1!$D$9+N1155*[1]Sheet1!$E$9,IF(D1155="S. maritimus",F1155*[1]Sheet1!$C$10+E1155*[1]Sheet1!$D$10+G1155*[1]Sheet1!$F$10+[1]Sheet1!$L$10,IF(D1155="S. americanus",F1155*[1]Sheet1!$C$6+E1155*[1]Sheet1!$D$6+[1]Sheet1!$L$6,IF(AND(OR(D1155="T. domingensis",D1155="T. latifolia"),E1155&gt;0),F1155*[1]Sheet1!$C$4+E1155*[1]Sheet1!$D$4+H1155*[1]Sheet1!$J$4+I1155*[1]Sheet1!$K$4+[1]Sheet1!$L$4,IF(AND(OR(D1155="T. domingensis",D1155="T. latifolia"),J1155&gt;0),J1155*[1]Sheet1!$G$5+K1155*[1]Sheet1!$H$5+L1155*[1]Sheet1!$I$5+[1]Sheet1!$L$5,0)))))))</f>
        <v>13.917123</v>
      </c>
    </row>
    <row r="1156" spans="1:16">
      <c r="A1156" s="2">
        <v>40738</v>
      </c>
      <c r="B1156" t="s">
        <v>40</v>
      </c>
      <c r="C1156">
        <v>26</v>
      </c>
      <c r="D1156" s="6" t="s">
        <v>16</v>
      </c>
      <c r="E1156">
        <v>285</v>
      </c>
      <c r="F1156">
        <v>1.8</v>
      </c>
      <c r="G1156">
        <v>0</v>
      </c>
      <c r="N1156">
        <f t="shared" si="19"/>
        <v>241.7453505</v>
      </c>
      <c r="O1156">
        <f>IF(AND(OR(D1156="S. acutus",D1156="S. californicus",D1156="S. tabernaemontani"),G1156=0),E1156*[1]Sheet1!$D$7+[1]Sheet1!$L$7,IF(AND(OR(D1156="S. acutus",D1156="S. tabernaemontani"),G1156&gt;0),E1156*[1]Sheet1!$D$8+N1156*[1]Sheet1!$E$8,IF(AND(D1156="S. californicus",G1156&gt;0),E1156*[1]Sheet1!$D$9+N1156*[1]Sheet1!$E$9,IF(D1156="S. maritimus",F1156*[1]Sheet1!$C$10+E1156*[1]Sheet1!$D$10+G1156*[1]Sheet1!$F$10+[1]Sheet1!$L$10,IF(D1156="S. americanus",F1156*[1]Sheet1!$C$6+E1156*[1]Sheet1!$D$6+[1]Sheet1!$L$6,IF(AND(OR(D1156="T. domingensis",D1156="T. latifolia"),E1156&gt;0),F1156*[1]Sheet1!$C$4+E1156*[1]Sheet1!$D$4+H1156*[1]Sheet1!$J$4+I1156*[1]Sheet1!$K$4+[1]Sheet1!$L$4,IF(AND(OR(D1156="T. domingensis",D1156="T. latifolia"),J1156&gt;0),J1156*[1]Sheet1!$G$5+K1156*[1]Sheet1!$H$5+L1156*[1]Sheet1!$I$5+[1]Sheet1!$L$5,0)))))))</f>
        <v>15.389328000000003</v>
      </c>
    </row>
    <row r="1157" spans="1:16">
      <c r="A1157" s="2">
        <v>40738</v>
      </c>
      <c r="B1157" t="s">
        <v>40</v>
      </c>
      <c r="C1157">
        <v>26</v>
      </c>
      <c r="D1157" s="6" t="s">
        <v>16</v>
      </c>
      <c r="E1157">
        <v>286</v>
      </c>
      <c r="F1157">
        <v>0.82</v>
      </c>
      <c r="G1157">
        <v>7</v>
      </c>
      <c r="N1157">
        <f t="shared" si="19"/>
        <v>50.345655264666654</v>
      </c>
      <c r="O1157">
        <f>IF(AND(OR(D1157="S. acutus",D1157="S. californicus",D1157="S. tabernaemontani"),G1157=0),E1157*[1]Sheet1!$D$7+[1]Sheet1!$L$7,IF(AND(OR(D1157="S. acutus",D1157="S. tabernaemontani"),G1157&gt;0),E1157*[1]Sheet1!$D$8+N1157*[1]Sheet1!$E$8,IF(AND(D1157="S. californicus",G1157&gt;0),E1157*[1]Sheet1!$D$9+N1157*[1]Sheet1!$E$9,IF(D1157="S. maritimus",F1157*[1]Sheet1!$C$10+E1157*[1]Sheet1!$D$10+G1157*[1]Sheet1!$F$10+[1]Sheet1!$L$10,IF(D1157="S. americanus",F1157*[1]Sheet1!$C$6+E1157*[1]Sheet1!$D$6+[1]Sheet1!$L$6,IF(AND(OR(D1157="T. domingensis",D1157="T. latifolia"),E1157&gt;0),F1157*[1]Sheet1!$C$4+E1157*[1]Sheet1!$D$4+H1157*[1]Sheet1!$J$4+I1157*[1]Sheet1!$K$4+[1]Sheet1!$L$4,IF(AND(OR(D1157="T. domingensis",D1157="T. latifolia"),J1157&gt;0),J1157*[1]Sheet1!$G$5+K1157*[1]Sheet1!$H$5+L1157*[1]Sheet1!$I$5+[1]Sheet1!$L$5,0)))))))</f>
        <v>12.634206010612004</v>
      </c>
    </row>
    <row r="1158" spans="1:16">
      <c r="A1158" s="2">
        <v>40738</v>
      </c>
      <c r="B1158" t="s">
        <v>40</v>
      </c>
      <c r="C1158">
        <v>26</v>
      </c>
      <c r="D1158" s="6" t="s">
        <v>16</v>
      </c>
      <c r="E1158">
        <v>293</v>
      </c>
      <c r="F1158">
        <v>2.09</v>
      </c>
      <c r="G1158">
        <v>0</v>
      </c>
      <c r="N1158">
        <f t="shared" si="19"/>
        <v>335.06452739558324</v>
      </c>
      <c r="O1158">
        <f>IF(AND(OR(D1158="S. acutus",D1158="S. californicus",D1158="S. tabernaemontani"),G1158=0),E1158*[1]Sheet1!$D$7+[1]Sheet1!$L$7,IF(AND(OR(D1158="S. acutus",D1158="S. tabernaemontani"),G1158&gt;0),E1158*[1]Sheet1!$D$8+N1158*[1]Sheet1!$E$8,IF(AND(D1158="S. californicus",G1158&gt;0),E1158*[1]Sheet1!$D$9+N1158*[1]Sheet1!$E$9,IF(D1158="S. maritimus",F1158*[1]Sheet1!$C$10+E1158*[1]Sheet1!$D$10+G1158*[1]Sheet1!$F$10+[1]Sheet1!$L$10,IF(D1158="S. americanus",F1158*[1]Sheet1!$C$6+E1158*[1]Sheet1!$D$6+[1]Sheet1!$L$6,IF(AND(OR(D1158="T. domingensis",D1158="T. latifolia"),E1158&gt;0),F1158*[1]Sheet1!$C$4+E1158*[1]Sheet1!$D$4+H1158*[1]Sheet1!$J$4+I1158*[1]Sheet1!$K$4+[1]Sheet1!$L$4,IF(AND(OR(D1158="T. domingensis",D1158="T. latifolia"),J1158&gt;0),J1158*[1]Sheet1!$G$5+K1158*[1]Sheet1!$H$5+L1158*[1]Sheet1!$I$5+[1]Sheet1!$L$5,0)))))))</f>
        <v>15.950168000000001</v>
      </c>
    </row>
    <row r="1159" spans="1:16">
      <c r="A1159" s="2">
        <v>40738</v>
      </c>
      <c r="B1159" t="s">
        <v>40</v>
      </c>
      <c r="C1159">
        <v>26</v>
      </c>
      <c r="D1159" s="6" t="s">
        <v>16</v>
      </c>
      <c r="E1159">
        <v>301</v>
      </c>
      <c r="F1159">
        <v>1.58</v>
      </c>
      <c r="G1159">
        <v>15</v>
      </c>
      <c r="N1159">
        <f t="shared" si="19"/>
        <v>196.72018733966669</v>
      </c>
      <c r="O1159">
        <f>IF(AND(OR(D1159="S. acutus",D1159="S. californicus",D1159="S. tabernaemontani"),G1159=0),E1159*[1]Sheet1!$D$7+[1]Sheet1!$L$7,IF(AND(OR(D1159="S. acutus",D1159="S. tabernaemontani"),G1159&gt;0),E1159*[1]Sheet1!$D$8+N1159*[1]Sheet1!$E$8,IF(AND(D1159="S. californicus",G1159&gt;0),E1159*[1]Sheet1!$D$9+N1159*[1]Sheet1!$E$9,IF(D1159="S. maritimus",F1159*[1]Sheet1!$C$10+E1159*[1]Sheet1!$D$10+G1159*[1]Sheet1!$F$10+[1]Sheet1!$L$10,IF(D1159="S. americanus",F1159*[1]Sheet1!$C$6+E1159*[1]Sheet1!$D$6+[1]Sheet1!$L$6,IF(AND(OR(D1159="T. domingensis",D1159="T. latifolia"),E1159&gt;0),F1159*[1]Sheet1!$C$4+E1159*[1]Sheet1!$D$4+H1159*[1]Sheet1!$J$4+I1159*[1]Sheet1!$K$4+[1]Sheet1!$L$4,IF(AND(OR(D1159="T. domingensis",D1159="T. latifolia"),J1159&gt;0),J1159*[1]Sheet1!$G$5+K1159*[1]Sheet1!$H$5+L1159*[1]Sheet1!$I$5+[1]Sheet1!$L$5,0)))))))</f>
        <v>17.925204180505872</v>
      </c>
    </row>
    <row r="1160" spans="1:16">
      <c r="A1160" s="2">
        <v>40738</v>
      </c>
      <c r="B1160" t="s">
        <v>40</v>
      </c>
      <c r="C1160">
        <v>26</v>
      </c>
      <c r="D1160" s="6" t="s">
        <v>16</v>
      </c>
      <c r="E1160">
        <v>310</v>
      </c>
      <c r="F1160">
        <v>0.97</v>
      </c>
      <c r="G1160">
        <v>0</v>
      </c>
      <c r="N1160">
        <f t="shared" si="19"/>
        <v>76.361319134166649</v>
      </c>
      <c r="O1160">
        <f>IF(AND(OR(D1160="S. acutus",D1160="S. californicus",D1160="S. tabernaemontani"),G1160=0),E1160*[1]Sheet1!$D$7+[1]Sheet1!$L$7,IF(AND(OR(D1160="S. acutus",D1160="S. tabernaemontani"),G1160&gt;0),E1160*[1]Sheet1!$D$8+N1160*[1]Sheet1!$E$8,IF(AND(D1160="S. californicus",G1160&gt;0),E1160*[1]Sheet1!$D$9+N1160*[1]Sheet1!$E$9,IF(D1160="S. maritimus",F1160*[1]Sheet1!$C$10+E1160*[1]Sheet1!$D$10+G1160*[1]Sheet1!$F$10+[1]Sheet1!$L$10,IF(D1160="S. americanus",F1160*[1]Sheet1!$C$6+E1160*[1]Sheet1!$D$6+[1]Sheet1!$L$6,IF(AND(OR(D1160="T. domingensis",D1160="T. latifolia"),E1160&gt;0),F1160*[1]Sheet1!$C$4+E1160*[1]Sheet1!$D$4+H1160*[1]Sheet1!$J$4+I1160*[1]Sheet1!$K$4+[1]Sheet1!$L$4,IF(AND(OR(D1160="T. domingensis",D1160="T. latifolia"),J1160&gt;0),J1160*[1]Sheet1!$G$5+K1160*[1]Sheet1!$H$5+L1160*[1]Sheet1!$I$5+[1]Sheet1!$L$5,0)))))))</f>
        <v>17.141953000000001</v>
      </c>
    </row>
    <row r="1161" spans="1:16">
      <c r="A1161" s="2">
        <v>40738</v>
      </c>
      <c r="B1161" t="s">
        <v>40</v>
      </c>
      <c r="C1161">
        <v>26</v>
      </c>
      <c r="D1161" s="6" t="s">
        <v>16</v>
      </c>
      <c r="E1161">
        <v>320</v>
      </c>
      <c r="F1161">
        <v>0.69</v>
      </c>
      <c r="G1161">
        <v>0</v>
      </c>
      <c r="N1161">
        <f t="shared" si="19"/>
        <v>39.885626639999991</v>
      </c>
      <c r="O1161">
        <f>IF(AND(OR(D1161="S. acutus",D1161="S. californicus",D1161="S. tabernaemontani"),G1161=0),E1161*[1]Sheet1!$D$7+[1]Sheet1!$L$7,IF(AND(OR(D1161="S. acutus",D1161="S. tabernaemontani"),G1161&gt;0),E1161*[1]Sheet1!$D$8+N1161*[1]Sheet1!$E$8,IF(AND(D1161="S. californicus",G1161&gt;0),E1161*[1]Sheet1!$D$9+N1161*[1]Sheet1!$E$9,IF(D1161="S. maritimus",F1161*[1]Sheet1!$C$10+E1161*[1]Sheet1!$D$10+G1161*[1]Sheet1!$F$10+[1]Sheet1!$L$10,IF(D1161="S. americanus",F1161*[1]Sheet1!$C$6+E1161*[1]Sheet1!$D$6+[1]Sheet1!$L$6,IF(AND(OR(D1161="T. domingensis",D1161="T. latifolia"),E1161&gt;0),F1161*[1]Sheet1!$C$4+E1161*[1]Sheet1!$D$4+H1161*[1]Sheet1!$J$4+I1161*[1]Sheet1!$K$4+[1]Sheet1!$L$4,IF(AND(OR(D1161="T. domingensis",D1161="T. latifolia"),J1161&gt;0),J1161*[1]Sheet1!$G$5+K1161*[1]Sheet1!$H$5+L1161*[1]Sheet1!$I$5+[1]Sheet1!$L$5,0)))))))</f>
        <v>17.843003</v>
      </c>
    </row>
    <row r="1162" spans="1:16">
      <c r="A1162" s="2">
        <v>40738</v>
      </c>
      <c r="B1162" t="s">
        <v>40</v>
      </c>
      <c r="C1162">
        <v>26</v>
      </c>
      <c r="D1162" s="6" t="s">
        <v>16</v>
      </c>
      <c r="E1162">
        <v>370</v>
      </c>
      <c r="F1162">
        <v>0.56000000000000005</v>
      </c>
      <c r="G1162">
        <v>0</v>
      </c>
      <c r="N1162">
        <f t="shared" si="19"/>
        <v>30.377080906666666</v>
      </c>
      <c r="O1162">
        <f>IF(AND(OR(D1162="S. acutus",D1162="S. californicus",D1162="S. tabernaemontani"),G1162=0),E1162*[1]Sheet1!$D$7+[1]Sheet1!$L$7,IF(AND(OR(D1162="S. acutus",D1162="S. tabernaemontani"),G1162&gt;0),E1162*[1]Sheet1!$D$8+N1162*[1]Sheet1!$E$8,IF(AND(D1162="S. californicus",G1162&gt;0),E1162*[1]Sheet1!$D$9+N1162*[1]Sheet1!$E$9,IF(D1162="S. maritimus",F1162*[1]Sheet1!$C$10+E1162*[1]Sheet1!$D$10+G1162*[1]Sheet1!$F$10+[1]Sheet1!$L$10,IF(D1162="S. americanus",F1162*[1]Sheet1!$C$6+E1162*[1]Sheet1!$D$6+[1]Sheet1!$L$6,IF(AND(OR(D1162="T. domingensis",D1162="T. latifolia"),E1162&gt;0),F1162*[1]Sheet1!$C$4+E1162*[1]Sheet1!$D$4+H1162*[1]Sheet1!$J$4+I1162*[1]Sheet1!$K$4+[1]Sheet1!$L$4,IF(AND(OR(D1162="T. domingensis",D1162="T. latifolia"),J1162&gt;0),J1162*[1]Sheet1!$G$5+K1162*[1]Sheet1!$H$5+L1162*[1]Sheet1!$I$5+[1]Sheet1!$L$5,0)))))))</f>
        <v>21.348253</v>
      </c>
    </row>
    <row r="1163" spans="1:16">
      <c r="A1163" s="2">
        <v>40738</v>
      </c>
      <c r="B1163" t="s">
        <v>40</v>
      </c>
      <c r="C1163">
        <v>26</v>
      </c>
      <c r="D1163" s="6" t="s">
        <v>13</v>
      </c>
      <c r="E1163">
        <v>316</v>
      </c>
      <c r="F1163">
        <v>2.1800000000000002</v>
      </c>
      <c r="H1163">
        <v>18</v>
      </c>
      <c r="I1163">
        <v>1.7</v>
      </c>
      <c r="O1163">
        <f>IF(AND(OR(D1163="S. acutus",D1163="S. californicus",D1163="S. tabernaemontani"),G1163=0),E1163*[1]Sheet1!$D$7+[1]Sheet1!$L$7,IF(AND(OR(D1163="S. acutus",D1163="S. tabernaemontani"),G1163&gt;0),E1163*[1]Sheet1!$D$8+N1163*[1]Sheet1!$E$8,IF(AND(D1163="S. californicus",G1163&gt;0),E1163*[1]Sheet1!$D$9+N1163*[1]Sheet1!$E$9,IF(D1163="S. maritimus",F1163*[1]Sheet1!$C$10+E1163*[1]Sheet1!$D$10+G1163*[1]Sheet1!$F$10+[1]Sheet1!$L$10,IF(D1163="S. americanus",F1163*[1]Sheet1!$C$6+E1163*[1]Sheet1!$D$6+[1]Sheet1!$L$6,IF(AND(OR(D1163="T. domingensis",D1163="T. latifolia"),E1163&gt;0),F1163*[1]Sheet1!$C$4+E1163*[1]Sheet1!$D$4+H1163*[1]Sheet1!$J$4+I1163*[1]Sheet1!$K$4+[1]Sheet1!$L$4,IF(AND(OR(D1163="T. domingensis",D1163="T. latifolia"),J1163&gt;0),J1163*[1]Sheet1!$G$5+K1163*[1]Sheet1!$H$5+L1163*[1]Sheet1!$I$5+[1]Sheet1!$L$5,0)))))))</f>
        <v>86.284827460000002</v>
      </c>
      <c r="P1163">
        <f>IF(D1163="T. domingensis", 1, 0)</f>
        <v>1</v>
      </c>
    </row>
    <row r="1164" spans="1:16">
      <c r="A1164" s="2">
        <v>40738</v>
      </c>
      <c r="B1164" t="s">
        <v>40</v>
      </c>
      <c r="C1164">
        <v>26</v>
      </c>
      <c r="D1164" s="6" t="s">
        <v>19</v>
      </c>
      <c r="E1164">
        <v>250</v>
      </c>
      <c r="F1164">
        <v>2.5499999999999998</v>
      </c>
      <c r="H1164">
        <v>37</v>
      </c>
      <c r="I1164">
        <v>0.5</v>
      </c>
      <c r="O1164">
        <f>IF(AND(OR(D1164="S. acutus",D1164="S. californicus",D1164="S. tabernaemontani"),G1164=0),E1164*[1]Sheet1!$D$7+[1]Sheet1!$L$7,IF(AND(OR(D1164="S. acutus",D1164="S. tabernaemontani"),G1164&gt;0),E1164*[1]Sheet1!$D$8+N1164*[1]Sheet1!$E$8,IF(AND(D1164="S. californicus",G1164&gt;0),E1164*[1]Sheet1!$D$9+N1164*[1]Sheet1!$E$9,IF(D1164="S. maritimus",F1164*[1]Sheet1!$C$10+E1164*[1]Sheet1!$D$10+G1164*[1]Sheet1!$F$10+[1]Sheet1!$L$10,IF(D1164="S. americanus",F1164*[1]Sheet1!$C$6+E1164*[1]Sheet1!$D$6+[1]Sheet1!$L$6,IF(AND(OR(D1164="T. domingensis",D1164="T. latifolia"),E1164&gt;0),F1164*[1]Sheet1!$C$4+E1164*[1]Sheet1!$D$4+H1164*[1]Sheet1!$J$4+I1164*[1]Sheet1!$K$4+[1]Sheet1!$L$4,IF(AND(OR(D1164="T. domingensis",D1164="T. latifolia"),J1164&gt;0),J1164*[1]Sheet1!$G$5+K1164*[1]Sheet1!$H$5+L1164*[1]Sheet1!$I$5+[1]Sheet1!$L$5,0)))))))</f>
        <v>70.059278750000004</v>
      </c>
    </row>
    <row r="1165" spans="1:16">
      <c r="A1165" s="2">
        <v>40738</v>
      </c>
      <c r="B1165" t="s">
        <v>40</v>
      </c>
      <c r="C1165">
        <v>26</v>
      </c>
      <c r="D1165" s="6" t="s">
        <v>19</v>
      </c>
      <c r="E1165">
        <v>289</v>
      </c>
      <c r="F1165">
        <v>2.2200000000000002</v>
      </c>
      <c r="H1165">
        <v>41</v>
      </c>
      <c r="I1165">
        <v>2.1</v>
      </c>
      <c r="O1165">
        <f>IF(AND(OR(D1165="S. acutus",D1165="S. californicus",D1165="S. tabernaemontani"),G1165=0),E1165*[1]Sheet1!$D$7+[1]Sheet1!$L$7,IF(AND(OR(D1165="S. acutus",D1165="S. tabernaemontani"),G1165&gt;0),E1165*[1]Sheet1!$D$8+N1165*[1]Sheet1!$E$8,IF(AND(D1165="S. californicus",G1165&gt;0),E1165*[1]Sheet1!$D$9+N1165*[1]Sheet1!$E$9,IF(D1165="S. maritimus",F1165*[1]Sheet1!$C$10+E1165*[1]Sheet1!$D$10+G1165*[1]Sheet1!$F$10+[1]Sheet1!$L$10,IF(D1165="S. americanus",F1165*[1]Sheet1!$C$6+E1165*[1]Sheet1!$D$6+[1]Sheet1!$L$6,IF(AND(OR(D1165="T. domingensis",D1165="T. latifolia"),E1165&gt;0),F1165*[1]Sheet1!$C$4+E1165*[1]Sheet1!$D$4+H1165*[1]Sheet1!$J$4+I1165*[1]Sheet1!$K$4+[1]Sheet1!$L$4,IF(AND(OR(D1165="T. domingensis",D1165="T. latifolia"),J1165&gt;0),J1165*[1]Sheet1!$G$5+K1165*[1]Sheet1!$H$5+L1165*[1]Sheet1!$I$5+[1]Sheet1!$L$5,0)))))))</f>
        <v>107.23582854</v>
      </c>
    </row>
    <row r="1166" spans="1:16">
      <c r="A1166" s="2">
        <v>40738</v>
      </c>
      <c r="B1166" t="s">
        <v>40</v>
      </c>
      <c r="C1166">
        <v>26</v>
      </c>
      <c r="D1166" s="6" t="s">
        <v>19</v>
      </c>
      <c r="E1166">
        <v>370</v>
      </c>
      <c r="F1166">
        <v>3.5</v>
      </c>
      <c r="H1166">
        <v>28</v>
      </c>
      <c r="I1166">
        <v>1.9</v>
      </c>
      <c r="O1166">
        <f>IF(AND(OR(D1166="S. acutus",D1166="S. californicus",D1166="S. tabernaemontani"),G1166=0),E1166*[1]Sheet1!$D$7+[1]Sheet1!$L$7,IF(AND(OR(D1166="S. acutus",D1166="S. tabernaemontani"),G1166&gt;0),E1166*[1]Sheet1!$D$8+N1166*[1]Sheet1!$E$8,IF(AND(D1166="S. californicus",G1166&gt;0),E1166*[1]Sheet1!$D$9+N1166*[1]Sheet1!$E$9,IF(D1166="S. maritimus",F1166*[1]Sheet1!$C$10+E1166*[1]Sheet1!$D$10+G1166*[1]Sheet1!$F$10+[1]Sheet1!$L$10,IF(D1166="S. americanus",F1166*[1]Sheet1!$C$6+E1166*[1]Sheet1!$D$6+[1]Sheet1!$L$6,IF(AND(OR(D1166="T. domingensis",D1166="T. latifolia"),E1166&gt;0),F1166*[1]Sheet1!$C$4+E1166*[1]Sheet1!$D$4+H1166*[1]Sheet1!$J$4+I1166*[1]Sheet1!$K$4+[1]Sheet1!$L$4,IF(AND(OR(D1166="T. domingensis",D1166="T. latifolia"),J1166&gt;0),J1166*[1]Sheet1!$G$5+K1166*[1]Sheet1!$H$5+L1166*[1]Sheet1!$I$5+[1]Sheet1!$L$5,0)))))))</f>
        <v>140.91910029999997</v>
      </c>
    </row>
    <row r="1167" spans="1:16">
      <c r="A1167" s="2">
        <v>40738</v>
      </c>
      <c r="B1167" t="s">
        <v>40</v>
      </c>
      <c r="C1167">
        <v>26</v>
      </c>
      <c r="D1167" s="6" t="s">
        <v>19</v>
      </c>
      <c r="E1167">
        <v>371</v>
      </c>
      <c r="F1167">
        <v>3.02</v>
      </c>
      <c r="H1167">
        <v>38</v>
      </c>
      <c r="I1167">
        <v>2.6</v>
      </c>
      <c r="O1167">
        <f>IF(AND(OR(D1167="S. acutus",D1167="S. californicus",D1167="S. tabernaemontani"),G1167=0),E1167*[1]Sheet1!$D$7+[1]Sheet1!$L$7,IF(AND(OR(D1167="S. acutus",D1167="S. tabernaemontani"),G1167&gt;0),E1167*[1]Sheet1!$D$8+N1167*[1]Sheet1!$E$8,IF(AND(D1167="S. californicus",G1167&gt;0),E1167*[1]Sheet1!$D$9+N1167*[1]Sheet1!$E$9,IF(D1167="S. maritimus",F1167*[1]Sheet1!$C$10+E1167*[1]Sheet1!$D$10+G1167*[1]Sheet1!$F$10+[1]Sheet1!$L$10,IF(D1167="S. americanus",F1167*[1]Sheet1!$C$6+E1167*[1]Sheet1!$D$6+[1]Sheet1!$L$6,IF(AND(OR(D1167="T. domingensis",D1167="T. latifolia"),E1167&gt;0),F1167*[1]Sheet1!$C$4+E1167*[1]Sheet1!$D$4+H1167*[1]Sheet1!$J$4+I1167*[1]Sheet1!$K$4+[1]Sheet1!$L$4,IF(AND(OR(D1167="T. domingensis",D1167="T. latifolia"),J1167&gt;0),J1167*[1]Sheet1!$G$5+K1167*[1]Sheet1!$H$5+L1167*[1]Sheet1!$I$5+[1]Sheet1!$L$5,0)))))))</f>
        <v>153.51188393999999</v>
      </c>
    </row>
    <row r="1168" spans="1:16">
      <c r="A1168" s="2">
        <v>40738</v>
      </c>
      <c r="B1168" t="s">
        <v>40</v>
      </c>
      <c r="C1168">
        <v>26</v>
      </c>
      <c r="D1168" s="6" t="s">
        <v>19</v>
      </c>
      <c r="F1168">
        <v>1.65</v>
      </c>
      <c r="J1168">
        <f>SUM(205,269,321)</f>
        <v>795</v>
      </c>
      <c r="K1168">
        <v>3</v>
      </c>
      <c r="L1168">
        <v>321</v>
      </c>
      <c r="O1168">
        <f>IF(AND(OR(D1168="S. acutus",D1168="S. californicus",D1168="S. tabernaemontani"),G1168=0),E1168*[1]Sheet1!$D$7+[1]Sheet1!$L$7,IF(AND(OR(D1168="S. acutus",D1168="S. tabernaemontani"),G1168&gt;0),E1168*[1]Sheet1!$D$8+N1168*[1]Sheet1!$E$8,IF(AND(D1168="S. californicus",G1168&gt;0),E1168*[1]Sheet1!$D$9+N1168*[1]Sheet1!$E$9,IF(D1168="S. maritimus",F1168*[1]Sheet1!$C$10+E1168*[1]Sheet1!$D$10+G1168*[1]Sheet1!$F$10+[1]Sheet1!$L$10,IF(D1168="S. americanus",F1168*[1]Sheet1!$C$6+E1168*[1]Sheet1!$D$6+[1]Sheet1!$L$6,IF(AND(OR(D1168="T. domingensis",D1168="T. latifolia"),E1168&gt;0),F1168*[1]Sheet1!$C$4+E1168*[1]Sheet1!$D$4+H1168*[1]Sheet1!$J$4+I1168*[1]Sheet1!$K$4+[1]Sheet1!$L$4,IF(AND(OR(D1168="T. domingensis",D1168="T. latifolia"),J1168&gt;0),J1168*[1]Sheet1!$G$5+K1168*[1]Sheet1!$H$5+L1168*[1]Sheet1!$I$5+[1]Sheet1!$L$5,0)))))))</f>
        <v>-10.194494999999996</v>
      </c>
    </row>
    <row r="1169" spans="1:15">
      <c r="A1169" s="2">
        <v>40738</v>
      </c>
      <c r="B1169" t="s">
        <v>40</v>
      </c>
      <c r="C1169">
        <v>26</v>
      </c>
      <c r="D1169" s="6" t="s">
        <v>19</v>
      </c>
      <c r="F1169">
        <v>0.55000000000000004</v>
      </c>
      <c r="J1169">
        <f>51+46</f>
        <v>97</v>
      </c>
      <c r="K1169">
        <v>2</v>
      </c>
      <c r="L1169">
        <v>51</v>
      </c>
      <c r="O1169">
        <f>IF(AND(OR(D1169="S. acutus",D1169="S. californicus",D1169="S. tabernaemontani"),G1169=0),E1169*[1]Sheet1!$D$7+[1]Sheet1!$L$7,IF(AND(OR(D1169="S. acutus",D1169="S. tabernaemontani"),G1169&gt;0),E1169*[1]Sheet1!$D$8+N1169*[1]Sheet1!$E$8,IF(AND(D1169="S. californicus",G1169&gt;0),E1169*[1]Sheet1!$D$9+N1169*[1]Sheet1!$E$9,IF(D1169="S. maritimus",F1169*[1]Sheet1!$C$10+E1169*[1]Sheet1!$D$10+G1169*[1]Sheet1!$F$10+[1]Sheet1!$L$10,IF(D1169="S. americanus",F1169*[1]Sheet1!$C$6+E1169*[1]Sheet1!$D$6+[1]Sheet1!$L$6,IF(AND(OR(D1169="T. domingensis",D1169="T. latifolia"),E1169&gt;0),F1169*[1]Sheet1!$C$4+E1169*[1]Sheet1!$D$4+H1169*[1]Sheet1!$J$4+I1169*[1]Sheet1!$K$4+[1]Sheet1!$L$4,IF(AND(OR(D1169="T. domingensis",D1169="T. latifolia"),J1169&gt;0),J1169*[1]Sheet1!$G$5+K1169*[1]Sheet1!$H$5+L1169*[1]Sheet1!$I$5+[1]Sheet1!$L$5,0)))))))</f>
        <v>12.723018</v>
      </c>
    </row>
    <row r="1170" spans="1:15">
      <c r="A1170" s="2">
        <v>40738</v>
      </c>
      <c r="B1170" t="s">
        <v>40</v>
      </c>
      <c r="C1170">
        <v>26</v>
      </c>
      <c r="D1170" s="6" t="s">
        <v>19</v>
      </c>
      <c r="F1170">
        <v>1.61</v>
      </c>
      <c r="J1170">
        <f>SUM(230,253,366,385,386)</f>
        <v>1620</v>
      </c>
      <c r="K1170">
        <v>5</v>
      </c>
      <c r="L1170">
        <v>386</v>
      </c>
      <c r="O1170">
        <f>IF(AND(OR(D1170="S. acutus",D1170="S. californicus",D1170="S. tabernaemontani"),G1170=0),E1170*[1]Sheet1!$D$7+[1]Sheet1!$L$7,IF(AND(OR(D1170="S. acutus",D1170="S. tabernaemontani"),G1170&gt;0),E1170*[1]Sheet1!$D$8+N1170*[1]Sheet1!$E$8,IF(AND(D1170="S. californicus",G1170&gt;0),E1170*[1]Sheet1!$D$9+N1170*[1]Sheet1!$E$9,IF(D1170="S. maritimus",F1170*[1]Sheet1!$C$10+E1170*[1]Sheet1!$D$10+G1170*[1]Sheet1!$F$10+[1]Sheet1!$L$10,IF(D1170="S. americanus",F1170*[1]Sheet1!$C$6+E1170*[1]Sheet1!$D$6+[1]Sheet1!$L$6,IF(AND(OR(D1170="T. domingensis",D1170="T. latifolia"),E1170&gt;0),F1170*[1]Sheet1!$C$4+E1170*[1]Sheet1!$D$4+H1170*[1]Sheet1!$J$4+I1170*[1]Sheet1!$K$4+[1]Sheet1!$L$4,IF(AND(OR(D1170="T. domingensis",D1170="T. latifolia"),J1170&gt;0),J1170*[1]Sheet1!$G$5+K1170*[1]Sheet1!$H$5+L1170*[1]Sheet1!$I$5+[1]Sheet1!$L$5,0)))))))</f>
        <v>33.527749000000021</v>
      </c>
    </row>
    <row r="1171" spans="1:15">
      <c r="A1171" s="2">
        <v>40738</v>
      </c>
      <c r="B1171" t="s">
        <v>40</v>
      </c>
      <c r="C1171">
        <v>26</v>
      </c>
      <c r="D1171" s="6" t="s">
        <v>19</v>
      </c>
      <c r="F1171">
        <v>1.98</v>
      </c>
      <c r="J1171">
        <f>SUM(247,298,305,340,331)</f>
        <v>1521</v>
      </c>
      <c r="K1171">
        <v>5</v>
      </c>
      <c r="L1171">
        <v>340</v>
      </c>
      <c r="O1171">
        <f>IF(AND(OR(D1171="S. acutus",D1171="S. californicus",D1171="S. tabernaemontani"),G1171=0),E1171*[1]Sheet1!$D$7+[1]Sheet1!$L$7,IF(AND(OR(D1171="S. acutus",D1171="S. tabernaemontani"),G1171&gt;0),E1171*[1]Sheet1!$D$8+N1171*[1]Sheet1!$E$8,IF(AND(D1171="S. californicus",G1171&gt;0),E1171*[1]Sheet1!$D$9+N1171*[1]Sheet1!$E$9,IF(D1171="S. maritimus",F1171*[1]Sheet1!$C$10+E1171*[1]Sheet1!$D$10+G1171*[1]Sheet1!$F$10+[1]Sheet1!$L$10,IF(D1171="S. americanus",F1171*[1]Sheet1!$C$6+E1171*[1]Sheet1!$D$6+[1]Sheet1!$L$6,IF(AND(OR(D1171="T. domingensis",D1171="T. latifolia"),E1171&gt;0),F1171*[1]Sheet1!$C$4+E1171*[1]Sheet1!$D$4+H1171*[1]Sheet1!$J$4+I1171*[1]Sheet1!$K$4+[1]Sheet1!$L$4,IF(AND(OR(D1171="T. domingensis",D1171="T. latifolia"),J1171&gt;0),J1171*[1]Sheet1!$G$5+K1171*[1]Sheet1!$H$5+L1171*[1]Sheet1!$I$5+[1]Sheet1!$L$5,0)))))))</f>
        <v>38.10327400000002</v>
      </c>
    </row>
    <row r="1172" spans="1:15">
      <c r="A1172" s="2">
        <v>40738</v>
      </c>
      <c r="B1172" t="s">
        <v>40</v>
      </c>
      <c r="C1172">
        <v>26</v>
      </c>
      <c r="D1172" s="6" t="s">
        <v>19</v>
      </c>
      <c r="F1172">
        <v>1.45</v>
      </c>
      <c r="J1172">
        <f>SUM(318,334,351,303,312,338)</f>
        <v>1956</v>
      </c>
      <c r="K1172">
        <v>6</v>
      </c>
      <c r="L1172">
        <v>351</v>
      </c>
      <c r="O1172">
        <f>IF(AND(OR(D1172="S. acutus",D1172="S. californicus",D1172="S. tabernaemontani"),G1172=0),E1172*[1]Sheet1!$D$7+[1]Sheet1!$L$7,IF(AND(OR(D1172="S. acutus",D1172="S. tabernaemontani"),G1172&gt;0),E1172*[1]Sheet1!$D$8+N1172*[1]Sheet1!$E$8,IF(AND(D1172="S. californicus",G1172&gt;0),E1172*[1]Sheet1!$D$9+N1172*[1]Sheet1!$E$9,IF(D1172="S. maritimus",F1172*[1]Sheet1!$C$10+E1172*[1]Sheet1!$D$10+G1172*[1]Sheet1!$F$10+[1]Sheet1!$L$10,IF(D1172="S. americanus",F1172*[1]Sheet1!$C$6+E1172*[1]Sheet1!$D$6+[1]Sheet1!$L$6,IF(AND(OR(D1172="T. domingensis",D1172="T. latifolia"),E1172&gt;0),F1172*[1]Sheet1!$C$4+E1172*[1]Sheet1!$D$4+H1172*[1]Sheet1!$J$4+I1172*[1]Sheet1!$K$4+[1]Sheet1!$L$4,IF(AND(OR(D1172="T. domingensis",D1172="T. latifolia"),J1172&gt;0),J1172*[1]Sheet1!$G$5+K1172*[1]Sheet1!$H$5+L1172*[1]Sheet1!$I$5+[1]Sheet1!$L$5,0)))))))</f>
        <v>68.550651000000016</v>
      </c>
    </row>
    <row r="1173" spans="1:15">
      <c r="A1173" s="2">
        <v>40738</v>
      </c>
      <c r="B1173" t="s">
        <v>40</v>
      </c>
      <c r="C1173">
        <v>26</v>
      </c>
      <c r="D1173" s="6" t="s">
        <v>19</v>
      </c>
      <c r="F1173">
        <v>1.96</v>
      </c>
      <c r="J1173">
        <f>SUM(292,351,378,388,397,397)</f>
        <v>2203</v>
      </c>
      <c r="K1173">
        <v>6</v>
      </c>
      <c r="L1173">
        <v>397</v>
      </c>
      <c r="O1173">
        <f>IF(AND(OR(D1173="S. acutus",D1173="S. californicus",D1173="S. tabernaemontani"),G1173=0),E1173*[1]Sheet1!$D$7+[1]Sheet1!$L$7,IF(AND(OR(D1173="S. acutus",D1173="S. tabernaemontani"),G1173&gt;0),E1173*[1]Sheet1!$D$8+N1173*[1]Sheet1!$E$8,IF(AND(D1173="S. californicus",G1173&gt;0),E1173*[1]Sheet1!$D$9+N1173*[1]Sheet1!$E$9,IF(D1173="S. maritimus",F1173*[1]Sheet1!$C$10+E1173*[1]Sheet1!$D$10+G1173*[1]Sheet1!$F$10+[1]Sheet1!$L$10,IF(D1173="S. americanus",F1173*[1]Sheet1!$C$6+E1173*[1]Sheet1!$D$6+[1]Sheet1!$L$6,IF(AND(OR(D1173="T. domingensis",D1173="T. latifolia"),E1173&gt;0),F1173*[1]Sheet1!$C$4+E1173*[1]Sheet1!$D$4+H1173*[1]Sheet1!$J$4+I1173*[1]Sheet1!$K$4+[1]Sheet1!$L$4,IF(AND(OR(D1173="T. domingensis",D1173="T. latifolia"),J1173&gt;0),J1173*[1]Sheet1!$G$5+K1173*[1]Sheet1!$H$5+L1173*[1]Sheet1!$I$5+[1]Sheet1!$L$5,0)))))))</f>
        <v>77.850866000000025</v>
      </c>
    </row>
    <row r="1174" spans="1:15">
      <c r="A1174" s="2">
        <v>40738</v>
      </c>
      <c r="B1174" t="s">
        <v>40</v>
      </c>
      <c r="C1174">
        <v>27</v>
      </c>
      <c r="D1174" s="6" t="s">
        <v>16</v>
      </c>
      <c r="E1174">
        <v>86</v>
      </c>
      <c r="F1174">
        <v>1.01</v>
      </c>
      <c r="G1174">
        <v>0</v>
      </c>
      <c r="N1174">
        <f t="shared" ref="N1174:N1184" si="20">((1/3)*(3.14159)*((F1174/2)^2)*E1174)</f>
        <v>22.96727437283333</v>
      </c>
      <c r="O1174">
        <f>IF(AND(OR(D1174="S. acutus",D1174="S. californicus",D1174="S. tabernaemontani"),G1174=0),E1174*[1]Sheet1!$D$7+[1]Sheet1!$L$7,IF(AND(OR(D1174="S. acutus",D1174="S. tabernaemontani"),G1174&gt;0),E1174*[1]Sheet1!$D$8+N1174*[1]Sheet1!$E$8,IF(AND(D1174="S. californicus",G1174&gt;0),E1174*[1]Sheet1!$D$9+N1174*[1]Sheet1!$E$9,IF(D1174="S. maritimus",F1174*[1]Sheet1!$C$10+E1174*[1]Sheet1!$D$10+G1174*[1]Sheet1!$F$10+[1]Sheet1!$L$10,IF(D1174="S. americanus",F1174*[1]Sheet1!$C$6+E1174*[1]Sheet1!$D$6+[1]Sheet1!$L$6,IF(AND(OR(D1174="T. domingensis",D1174="T. latifolia"),E1174&gt;0),F1174*[1]Sheet1!$C$4+E1174*[1]Sheet1!$D$4+H1174*[1]Sheet1!$J$4+I1174*[1]Sheet1!$K$4+[1]Sheet1!$L$4,IF(AND(OR(D1174="T. domingensis",D1174="T. latifolia"),J1174&gt;0),J1174*[1]Sheet1!$G$5+K1174*[1]Sheet1!$H$5+L1174*[1]Sheet1!$I$5+[1]Sheet1!$L$5,0)))))))</f>
        <v>1.4384329999999999</v>
      </c>
    </row>
    <row r="1175" spans="1:15">
      <c r="A1175" s="2">
        <v>40738</v>
      </c>
      <c r="B1175" t="s">
        <v>40</v>
      </c>
      <c r="C1175">
        <v>27</v>
      </c>
      <c r="D1175" s="6" t="s">
        <v>16</v>
      </c>
      <c r="E1175">
        <v>131</v>
      </c>
      <c r="F1175">
        <v>0.9</v>
      </c>
      <c r="G1175">
        <v>0</v>
      </c>
      <c r="N1175">
        <f t="shared" si="20"/>
        <v>27.779509574999999</v>
      </c>
      <c r="O1175">
        <f>IF(AND(OR(D1175="S. acutus",D1175="S. californicus",D1175="S. tabernaemontani"),G1175=0),E1175*[1]Sheet1!$D$7+[1]Sheet1!$L$7,IF(AND(OR(D1175="S. acutus",D1175="S. tabernaemontani"),G1175&gt;0),E1175*[1]Sheet1!$D$8+N1175*[1]Sheet1!$E$8,IF(AND(D1175="S. californicus",G1175&gt;0),E1175*[1]Sheet1!$D$9+N1175*[1]Sheet1!$E$9,IF(D1175="S. maritimus",F1175*[1]Sheet1!$C$10+E1175*[1]Sheet1!$D$10+G1175*[1]Sheet1!$F$10+[1]Sheet1!$L$10,IF(D1175="S. americanus",F1175*[1]Sheet1!$C$6+E1175*[1]Sheet1!$D$6+[1]Sheet1!$L$6,IF(AND(OR(D1175="T. domingensis",D1175="T. latifolia"),E1175&gt;0),F1175*[1]Sheet1!$C$4+E1175*[1]Sheet1!$D$4+H1175*[1]Sheet1!$J$4+I1175*[1]Sheet1!$K$4+[1]Sheet1!$L$4,IF(AND(OR(D1175="T. domingensis",D1175="T. latifolia"),J1175&gt;0),J1175*[1]Sheet1!$G$5+K1175*[1]Sheet1!$H$5+L1175*[1]Sheet1!$I$5+[1]Sheet1!$L$5,0)))))))</f>
        <v>4.5931579999999999</v>
      </c>
    </row>
    <row r="1176" spans="1:15">
      <c r="A1176" s="2">
        <v>40738</v>
      </c>
      <c r="B1176" t="s">
        <v>40</v>
      </c>
      <c r="C1176">
        <v>27</v>
      </c>
      <c r="D1176" s="6" t="s">
        <v>16</v>
      </c>
      <c r="E1176">
        <v>159</v>
      </c>
      <c r="F1176">
        <v>0.87</v>
      </c>
      <c r="G1176">
        <v>0</v>
      </c>
      <c r="N1176">
        <f t="shared" si="20"/>
        <v>31.50677049075</v>
      </c>
      <c r="O1176">
        <f>IF(AND(OR(D1176="S. acutus",D1176="S. californicus",D1176="S. tabernaemontani"),G1176=0),E1176*[1]Sheet1!$D$7+[1]Sheet1!$L$7,IF(AND(OR(D1176="S. acutus",D1176="S. tabernaemontani"),G1176&gt;0),E1176*[1]Sheet1!$D$8+N1176*[1]Sheet1!$E$8,IF(AND(D1176="S. californicus",G1176&gt;0),E1176*[1]Sheet1!$D$9+N1176*[1]Sheet1!$E$9,IF(D1176="S. maritimus",F1176*[1]Sheet1!$C$10+E1176*[1]Sheet1!$D$10+G1176*[1]Sheet1!$F$10+[1]Sheet1!$L$10,IF(D1176="S. americanus",F1176*[1]Sheet1!$C$6+E1176*[1]Sheet1!$D$6+[1]Sheet1!$L$6,IF(AND(OR(D1176="T. domingensis",D1176="T. latifolia"),E1176&gt;0),F1176*[1]Sheet1!$C$4+E1176*[1]Sheet1!$D$4+H1176*[1]Sheet1!$J$4+I1176*[1]Sheet1!$K$4+[1]Sheet1!$L$4,IF(AND(OR(D1176="T. domingensis",D1176="T. latifolia"),J1176&gt;0),J1176*[1]Sheet1!$G$5+K1176*[1]Sheet1!$H$5+L1176*[1]Sheet1!$I$5+[1]Sheet1!$L$5,0)))))))</f>
        <v>6.5560979999999995</v>
      </c>
    </row>
    <row r="1177" spans="1:15">
      <c r="A1177" s="2">
        <v>40738</v>
      </c>
      <c r="B1177" t="s">
        <v>40</v>
      </c>
      <c r="C1177">
        <v>27</v>
      </c>
      <c r="D1177" s="6" t="s">
        <v>16</v>
      </c>
      <c r="E1177">
        <v>191</v>
      </c>
      <c r="F1177">
        <v>1.1399999999999999</v>
      </c>
      <c r="G1177">
        <v>4</v>
      </c>
      <c r="N1177">
        <f t="shared" si="20"/>
        <v>64.984731626999988</v>
      </c>
      <c r="O1177">
        <f>IF(AND(OR(D1177="S. acutus",D1177="S. californicus",D1177="S. tabernaemontani"),G1177=0),E1177*[1]Sheet1!$D$7+[1]Sheet1!$L$7,IF(AND(OR(D1177="S. acutus",D1177="S. tabernaemontani"),G1177&gt;0),E1177*[1]Sheet1!$D$8+N1177*[1]Sheet1!$E$8,IF(AND(D1177="S. californicus",G1177&gt;0),E1177*[1]Sheet1!$D$9+N1177*[1]Sheet1!$E$9,IF(D1177="S. maritimus",F1177*[1]Sheet1!$C$10+E1177*[1]Sheet1!$D$10+G1177*[1]Sheet1!$F$10+[1]Sheet1!$L$10,IF(D1177="S. americanus",F1177*[1]Sheet1!$C$6+E1177*[1]Sheet1!$D$6+[1]Sheet1!$L$6,IF(AND(OR(D1177="T. domingensis",D1177="T. latifolia"),E1177&gt;0),F1177*[1]Sheet1!$C$4+E1177*[1]Sheet1!$D$4+H1177*[1]Sheet1!$J$4+I1177*[1]Sheet1!$K$4+[1]Sheet1!$L$4,IF(AND(OR(D1177="T. domingensis",D1177="T. latifolia"),J1177&gt;0),J1177*[1]Sheet1!$G$5+K1177*[1]Sheet1!$H$5+L1177*[1]Sheet1!$I$5+[1]Sheet1!$L$5,0)))))))</f>
        <v>9.4474229446478635</v>
      </c>
    </row>
    <row r="1178" spans="1:15">
      <c r="A1178" s="2">
        <v>40738</v>
      </c>
      <c r="B1178" t="s">
        <v>40</v>
      </c>
      <c r="C1178">
        <v>27</v>
      </c>
      <c r="D1178" s="6" t="s">
        <v>16</v>
      </c>
      <c r="E1178">
        <v>202</v>
      </c>
      <c r="F1178">
        <v>0.75</v>
      </c>
      <c r="G1178">
        <v>0</v>
      </c>
      <c r="N1178">
        <f t="shared" si="20"/>
        <v>29.746930312499995</v>
      </c>
      <c r="O1178">
        <f>IF(AND(OR(D1178="S. acutus",D1178="S. californicus",D1178="S. tabernaemontani"),G1178=0),E1178*[1]Sheet1!$D$7+[1]Sheet1!$L$7,IF(AND(OR(D1178="S. acutus",D1178="S. tabernaemontani"),G1178&gt;0),E1178*[1]Sheet1!$D$8+N1178*[1]Sheet1!$E$8,IF(AND(D1178="S. californicus",G1178&gt;0),E1178*[1]Sheet1!$D$9+N1178*[1]Sheet1!$E$9,IF(D1178="S. maritimus",F1178*[1]Sheet1!$C$10+E1178*[1]Sheet1!$D$10+G1178*[1]Sheet1!$F$10+[1]Sheet1!$L$10,IF(D1178="S. americanus",F1178*[1]Sheet1!$C$6+E1178*[1]Sheet1!$D$6+[1]Sheet1!$L$6,IF(AND(OR(D1178="T. domingensis",D1178="T. latifolia"),E1178&gt;0),F1178*[1]Sheet1!$C$4+E1178*[1]Sheet1!$D$4+H1178*[1]Sheet1!$J$4+I1178*[1]Sheet1!$K$4+[1]Sheet1!$L$4,IF(AND(OR(D1178="T. domingensis",D1178="T. latifolia"),J1178&gt;0),J1178*[1]Sheet1!$G$5+K1178*[1]Sheet1!$H$5+L1178*[1]Sheet1!$I$5+[1]Sheet1!$L$5,0)))))))</f>
        <v>9.5706130000000016</v>
      </c>
    </row>
    <row r="1179" spans="1:15">
      <c r="A1179" s="2">
        <v>40738</v>
      </c>
      <c r="B1179" t="s">
        <v>40</v>
      </c>
      <c r="C1179">
        <v>27</v>
      </c>
      <c r="D1179" s="6" t="s">
        <v>16</v>
      </c>
      <c r="E1179">
        <v>221</v>
      </c>
      <c r="F1179">
        <v>0.95</v>
      </c>
      <c r="G1179">
        <v>2</v>
      </c>
      <c r="N1179">
        <f t="shared" si="20"/>
        <v>52.216498289583328</v>
      </c>
      <c r="O1179">
        <f>IF(AND(OR(D1179="S. acutus",D1179="S. californicus",D1179="S. tabernaemontani"),G1179=0),E1179*[1]Sheet1!$D$7+[1]Sheet1!$L$7,IF(AND(OR(D1179="S. acutus",D1179="S. tabernaemontani"),G1179&gt;0),E1179*[1]Sheet1!$D$8+N1179*[1]Sheet1!$E$8,IF(AND(D1179="S. californicus",G1179&gt;0),E1179*[1]Sheet1!$D$9+N1179*[1]Sheet1!$E$9,IF(D1179="S. maritimus",F1179*[1]Sheet1!$C$10+E1179*[1]Sheet1!$D$10+G1179*[1]Sheet1!$F$10+[1]Sheet1!$L$10,IF(D1179="S. americanus",F1179*[1]Sheet1!$C$6+E1179*[1]Sheet1!$D$6+[1]Sheet1!$L$6,IF(AND(OR(D1179="T. domingensis",D1179="T. latifolia"),E1179&gt;0),F1179*[1]Sheet1!$C$4+E1179*[1]Sheet1!$D$4+H1179*[1]Sheet1!$J$4+I1179*[1]Sheet1!$K$4+[1]Sheet1!$L$4,IF(AND(OR(D1179="T. domingensis",D1179="T. latifolia"),J1179&gt;0),J1179*[1]Sheet1!$G$5+K1179*[1]Sheet1!$H$5+L1179*[1]Sheet1!$I$5+[1]Sheet1!$L$5,0)))))))</f>
        <v>10.191487339773044</v>
      </c>
    </row>
    <row r="1180" spans="1:15">
      <c r="A1180" s="2">
        <v>40738</v>
      </c>
      <c r="B1180" t="s">
        <v>40</v>
      </c>
      <c r="C1180">
        <v>27</v>
      </c>
      <c r="D1180" s="6" t="s">
        <v>16</v>
      </c>
      <c r="E1180">
        <v>257</v>
      </c>
      <c r="F1180">
        <v>1.65</v>
      </c>
      <c r="G1180">
        <v>11</v>
      </c>
      <c r="N1180">
        <f t="shared" si="20"/>
        <v>183.17629543124997</v>
      </c>
      <c r="O1180">
        <f>IF(AND(OR(D1180="S. acutus",D1180="S. californicus",D1180="S. tabernaemontani"),G1180=0),E1180*[1]Sheet1!$D$7+[1]Sheet1!$L$7,IF(AND(OR(D1180="S. acutus",D1180="S. tabernaemontani"),G1180&gt;0),E1180*[1]Sheet1!$D$8+N1180*[1]Sheet1!$E$8,IF(AND(D1180="S. californicus",G1180&gt;0),E1180*[1]Sheet1!$D$9+N1180*[1]Sheet1!$E$9,IF(D1180="S. maritimus",F1180*[1]Sheet1!$C$10+E1180*[1]Sheet1!$D$10+G1180*[1]Sheet1!$F$10+[1]Sheet1!$L$10,IF(D1180="S. americanus",F1180*[1]Sheet1!$C$6+E1180*[1]Sheet1!$D$6+[1]Sheet1!$L$6,IF(AND(OR(D1180="T. domingensis",D1180="T. latifolia"),E1180&gt;0),F1180*[1]Sheet1!$C$4+E1180*[1]Sheet1!$D$4+H1180*[1]Sheet1!$J$4+I1180*[1]Sheet1!$K$4+[1]Sheet1!$L$4,IF(AND(OR(D1180="T. domingensis",D1180="T. latifolia"),J1180&gt;0),J1180*[1]Sheet1!$G$5+K1180*[1]Sheet1!$H$5+L1180*[1]Sheet1!$I$5+[1]Sheet1!$L$5,0)))))))</f>
        <v>15.794766271552138</v>
      </c>
    </row>
    <row r="1181" spans="1:15">
      <c r="A1181" s="2">
        <v>40738</v>
      </c>
      <c r="B1181" t="s">
        <v>40</v>
      </c>
      <c r="C1181">
        <v>27</v>
      </c>
      <c r="D1181" s="6" t="s">
        <v>16</v>
      </c>
      <c r="E1181">
        <v>265</v>
      </c>
      <c r="F1181">
        <v>1.04</v>
      </c>
      <c r="G1181">
        <v>9</v>
      </c>
      <c r="N1181">
        <f t="shared" si="20"/>
        <v>75.037924346666657</v>
      </c>
      <c r="O1181">
        <f>IF(AND(OR(D1181="S. acutus",D1181="S. californicus",D1181="S. tabernaemontani"),G1181=0),E1181*[1]Sheet1!$D$7+[1]Sheet1!$L$7,IF(AND(OR(D1181="S. acutus",D1181="S. tabernaemontani"),G1181&gt;0),E1181*[1]Sheet1!$D$8+N1181*[1]Sheet1!$E$8,IF(AND(D1181="S. californicus",G1181&gt;0),E1181*[1]Sheet1!$D$9+N1181*[1]Sheet1!$E$9,IF(D1181="S. maritimus",F1181*[1]Sheet1!$C$10+E1181*[1]Sheet1!$D$10+G1181*[1]Sheet1!$F$10+[1]Sheet1!$L$10,IF(D1181="S. americanus",F1181*[1]Sheet1!$C$6+E1181*[1]Sheet1!$D$6+[1]Sheet1!$L$6,IF(AND(OR(D1181="T. domingensis",D1181="T. latifolia"),E1181&gt;0),F1181*[1]Sheet1!$C$4+E1181*[1]Sheet1!$D$4+H1181*[1]Sheet1!$J$4+I1181*[1]Sheet1!$K$4+[1]Sheet1!$L$4,IF(AND(OR(D1181="T. domingensis",D1181="T. latifolia"),J1181&gt;0),J1181*[1]Sheet1!$G$5+K1181*[1]Sheet1!$H$5+L1181*[1]Sheet1!$I$5+[1]Sheet1!$L$5,0)))))))</f>
        <v>12.620670198094579</v>
      </c>
    </row>
    <row r="1182" spans="1:15">
      <c r="A1182" s="2">
        <v>40738</v>
      </c>
      <c r="B1182" t="s">
        <v>40</v>
      </c>
      <c r="C1182">
        <v>27</v>
      </c>
      <c r="D1182" s="6" t="s">
        <v>16</v>
      </c>
      <c r="E1182">
        <v>290</v>
      </c>
      <c r="F1182">
        <v>1.22</v>
      </c>
      <c r="G1182">
        <v>14</v>
      </c>
      <c r="M1182" t="s">
        <v>41</v>
      </c>
      <c r="N1182">
        <f t="shared" si="20"/>
        <v>113.00194510333331</v>
      </c>
      <c r="O1182">
        <f>IF(AND(OR(D1182="S. acutus",D1182="S. californicus",D1182="S. tabernaemontani"),G1182=0),E1182*[1]Sheet1!$D$7+[1]Sheet1!$L$7,IF(AND(OR(D1182="S. acutus",D1182="S. tabernaemontani"),G1182&gt;0),E1182*[1]Sheet1!$D$8+N1182*[1]Sheet1!$E$8,IF(AND(D1182="S. californicus",G1182&gt;0),E1182*[1]Sheet1!$D$9+N1182*[1]Sheet1!$E$9,IF(D1182="S. maritimus",F1182*[1]Sheet1!$C$10+E1182*[1]Sheet1!$D$10+G1182*[1]Sheet1!$F$10+[1]Sheet1!$L$10,IF(D1182="S. americanus",F1182*[1]Sheet1!$C$6+E1182*[1]Sheet1!$D$6+[1]Sheet1!$L$6,IF(AND(OR(D1182="T. domingensis",D1182="T. latifolia"),E1182&gt;0),F1182*[1]Sheet1!$C$4+E1182*[1]Sheet1!$D$4+H1182*[1]Sheet1!$J$4+I1182*[1]Sheet1!$K$4+[1]Sheet1!$L$4,IF(AND(OR(D1182="T. domingensis",D1182="T. latifolia"),J1182&gt;0),J1182*[1]Sheet1!$G$5+K1182*[1]Sheet1!$H$5+L1182*[1]Sheet1!$I$5+[1]Sheet1!$L$5,0)))))))</f>
        <v>14.805823334077925</v>
      </c>
    </row>
    <row r="1183" spans="1:15">
      <c r="A1183" s="2">
        <v>40738</v>
      </c>
      <c r="B1183" t="s">
        <v>40</v>
      </c>
      <c r="C1183">
        <v>27</v>
      </c>
      <c r="D1183" s="6" t="s">
        <v>16</v>
      </c>
      <c r="E1183">
        <v>296</v>
      </c>
      <c r="F1183">
        <v>1.52</v>
      </c>
      <c r="G1183">
        <v>14</v>
      </c>
      <c r="N1183">
        <f t="shared" si="20"/>
        <v>179.03879522133332</v>
      </c>
      <c r="O1183">
        <f>IF(AND(OR(D1183="S. acutus",D1183="S. californicus",D1183="S. tabernaemontani"),G1183=0),E1183*[1]Sheet1!$D$7+[1]Sheet1!$L$7,IF(AND(OR(D1183="S. acutus",D1183="S. tabernaemontani"),G1183&gt;0),E1183*[1]Sheet1!$D$8+N1183*[1]Sheet1!$E$8,IF(AND(D1183="S. californicus",G1183&gt;0),E1183*[1]Sheet1!$D$9+N1183*[1]Sheet1!$E$9,IF(D1183="S. maritimus",F1183*[1]Sheet1!$C$10+E1183*[1]Sheet1!$D$10+G1183*[1]Sheet1!$F$10+[1]Sheet1!$L$10,IF(D1183="S. americanus",F1183*[1]Sheet1!$C$6+E1183*[1]Sheet1!$D$6+[1]Sheet1!$L$6,IF(AND(OR(D1183="T. domingensis",D1183="T. latifolia"),E1183&gt;0),F1183*[1]Sheet1!$C$4+E1183*[1]Sheet1!$D$4+H1183*[1]Sheet1!$J$4+I1183*[1]Sheet1!$K$4+[1]Sheet1!$L$4,IF(AND(OR(D1183="T. domingensis",D1183="T. latifolia"),J1183&gt;0),J1183*[1]Sheet1!$G$5+K1183*[1]Sheet1!$H$5+L1183*[1]Sheet1!$I$5+[1]Sheet1!$L$5,0)))))))</f>
        <v>17.163311941042632</v>
      </c>
    </row>
    <row r="1184" spans="1:15">
      <c r="A1184" s="2">
        <v>40738</v>
      </c>
      <c r="B1184" t="s">
        <v>40</v>
      </c>
      <c r="C1184">
        <v>27</v>
      </c>
      <c r="D1184" s="6" t="s">
        <v>16</v>
      </c>
      <c r="E1184">
        <v>310</v>
      </c>
      <c r="F1184">
        <v>1.23</v>
      </c>
      <c r="G1184">
        <v>7</v>
      </c>
      <c r="N1184">
        <f t="shared" si="20"/>
        <v>122.78354736749998</v>
      </c>
      <c r="O1184">
        <f>IF(AND(OR(D1184="S. acutus",D1184="S. californicus",D1184="S. tabernaemontani"),G1184=0),E1184*[1]Sheet1!$D$7+[1]Sheet1!$L$7,IF(AND(OR(D1184="S. acutus",D1184="S. tabernaemontani"),G1184&gt;0),E1184*[1]Sheet1!$D$8+N1184*[1]Sheet1!$E$8,IF(AND(D1184="S. californicus",G1184&gt;0),E1184*[1]Sheet1!$D$9+N1184*[1]Sheet1!$E$9,IF(D1184="S. maritimus",F1184*[1]Sheet1!$C$10+E1184*[1]Sheet1!$D$10+G1184*[1]Sheet1!$F$10+[1]Sheet1!$L$10,IF(D1184="S. americanus",F1184*[1]Sheet1!$C$6+E1184*[1]Sheet1!$D$6+[1]Sheet1!$L$6,IF(AND(OR(D1184="T. domingensis",D1184="T. latifolia"),E1184&gt;0),F1184*[1]Sheet1!$C$4+E1184*[1]Sheet1!$D$4+H1184*[1]Sheet1!$J$4+I1184*[1]Sheet1!$K$4+[1]Sheet1!$L$4,IF(AND(OR(D1184="T. domingensis",D1184="T. latifolia"),J1184&gt;0),J1184*[1]Sheet1!$G$5+K1184*[1]Sheet1!$H$5+L1184*[1]Sheet1!$I$5+[1]Sheet1!$L$5,0)))))))</f>
        <v>15.89094173042613</v>
      </c>
    </row>
    <row r="1185" spans="1:15">
      <c r="A1185" s="2">
        <v>40738</v>
      </c>
      <c r="B1185" t="s">
        <v>40</v>
      </c>
      <c r="C1185">
        <v>27</v>
      </c>
      <c r="D1185" s="6" t="s">
        <v>19</v>
      </c>
      <c r="E1185">
        <v>335</v>
      </c>
      <c r="F1185">
        <v>2.52</v>
      </c>
      <c r="H1185">
        <v>41</v>
      </c>
      <c r="I1185">
        <v>2.4</v>
      </c>
      <c r="O1185">
        <f>IF(AND(OR(D1185="S. acutus",D1185="S. californicus",D1185="S. tabernaemontani"),G1185=0),E1185*[1]Sheet1!$D$7+[1]Sheet1!$L$7,IF(AND(OR(D1185="S. acutus",D1185="S. tabernaemontani"),G1185&gt;0),E1185*[1]Sheet1!$D$8+N1185*[1]Sheet1!$E$8,IF(AND(D1185="S. californicus",G1185&gt;0),E1185*[1]Sheet1!$D$9+N1185*[1]Sheet1!$E$9,IF(D1185="S. maritimus",F1185*[1]Sheet1!$C$10+E1185*[1]Sheet1!$D$10+G1185*[1]Sheet1!$F$10+[1]Sheet1!$L$10,IF(D1185="S. americanus",F1185*[1]Sheet1!$C$6+E1185*[1]Sheet1!$D$6+[1]Sheet1!$L$6,IF(AND(OR(D1185="T. domingensis",D1185="T. latifolia"),E1185&gt;0),F1185*[1]Sheet1!$C$4+E1185*[1]Sheet1!$D$4+H1185*[1]Sheet1!$J$4+I1185*[1]Sheet1!$K$4+[1]Sheet1!$L$4,IF(AND(OR(D1185="T. domingensis",D1185="T. latifolia"),J1185&gt;0),J1185*[1]Sheet1!$G$5+K1185*[1]Sheet1!$H$5+L1185*[1]Sheet1!$I$5+[1]Sheet1!$L$5,0)))))))</f>
        <v>132.23608924000001</v>
      </c>
    </row>
    <row r="1186" spans="1:15">
      <c r="A1186" s="2">
        <v>40738</v>
      </c>
      <c r="B1186" t="s">
        <v>40</v>
      </c>
      <c r="C1186">
        <v>27</v>
      </c>
      <c r="D1186" s="6" t="s">
        <v>19</v>
      </c>
      <c r="E1186">
        <v>339</v>
      </c>
      <c r="F1186">
        <v>2.38</v>
      </c>
      <c r="H1186">
        <v>24</v>
      </c>
      <c r="I1186">
        <v>2.1</v>
      </c>
      <c r="O1186">
        <f>IF(AND(OR(D1186="S. acutus",D1186="S. californicus",D1186="S. tabernaemontani"),G1186=0),E1186*[1]Sheet1!$D$7+[1]Sheet1!$L$7,IF(AND(OR(D1186="S. acutus",D1186="S. tabernaemontani"),G1186&gt;0),E1186*[1]Sheet1!$D$8+N1186*[1]Sheet1!$E$8,IF(AND(D1186="S. californicus",G1186&gt;0),E1186*[1]Sheet1!$D$9+N1186*[1]Sheet1!$E$9,IF(D1186="S. maritimus",F1186*[1]Sheet1!$C$10+E1186*[1]Sheet1!$D$10+G1186*[1]Sheet1!$F$10+[1]Sheet1!$L$10,IF(D1186="S. americanus",F1186*[1]Sheet1!$C$6+E1186*[1]Sheet1!$D$6+[1]Sheet1!$L$6,IF(AND(OR(D1186="T. domingensis",D1186="T. latifolia"),E1186&gt;0),F1186*[1]Sheet1!$C$4+E1186*[1]Sheet1!$D$4+H1186*[1]Sheet1!$J$4+I1186*[1]Sheet1!$K$4+[1]Sheet1!$L$4,IF(AND(OR(D1186="T. domingensis",D1186="T. latifolia"),J1186&gt;0),J1186*[1]Sheet1!$G$5+K1186*[1]Sheet1!$H$5+L1186*[1]Sheet1!$I$5+[1]Sheet1!$L$5,0)))))))</f>
        <v>109.69834386000002</v>
      </c>
    </row>
    <row r="1187" spans="1:15">
      <c r="A1187" s="2">
        <v>40738</v>
      </c>
      <c r="B1187" t="s">
        <v>40</v>
      </c>
      <c r="C1187">
        <v>27</v>
      </c>
      <c r="D1187" s="6" t="s">
        <v>19</v>
      </c>
      <c r="E1187">
        <v>341</v>
      </c>
      <c r="F1187">
        <v>2.31</v>
      </c>
      <c r="H1187">
        <v>26</v>
      </c>
      <c r="I1187">
        <v>1.9</v>
      </c>
      <c r="O1187">
        <f>IF(AND(OR(D1187="S. acutus",D1187="S. californicus",D1187="S. tabernaemontani"),G1187=0),E1187*[1]Sheet1!$D$7+[1]Sheet1!$L$7,IF(AND(OR(D1187="S. acutus",D1187="S. tabernaemontani"),G1187&gt;0),E1187*[1]Sheet1!$D$8+N1187*[1]Sheet1!$E$8,IF(AND(D1187="S. californicus",G1187&gt;0),E1187*[1]Sheet1!$D$9+N1187*[1]Sheet1!$E$9,IF(D1187="S. maritimus",F1187*[1]Sheet1!$C$10+E1187*[1]Sheet1!$D$10+G1187*[1]Sheet1!$F$10+[1]Sheet1!$L$10,IF(D1187="S. americanus",F1187*[1]Sheet1!$C$6+E1187*[1]Sheet1!$D$6+[1]Sheet1!$L$6,IF(AND(OR(D1187="T. domingensis",D1187="T. latifolia"),E1187&gt;0),F1187*[1]Sheet1!$C$4+E1187*[1]Sheet1!$D$4+H1187*[1]Sheet1!$J$4+I1187*[1]Sheet1!$K$4+[1]Sheet1!$L$4,IF(AND(OR(D1187="T. domingensis",D1187="T. latifolia"),J1187&gt;0),J1187*[1]Sheet1!$G$5+K1187*[1]Sheet1!$H$5+L1187*[1]Sheet1!$I$5+[1]Sheet1!$L$5,0)))))))</f>
        <v>107.32302386999999</v>
      </c>
    </row>
    <row r="1188" spans="1:15">
      <c r="A1188" s="2">
        <v>40738</v>
      </c>
      <c r="B1188" t="s">
        <v>40</v>
      </c>
      <c r="C1188">
        <v>27</v>
      </c>
      <c r="D1188" s="6" t="s">
        <v>19</v>
      </c>
      <c r="E1188">
        <v>346</v>
      </c>
      <c r="F1188">
        <v>2</v>
      </c>
      <c r="H1188">
        <v>32</v>
      </c>
      <c r="I1188">
        <v>2.4</v>
      </c>
      <c r="O1188">
        <f>IF(AND(OR(D1188="S. acutus",D1188="S. californicus",D1188="S. tabernaemontani"),G1188=0),E1188*[1]Sheet1!$D$7+[1]Sheet1!$L$7,IF(AND(OR(D1188="S. acutus",D1188="S. tabernaemontani"),G1188&gt;0),E1188*[1]Sheet1!$D$8+N1188*[1]Sheet1!$E$8,IF(AND(D1188="S. californicus",G1188&gt;0),E1188*[1]Sheet1!$D$9+N1188*[1]Sheet1!$E$9,IF(D1188="S. maritimus",F1188*[1]Sheet1!$C$10+E1188*[1]Sheet1!$D$10+G1188*[1]Sheet1!$F$10+[1]Sheet1!$L$10,IF(D1188="S. americanus",F1188*[1]Sheet1!$C$6+E1188*[1]Sheet1!$D$6+[1]Sheet1!$L$6,IF(AND(OR(D1188="T. domingensis",D1188="T. latifolia"),E1188&gt;0),F1188*[1]Sheet1!$C$4+E1188*[1]Sheet1!$D$4+H1188*[1]Sheet1!$J$4+I1188*[1]Sheet1!$K$4+[1]Sheet1!$L$4,IF(AND(OR(D1188="T. domingensis",D1188="T. latifolia"),J1188&gt;0),J1188*[1]Sheet1!$G$5+K1188*[1]Sheet1!$H$5+L1188*[1]Sheet1!$I$5+[1]Sheet1!$L$5,0)))))))</f>
        <v>117.1900468</v>
      </c>
    </row>
    <row r="1189" spans="1:15">
      <c r="A1189" s="2">
        <v>40738</v>
      </c>
      <c r="B1189" t="s">
        <v>40</v>
      </c>
      <c r="C1189">
        <v>27</v>
      </c>
      <c r="D1189" s="6" t="s">
        <v>19</v>
      </c>
      <c r="E1189">
        <v>357</v>
      </c>
      <c r="F1189">
        <v>1.84</v>
      </c>
      <c r="H1189">
        <v>28</v>
      </c>
      <c r="I1189">
        <v>2</v>
      </c>
      <c r="O1189">
        <f>IF(AND(OR(D1189="S. acutus",D1189="S. californicus",D1189="S. tabernaemontani"),G1189=0),E1189*[1]Sheet1!$D$7+[1]Sheet1!$L$7,IF(AND(OR(D1189="S. acutus",D1189="S. tabernaemontani"),G1189&gt;0),E1189*[1]Sheet1!$D$8+N1189*[1]Sheet1!$E$8,IF(AND(D1189="S. californicus",G1189&gt;0),E1189*[1]Sheet1!$D$9+N1189*[1]Sheet1!$E$9,IF(D1189="S. maritimus",F1189*[1]Sheet1!$C$10+E1189*[1]Sheet1!$D$10+G1189*[1]Sheet1!$F$10+[1]Sheet1!$L$10,IF(D1189="S. americanus",F1189*[1]Sheet1!$C$6+E1189*[1]Sheet1!$D$6+[1]Sheet1!$L$6,IF(AND(OR(D1189="T. domingensis",D1189="T. latifolia"),E1189&gt;0),F1189*[1]Sheet1!$C$4+E1189*[1]Sheet1!$D$4+H1189*[1]Sheet1!$J$4+I1189*[1]Sheet1!$K$4+[1]Sheet1!$L$4,IF(AND(OR(D1189="T. domingensis",D1189="T. latifolia"),J1189&gt;0),J1189*[1]Sheet1!$G$5+K1189*[1]Sheet1!$H$5+L1189*[1]Sheet1!$I$5+[1]Sheet1!$L$5,0)))))))</f>
        <v>106.73955827999998</v>
      </c>
    </row>
    <row r="1190" spans="1:15">
      <c r="A1190" s="2">
        <v>40738</v>
      </c>
      <c r="B1190" t="s">
        <v>40</v>
      </c>
      <c r="C1190">
        <v>27</v>
      </c>
      <c r="D1190" s="6" t="s">
        <v>19</v>
      </c>
      <c r="E1190">
        <v>358</v>
      </c>
      <c r="F1190">
        <v>1.88</v>
      </c>
      <c r="H1190">
        <v>31</v>
      </c>
      <c r="I1190">
        <v>2.4</v>
      </c>
      <c r="O1190">
        <f>IF(AND(OR(D1190="S. acutus",D1190="S. californicus",D1190="S. tabernaemontani"),G1190=0),E1190*[1]Sheet1!$D$7+[1]Sheet1!$L$7,IF(AND(OR(D1190="S. acutus",D1190="S. tabernaemontani"),G1190&gt;0),E1190*[1]Sheet1!$D$8+N1190*[1]Sheet1!$E$8,IF(AND(D1190="S. californicus",G1190&gt;0),E1190*[1]Sheet1!$D$9+N1190*[1]Sheet1!$E$9,IF(D1190="S. maritimus",F1190*[1]Sheet1!$C$10+E1190*[1]Sheet1!$D$10+G1190*[1]Sheet1!$F$10+[1]Sheet1!$L$10,IF(D1190="S. americanus",F1190*[1]Sheet1!$C$6+E1190*[1]Sheet1!$D$6+[1]Sheet1!$L$6,IF(AND(OR(D1190="T. domingensis",D1190="T. latifolia"),E1190&gt;0),F1190*[1]Sheet1!$C$4+E1190*[1]Sheet1!$D$4+H1190*[1]Sheet1!$J$4+I1190*[1]Sheet1!$K$4+[1]Sheet1!$L$4,IF(AND(OR(D1190="T. domingensis",D1190="T. latifolia"),J1190&gt;0),J1190*[1]Sheet1!$G$5+K1190*[1]Sheet1!$H$5+L1190*[1]Sheet1!$I$5+[1]Sheet1!$L$5,0)))))))</f>
        <v>117.59487296</v>
      </c>
    </row>
    <row r="1191" spans="1:15">
      <c r="A1191" s="2">
        <v>40738</v>
      </c>
      <c r="B1191" t="s">
        <v>40</v>
      </c>
      <c r="C1191">
        <v>27</v>
      </c>
      <c r="D1191" s="6" t="s">
        <v>19</v>
      </c>
      <c r="E1191">
        <v>364</v>
      </c>
      <c r="F1191">
        <v>2.2999999999999998</v>
      </c>
      <c r="H1191">
        <v>26</v>
      </c>
      <c r="I1191">
        <v>2.4</v>
      </c>
      <c r="O1191">
        <f>IF(AND(OR(D1191="S. acutus",D1191="S. californicus",D1191="S. tabernaemontani"),G1191=0),E1191*[1]Sheet1!$D$7+[1]Sheet1!$L$7,IF(AND(OR(D1191="S. acutus",D1191="S. tabernaemontani"),G1191&gt;0),E1191*[1]Sheet1!$D$8+N1191*[1]Sheet1!$E$8,IF(AND(D1191="S. californicus",G1191&gt;0),E1191*[1]Sheet1!$D$9+N1191*[1]Sheet1!$E$9,IF(D1191="S. maritimus",F1191*[1]Sheet1!$C$10+E1191*[1]Sheet1!$D$10+G1191*[1]Sheet1!$F$10+[1]Sheet1!$L$10,IF(D1191="S. americanus",F1191*[1]Sheet1!$C$6+E1191*[1]Sheet1!$D$6+[1]Sheet1!$L$6,IF(AND(OR(D1191="T. domingensis",D1191="T. latifolia"),E1191&gt;0),F1191*[1]Sheet1!$C$4+E1191*[1]Sheet1!$D$4+H1191*[1]Sheet1!$J$4+I1191*[1]Sheet1!$K$4+[1]Sheet1!$L$4,IF(AND(OR(D1191="T. domingensis",D1191="T. latifolia"),J1191&gt;0),J1191*[1]Sheet1!$G$5+K1191*[1]Sheet1!$H$5+L1191*[1]Sheet1!$I$5+[1]Sheet1!$L$5,0)))))))</f>
        <v>122.85753429999997</v>
      </c>
    </row>
    <row r="1192" spans="1:15">
      <c r="A1192" s="2">
        <v>40738</v>
      </c>
      <c r="B1192" t="s">
        <v>40</v>
      </c>
      <c r="C1192">
        <v>27</v>
      </c>
      <c r="D1192" s="6" t="s">
        <v>19</v>
      </c>
      <c r="F1192">
        <v>0.75</v>
      </c>
      <c r="J1192">
        <f>SUM(282,331,322)</f>
        <v>935</v>
      </c>
      <c r="K1192">
        <v>3</v>
      </c>
      <c r="L1192">
        <v>322</v>
      </c>
      <c r="O1192">
        <f>IF(AND(OR(D1192="S. acutus",D1192="S. californicus",D1192="S. tabernaemontani"),G1192=0),E1192*[1]Sheet1!$D$7+[1]Sheet1!$L$7,IF(AND(OR(D1192="S. acutus",D1192="S. tabernaemontani"),G1192&gt;0),E1192*[1]Sheet1!$D$8+N1192*[1]Sheet1!$E$8,IF(AND(D1192="S. californicus",G1192&gt;0),E1192*[1]Sheet1!$D$9+N1192*[1]Sheet1!$E$9,IF(D1192="S. maritimus",F1192*[1]Sheet1!$C$10+E1192*[1]Sheet1!$D$10+G1192*[1]Sheet1!$F$10+[1]Sheet1!$L$10,IF(D1192="S. americanus",F1192*[1]Sheet1!$C$6+E1192*[1]Sheet1!$D$6+[1]Sheet1!$L$6,IF(AND(OR(D1192="T. domingensis",D1192="T. latifolia"),E1192&gt;0),F1192*[1]Sheet1!$C$4+E1192*[1]Sheet1!$D$4+H1192*[1]Sheet1!$J$4+I1192*[1]Sheet1!$K$4+[1]Sheet1!$L$4,IF(AND(OR(D1192="T. domingensis",D1192="T. latifolia"),J1192&gt;0),J1192*[1]Sheet1!$G$5+K1192*[1]Sheet1!$H$5+L1192*[1]Sheet1!$I$5+[1]Sheet1!$L$5,0)))))))</f>
        <v>2.6299600000000041</v>
      </c>
    </row>
    <row r="1193" spans="1:15">
      <c r="A1193" s="2">
        <v>40738</v>
      </c>
      <c r="B1193" t="s">
        <v>40</v>
      </c>
      <c r="C1193">
        <v>27</v>
      </c>
      <c r="D1193" s="6" t="s">
        <v>19</v>
      </c>
      <c r="F1193">
        <v>1.1200000000000001</v>
      </c>
      <c r="J1193">
        <f>SUM(160,280,321,312)</f>
        <v>1073</v>
      </c>
      <c r="K1193">
        <v>4</v>
      </c>
      <c r="L1193">
        <v>321</v>
      </c>
      <c r="O1193">
        <f>IF(AND(OR(D1193="S. acutus",D1193="S. californicus",D1193="S. tabernaemontani"),G1193=0),E1193*[1]Sheet1!$D$7+[1]Sheet1!$L$7,IF(AND(OR(D1193="S. acutus",D1193="S. tabernaemontani"),G1193&gt;0),E1193*[1]Sheet1!$D$8+N1193*[1]Sheet1!$E$8,IF(AND(D1193="S. californicus",G1193&gt;0),E1193*[1]Sheet1!$D$9+N1193*[1]Sheet1!$E$9,IF(D1193="S. maritimus",F1193*[1]Sheet1!$C$10+E1193*[1]Sheet1!$D$10+G1193*[1]Sheet1!$F$10+[1]Sheet1!$L$10,IF(D1193="S. americanus",F1193*[1]Sheet1!$C$6+E1193*[1]Sheet1!$D$6+[1]Sheet1!$L$6,IF(AND(OR(D1193="T. domingensis",D1193="T. latifolia"),E1193&gt;0),F1193*[1]Sheet1!$C$4+E1193*[1]Sheet1!$D$4+H1193*[1]Sheet1!$J$4+I1193*[1]Sheet1!$K$4+[1]Sheet1!$L$4,IF(AND(OR(D1193="T. domingensis",D1193="T. latifolia"),J1193&gt;0),J1193*[1]Sheet1!$G$5+K1193*[1]Sheet1!$H$5+L1193*[1]Sheet1!$I$5+[1]Sheet1!$L$5,0)))))))</f>
        <v>8.8470420000000232</v>
      </c>
    </row>
    <row r="1194" spans="1:15">
      <c r="A1194" s="2">
        <v>40738</v>
      </c>
      <c r="B1194" t="s">
        <v>40</v>
      </c>
      <c r="C1194">
        <v>27</v>
      </c>
      <c r="D1194" s="7" t="s">
        <v>19</v>
      </c>
      <c r="F1194">
        <v>2.15</v>
      </c>
      <c r="J1194">
        <f>SUM(254,329,362,387)</f>
        <v>1332</v>
      </c>
      <c r="K1194">
        <v>4</v>
      </c>
      <c r="L1194">
        <v>387</v>
      </c>
      <c r="O1194">
        <f>IF(AND(OR(D1194="S. acutus",D1194="S. californicus",D1194="S. tabernaemontani"),G1194=0),E1194*[1]Sheet1!$D$7+[1]Sheet1!$L$7,IF(AND(OR(D1194="S. acutus",D1194="S. tabernaemontani"),G1194&gt;0),E1194*[1]Sheet1!$D$8+N1194*[1]Sheet1!$E$8,IF(AND(D1194="S. californicus",G1194&gt;0),E1194*[1]Sheet1!$D$9+N1194*[1]Sheet1!$E$9,IF(D1194="S. maritimus",F1194*[1]Sheet1!$C$10+E1194*[1]Sheet1!$D$10+G1194*[1]Sheet1!$F$10+[1]Sheet1!$L$10,IF(D1194="S. americanus",F1194*[1]Sheet1!$C$6+E1194*[1]Sheet1!$D$6+[1]Sheet1!$L$6,IF(AND(OR(D1194="T. domingensis",D1194="T. latifolia"),E1194&gt;0),F1194*[1]Sheet1!$C$4+E1194*[1]Sheet1!$D$4+H1194*[1]Sheet1!$J$4+I1194*[1]Sheet1!$K$4+[1]Sheet1!$L$4,IF(AND(OR(D1194="T. domingensis",D1194="T. latifolia"),J1194&gt;0),J1194*[1]Sheet1!$G$5+K1194*[1]Sheet1!$H$5+L1194*[1]Sheet1!$I$5+[1]Sheet1!$L$5,0)))))))</f>
        <v>13.24741700000002</v>
      </c>
    </row>
    <row r="1195" spans="1:15">
      <c r="A1195" s="2">
        <v>40738</v>
      </c>
      <c r="B1195" t="s">
        <v>40</v>
      </c>
      <c r="C1195">
        <v>27</v>
      </c>
      <c r="D1195" s="7" t="s">
        <v>19</v>
      </c>
      <c r="F1195">
        <v>1.2</v>
      </c>
      <c r="J1195">
        <f>SUM(242,281,305,321)</f>
        <v>1149</v>
      </c>
      <c r="K1195">
        <v>4</v>
      </c>
      <c r="L1195">
        <v>321</v>
      </c>
      <c r="O1195">
        <f>IF(AND(OR(D1195="S. acutus",D1195="S. californicus",D1195="S. tabernaemontani"),G1195=0),E1195*[1]Sheet1!$D$7+[1]Sheet1!$L$7,IF(AND(OR(D1195="S. acutus",D1195="S. tabernaemontani"),G1195&gt;0),E1195*[1]Sheet1!$D$8+N1195*[1]Sheet1!$E$8,IF(AND(D1195="S. californicus",G1195&gt;0),E1195*[1]Sheet1!$D$9+N1195*[1]Sheet1!$E$9,IF(D1195="S. maritimus",F1195*[1]Sheet1!$C$10+E1195*[1]Sheet1!$D$10+G1195*[1]Sheet1!$F$10+[1]Sheet1!$L$10,IF(D1195="S. americanus",F1195*[1]Sheet1!$C$6+E1195*[1]Sheet1!$D$6+[1]Sheet1!$L$6,IF(AND(OR(D1195="T. domingensis",D1195="T. latifolia"),E1195&gt;0),F1195*[1]Sheet1!$C$4+E1195*[1]Sheet1!$D$4+H1195*[1]Sheet1!$J$4+I1195*[1]Sheet1!$K$4+[1]Sheet1!$L$4,IF(AND(OR(D1195="T. domingensis",D1195="T. latifolia"),J1195&gt;0),J1195*[1]Sheet1!$G$5+K1195*[1]Sheet1!$H$5+L1195*[1]Sheet1!$I$5+[1]Sheet1!$L$5,0)))))))</f>
        <v>15.972422000000016</v>
      </c>
    </row>
    <row r="1196" spans="1:15">
      <c r="A1196" s="2">
        <v>40738</v>
      </c>
      <c r="B1196" t="s">
        <v>40</v>
      </c>
      <c r="C1196">
        <v>27</v>
      </c>
      <c r="D1196" s="6" t="s">
        <v>19</v>
      </c>
      <c r="F1196">
        <v>1.99</v>
      </c>
      <c r="J1196">
        <f>SUM(284,322,370,376)</f>
        <v>1352</v>
      </c>
      <c r="K1196">
        <v>4</v>
      </c>
      <c r="L1196">
        <v>376</v>
      </c>
      <c r="O1196">
        <f>IF(AND(OR(D1196="S. acutus",D1196="S. californicus",D1196="S. tabernaemontani"),G1196=0),E1196*[1]Sheet1!$D$7+[1]Sheet1!$L$7,IF(AND(OR(D1196="S. acutus",D1196="S. tabernaemontani"),G1196&gt;0),E1196*[1]Sheet1!$D$8+N1196*[1]Sheet1!$E$8,IF(AND(D1196="S. californicus",G1196&gt;0),E1196*[1]Sheet1!$D$9+N1196*[1]Sheet1!$E$9,IF(D1196="S. maritimus",F1196*[1]Sheet1!$C$10+E1196*[1]Sheet1!$D$10+G1196*[1]Sheet1!$F$10+[1]Sheet1!$L$10,IF(D1196="S. americanus",F1196*[1]Sheet1!$C$6+E1196*[1]Sheet1!$D$6+[1]Sheet1!$L$6,IF(AND(OR(D1196="T. domingensis",D1196="T. latifolia"),E1196&gt;0),F1196*[1]Sheet1!$C$4+E1196*[1]Sheet1!$D$4+H1196*[1]Sheet1!$J$4+I1196*[1]Sheet1!$K$4+[1]Sheet1!$L$4,IF(AND(OR(D1196="T. domingensis",D1196="T. latifolia"),J1196&gt;0),J1196*[1]Sheet1!$G$5+K1196*[1]Sheet1!$H$5+L1196*[1]Sheet1!$I$5+[1]Sheet1!$L$5,0)))))))</f>
        <v>18.436212000000005</v>
      </c>
    </row>
    <row r="1197" spans="1:15">
      <c r="A1197" s="2">
        <v>40738</v>
      </c>
      <c r="B1197" t="s">
        <v>40</v>
      </c>
      <c r="C1197">
        <v>27</v>
      </c>
      <c r="D1197" s="6" t="s">
        <v>19</v>
      </c>
      <c r="F1197">
        <v>1.64</v>
      </c>
      <c r="J1197">
        <f>SUM(272,277,325,330,348)</f>
        <v>1552</v>
      </c>
      <c r="K1197">
        <v>5</v>
      </c>
      <c r="L1197">
        <v>348</v>
      </c>
      <c r="O1197">
        <f>IF(AND(OR(D1197="S. acutus",D1197="S. californicus",D1197="S. tabernaemontani"),G1197=0),E1197*[1]Sheet1!$D$7+[1]Sheet1!$L$7,IF(AND(OR(D1197="S. acutus",D1197="S. tabernaemontani"),G1197&gt;0),E1197*[1]Sheet1!$D$8+N1197*[1]Sheet1!$E$8,IF(AND(D1197="S. californicus",G1197&gt;0),E1197*[1]Sheet1!$D$9+N1197*[1]Sheet1!$E$9,IF(D1197="S. maritimus",F1197*[1]Sheet1!$C$10+E1197*[1]Sheet1!$D$10+G1197*[1]Sheet1!$F$10+[1]Sheet1!$L$10,IF(D1197="S. americanus",F1197*[1]Sheet1!$C$6+E1197*[1]Sheet1!$D$6+[1]Sheet1!$L$6,IF(AND(OR(D1197="T. domingensis",D1197="T. latifolia"),E1197&gt;0),F1197*[1]Sheet1!$C$4+E1197*[1]Sheet1!$D$4+H1197*[1]Sheet1!$J$4+I1197*[1]Sheet1!$K$4+[1]Sheet1!$L$4,IF(AND(OR(D1197="T. domingensis",D1197="T. latifolia"),J1197&gt;0),J1197*[1]Sheet1!$G$5+K1197*[1]Sheet1!$H$5+L1197*[1]Sheet1!$I$5+[1]Sheet1!$L$5,0)))))))</f>
        <v>38.599719000000029</v>
      </c>
    </row>
    <row r="1198" spans="1:15">
      <c r="A1198" s="2">
        <v>40738</v>
      </c>
      <c r="B1198" t="s">
        <v>40</v>
      </c>
      <c r="C1198">
        <v>27</v>
      </c>
      <c r="D1198" s="7" t="s">
        <v>19</v>
      </c>
      <c r="F1198">
        <v>1.86</v>
      </c>
      <c r="J1198">
        <f>SUM(263,342,367,381,396)</f>
        <v>1749</v>
      </c>
      <c r="K1198">
        <v>5</v>
      </c>
      <c r="L1198">
        <v>396</v>
      </c>
      <c r="O1198">
        <f>IF(AND(OR(D1198="S. acutus",D1198="S. californicus",D1198="S. tabernaemontani"),G1198=0),E1198*[1]Sheet1!$D$7+[1]Sheet1!$L$7,IF(AND(OR(D1198="S. acutus",D1198="S. tabernaemontani"),G1198&gt;0),E1198*[1]Sheet1!$D$8+N1198*[1]Sheet1!$E$8,IF(AND(D1198="S. californicus",G1198&gt;0),E1198*[1]Sheet1!$D$9+N1198*[1]Sheet1!$E$9,IF(D1198="S. maritimus",F1198*[1]Sheet1!$C$10+E1198*[1]Sheet1!$D$10+G1198*[1]Sheet1!$F$10+[1]Sheet1!$L$10,IF(D1198="S. americanus",F1198*[1]Sheet1!$C$6+E1198*[1]Sheet1!$D$6+[1]Sheet1!$L$6,IF(AND(OR(D1198="T. domingensis",D1198="T. latifolia"),E1198&gt;0),F1198*[1]Sheet1!$C$4+E1198*[1]Sheet1!$D$4+H1198*[1]Sheet1!$J$4+I1198*[1]Sheet1!$K$4+[1]Sheet1!$L$4,IF(AND(OR(D1198="T. domingensis",D1198="T. latifolia"),J1198&gt;0),J1198*[1]Sheet1!$G$5+K1198*[1]Sheet1!$H$5+L1198*[1]Sheet1!$I$5+[1]Sheet1!$L$5,0)))))))</f>
        <v>42.609694000000012</v>
      </c>
    </row>
    <row r="1199" spans="1:15">
      <c r="A1199" s="2">
        <v>40738</v>
      </c>
      <c r="B1199" t="s">
        <v>40</v>
      </c>
      <c r="C1199">
        <v>27</v>
      </c>
      <c r="D1199" s="7" t="s">
        <v>19</v>
      </c>
      <c r="F1199">
        <v>3.4</v>
      </c>
      <c r="J1199">
        <f>SUM(281,342,372,384,307,321)</f>
        <v>2007</v>
      </c>
      <c r="K1199">
        <v>6</v>
      </c>
      <c r="L1199">
        <v>384</v>
      </c>
      <c r="O1199">
        <f>IF(AND(OR(D1199="S. acutus",D1199="S. californicus",D1199="S. tabernaemontani"),G1199=0),E1199*[1]Sheet1!$D$7+[1]Sheet1!$L$7,IF(AND(OR(D1199="S. acutus",D1199="S. tabernaemontani"),G1199&gt;0),E1199*[1]Sheet1!$D$8+N1199*[1]Sheet1!$E$8,IF(AND(D1199="S. californicus",G1199&gt;0),E1199*[1]Sheet1!$D$9+N1199*[1]Sheet1!$E$9,IF(D1199="S. maritimus",F1199*[1]Sheet1!$C$10+E1199*[1]Sheet1!$D$10+G1199*[1]Sheet1!$F$10+[1]Sheet1!$L$10,IF(D1199="S. americanus",F1199*[1]Sheet1!$C$6+E1199*[1]Sheet1!$D$6+[1]Sheet1!$L$6,IF(AND(OR(D1199="T. domingensis",D1199="T. latifolia"),E1199&gt;0),F1199*[1]Sheet1!$C$4+E1199*[1]Sheet1!$D$4+H1199*[1]Sheet1!$J$4+I1199*[1]Sheet1!$K$4+[1]Sheet1!$L$4,IF(AND(OR(D1199="T. domingensis",D1199="T. latifolia"),J1199&gt;0),J1199*[1]Sheet1!$G$5+K1199*[1]Sheet1!$H$5+L1199*[1]Sheet1!$I$5+[1]Sheet1!$L$5,0)))))))</f>
        <v>63.391071000000018</v>
      </c>
    </row>
    <row r="1200" spans="1:15">
      <c r="A1200" s="2">
        <v>40724</v>
      </c>
      <c r="B1200" t="s">
        <v>11</v>
      </c>
      <c r="C1200">
        <v>9</v>
      </c>
      <c r="D1200" s="6" t="s">
        <v>12</v>
      </c>
      <c r="E1200">
        <v>141</v>
      </c>
      <c r="F1200">
        <v>1.93</v>
      </c>
      <c r="G1200">
        <v>0</v>
      </c>
      <c r="M1200" t="s">
        <v>20</v>
      </c>
      <c r="N1200">
        <f t="shared" ref="N1200:N1207" si="21">(1/3)*(3.14159)*((F1200/2)^2)*E1200</f>
        <v>137.49977594424999</v>
      </c>
      <c r="O1200">
        <f>IF(AND(OR(D1200="S. acutus",D1200="S. californicus",D1200="S. tabernaemontani"),G1200=0),E1200*[1]Sheet1!$D$7+[1]Sheet1!$L$7,IF(AND(OR(D1200="S. acutus",D1200="S. tabernaemontani"),G1200&gt;0),E1200*[1]Sheet1!$D$8+N1200*[1]Sheet1!$E$8,IF(AND(D1200="S. californicus",G1200&gt;0),E1200*[1]Sheet1!$D$9+N1200*[1]Sheet1!$E$9,IF(D1200="S. maritimus",F1200*[1]Sheet1!$C$10+E1200*[1]Sheet1!$D$10+G1200*[1]Sheet1!$F$10+[1]Sheet1!$L$10,IF(D1200="S. americanus",F1200*[1]Sheet1!$C$6+E1200*[1]Sheet1!$D$6+[1]Sheet1!$L$6,IF(AND(OR(D1200="T. domingensis",D1200="T. latifolia"),E1200&gt;0),F1200*[1]Sheet1!$C$4+E1200*[1]Sheet1!$D$4+H1200*[1]Sheet1!$J$4+I1200*[1]Sheet1!$K$4+[1]Sheet1!$L$4,IF(AND(OR(D1200="T. domingensis",D1200="T. latifolia"),J1200&gt;0),J1200*[1]Sheet1!$G$5+K1200*[1]Sheet1!$H$5+L1200*[1]Sheet1!$I$5+[1]Sheet1!$L$5,0)))))))</f>
        <v>5.2942080000000002</v>
      </c>
    </row>
    <row r="1201" spans="1:15">
      <c r="A1201" s="2">
        <v>40724</v>
      </c>
      <c r="B1201" t="s">
        <v>11</v>
      </c>
      <c r="C1201">
        <v>9</v>
      </c>
      <c r="D1201" s="6" t="s">
        <v>12</v>
      </c>
      <c r="E1201">
        <v>230</v>
      </c>
      <c r="F1201">
        <v>0.9</v>
      </c>
      <c r="G1201">
        <v>0</v>
      </c>
      <c r="M1201" t="s">
        <v>20</v>
      </c>
      <c r="N1201">
        <f t="shared" si="21"/>
        <v>48.773184749999999</v>
      </c>
      <c r="O1201">
        <f>IF(AND(OR(D1201="S. acutus",D1201="S. californicus",D1201="S. tabernaemontani"),G1201=0),E1201*[1]Sheet1!$D$7+[1]Sheet1!$L$7,IF(AND(OR(D1201="S. acutus",D1201="S. tabernaemontani"),G1201&gt;0),E1201*[1]Sheet1!$D$8+N1201*[1]Sheet1!$E$8,IF(AND(D1201="S. californicus",G1201&gt;0),E1201*[1]Sheet1!$D$9+N1201*[1]Sheet1!$E$9,IF(D1201="S. maritimus",F1201*[1]Sheet1!$C$10+E1201*[1]Sheet1!$D$10+G1201*[1]Sheet1!$F$10+[1]Sheet1!$L$10,IF(D1201="S. americanus",F1201*[1]Sheet1!$C$6+E1201*[1]Sheet1!$D$6+[1]Sheet1!$L$6,IF(AND(OR(D1201="T. domingensis",D1201="T. latifolia"),E1201&gt;0),F1201*[1]Sheet1!$C$4+E1201*[1]Sheet1!$D$4+H1201*[1]Sheet1!$J$4+I1201*[1]Sheet1!$K$4+[1]Sheet1!$L$4,IF(AND(OR(D1201="T. domingensis",D1201="T. latifolia"),J1201&gt;0),J1201*[1]Sheet1!$G$5+K1201*[1]Sheet1!$H$5+L1201*[1]Sheet1!$I$5+[1]Sheet1!$L$5,0)))))))</f>
        <v>11.533553000000001</v>
      </c>
    </row>
    <row r="1202" spans="1:15">
      <c r="A1202" s="2">
        <v>40724</v>
      </c>
      <c r="B1202" t="s">
        <v>11</v>
      </c>
      <c r="C1202">
        <v>9</v>
      </c>
      <c r="D1202" s="6" t="s">
        <v>12</v>
      </c>
      <c r="E1202">
        <v>256</v>
      </c>
      <c r="F1202">
        <v>0.65</v>
      </c>
      <c r="G1202">
        <v>6</v>
      </c>
      <c r="M1202" t="s">
        <v>20</v>
      </c>
      <c r="N1202">
        <f t="shared" si="21"/>
        <v>28.316197866666666</v>
      </c>
      <c r="O1202">
        <f>IF(AND(OR(D1202="S. acutus",D1202="S. californicus",D1202="S. tabernaemontani"),G1202=0),E1202*[1]Sheet1!$D$7+[1]Sheet1!$L$7,IF(AND(OR(D1202="S. acutus",D1202="S. tabernaemontani"),G1202&gt;0),E1202*[1]Sheet1!$D$8+N1202*[1]Sheet1!$E$8,IF(AND(D1202="S. californicus",G1202&gt;0),E1202*[1]Sheet1!$D$9+N1202*[1]Sheet1!$E$9,IF(D1202="S. maritimus",F1202*[1]Sheet1!$C$10+E1202*[1]Sheet1!$D$10+G1202*[1]Sheet1!$F$10+[1]Sheet1!$L$10,IF(D1202="S. americanus",F1202*[1]Sheet1!$C$6+E1202*[1]Sheet1!$D$6+[1]Sheet1!$L$6,IF(AND(OR(D1202="T. domingensis",D1202="T. latifolia"),E1202&gt;0),F1202*[1]Sheet1!$C$4+E1202*[1]Sheet1!$D$4+H1202*[1]Sheet1!$J$4+I1202*[1]Sheet1!$K$4+[1]Sheet1!$L$4,IF(AND(OR(D1202="T. domingensis",D1202="T. latifolia"),J1202&gt;0),J1202*[1]Sheet1!$G$5+K1202*[1]Sheet1!$H$5+L1202*[1]Sheet1!$I$5+[1]Sheet1!$L$5,0)))))))</f>
        <v>10.769624655884748</v>
      </c>
    </row>
    <row r="1203" spans="1:15">
      <c r="A1203" s="2">
        <v>40724</v>
      </c>
      <c r="B1203" t="s">
        <v>11</v>
      </c>
      <c r="C1203">
        <v>9</v>
      </c>
      <c r="D1203" s="6" t="s">
        <v>12</v>
      </c>
      <c r="E1203">
        <v>270</v>
      </c>
      <c r="F1203">
        <v>1.75</v>
      </c>
      <c r="G1203">
        <v>4</v>
      </c>
      <c r="M1203" t="s">
        <v>20</v>
      </c>
      <c r="N1203">
        <f t="shared" si="21"/>
        <v>216.47518593749999</v>
      </c>
      <c r="O1203">
        <f>IF(AND(OR(D1203="S. acutus",D1203="S. californicus",D1203="S. tabernaemontani"),G1203=0),E1203*[1]Sheet1!$D$7+[1]Sheet1!$L$7,IF(AND(OR(D1203="S. acutus",D1203="S. tabernaemontani"),G1203&gt;0),E1203*[1]Sheet1!$D$8+N1203*[1]Sheet1!$E$8,IF(AND(D1203="S. californicus",G1203&gt;0),E1203*[1]Sheet1!$D$9+N1203*[1]Sheet1!$E$9,IF(D1203="S. maritimus",F1203*[1]Sheet1!$C$10+E1203*[1]Sheet1!$D$10+G1203*[1]Sheet1!$F$10+[1]Sheet1!$L$10,IF(D1203="S. americanus",F1203*[1]Sheet1!$C$6+E1203*[1]Sheet1!$D$6+[1]Sheet1!$L$6,IF(AND(OR(D1203="T. domingensis",D1203="T. latifolia"),E1203&gt;0),F1203*[1]Sheet1!$C$4+E1203*[1]Sheet1!$D$4+H1203*[1]Sheet1!$J$4+I1203*[1]Sheet1!$K$4+[1]Sheet1!$L$4,IF(AND(OR(D1203="T. domingensis",D1203="T. latifolia"),J1203&gt;0),J1203*[1]Sheet1!$G$5+K1203*[1]Sheet1!$H$5+L1203*[1]Sheet1!$I$5+[1]Sheet1!$L$5,0)))))))</f>
        <v>17.367612814854844</v>
      </c>
    </row>
    <row r="1204" spans="1:15">
      <c r="A1204" s="2">
        <v>40724</v>
      </c>
      <c r="B1204" t="s">
        <v>11</v>
      </c>
      <c r="C1204">
        <v>9</v>
      </c>
      <c r="D1204" s="6" t="s">
        <v>12</v>
      </c>
      <c r="E1204">
        <v>280</v>
      </c>
      <c r="F1204">
        <v>1.4</v>
      </c>
      <c r="G1204">
        <v>4</v>
      </c>
      <c r="M1204" t="s">
        <v>20</v>
      </c>
      <c r="N1204">
        <f t="shared" si="21"/>
        <v>143.67538266666662</v>
      </c>
      <c r="O1204">
        <f>IF(AND(OR(D1204="S. acutus",D1204="S. californicus",D1204="S. tabernaemontani"),G1204=0),E1204*[1]Sheet1!$D$7+[1]Sheet1!$L$7,IF(AND(OR(D1204="S. acutus",D1204="S. tabernaemontani"),G1204&gt;0),E1204*[1]Sheet1!$D$8+N1204*[1]Sheet1!$E$8,IF(AND(D1204="S. californicus",G1204&gt;0),E1204*[1]Sheet1!$D$9+N1204*[1]Sheet1!$E$9,IF(D1204="S. maritimus",F1204*[1]Sheet1!$C$10+E1204*[1]Sheet1!$D$10+G1204*[1]Sheet1!$F$10+[1]Sheet1!$L$10,IF(D1204="S. americanus",F1204*[1]Sheet1!$C$6+E1204*[1]Sheet1!$D$6+[1]Sheet1!$L$6,IF(AND(OR(D1204="T. domingensis",D1204="T. latifolia"),E1204&gt;0),F1204*[1]Sheet1!$C$4+E1204*[1]Sheet1!$D$4+H1204*[1]Sheet1!$J$4+I1204*[1]Sheet1!$K$4+[1]Sheet1!$L$4,IF(AND(OR(D1204="T. domingensis",D1204="T. latifolia"),J1204&gt;0),J1204*[1]Sheet1!$G$5+K1204*[1]Sheet1!$H$5+L1204*[1]Sheet1!$I$5+[1]Sheet1!$L$5,0)))))))</f>
        <v>15.408464629711066</v>
      </c>
    </row>
    <row r="1205" spans="1:15">
      <c r="A1205" s="2">
        <v>40724</v>
      </c>
      <c r="B1205" t="s">
        <v>11</v>
      </c>
      <c r="C1205">
        <v>9</v>
      </c>
      <c r="D1205" s="6" t="s">
        <v>12</v>
      </c>
      <c r="E1205">
        <v>295</v>
      </c>
      <c r="F1205">
        <v>1.5</v>
      </c>
      <c r="G1205">
        <v>9</v>
      </c>
      <c r="M1205" t="s">
        <v>20</v>
      </c>
      <c r="N1205">
        <f t="shared" si="21"/>
        <v>173.76919687499998</v>
      </c>
      <c r="O1205">
        <f>IF(AND(OR(D1205="S. acutus",D1205="S. californicus",D1205="S. tabernaemontani"),G1205=0),E1205*[1]Sheet1!$D$7+[1]Sheet1!$L$7,IF(AND(OR(D1205="S. acutus",D1205="S. tabernaemontani"),G1205&gt;0),E1205*[1]Sheet1!$D$8+N1205*[1]Sheet1!$E$8,IF(AND(D1205="S. californicus",G1205&gt;0),E1205*[1]Sheet1!$D$9+N1205*[1]Sheet1!$E$9,IF(D1205="S. maritimus",F1205*[1]Sheet1!$C$10+E1205*[1]Sheet1!$D$10+G1205*[1]Sheet1!$F$10+[1]Sheet1!$L$10,IF(D1205="S. americanus",F1205*[1]Sheet1!$C$6+E1205*[1]Sheet1!$D$6+[1]Sheet1!$L$6,IF(AND(OR(D1205="T. domingensis",D1205="T. latifolia"),E1205&gt;0),F1205*[1]Sheet1!$C$4+E1205*[1]Sheet1!$D$4+H1205*[1]Sheet1!$J$4+I1205*[1]Sheet1!$K$4+[1]Sheet1!$L$4,IF(AND(OR(D1205="T. domingensis",D1205="T. latifolia"),J1205&gt;0),J1205*[1]Sheet1!$G$5+K1205*[1]Sheet1!$H$5+L1205*[1]Sheet1!$I$5+[1]Sheet1!$L$5,0)))))))</f>
        <v>16.955119031652188</v>
      </c>
    </row>
    <row r="1206" spans="1:15">
      <c r="A1206" s="2">
        <v>40724</v>
      </c>
      <c r="B1206" t="s">
        <v>11</v>
      </c>
      <c r="C1206">
        <v>9</v>
      </c>
      <c r="D1206" s="6" t="s">
        <v>12</v>
      </c>
      <c r="E1206">
        <v>297</v>
      </c>
      <c r="F1206">
        <v>1.3</v>
      </c>
      <c r="G1206">
        <v>6</v>
      </c>
      <c r="M1206" t="s">
        <v>20</v>
      </c>
      <c r="N1206">
        <f t="shared" si="21"/>
        <v>131.404855725</v>
      </c>
      <c r="O1206">
        <f>IF(AND(OR(D1206="S. acutus",D1206="S. californicus",D1206="S. tabernaemontani"),G1206=0),E1206*[1]Sheet1!$D$7+[1]Sheet1!$L$7,IF(AND(OR(D1206="S. acutus",D1206="S. tabernaemontani"),G1206&gt;0),E1206*[1]Sheet1!$D$8+N1206*[1]Sheet1!$E$8,IF(AND(D1206="S. californicus",G1206&gt;0),E1206*[1]Sheet1!$D$9+N1206*[1]Sheet1!$E$9,IF(D1206="S. maritimus",F1206*[1]Sheet1!$C$10+E1206*[1]Sheet1!$D$10+G1206*[1]Sheet1!$F$10+[1]Sheet1!$L$10,IF(D1206="S. americanus",F1206*[1]Sheet1!$C$6+E1206*[1]Sheet1!$D$6+[1]Sheet1!$L$6,IF(AND(OR(D1206="T. domingensis",D1206="T. latifolia"),E1206&gt;0),F1206*[1]Sheet1!$C$4+E1206*[1]Sheet1!$D$4+H1206*[1]Sheet1!$J$4+I1206*[1]Sheet1!$K$4+[1]Sheet1!$L$4,IF(AND(OR(D1206="T. domingensis",D1206="T. latifolia"),J1206&gt;0),J1206*[1]Sheet1!$G$5+K1206*[1]Sheet1!$H$5+L1206*[1]Sheet1!$I$5+[1]Sheet1!$L$5,0)))))))</f>
        <v>15.667963318715152</v>
      </c>
    </row>
    <row r="1207" spans="1:15">
      <c r="A1207" s="2">
        <v>40724</v>
      </c>
      <c r="B1207" t="s">
        <v>11</v>
      </c>
      <c r="C1207">
        <v>9</v>
      </c>
      <c r="D1207" s="6" t="s">
        <v>12</v>
      </c>
      <c r="E1207">
        <v>320</v>
      </c>
      <c r="F1207">
        <v>1.1200000000000001</v>
      </c>
      <c r="G1207">
        <v>5</v>
      </c>
      <c r="M1207" t="s">
        <v>20</v>
      </c>
      <c r="N1207">
        <f t="shared" si="21"/>
        <v>105.08827989333334</v>
      </c>
      <c r="O1207">
        <f>IF(AND(OR(D1207="S. acutus",D1207="S. californicus",D1207="S. tabernaemontani"),G1207=0),E1207*[1]Sheet1!$D$7+[1]Sheet1!$L$7,IF(AND(OR(D1207="S. acutus",D1207="S. tabernaemontani"),G1207&gt;0),E1207*[1]Sheet1!$D$8+N1207*[1]Sheet1!$E$8,IF(AND(D1207="S. californicus",G1207&gt;0),E1207*[1]Sheet1!$D$9+N1207*[1]Sheet1!$E$9,IF(D1207="S. maritimus",F1207*[1]Sheet1!$C$10+E1207*[1]Sheet1!$D$10+G1207*[1]Sheet1!$F$10+[1]Sheet1!$L$10,IF(D1207="S. americanus",F1207*[1]Sheet1!$C$6+E1207*[1]Sheet1!$D$6+[1]Sheet1!$L$6,IF(AND(OR(D1207="T. domingensis",D1207="T. latifolia"),E1207&gt;0),F1207*[1]Sheet1!$C$4+E1207*[1]Sheet1!$D$4+H1207*[1]Sheet1!$J$4+I1207*[1]Sheet1!$K$4+[1]Sheet1!$L$4,IF(AND(OR(D1207="T. domingensis",D1207="T. latifolia"),J1207&gt;0),J1207*[1]Sheet1!$G$5+K1207*[1]Sheet1!$H$5+L1207*[1]Sheet1!$I$5+[1]Sheet1!$L$5,0)))))))</f>
        <v>15.706209192017239</v>
      </c>
    </row>
    <row r="1208" spans="1:15">
      <c r="A1208" s="2">
        <v>40724</v>
      </c>
      <c r="B1208" t="s">
        <v>11</v>
      </c>
      <c r="C1208">
        <v>9</v>
      </c>
      <c r="D1208" s="6" t="s">
        <v>16</v>
      </c>
      <c r="E1208">
        <v>240</v>
      </c>
      <c r="F1208">
        <v>1</v>
      </c>
      <c r="G1208">
        <v>0</v>
      </c>
      <c r="M1208" t="s">
        <v>20</v>
      </c>
      <c r="N1208">
        <f>((1/3)*(3.14159)*((F1208/2)^2)*E1208)</f>
        <v>62.831799999999994</v>
      </c>
      <c r="O1208">
        <f>IF(AND(OR(D1208="S. acutus",D1208="S. californicus",D1208="S. tabernaemontani"),G1208=0),E1208*[1]Sheet1!$D$7+[1]Sheet1!$L$7,IF(AND(OR(D1208="S. acutus",D1208="S. tabernaemontani"),G1208&gt;0),E1208*[1]Sheet1!$D$8+N1208*[1]Sheet1!$E$8,IF(AND(D1208="S. californicus",G1208&gt;0),E1208*[1]Sheet1!$D$9+N1208*[1]Sheet1!$E$9,IF(D1208="S. maritimus",F1208*[1]Sheet1!$C$10+E1208*[1]Sheet1!$D$10+G1208*[1]Sheet1!$F$10+[1]Sheet1!$L$10,IF(D1208="S. americanus",F1208*[1]Sheet1!$C$6+E1208*[1]Sheet1!$D$6+[1]Sheet1!$L$6,IF(AND(OR(D1208="T. domingensis",D1208="T. latifolia"),E1208&gt;0),F1208*[1]Sheet1!$C$4+E1208*[1]Sheet1!$D$4+H1208*[1]Sheet1!$J$4+I1208*[1]Sheet1!$K$4+[1]Sheet1!$L$4,IF(AND(OR(D1208="T. domingensis",D1208="T. latifolia"),J1208&gt;0),J1208*[1]Sheet1!$G$5+K1208*[1]Sheet1!$H$5+L1208*[1]Sheet1!$I$5+[1]Sheet1!$L$5,0)))))))</f>
        <v>12.234603</v>
      </c>
    </row>
    <row r="1209" spans="1:15">
      <c r="A1209" s="2">
        <v>40724</v>
      </c>
      <c r="B1209" t="s">
        <v>11</v>
      </c>
      <c r="C1209">
        <v>9</v>
      </c>
      <c r="D1209" s="6" t="s">
        <v>16</v>
      </c>
      <c r="E1209">
        <v>334</v>
      </c>
      <c r="F1209">
        <v>1</v>
      </c>
      <c r="G1209">
        <v>7</v>
      </c>
      <c r="M1209" t="s">
        <v>20</v>
      </c>
      <c r="N1209">
        <f>((1/3)*(3.14159)*((F1209/2)^2)*E1209)</f>
        <v>87.440921666666654</v>
      </c>
      <c r="O1209">
        <f>IF(AND(OR(D1209="S. acutus",D1209="S. californicus",D1209="S. tabernaemontani"),G1209=0),E1209*[1]Sheet1!$D$7+[1]Sheet1!$L$7,IF(AND(OR(D1209="S. acutus",D1209="S. tabernaemontani"),G1209&gt;0),E1209*[1]Sheet1!$D$8+N1209*[1]Sheet1!$E$8,IF(AND(D1209="S. californicus",G1209&gt;0),E1209*[1]Sheet1!$D$9+N1209*[1]Sheet1!$E$9,IF(D1209="S. maritimus",F1209*[1]Sheet1!$C$10+E1209*[1]Sheet1!$D$10+G1209*[1]Sheet1!$F$10+[1]Sheet1!$L$10,IF(D1209="S. americanus",F1209*[1]Sheet1!$C$6+E1209*[1]Sheet1!$D$6+[1]Sheet1!$L$6,IF(AND(OR(D1209="T. domingensis",D1209="T. latifolia"),E1209&gt;0),F1209*[1]Sheet1!$C$4+E1209*[1]Sheet1!$D$4+H1209*[1]Sheet1!$J$4+I1209*[1]Sheet1!$K$4+[1]Sheet1!$L$4,IF(AND(OR(D1209="T. domingensis",D1209="T. latifolia"),J1209&gt;0),J1209*[1]Sheet1!$G$5+K1209*[1]Sheet1!$H$5+L1209*[1]Sheet1!$I$5+[1]Sheet1!$L$5,0)))))))</f>
        <v>15.677047774496167</v>
      </c>
    </row>
    <row r="1210" spans="1:15">
      <c r="A1210" s="2">
        <v>40724</v>
      </c>
      <c r="B1210" t="s">
        <v>11</v>
      </c>
      <c r="C1210">
        <v>9</v>
      </c>
      <c r="D1210" s="6" t="s">
        <v>16</v>
      </c>
      <c r="E1210">
        <v>384</v>
      </c>
      <c r="F1210">
        <v>1.1000000000000001</v>
      </c>
      <c r="G1210">
        <v>18</v>
      </c>
      <c r="M1210" t="s">
        <v>20</v>
      </c>
      <c r="N1210">
        <f>((1/3)*(3.14159)*((F1210/2)^2)*E1210)</f>
        <v>121.6423648</v>
      </c>
      <c r="O1210">
        <f>IF(AND(OR(D1210="S. acutus",D1210="S. californicus",D1210="S. tabernaemontani"),G1210=0),E1210*[1]Sheet1!$D$7+[1]Sheet1!$L$7,IF(AND(OR(D1210="S. acutus",D1210="S. tabernaemontani"),G1210&gt;0),E1210*[1]Sheet1!$D$8+N1210*[1]Sheet1!$E$8,IF(AND(D1210="S. californicus",G1210&gt;0),E1210*[1]Sheet1!$D$9+N1210*[1]Sheet1!$E$9,IF(D1210="S. maritimus",F1210*[1]Sheet1!$C$10+E1210*[1]Sheet1!$D$10+G1210*[1]Sheet1!$F$10+[1]Sheet1!$L$10,IF(D1210="S. americanus",F1210*[1]Sheet1!$C$6+E1210*[1]Sheet1!$D$6+[1]Sheet1!$L$6,IF(AND(OR(D1210="T. domingensis",D1210="T. latifolia"),E1210&gt;0),F1210*[1]Sheet1!$C$4+E1210*[1]Sheet1!$D$4+H1210*[1]Sheet1!$J$4+I1210*[1]Sheet1!$K$4+[1]Sheet1!$L$4,IF(AND(OR(D1210="T. domingensis",D1210="T. latifolia"),J1210&gt;0),J1210*[1]Sheet1!$G$5+K1210*[1]Sheet1!$H$5+L1210*[1]Sheet1!$I$5+[1]Sheet1!$L$5,0)))))))</f>
        <v>18.70372002468832</v>
      </c>
    </row>
    <row r="1211" spans="1:15">
      <c r="A1211" s="2">
        <v>40724</v>
      </c>
      <c r="B1211" t="s">
        <v>11</v>
      </c>
      <c r="C1211">
        <v>9</v>
      </c>
      <c r="D1211" s="6" t="s">
        <v>13</v>
      </c>
      <c r="E1211">
        <v>320</v>
      </c>
      <c r="F1211">
        <v>3.6</v>
      </c>
      <c r="H1211">
        <v>31</v>
      </c>
      <c r="I1211">
        <v>2.25</v>
      </c>
      <c r="M1211" t="s">
        <v>21</v>
      </c>
      <c r="O1211">
        <f>IF(AND(OR(D1211="S. acutus",D1211="S. californicus",D1211="S. tabernaemontani"),G1211=0),E1211*[1]Sheet1!$D$7+[1]Sheet1!$L$7,IF(AND(OR(D1211="S. acutus",D1211="S. tabernaemontani"),G1211&gt;0),E1211*[1]Sheet1!$D$8+N1211*[1]Sheet1!$E$8,IF(AND(D1211="S. californicus",G1211&gt;0),E1211*[1]Sheet1!$D$9+N1211*[1]Sheet1!$E$9,IF(D1211="S. maritimus",F1211*[1]Sheet1!$C$10+E1211*[1]Sheet1!$D$10+G1211*[1]Sheet1!$F$10+[1]Sheet1!$L$10,IF(D1211="S. americanus",F1211*[1]Sheet1!$C$6+E1211*[1]Sheet1!$D$6+[1]Sheet1!$L$6,IF(AND(OR(D1211="T. domingensis",D1211="T. latifolia"),E1211&gt;0),F1211*[1]Sheet1!$C$4+E1211*[1]Sheet1!$D$4+H1211*[1]Sheet1!$J$4+I1211*[1]Sheet1!$K$4+[1]Sheet1!$L$4,IF(AND(OR(D1211="T. domingensis",D1211="T. latifolia"),J1211&gt;0),J1211*[1]Sheet1!$G$5+K1211*[1]Sheet1!$H$5+L1211*[1]Sheet1!$I$5+[1]Sheet1!$L$5,0)))))))</f>
        <v>136.55832140000001</v>
      </c>
    </row>
    <row r="1212" spans="1:15">
      <c r="A1212" s="2">
        <v>40724</v>
      </c>
      <c r="B1212" t="s">
        <v>11</v>
      </c>
      <c r="C1212">
        <v>9</v>
      </c>
      <c r="D1212" s="6" t="s">
        <v>13</v>
      </c>
      <c r="E1212">
        <v>321</v>
      </c>
      <c r="F1212">
        <v>3.28</v>
      </c>
      <c r="H1212">
        <v>25</v>
      </c>
      <c r="I1212">
        <v>2.1</v>
      </c>
      <c r="M1212" t="s">
        <v>21</v>
      </c>
      <c r="O1212">
        <f>IF(AND(OR(D1212="S. acutus",D1212="S. californicus",D1212="S. tabernaemontani"),G1212=0),E1212*[1]Sheet1!$D$7+[1]Sheet1!$L$7,IF(AND(OR(D1212="S. acutus",D1212="S. tabernaemontani"),G1212&gt;0),E1212*[1]Sheet1!$D$8+N1212*[1]Sheet1!$E$8,IF(AND(D1212="S. californicus",G1212&gt;0),E1212*[1]Sheet1!$D$9+N1212*[1]Sheet1!$E$9,IF(D1212="S. maritimus",F1212*[1]Sheet1!$C$10+E1212*[1]Sheet1!$D$10+G1212*[1]Sheet1!$F$10+[1]Sheet1!$L$10,IF(D1212="S. americanus",F1212*[1]Sheet1!$C$6+E1212*[1]Sheet1!$D$6+[1]Sheet1!$L$6,IF(AND(OR(D1212="T. domingensis",D1212="T. latifolia"),E1212&gt;0),F1212*[1]Sheet1!$C$4+E1212*[1]Sheet1!$D$4+H1212*[1]Sheet1!$J$4+I1212*[1]Sheet1!$K$4+[1]Sheet1!$L$4,IF(AND(OR(D1212="T. domingensis",D1212="T. latifolia"),J1212&gt;0),J1212*[1]Sheet1!$G$5+K1212*[1]Sheet1!$H$5+L1212*[1]Sheet1!$I$5+[1]Sheet1!$L$5,0)))))))</f>
        <v>122.49536576000003</v>
      </c>
    </row>
    <row r="1213" spans="1:15">
      <c r="A1213" s="2">
        <v>40724</v>
      </c>
      <c r="B1213" t="s">
        <v>11</v>
      </c>
      <c r="C1213">
        <v>9</v>
      </c>
      <c r="D1213" s="6" t="s">
        <v>13</v>
      </c>
      <c r="E1213">
        <v>321</v>
      </c>
      <c r="F1213">
        <v>4.0999999999999996</v>
      </c>
      <c r="H1213">
        <v>30</v>
      </c>
      <c r="I1213">
        <v>3</v>
      </c>
      <c r="M1213" t="s">
        <v>21</v>
      </c>
      <c r="O1213">
        <f>IF(AND(OR(D1213="S. acutus",D1213="S. californicus",D1213="S. tabernaemontani"),G1213=0),E1213*[1]Sheet1!$D$7+[1]Sheet1!$L$7,IF(AND(OR(D1213="S. acutus",D1213="S. tabernaemontani"),G1213&gt;0),E1213*[1]Sheet1!$D$8+N1213*[1]Sheet1!$E$8,IF(AND(D1213="S. californicus",G1213&gt;0),E1213*[1]Sheet1!$D$9+N1213*[1]Sheet1!$E$9,IF(D1213="S. maritimus",F1213*[1]Sheet1!$C$10+E1213*[1]Sheet1!$D$10+G1213*[1]Sheet1!$F$10+[1]Sheet1!$L$10,IF(D1213="S. americanus",F1213*[1]Sheet1!$C$6+E1213*[1]Sheet1!$D$6+[1]Sheet1!$L$6,IF(AND(OR(D1213="T. domingensis",D1213="T. latifolia"),E1213&gt;0),F1213*[1]Sheet1!$C$4+E1213*[1]Sheet1!$D$4+H1213*[1]Sheet1!$J$4+I1213*[1]Sheet1!$K$4+[1]Sheet1!$L$4,IF(AND(OR(D1213="T. domingensis",D1213="T. latifolia"),J1213&gt;0),J1213*[1]Sheet1!$G$5+K1213*[1]Sheet1!$H$5+L1213*[1]Sheet1!$I$5+[1]Sheet1!$L$5,0)))))))</f>
        <v>158.67019790000001</v>
      </c>
    </row>
    <row r="1214" spans="1:15">
      <c r="A1214" s="2">
        <v>40724</v>
      </c>
      <c r="B1214" t="s">
        <v>11</v>
      </c>
      <c r="C1214">
        <v>9</v>
      </c>
      <c r="D1214" s="6" t="s">
        <v>13</v>
      </c>
      <c r="E1214">
        <v>327</v>
      </c>
      <c r="F1214">
        <v>3.27</v>
      </c>
      <c r="H1214">
        <v>27</v>
      </c>
      <c r="I1214">
        <v>2.5</v>
      </c>
      <c r="M1214" t="s">
        <v>21</v>
      </c>
      <c r="O1214">
        <f>IF(AND(OR(D1214="S. acutus",D1214="S. californicus",D1214="S. tabernaemontani"),G1214=0),E1214*[1]Sheet1!$D$7+[1]Sheet1!$L$7,IF(AND(OR(D1214="S. acutus",D1214="S. tabernaemontani"),G1214&gt;0),E1214*[1]Sheet1!$D$8+N1214*[1]Sheet1!$E$8,IF(AND(D1214="S. californicus",G1214&gt;0),E1214*[1]Sheet1!$D$9+N1214*[1]Sheet1!$E$9,IF(D1214="S. maritimus",F1214*[1]Sheet1!$C$10+E1214*[1]Sheet1!$D$10+G1214*[1]Sheet1!$F$10+[1]Sheet1!$L$10,IF(D1214="S. americanus",F1214*[1]Sheet1!$C$6+E1214*[1]Sheet1!$D$6+[1]Sheet1!$L$6,IF(AND(OR(D1214="T. domingensis",D1214="T. latifolia"),E1214&gt;0),F1214*[1]Sheet1!$C$4+E1214*[1]Sheet1!$D$4+H1214*[1]Sheet1!$J$4+I1214*[1]Sheet1!$K$4+[1]Sheet1!$L$4,IF(AND(OR(D1214="T. domingensis",D1214="T. latifolia"),J1214&gt;0),J1214*[1]Sheet1!$G$5+K1214*[1]Sheet1!$H$5+L1214*[1]Sheet1!$I$5+[1]Sheet1!$L$5,0)))))))</f>
        <v>132.97672839000001</v>
      </c>
    </row>
    <row r="1215" spans="1:15">
      <c r="A1215" s="2">
        <v>40724</v>
      </c>
      <c r="B1215" t="s">
        <v>11</v>
      </c>
      <c r="C1215">
        <v>9</v>
      </c>
      <c r="D1215" s="6" t="s">
        <v>13</v>
      </c>
      <c r="E1215">
        <v>334</v>
      </c>
      <c r="F1215">
        <v>3.67</v>
      </c>
      <c r="H1215">
        <v>41</v>
      </c>
      <c r="I1215">
        <v>2.9</v>
      </c>
      <c r="M1215" t="s">
        <v>21</v>
      </c>
      <c r="O1215">
        <f>IF(AND(OR(D1215="S. acutus",D1215="S. californicus",D1215="S. tabernaemontani"),G1215=0),E1215*[1]Sheet1!$D$7+[1]Sheet1!$L$7,IF(AND(OR(D1215="S. acutus",D1215="S. tabernaemontani"),G1215&gt;0),E1215*[1]Sheet1!$D$8+N1215*[1]Sheet1!$E$8,IF(AND(D1215="S. californicus",G1215&gt;0),E1215*[1]Sheet1!$D$9+N1215*[1]Sheet1!$E$9,IF(D1215="S. maritimus",F1215*[1]Sheet1!$C$10+E1215*[1]Sheet1!$D$10+G1215*[1]Sheet1!$F$10+[1]Sheet1!$L$10,IF(D1215="S. americanus",F1215*[1]Sheet1!$C$6+E1215*[1]Sheet1!$D$6+[1]Sheet1!$L$6,IF(AND(OR(D1215="T. domingensis",D1215="T. latifolia"),E1215&gt;0),F1215*[1]Sheet1!$C$4+E1215*[1]Sheet1!$D$4+H1215*[1]Sheet1!$J$4+I1215*[1]Sheet1!$K$4+[1]Sheet1!$L$4,IF(AND(OR(D1215="T. domingensis",D1215="T. latifolia"),J1215&gt;0),J1215*[1]Sheet1!$G$5+K1215*[1]Sheet1!$H$5+L1215*[1]Sheet1!$I$5+[1]Sheet1!$L$5,0)))))))</f>
        <v>162.82247859</v>
      </c>
    </row>
    <row r="1216" spans="1:15">
      <c r="A1216" s="2">
        <v>40724</v>
      </c>
      <c r="B1216" t="s">
        <v>11</v>
      </c>
      <c r="C1216">
        <v>9</v>
      </c>
      <c r="D1216" s="6" t="s">
        <v>13</v>
      </c>
      <c r="F1216">
        <v>1.23</v>
      </c>
      <c r="J1216">
        <f>170+219+219+250+260</f>
        <v>1118</v>
      </c>
      <c r="K1216">
        <v>5</v>
      </c>
      <c r="L1216">
        <v>260</v>
      </c>
      <c r="M1216" t="s">
        <v>21</v>
      </c>
      <c r="O1216">
        <f>IF(AND(OR(D1216="S. acutus",D1216="S. californicus",D1216="S. tabernaemontani"),G1216=0),E1216*[1]Sheet1!$D$7+[1]Sheet1!$L$7,IF(AND(OR(D1216="S. acutus",D1216="S. tabernaemontani"),G1216&gt;0),E1216*[1]Sheet1!$D$8+N1216*[1]Sheet1!$E$8,IF(AND(D1216="S. californicus",G1216&gt;0),E1216*[1]Sheet1!$D$9+N1216*[1]Sheet1!$E$9,IF(D1216="S. maritimus",F1216*[1]Sheet1!$C$10+E1216*[1]Sheet1!$D$10+G1216*[1]Sheet1!$F$10+[1]Sheet1!$L$10,IF(D1216="S. americanus",F1216*[1]Sheet1!$C$6+E1216*[1]Sheet1!$D$6+[1]Sheet1!$L$6,IF(AND(OR(D1216="T. domingensis",D1216="T. latifolia"),E1216&gt;0),F1216*[1]Sheet1!$C$4+E1216*[1]Sheet1!$D$4+H1216*[1]Sheet1!$J$4+I1216*[1]Sheet1!$K$4+[1]Sheet1!$L$4,IF(AND(OR(D1216="T. domingensis",D1216="T. latifolia"),J1216&gt;0),J1216*[1]Sheet1!$G$5+K1216*[1]Sheet1!$H$5+L1216*[1]Sheet1!$I$5+[1]Sheet1!$L$5,0)))))))</f>
        <v>24.419609000000015</v>
      </c>
    </row>
    <row r="1217" spans="1:15">
      <c r="A1217" s="2">
        <v>40724</v>
      </c>
      <c r="B1217" t="s">
        <v>11</v>
      </c>
      <c r="C1217">
        <v>9</v>
      </c>
      <c r="D1217" s="6" t="s">
        <v>13</v>
      </c>
      <c r="F1217">
        <v>2.09</v>
      </c>
      <c r="J1217">
        <f>180+213+258+293+290+299</f>
        <v>1533</v>
      </c>
      <c r="K1217">
        <v>6</v>
      </c>
      <c r="L1217">
        <v>299</v>
      </c>
      <c r="M1217" t="s">
        <v>21</v>
      </c>
      <c r="O1217">
        <f>IF(AND(OR(D1217="S. acutus",D1217="S. californicus",D1217="S. tabernaemontani"),G1217=0),E1217*[1]Sheet1!$D$7+[1]Sheet1!$L$7,IF(AND(OR(D1217="S. acutus",D1217="S. tabernaemontani"),G1217&gt;0),E1217*[1]Sheet1!$D$8+N1217*[1]Sheet1!$E$8,IF(AND(D1217="S. californicus",G1217&gt;0),E1217*[1]Sheet1!$D$9+N1217*[1]Sheet1!$E$9,IF(D1217="S. maritimus",F1217*[1]Sheet1!$C$10+E1217*[1]Sheet1!$D$10+G1217*[1]Sheet1!$F$10+[1]Sheet1!$L$10,IF(D1217="S. americanus",F1217*[1]Sheet1!$C$6+E1217*[1]Sheet1!$D$6+[1]Sheet1!$L$6,IF(AND(OR(D1217="T. domingensis",D1217="T. latifolia"),E1217&gt;0),F1217*[1]Sheet1!$C$4+E1217*[1]Sheet1!$D$4+H1217*[1]Sheet1!$J$4+I1217*[1]Sheet1!$K$4+[1]Sheet1!$L$4,IF(AND(OR(D1217="T. domingensis",D1217="T. latifolia"),J1217&gt;0),J1217*[1]Sheet1!$G$5+K1217*[1]Sheet1!$H$5+L1217*[1]Sheet1!$I$5+[1]Sheet1!$L$5,0)))))))</f>
        <v>44.557026</v>
      </c>
    </row>
    <row r="1218" spans="1:15">
      <c r="A1218" s="2">
        <v>40724</v>
      </c>
      <c r="B1218" t="s">
        <v>11</v>
      </c>
      <c r="C1218">
        <v>9</v>
      </c>
      <c r="D1218" s="6" t="s">
        <v>13</v>
      </c>
      <c r="F1218">
        <v>2.71</v>
      </c>
      <c r="J1218">
        <f>201+238+250+277+284+294</f>
        <v>1544</v>
      </c>
      <c r="K1218">
        <v>6</v>
      </c>
      <c r="L1218">
        <v>294</v>
      </c>
      <c r="M1218" t="s">
        <v>21</v>
      </c>
      <c r="O1218">
        <f>IF(AND(OR(D1218="S. acutus",D1218="S. californicus",D1218="S. tabernaemontani"),G1218=0),E1218*[1]Sheet1!$D$7+[1]Sheet1!$L$7,IF(AND(OR(D1218="S. acutus",D1218="S. tabernaemontani"),G1218&gt;0),E1218*[1]Sheet1!$D$8+N1218*[1]Sheet1!$E$8,IF(AND(D1218="S. californicus",G1218&gt;0),E1218*[1]Sheet1!$D$9+N1218*[1]Sheet1!$E$9,IF(D1218="S. maritimus",F1218*[1]Sheet1!$C$10+E1218*[1]Sheet1!$D$10+G1218*[1]Sheet1!$F$10+[1]Sheet1!$L$10,IF(D1218="S. americanus",F1218*[1]Sheet1!$C$6+E1218*[1]Sheet1!$D$6+[1]Sheet1!$L$6,IF(AND(OR(D1218="T. domingensis",D1218="T. latifolia"),E1218&gt;0),F1218*[1]Sheet1!$C$4+E1218*[1]Sheet1!$D$4+H1218*[1]Sheet1!$J$4+I1218*[1]Sheet1!$K$4+[1]Sheet1!$L$4,IF(AND(OR(D1218="T. domingensis",D1218="T. latifolia"),J1218&gt;0),J1218*[1]Sheet1!$G$5+K1218*[1]Sheet1!$H$5+L1218*[1]Sheet1!$I$5+[1]Sheet1!$L$5,0)))))))</f>
        <v>47.094556000000004</v>
      </c>
    </row>
    <row r="1219" spans="1:15">
      <c r="A1219" s="2">
        <v>40724</v>
      </c>
      <c r="B1219" t="s">
        <v>11</v>
      </c>
      <c r="C1219">
        <v>16</v>
      </c>
      <c r="D1219" s="6" t="s">
        <v>13</v>
      </c>
      <c r="E1219">
        <v>284</v>
      </c>
      <c r="F1219">
        <v>2.95</v>
      </c>
      <c r="H1219">
        <v>26</v>
      </c>
      <c r="I1219">
        <v>1.2</v>
      </c>
      <c r="O1219">
        <f>IF(AND(OR(D1219="S. acutus",D1219="S. californicus",D1219="S. tabernaemontani"),G1219=0),E1219*[1]Sheet1!$D$7+[1]Sheet1!$L$7,IF(AND(OR(D1219="S. acutus",D1219="S. tabernaemontani"),G1219&gt;0),E1219*[1]Sheet1!$D$8+N1219*[1]Sheet1!$E$8,IF(AND(D1219="S. californicus",G1219&gt;0),E1219*[1]Sheet1!$D$9+N1219*[1]Sheet1!$E$9,IF(D1219="S. maritimus",F1219*[1]Sheet1!$C$10+E1219*[1]Sheet1!$D$10+G1219*[1]Sheet1!$F$10+[1]Sheet1!$L$10,IF(D1219="S. americanus",F1219*[1]Sheet1!$C$6+E1219*[1]Sheet1!$D$6+[1]Sheet1!$L$6,IF(AND(OR(D1219="T. domingensis",D1219="T. latifolia"),E1219&gt;0),F1219*[1]Sheet1!$C$4+E1219*[1]Sheet1!$D$4+H1219*[1]Sheet1!$J$4+I1219*[1]Sheet1!$K$4+[1]Sheet1!$L$4,IF(AND(OR(D1219="T. domingensis",D1219="T. latifolia"),J1219&gt;0),J1219*[1]Sheet1!$G$5+K1219*[1]Sheet1!$H$5+L1219*[1]Sheet1!$I$5+[1]Sheet1!$L$5,0)))))))</f>
        <v>90.09702974999999</v>
      </c>
    </row>
    <row r="1220" spans="1:15">
      <c r="A1220" s="2">
        <v>40724</v>
      </c>
      <c r="B1220" t="s">
        <v>11</v>
      </c>
      <c r="C1220">
        <v>16</v>
      </c>
      <c r="D1220" s="6" t="s">
        <v>13</v>
      </c>
      <c r="E1220">
        <v>295</v>
      </c>
      <c r="F1220">
        <v>2.14</v>
      </c>
      <c r="H1220">
        <v>18.5</v>
      </c>
      <c r="I1220">
        <v>1.5</v>
      </c>
      <c r="O1220">
        <f>IF(AND(OR(D1220="S. acutus",D1220="S. californicus",D1220="S. tabernaemontani"),G1220=0),E1220*[1]Sheet1!$D$7+[1]Sheet1!$L$7,IF(AND(OR(D1220="S. acutus",D1220="S. tabernaemontani"),G1220&gt;0),E1220*[1]Sheet1!$D$8+N1220*[1]Sheet1!$E$8,IF(AND(D1220="S. californicus",G1220&gt;0),E1220*[1]Sheet1!$D$9+N1220*[1]Sheet1!$E$9,IF(D1220="S. maritimus",F1220*[1]Sheet1!$C$10+E1220*[1]Sheet1!$D$10+G1220*[1]Sheet1!$F$10+[1]Sheet1!$L$10,IF(D1220="S. americanus",F1220*[1]Sheet1!$C$6+E1220*[1]Sheet1!$D$6+[1]Sheet1!$L$6,IF(AND(OR(D1220="T. domingensis",D1220="T. latifolia"),E1220&gt;0),F1220*[1]Sheet1!$C$4+E1220*[1]Sheet1!$D$4+H1220*[1]Sheet1!$J$4+I1220*[1]Sheet1!$K$4+[1]Sheet1!$L$4,IF(AND(OR(D1220="T. domingensis",D1220="T. latifolia"),J1220&gt;0),J1220*[1]Sheet1!$G$5+K1220*[1]Sheet1!$H$5+L1220*[1]Sheet1!$I$5+[1]Sheet1!$L$5,0)))))))</f>
        <v>76.102728079999991</v>
      </c>
    </row>
    <row r="1221" spans="1:15">
      <c r="A1221" s="2">
        <v>40724</v>
      </c>
      <c r="B1221" t="s">
        <v>11</v>
      </c>
      <c r="C1221">
        <v>16</v>
      </c>
      <c r="D1221" s="6" t="s">
        <v>13</v>
      </c>
      <c r="E1221">
        <v>300</v>
      </c>
      <c r="F1221">
        <v>2.65</v>
      </c>
      <c r="H1221">
        <v>18</v>
      </c>
      <c r="I1221">
        <v>1.75</v>
      </c>
      <c r="O1221">
        <f>IF(AND(OR(D1221="S. acutus",D1221="S. californicus",D1221="S. tabernaemontani"),G1221=0),E1221*[1]Sheet1!$D$7+[1]Sheet1!$L$7,IF(AND(OR(D1221="S. acutus",D1221="S. tabernaemontani"),G1221&gt;0),E1221*[1]Sheet1!$D$8+N1221*[1]Sheet1!$E$8,IF(AND(D1221="S. californicus",G1221&gt;0),E1221*[1]Sheet1!$D$9+N1221*[1]Sheet1!$E$9,IF(D1221="S. maritimus",F1221*[1]Sheet1!$C$10+E1221*[1]Sheet1!$D$10+G1221*[1]Sheet1!$F$10+[1]Sheet1!$L$10,IF(D1221="S. americanus",F1221*[1]Sheet1!$C$6+E1221*[1]Sheet1!$D$6+[1]Sheet1!$L$6,IF(AND(OR(D1221="T. domingensis",D1221="T. latifolia"),E1221&gt;0),F1221*[1]Sheet1!$C$4+E1221*[1]Sheet1!$D$4+H1221*[1]Sheet1!$J$4+I1221*[1]Sheet1!$K$4+[1]Sheet1!$L$4,IF(AND(OR(D1221="T. domingensis",D1221="T. latifolia"),J1221&gt;0),J1221*[1]Sheet1!$G$5+K1221*[1]Sheet1!$H$5+L1221*[1]Sheet1!$I$5+[1]Sheet1!$L$5,0)))))))</f>
        <v>91.35007865</v>
      </c>
    </row>
    <row r="1222" spans="1:15">
      <c r="A1222" s="2">
        <v>40724</v>
      </c>
      <c r="B1222" t="s">
        <v>11</v>
      </c>
      <c r="C1222">
        <v>16</v>
      </c>
      <c r="D1222" s="6" t="s">
        <v>13</v>
      </c>
      <c r="E1222">
        <v>321</v>
      </c>
      <c r="F1222">
        <v>3.9</v>
      </c>
      <c r="H1222">
        <v>29</v>
      </c>
      <c r="I1222">
        <v>2</v>
      </c>
      <c r="O1222">
        <f>IF(AND(OR(D1222="S. acutus",D1222="S. californicus",D1222="S. tabernaemontani"),G1222=0),E1222*[1]Sheet1!$D$7+[1]Sheet1!$L$7,IF(AND(OR(D1222="S. acutus",D1222="S. tabernaemontani"),G1222&gt;0),E1222*[1]Sheet1!$D$8+N1222*[1]Sheet1!$E$8,IF(AND(D1222="S. californicus",G1222&gt;0),E1222*[1]Sheet1!$D$9+N1222*[1]Sheet1!$E$9,IF(D1222="S. maritimus",F1222*[1]Sheet1!$C$10+E1222*[1]Sheet1!$D$10+G1222*[1]Sheet1!$F$10+[1]Sheet1!$L$10,IF(D1222="S. americanus",F1222*[1]Sheet1!$C$6+E1222*[1]Sheet1!$D$6+[1]Sheet1!$L$6,IF(AND(OR(D1222="T. domingensis",D1222="T. latifolia"),E1222&gt;0),F1222*[1]Sheet1!$C$4+E1222*[1]Sheet1!$D$4+H1222*[1]Sheet1!$J$4+I1222*[1]Sheet1!$K$4+[1]Sheet1!$L$4,IF(AND(OR(D1222="T. domingensis",D1222="T. latifolia"),J1222&gt;0),J1222*[1]Sheet1!$G$5+K1222*[1]Sheet1!$H$5+L1222*[1]Sheet1!$I$5+[1]Sheet1!$L$5,0)))))))</f>
        <v>136.41176430000002</v>
      </c>
    </row>
    <row r="1223" spans="1:15">
      <c r="A1223" s="2">
        <v>40724</v>
      </c>
      <c r="B1223" t="s">
        <v>11</v>
      </c>
      <c r="C1223">
        <v>16</v>
      </c>
      <c r="D1223" s="6" t="s">
        <v>13</v>
      </c>
      <c r="F1223">
        <v>2.14</v>
      </c>
      <c r="J1223">
        <f>178+223+274+275+307+304</f>
        <v>1561</v>
      </c>
      <c r="K1223">
        <v>6</v>
      </c>
      <c r="L1223">
        <v>307</v>
      </c>
      <c r="O1223">
        <f>IF(AND(OR(D1223="S. acutus",D1223="S. californicus",D1223="S. tabernaemontani"),G1223=0),E1223*[1]Sheet1!$D$7+[1]Sheet1!$L$7,IF(AND(OR(D1223="S. acutus",D1223="S. tabernaemontani"),G1223&gt;0),E1223*[1]Sheet1!$D$8+N1223*[1]Sheet1!$E$8,IF(AND(D1223="S. californicus",G1223&gt;0),E1223*[1]Sheet1!$D$9+N1223*[1]Sheet1!$E$9,IF(D1223="S. maritimus",F1223*[1]Sheet1!$C$10+E1223*[1]Sheet1!$D$10+G1223*[1]Sheet1!$F$10+[1]Sheet1!$L$10,IF(D1223="S. americanus",F1223*[1]Sheet1!$C$6+E1223*[1]Sheet1!$D$6+[1]Sheet1!$L$6,IF(AND(OR(D1223="T. domingensis",D1223="T. latifolia"),E1223&gt;0),F1223*[1]Sheet1!$C$4+E1223*[1]Sheet1!$D$4+H1223*[1]Sheet1!$J$4+I1223*[1]Sheet1!$K$4+[1]Sheet1!$L$4,IF(AND(OR(D1223="T. domingensis",D1223="T. latifolia"),J1223&gt;0),J1223*[1]Sheet1!$G$5+K1223*[1]Sheet1!$H$5+L1223*[1]Sheet1!$I$5+[1]Sheet1!$L$5,0)))))))</f>
        <v>44.772206000000018</v>
      </c>
    </row>
    <row r="1224" spans="1:15">
      <c r="A1224" s="2">
        <v>40724</v>
      </c>
      <c r="B1224" t="s">
        <v>11</v>
      </c>
      <c r="C1224">
        <v>16</v>
      </c>
      <c r="D1224" s="6" t="s">
        <v>19</v>
      </c>
      <c r="E1224">
        <v>270</v>
      </c>
      <c r="F1224">
        <v>2.4500000000000002</v>
      </c>
      <c r="H1224">
        <v>16</v>
      </c>
      <c r="I1224">
        <v>1.2</v>
      </c>
      <c r="O1224">
        <f>IF(AND(OR(D1224="S. acutus",D1224="S. californicus",D1224="S. tabernaemontani"),G1224=0),E1224*[1]Sheet1!$D$7+[1]Sheet1!$L$7,IF(AND(OR(D1224="S. acutus",D1224="S. tabernaemontani"),G1224&gt;0),E1224*[1]Sheet1!$D$8+N1224*[1]Sheet1!$E$8,IF(AND(D1224="S. californicus",G1224&gt;0),E1224*[1]Sheet1!$D$9+N1224*[1]Sheet1!$E$9,IF(D1224="S. maritimus",F1224*[1]Sheet1!$C$10+E1224*[1]Sheet1!$D$10+G1224*[1]Sheet1!$F$10+[1]Sheet1!$L$10,IF(D1224="S. americanus",F1224*[1]Sheet1!$C$6+E1224*[1]Sheet1!$D$6+[1]Sheet1!$L$6,IF(AND(OR(D1224="T. domingensis",D1224="T. latifolia"),E1224&gt;0),F1224*[1]Sheet1!$C$4+E1224*[1]Sheet1!$D$4+H1224*[1]Sheet1!$J$4+I1224*[1]Sheet1!$K$4+[1]Sheet1!$L$4,IF(AND(OR(D1224="T. domingensis",D1224="T. latifolia"),J1224&gt;0),J1224*[1]Sheet1!$G$5+K1224*[1]Sheet1!$H$5+L1224*[1]Sheet1!$I$5+[1]Sheet1!$L$5,0)))))))</f>
        <v>66.908920449999982</v>
      </c>
    </row>
    <row r="1225" spans="1:15">
      <c r="A1225" s="2">
        <v>40724</v>
      </c>
      <c r="B1225" t="s">
        <v>11</v>
      </c>
      <c r="C1225">
        <v>16</v>
      </c>
      <c r="D1225" s="6" t="s">
        <v>19</v>
      </c>
      <c r="E1225">
        <v>278</v>
      </c>
      <c r="F1225">
        <v>2.9</v>
      </c>
      <c r="H1225">
        <v>17</v>
      </c>
      <c r="I1225">
        <v>1</v>
      </c>
      <c r="O1225">
        <f>IF(AND(OR(D1225="S. acutus",D1225="S. californicus",D1225="S. tabernaemontani"),G1225=0),E1225*[1]Sheet1!$D$7+[1]Sheet1!$L$7,IF(AND(OR(D1225="S. acutus",D1225="S. tabernaemontani"),G1225&gt;0),E1225*[1]Sheet1!$D$8+N1225*[1]Sheet1!$E$8,IF(AND(D1225="S. californicus",G1225&gt;0),E1225*[1]Sheet1!$D$9+N1225*[1]Sheet1!$E$9,IF(D1225="S. maritimus",F1225*[1]Sheet1!$C$10+E1225*[1]Sheet1!$D$10+G1225*[1]Sheet1!$F$10+[1]Sheet1!$L$10,IF(D1225="S. americanus",F1225*[1]Sheet1!$C$6+E1225*[1]Sheet1!$D$6+[1]Sheet1!$L$6,IF(AND(OR(D1225="T. domingensis",D1225="T. latifolia"),E1225&gt;0),F1225*[1]Sheet1!$C$4+E1225*[1]Sheet1!$D$4+H1225*[1]Sheet1!$J$4+I1225*[1]Sheet1!$K$4+[1]Sheet1!$L$4,IF(AND(OR(D1225="T. domingensis",D1225="T. latifolia"),J1225&gt;0),J1225*[1]Sheet1!$G$5+K1225*[1]Sheet1!$H$5+L1225*[1]Sheet1!$I$5+[1]Sheet1!$L$5,0)))))))</f>
        <v>75.44345229999999</v>
      </c>
    </row>
    <row r="1226" spans="1:15">
      <c r="A1226" s="2">
        <v>40724</v>
      </c>
      <c r="B1226" t="s">
        <v>11</v>
      </c>
      <c r="C1226">
        <v>16</v>
      </c>
      <c r="D1226" s="6" t="s">
        <v>19</v>
      </c>
      <c r="E1226">
        <v>296</v>
      </c>
      <c r="F1226">
        <v>2.85</v>
      </c>
      <c r="H1226">
        <v>19</v>
      </c>
      <c r="I1226">
        <v>1</v>
      </c>
      <c r="O1226">
        <f>IF(AND(OR(D1226="S. acutus",D1226="S. californicus",D1226="S. tabernaemontani"),G1226=0),E1226*[1]Sheet1!$D$7+[1]Sheet1!$L$7,IF(AND(OR(D1226="S. acutus",D1226="S. tabernaemontani"),G1226&gt;0),E1226*[1]Sheet1!$D$8+N1226*[1]Sheet1!$E$8,IF(AND(D1226="S. californicus",G1226&gt;0),E1226*[1]Sheet1!$D$9+N1226*[1]Sheet1!$E$9,IF(D1226="S. maritimus",F1226*[1]Sheet1!$C$10+E1226*[1]Sheet1!$D$10+G1226*[1]Sheet1!$F$10+[1]Sheet1!$L$10,IF(D1226="S. americanus",F1226*[1]Sheet1!$C$6+E1226*[1]Sheet1!$D$6+[1]Sheet1!$L$6,IF(AND(OR(D1226="T. domingensis",D1226="T. latifolia"),E1226&gt;0),F1226*[1]Sheet1!$C$4+E1226*[1]Sheet1!$D$4+H1226*[1]Sheet1!$J$4+I1226*[1]Sheet1!$K$4+[1]Sheet1!$L$4,IF(AND(OR(D1226="T. domingensis",D1226="T. latifolia"),J1226&gt;0),J1226*[1]Sheet1!$G$5+K1226*[1]Sheet1!$H$5+L1226*[1]Sheet1!$I$5+[1]Sheet1!$L$5,0)))))))</f>
        <v>81.810661449999998</v>
      </c>
    </row>
    <row r="1227" spans="1:15">
      <c r="A1227" s="2">
        <v>40724</v>
      </c>
      <c r="B1227" t="s">
        <v>11</v>
      </c>
      <c r="C1227">
        <v>35</v>
      </c>
      <c r="D1227" s="6" t="s">
        <v>12</v>
      </c>
      <c r="E1227">
        <v>145</v>
      </c>
      <c r="F1227">
        <v>1.1000000000000001</v>
      </c>
      <c r="G1227">
        <v>0</v>
      </c>
      <c r="N1227">
        <f>(1/3)*(3.14159)*((F1227/2)^2)*E1227</f>
        <v>45.93266379166667</v>
      </c>
      <c r="O1227">
        <f>IF(AND(OR(D1227="S. acutus",D1227="S. californicus",D1227="S. tabernaemontani"),G1227=0),E1227*[1]Sheet1!$D$7+[1]Sheet1!$L$7,IF(AND(OR(D1227="S. acutus",D1227="S. tabernaemontani"),G1227&gt;0),E1227*[1]Sheet1!$D$8+N1227*[1]Sheet1!$E$8,IF(AND(D1227="S. californicus",G1227&gt;0),E1227*[1]Sheet1!$D$9+N1227*[1]Sheet1!$E$9,IF(D1227="S. maritimus",F1227*[1]Sheet1!$C$10+E1227*[1]Sheet1!$D$10+G1227*[1]Sheet1!$F$10+[1]Sheet1!$L$10,IF(D1227="S. americanus",F1227*[1]Sheet1!$C$6+E1227*[1]Sheet1!$D$6+[1]Sheet1!$L$6,IF(AND(OR(D1227="T. domingensis",D1227="T. latifolia"),E1227&gt;0),F1227*[1]Sheet1!$C$4+E1227*[1]Sheet1!$D$4+H1227*[1]Sheet1!$J$4+I1227*[1]Sheet1!$K$4+[1]Sheet1!$L$4,IF(AND(OR(D1227="T. domingensis",D1227="T. latifolia"),J1227&gt;0),J1227*[1]Sheet1!$G$5+K1227*[1]Sheet1!$H$5+L1227*[1]Sheet1!$I$5+[1]Sheet1!$L$5,0)))))))</f>
        <v>5.5746279999999997</v>
      </c>
    </row>
    <row r="1228" spans="1:15">
      <c r="A1228" s="2">
        <v>40724</v>
      </c>
      <c r="B1228" t="s">
        <v>11</v>
      </c>
      <c r="C1228">
        <v>35</v>
      </c>
      <c r="D1228" s="6" t="s">
        <v>12</v>
      </c>
      <c r="E1228">
        <v>290</v>
      </c>
      <c r="F1228">
        <v>1.75</v>
      </c>
      <c r="G1228">
        <v>0</v>
      </c>
      <c r="N1228">
        <f>(1/3)*(3.14159)*((F1228/2)^2)*E1228</f>
        <v>232.51038489583331</v>
      </c>
      <c r="O1228">
        <f>IF(AND(OR(D1228="S. acutus",D1228="S. californicus",D1228="S. tabernaemontani"),G1228=0),E1228*[1]Sheet1!$D$7+[1]Sheet1!$L$7,IF(AND(OR(D1228="S. acutus",D1228="S. tabernaemontani"),G1228&gt;0),E1228*[1]Sheet1!$D$8+N1228*[1]Sheet1!$E$8,IF(AND(D1228="S. californicus",G1228&gt;0),E1228*[1]Sheet1!$D$9+N1228*[1]Sheet1!$E$9,IF(D1228="S. maritimus",F1228*[1]Sheet1!$C$10+E1228*[1]Sheet1!$D$10+G1228*[1]Sheet1!$F$10+[1]Sheet1!$L$10,IF(D1228="S. americanus",F1228*[1]Sheet1!$C$6+E1228*[1]Sheet1!$D$6+[1]Sheet1!$L$6,IF(AND(OR(D1228="T. domingensis",D1228="T. latifolia"),E1228&gt;0),F1228*[1]Sheet1!$C$4+E1228*[1]Sheet1!$D$4+H1228*[1]Sheet1!$J$4+I1228*[1]Sheet1!$K$4+[1]Sheet1!$L$4,IF(AND(OR(D1228="T. domingensis",D1228="T. latifolia"),J1228&gt;0),J1228*[1]Sheet1!$G$5+K1228*[1]Sheet1!$H$5+L1228*[1]Sheet1!$I$5+[1]Sheet1!$L$5,0)))))))</f>
        <v>15.739853</v>
      </c>
    </row>
    <row r="1229" spans="1:15">
      <c r="A1229" s="2">
        <v>40724</v>
      </c>
      <c r="B1229" t="s">
        <v>11</v>
      </c>
      <c r="C1229">
        <v>35</v>
      </c>
      <c r="D1229" s="6" t="s">
        <v>13</v>
      </c>
      <c r="E1229">
        <v>293</v>
      </c>
      <c r="F1229">
        <v>2.85</v>
      </c>
      <c r="H1229">
        <v>18</v>
      </c>
      <c r="I1229">
        <v>1.4</v>
      </c>
      <c r="O1229">
        <f>IF(AND(OR(D1229="S. acutus",D1229="S. californicus",D1229="S. tabernaemontani"),G1229=0),E1229*[1]Sheet1!$D$7+[1]Sheet1!$L$7,IF(AND(OR(D1229="S. acutus",D1229="S. tabernaemontani"),G1229&gt;0),E1229*[1]Sheet1!$D$8+N1229*[1]Sheet1!$E$8,IF(AND(D1229="S. californicus",G1229&gt;0),E1229*[1]Sheet1!$D$9+N1229*[1]Sheet1!$E$9,IF(D1229="S. maritimus",F1229*[1]Sheet1!$C$10+E1229*[1]Sheet1!$D$10+G1229*[1]Sheet1!$F$10+[1]Sheet1!$L$10,IF(D1229="S. americanus",F1229*[1]Sheet1!$C$6+E1229*[1]Sheet1!$D$6+[1]Sheet1!$L$6,IF(AND(OR(D1229="T. domingensis",D1229="T. latifolia"),E1229&gt;0),F1229*[1]Sheet1!$C$4+E1229*[1]Sheet1!$D$4+H1229*[1]Sheet1!$J$4+I1229*[1]Sheet1!$K$4+[1]Sheet1!$L$4,IF(AND(OR(D1229="T. domingensis",D1229="T. latifolia"),J1229&gt;0),J1229*[1]Sheet1!$G$5+K1229*[1]Sheet1!$H$5+L1229*[1]Sheet1!$I$5+[1]Sheet1!$L$5,0)))))))</f>
        <v>86.959029850000007</v>
      </c>
    </row>
    <row r="1230" spans="1:15">
      <c r="A1230" s="2">
        <v>40724</v>
      </c>
      <c r="B1230" t="s">
        <v>11</v>
      </c>
      <c r="C1230">
        <v>35</v>
      </c>
      <c r="D1230" s="6" t="s">
        <v>13</v>
      </c>
      <c r="E1230">
        <v>340</v>
      </c>
      <c r="F1230">
        <v>3.4</v>
      </c>
      <c r="H1230">
        <v>30</v>
      </c>
      <c r="I1230">
        <v>1.6</v>
      </c>
      <c r="O1230">
        <f>IF(AND(OR(D1230="S. acutus",D1230="S. californicus",D1230="S. tabernaemontani"),G1230=0),E1230*[1]Sheet1!$D$7+[1]Sheet1!$L$7,IF(AND(OR(D1230="S. acutus",D1230="S. tabernaemontani"),G1230&gt;0),E1230*[1]Sheet1!$D$8+N1230*[1]Sheet1!$E$8,IF(AND(D1230="S. californicus",G1230&gt;0),E1230*[1]Sheet1!$D$9+N1230*[1]Sheet1!$E$9,IF(D1230="S. maritimus",F1230*[1]Sheet1!$C$10+E1230*[1]Sheet1!$D$10+G1230*[1]Sheet1!$F$10+[1]Sheet1!$L$10,IF(D1230="S. americanus",F1230*[1]Sheet1!$C$6+E1230*[1]Sheet1!$D$6+[1]Sheet1!$L$6,IF(AND(OR(D1230="T. domingensis",D1230="T. latifolia"),E1230&gt;0),F1230*[1]Sheet1!$C$4+E1230*[1]Sheet1!$D$4+H1230*[1]Sheet1!$J$4+I1230*[1]Sheet1!$K$4+[1]Sheet1!$L$4,IF(AND(OR(D1230="T. domingensis",D1230="T. latifolia"),J1230&gt;0),J1230*[1]Sheet1!$G$5+K1230*[1]Sheet1!$H$5+L1230*[1]Sheet1!$I$5+[1]Sheet1!$L$5,0)))))))</f>
        <v>126.49403460000002</v>
      </c>
    </row>
    <row r="1231" spans="1:15">
      <c r="A1231" s="2">
        <v>40724</v>
      </c>
      <c r="B1231" t="s">
        <v>11</v>
      </c>
      <c r="C1231">
        <v>35</v>
      </c>
      <c r="D1231" s="6" t="s">
        <v>13</v>
      </c>
      <c r="E1231">
        <v>340</v>
      </c>
      <c r="F1231">
        <v>5.4</v>
      </c>
      <c r="H1231">
        <v>42</v>
      </c>
      <c r="I1231">
        <v>2.7</v>
      </c>
      <c r="O1231">
        <f>IF(AND(OR(D1231="S. acutus",D1231="S. californicus",D1231="S. tabernaemontani"),G1231=0),E1231*[1]Sheet1!$D$7+[1]Sheet1!$L$7,IF(AND(OR(D1231="S. acutus",D1231="S. tabernaemontani"),G1231&gt;0),E1231*[1]Sheet1!$D$8+N1231*[1]Sheet1!$E$8,IF(AND(D1231="S. californicus",G1231&gt;0),E1231*[1]Sheet1!$D$9+N1231*[1]Sheet1!$E$9,IF(D1231="S. maritimus",F1231*[1]Sheet1!$C$10+E1231*[1]Sheet1!$D$10+G1231*[1]Sheet1!$F$10+[1]Sheet1!$L$10,IF(D1231="S. americanus",F1231*[1]Sheet1!$C$6+E1231*[1]Sheet1!$D$6+[1]Sheet1!$L$6,IF(AND(OR(D1231="T. domingensis",D1231="T. latifolia"),E1231&gt;0),F1231*[1]Sheet1!$C$4+E1231*[1]Sheet1!$D$4+H1231*[1]Sheet1!$J$4+I1231*[1]Sheet1!$K$4+[1]Sheet1!$L$4,IF(AND(OR(D1231="T. domingensis",D1231="T. latifolia"),J1231&gt;0),J1231*[1]Sheet1!$G$5+K1231*[1]Sheet1!$H$5+L1231*[1]Sheet1!$I$5+[1]Sheet1!$L$5,0)))))))</f>
        <v>195.40590380000003</v>
      </c>
    </row>
    <row r="1232" spans="1:15">
      <c r="A1232" s="2">
        <v>40724</v>
      </c>
      <c r="B1232" t="s">
        <v>11</v>
      </c>
      <c r="C1232">
        <v>35</v>
      </c>
      <c r="D1232" s="6" t="s">
        <v>13</v>
      </c>
      <c r="E1232">
        <v>344</v>
      </c>
      <c r="F1232">
        <v>3.91</v>
      </c>
      <c r="H1232">
        <v>43</v>
      </c>
      <c r="I1232">
        <v>3</v>
      </c>
      <c r="O1232">
        <f>IF(AND(OR(D1232="S. acutus",D1232="S. californicus",D1232="S. tabernaemontani"),G1232=0),E1232*[1]Sheet1!$D$7+[1]Sheet1!$L$7,IF(AND(OR(D1232="S. acutus",D1232="S. tabernaemontani"),G1232&gt;0),E1232*[1]Sheet1!$D$8+N1232*[1]Sheet1!$E$8,IF(AND(D1232="S. californicus",G1232&gt;0),E1232*[1]Sheet1!$D$9+N1232*[1]Sheet1!$E$9,IF(D1232="S. maritimus",F1232*[1]Sheet1!$C$10+E1232*[1]Sheet1!$D$10+G1232*[1]Sheet1!$F$10+[1]Sheet1!$L$10,IF(D1232="S. americanus",F1232*[1]Sheet1!$C$6+E1232*[1]Sheet1!$D$6+[1]Sheet1!$L$6,IF(AND(OR(D1232="T. domingensis",D1232="T. latifolia"),E1232&gt;0),F1232*[1]Sheet1!$C$4+E1232*[1]Sheet1!$D$4+H1232*[1]Sheet1!$J$4+I1232*[1]Sheet1!$K$4+[1]Sheet1!$L$4,IF(AND(OR(D1232="T. domingensis",D1232="T. latifolia"),J1232&gt;0),J1232*[1]Sheet1!$G$5+K1232*[1]Sheet1!$H$5+L1232*[1]Sheet1!$I$5+[1]Sheet1!$L$5,0)))))))</f>
        <v>174.09244987</v>
      </c>
    </row>
    <row r="1233" spans="1:15">
      <c r="A1233" s="2">
        <v>40724</v>
      </c>
      <c r="B1233" t="s">
        <v>11</v>
      </c>
      <c r="C1233">
        <v>35</v>
      </c>
      <c r="D1233" s="6" t="s">
        <v>13</v>
      </c>
      <c r="E1233">
        <v>346</v>
      </c>
      <c r="F1233">
        <v>3.7</v>
      </c>
      <c r="H1233">
        <v>23</v>
      </c>
      <c r="I1233">
        <v>2.4</v>
      </c>
      <c r="O1233">
        <f>IF(AND(OR(D1233="S. acutus",D1233="S. californicus",D1233="S. tabernaemontani"),G1233=0),E1233*[1]Sheet1!$D$7+[1]Sheet1!$L$7,IF(AND(OR(D1233="S. acutus",D1233="S. tabernaemontani"),G1233&gt;0),E1233*[1]Sheet1!$D$8+N1233*[1]Sheet1!$E$8,IF(AND(D1233="S. californicus",G1233&gt;0),E1233*[1]Sheet1!$D$9+N1233*[1]Sheet1!$E$9,IF(D1233="S. maritimus",F1233*[1]Sheet1!$C$10+E1233*[1]Sheet1!$D$10+G1233*[1]Sheet1!$F$10+[1]Sheet1!$L$10,IF(D1233="S. americanus",F1233*[1]Sheet1!$C$6+E1233*[1]Sheet1!$D$6+[1]Sheet1!$L$6,IF(AND(OR(D1233="T. domingensis",D1233="T. latifolia"),E1233&gt;0),F1233*[1]Sheet1!$C$4+E1233*[1]Sheet1!$D$4+H1233*[1]Sheet1!$J$4+I1233*[1]Sheet1!$K$4+[1]Sheet1!$L$4,IF(AND(OR(D1233="T. domingensis",D1233="T. latifolia"),J1233&gt;0),J1233*[1]Sheet1!$G$5+K1233*[1]Sheet1!$H$5+L1233*[1]Sheet1!$I$5+[1]Sheet1!$L$5,0)))))))</f>
        <v>141.56517589999999</v>
      </c>
    </row>
    <row r="1234" spans="1:15">
      <c r="A1234" s="2">
        <v>40724</v>
      </c>
      <c r="B1234" t="s">
        <v>11</v>
      </c>
      <c r="C1234">
        <v>35</v>
      </c>
      <c r="D1234" s="6" t="s">
        <v>13</v>
      </c>
      <c r="E1234">
        <v>390</v>
      </c>
      <c r="F1234">
        <v>4.2</v>
      </c>
      <c r="H1234">
        <v>36</v>
      </c>
      <c r="I1234">
        <v>2</v>
      </c>
      <c r="O1234">
        <f>IF(AND(OR(D1234="S. acutus",D1234="S. californicus",D1234="S. tabernaemontani"),G1234=0),E1234*[1]Sheet1!$D$7+[1]Sheet1!$L$7,IF(AND(OR(D1234="S. acutus",D1234="S. tabernaemontani"),G1234&gt;0),E1234*[1]Sheet1!$D$8+N1234*[1]Sheet1!$E$8,IF(AND(D1234="S. californicus",G1234&gt;0),E1234*[1]Sheet1!$D$9+N1234*[1]Sheet1!$E$9,IF(D1234="S. maritimus",F1234*[1]Sheet1!$C$10+E1234*[1]Sheet1!$D$10+G1234*[1]Sheet1!$F$10+[1]Sheet1!$L$10,IF(D1234="S. americanus",F1234*[1]Sheet1!$C$6+E1234*[1]Sheet1!$D$6+[1]Sheet1!$L$6,IF(AND(OR(D1234="T. domingensis",D1234="T. latifolia"),E1234&gt;0),F1234*[1]Sheet1!$C$4+E1234*[1]Sheet1!$D$4+H1234*[1]Sheet1!$J$4+I1234*[1]Sheet1!$K$4+[1]Sheet1!$L$4,IF(AND(OR(D1234="T. domingensis",D1234="T. latifolia"),J1234&gt;0),J1234*[1]Sheet1!$G$5+K1234*[1]Sheet1!$H$5+L1234*[1]Sheet1!$I$5+[1]Sheet1!$L$5,0)))))))</f>
        <v>169.67023460000001</v>
      </c>
    </row>
    <row r="1235" spans="1:15">
      <c r="A1235" s="2">
        <v>40724</v>
      </c>
      <c r="B1235" t="s">
        <v>11</v>
      </c>
      <c r="C1235">
        <v>35</v>
      </c>
      <c r="D1235" s="6" t="s">
        <v>13</v>
      </c>
      <c r="F1235">
        <v>2.84</v>
      </c>
      <c r="J1235">
        <f>255+275+320+351+378</f>
        <v>1579</v>
      </c>
      <c r="K1235">
        <v>5</v>
      </c>
      <c r="L1235">
        <v>378</v>
      </c>
      <c r="O1235">
        <f>IF(AND(OR(D1235="S. acutus",D1235="S. californicus",D1235="S. tabernaemontani"),G1235=0),E1235*[1]Sheet1!$D$7+[1]Sheet1!$L$7,IF(AND(OR(D1235="S. acutus",D1235="S. tabernaemontani"),G1235&gt;0),E1235*[1]Sheet1!$D$8+N1235*[1]Sheet1!$E$8,IF(AND(D1235="S. californicus",G1235&gt;0),E1235*[1]Sheet1!$D$9+N1235*[1]Sheet1!$E$9,IF(D1235="S. maritimus",F1235*[1]Sheet1!$C$10+E1235*[1]Sheet1!$D$10+G1235*[1]Sheet1!$F$10+[1]Sheet1!$L$10,IF(D1235="S. americanus",F1235*[1]Sheet1!$C$6+E1235*[1]Sheet1!$D$6+[1]Sheet1!$L$6,IF(AND(OR(D1235="T. domingensis",D1235="T. latifolia"),E1235&gt;0),F1235*[1]Sheet1!$C$4+E1235*[1]Sheet1!$D$4+H1235*[1]Sheet1!$J$4+I1235*[1]Sheet1!$K$4+[1]Sheet1!$L$4,IF(AND(OR(D1235="T. domingensis",D1235="T. latifolia"),J1235&gt;0),J1235*[1]Sheet1!$G$5+K1235*[1]Sheet1!$H$5+L1235*[1]Sheet1!$I$5+[1]Sheet1!$L$5,0)))))))</f>
        <v>32.093754000000025</v>
      </c>
    </row>
    <row r="1236" spans="1:15">
      <c r="A1236" s="2">
        <v>40724</v>
      </c>
      <c r="B1236" t="s">
        <v>11</v>
      </c>
      <c r="C1236">
        <v>35</v>
      </c>
      <c r="D1236" s="6" t="s">
        <v>13</v>
      </c>
      <c r="F1236">
        <v>4.63</v>
      </c>
      <c r="J1236">
        <f>294+292+355+357+394+410+492</f>
        <v>2594</v>
      </c>
      <c r="K1236">
        <v>7</v>
      </c>
      <c r="L1236">
        <v>492</v>
      </c>
      <c r="O1236">
        <f>IF(AND(OR(D1236="S. acutus",D1236="S. californicus",D1236="S. tabernaemontani"),G1236=0),E1236*[1]Sheet1!$D$7+[1]Sheet1!$L$7,IF(AND(OR(D1236="S. acutus",D1236="S. tabernaemontani"),G1236&gt;0),E1236*[1]Sheet1!$D$8+N1236*[1]Sheet1!$E$8,IF(AND(D1236="S. californicus",G1236&gt;0),E1236*[1]Sheet1!$D$9+N1236*[1]Sheet1!$E$9,IF(D1236="S. maritimus",F1236*[1]Sheet1!$C$10+E1236*[1]Sheet1!$D$10+G1236*[1]Sheet1!$F$10+[1]Sheet1!$L$10,IF(D1236="S. americanus",F1236*[1]Sheet1!$C$6+E1236*[1]Sheet1!$D$6+[1]Sheet1!$L$6,IF(AND(OR(D1236="T. domingensis",D1236="T. latifolia"),E1236&gt;0),F1236*[1]Sheet1!$C$4+E1236*[1]Sheet1!$D$4+H1236*[1]Sheet1!$J$4+I1236*[1]Sheet1!$K$4+[1]Sheet1!$L$4,IF(AND(OR(D1236="T. domingensis",D1236="T. latifolia"),J1236&gt;0),J1236*[1]Sheet1!$G$5+K1236*[1]Sheet1!$H$5+L1236*[1]Sheet1!$I$5+[1]Sheet1!$L$5,0)))))))</f>
        <v>78.868443000000042</v>
      </c>
    </row>
    <row r="1237" spans="1:15">
      <c r="A1237" s="2">
        <v>40724</v>
      </c>
      <c r="B1237" t="s">
        <v>11</v>
      </c>
      <c r="C1237">
        <v>37</v>
      </c>
      <c r="D1237" s="6" t="s">
        <v>13</v>
      </c>
      <c r="E1237">
        <v>363</v>
      </c>
      <c r="F1237">
        <v>3.5</v>
      </c>
      <c r="H1237">
        <v>32</v>
      </c>
      <c r="I1237">
        <v>2.5</v>
      </c>
      <c r="M1237" t="s">
        <v>25</v>
      </c>
      <c r="O1237">
        <f>IF(AND(OR(D1237="S. acutus",D1237="S. californicus",D1237="S. tabernaemontani"),G1237=0),E1237*[1]Sheet1!$D$7+[1]Sheet1!$L$7,IF(AND(OR(D1237="S. acutus",D1237="S. tabernaemontani"),G1237&gt;0),E1237*[1]Sheet1!$D$8+N1237*[1]Sheet1!$E$8,IF(AND(D1237="S. californicus",G1237&gt;0),E1237*[1]Sheet1!$D$9+N1237*[1]Sheet1!$E$9,IF(D1237="S. maritimus",F1237*[1]Sheet1!$C$10+E1237*[1]Sheet1!$D$10+G1237*[1]Sheet1!$F$10+[1]Sheet1!$L$10,IF(D1237="S. americanus",F1237*[1]Sheet1!$C$6+E1237*[1]Sheet1!$D$6+[1]Sheet1!$L$6,IF(AND(OR(D1237="T. domingensis",D1237="T. latifolia"),E1237&gt;0),F1237*[1]Sheet1!$C$4+E1237*[1]Sheet1!$D$4+H1237*[1]Sheet1!$J$4+I1237*[1]Sheet1!$K$4+[1]Sheet1!$L$4,IF(AND(OR(D1237="T. domingensis",D1237="T. latifolia"),J1237&gt;0),J1237*[1]Sheet1!$G$5+K1237*[1]Sheet1!$H$5+L1237*[1]Sheet1!$I$5+[1]Sheet1!$L$5,0)))))))</f>
        <v>152.99816450000003</v>
      </c>
    </row>
    <row r="1238" spans="1:15">
      <c r="A1238" s="2">
        <v>40724</v>
      </c>
      <c r="B1238" t="s">
        <v>11</v>
      </c>
      <c r="C1238">
        <v>37</v>
      </c>
      <c r="D1238" s="6" t="s">
        <v>13</v>
      </c>
      <c r="F1238">
        <v>2.4</v>
      </c>
      <c r="J1238">
        <f>114+264+300+314+363</f>
        <v>1355</v>
      </c>
      <c r="K1238">
        <v>5</v>
      </c>
      <c r="L1238">
        <v>363</v>
      </c>
      <c r="M1238" t="s">
        <v>25</v>
      </c>
      <c r="O1238">
        <f>IF(AND(OR(D1238="S. acutus",D1238="S. californicus",D1238="S. tabernaemontani"),G1238=0),E1238*[1]Sheet1!$D$7+[1]Sheet1!$L$7,IF(AND(OR(D1238="S. acutus",D1238="S. tabernaemontani"),G1238&gt;0),E1238*[1]Sheet1!$D$8+N1238*[1]Sheet1!$E$8,IF(AND(D1238="S. californicus",G1238&gt;0),E1238*[1]Sheet1!$D$9+N1238*[1]Sheet1!$E$9,IF(D1238="S. maritimus",F1238*[1]Sheet1!$C$10+E1238*[1]Sheet1!$D$10+G1238*[1]Sheet1!$F$10+[1]Sheet1!$L$10,IF(D1238="S. americanus",F1238*[1]Sheet1!$C$6+E1238*[1]Sheet1!$D$6+[1]Sheet1!$L$6,IF(AND(OR(D1238="T. domingensis",D1238="T. latifolia"),E1238&gt;0),F1238*[1]Sheet1!$C$4+E1238*[1]Sheet1!$D$4+H1238*[1]Sheet1!$J$4+I1238*[1]Sheet1!$K$4+[1]Sheet1!$L$4,IF(AND(OR(D1238="T. domingensis",D1238="T. latifolia"),J1238&gt;0),J1238*[1]Sheet1!$G$5+K1238*[1]Sheet1!$H$5+L1238*[1]Sheet1!$I$5+[1]Sheet1!$L$5,0)))))))</f>
        <v>15.611309000000013</v>
      </c>
    </row>
    <row r="1239" spans="1:15">
      <c r="A1239" s="2">
        <v>40724</v>
      </c>
      <c r="B1239" t="s">
        <v>11</v>
      </c>
      <c r="C1239">
        <v>37</v>
      </c>
      <c r="D1239" s="6" t="s">
        <v>13</v>
      </c>
      <c r="F1239">
        <v>2.4</v>
      </c>
      <c r="J1239">
        <f>192+219+288+289+326</f>
        <v>1314</v>
      </c>
      <c r="K1239">
        <v>5</v>
      </c>
      <c r="L1239">
        <v>326</v>
      </c>
      <c r="M1239" t="s">
        <v>25</v>
      </c>
      <c r="O1239">
        <f>IF(AND(OR(D1239="S. acutus",D1239="S. californicus",D1239="S. tabernaemontani"),G1239=0),E1239*[1]Sheet1!$D$7+[1]Sheet1!$L$7,IF(AND(OR(D1239="S. acutus",D1239="S. tabernaemontani"),G1239&gt;0),E1239*[1]Sheet1!$D$8+N1239*[1]Sheet1!$E$8,IF(AND(D1239="S. californicus",G1239&gt;0),E1239*[1]Sheet1!$D$9+N1239*[1]Sheet1!$E$9,IF(D1239="S. maritimus",F1239*[1]Sheet1!$C$10+E1239*[1]Sheet1!$D$10+G1239*[1]Sheet1!$F$10+[1]Sheet1!$L$10,IF(D1239="S. americanus",F1239*[1]Sheet1!$C$6+E1239*[1]Sheet1!$D$6+[1]Sheet1!$L$6,IF(AND(OR(D1239="T. domingensis",D1239="T. latifolia"),E1239&gt;0),F1239*[1]Sheet1!$C$4+E1239*[1]Sheet1!$D$4+H1239*[1]Sheet1!$J$4+I1239*[1]Sheet1!$K$4+[1]Sheet1!$L$4,IF(AND(OR(D1239="T. domingensis",D1239="T. latifolia"),J1239&gt;0),J1239*[1]Sheet1!$G$5+K1239*[1]Sheet1!$H$5+L1239*[1]Sheet1!$I$5+[1]Sheet1!$L$5,0)))))))</f>
        <v>22.913419000000026</v>
      </c>
    </row>
    <row r="1240" spans="1:15">
      <c r="A1240" s="2">
        <v>40724</v>
      </c>
      <c r="B1240" t="s">
        <v>11</v>
      </c>
      <c r="C1240">
        <v>37</v>
      </c>
      <c r="D1240" s="6" t="s">
        <v>13</v>
      </c>
      <c r="F1240">
        <v>3.1</v>
      </c>
      <c r="J1240">
        <f>156+164+284+356+414+435</f>
        <v>1809</v>
      </c>
      <c r="K1240">
        <v>6</v>
      </c>
      <c r="L1240">
        <v>435</v>
      </c>
      <c r="M1240" t="s">
        <v>25</v>
      </c>
      <c r="O1240">
        <f>IF(AND(OR(D1240="S. acutus",D1240="S. californicus",D1240="S. tabernaemontani"),G1240=0),E1240*[1]Sheet1!$D$7+[1]Sheet1!$L$7,IF(AND(OR(D1240="S. acutus",D1240="S. tabernaemontani"),G1240&gt;0),E1240*[1]Sheet1!$D$8+N1240*[1]Sheet1!$E$8,IF(AND(D1240="S. californicus",G1240&gt;0),E1240*[1]Sheet1!$D$9+N1240*[1]Sheet1!$E$9,IF(D1240="S. maritimus",F1240*[1]Sheet1!$C$10+E1240*[1]Sheet1!$D$10+G1240*[1]Sheet1!$F$10+[1]Sheet1!$L$10,IF(D1240="S. americanus",F1240*[1]Sheet1!$C$6+E1240*[1]Sheet1!$D$6+[1]Sheet1!$L$6,IF(AND(OR(D1240="T. domingensis",D1240="T. latifolia"),E1240&gt;0),F1240*[1]Sheet1!$C$4+E1240*[1]Sheet1!$D$4+H1240*[1]Sheet1!$J$4+I1240*[1]Sheet1!$K$4+[1]Sheet1!$L$4,IF(AND(OR(D1240="T. domingensis",D1240="T. latifolia"),J1240&gt;0),J1240*[1]Sheet1!$G$5+K1240*[1]Sheet1!$H$5+L1240*[1]Sheet1!$I$5+[1]Sheet1!$L$5,0)))))))</f>
        <v>29.464086000000016</v>
      </c>
    </row>
    <row r="1241" spans="1:15">
      <c r="A1241" s="2">
        <v>40724</v>
      </c>
      <c r="B1241" t="s">
        <v>11</v>
      </c>
      <c r="C1241">
        <v>37</v>
      </c>
      <c r="D1241" s="6" t="s">
        <v>13</v>
      </c>
      <c r="F1241">
        <v>4.8</v>
      </c>
      <c r="J1241">
        <f>173+288+270+354+368+390</f>
        <v>1843</v>
      </c>
      <c r="K1241">
        <v>6</v>
      </c>
      <c r="L1241">
        <v>390</v>
      </c>
      <c r="M1241" t="s">
        <v>25</v>
      </c>
      <c r="O1241">
        <f>IF(AND(OR(D1241="S. acutus",D1241="S. californicus",D1241="S. tabernaemontani"),G1241=0),E1241*[1]Sheet1!$D$7+[1]Sheet1!$L$7,IF(AND(OR(D1241="S. acutus",D1241="S. tabernaemontani"),G1241&gt;0),E1241*[1]Sheet1!$D$8+N1241*[1]Sheet1!$E$8,IF(AND(D1241="S. californicus",G1241&gt;0),E1241*[1]Sheet1!$D$9+N1241*[1]Sheet1!$E$9,IF(D1241="S. maritimus",F1241*[1]Sheet1!$C$10+E1241*[1]Sheet1!$D$10+G1241*[1]Sheet1!$F$10+[1]Sheet1!$L$10,IF(D1241="S. americanus",F1241*[1]Sheet1!$C$6+E1241*[1]Sheet1!$D$6+[1]Sheet1!$L$6,IF(AND(OR(D1241="T. domingensis",D1241="T. latifolia"),E1241&gt;0),F1241*[1]Sheet1!$C$4+E1241*[1]Sheet1!$D$4+H1241*[1]Sheet1!$J$4+I1241*[1]Sheet1!$K$4+[1]Sheet1!$L$4,IF(AND(OR(D1241="T. domingensis",D1241="T. latifolia"),J1241&gt;0),J1241*[1]Sheet1!$G$5+K1241*[1]Sheet1!$H$5+L1241*[1]Sheet1!$I$5+[1]Sheet1!$L$5,0)))))))</f>
        <v>46.207781000000018</v>
      </c>
    </row>
    <row r="1242" spans="1:15">
      <c r="A1242" s="2">
        <v>40724</v>
      </c>
      <c r="B1242" t="s">
        <v>11</v>
      </c>
      <c r="C1242">
        <v>37</v>
      </c>
      <c r="D1242" s="6" t="s">
        <v>13</v>
      </c>
      <c r="F1242">
        <v>4.75</v>
      </c>
      <c r="J1242">
        <f>207+294+335+348+368+408+426</f>
        <v>2386</v>
      </c>
      <c r="K1242">
        <v>7</v>
      </c>
      <c r="L1242">
        <v>426</v>
      </c>
      <c r="M1242" t="s">
        <v>25</v>
      </c>
      <c r="O1242">
        <f>IF(AND(OR(D1242="S. acutus",D1242="S. californicus",D1242="S. tabernaemontani"),G1242=0),E1242*[1]Sheet1!$D$7+[1]Sheet1!$L$7,IF(AND(OR(D1242="S. acutus",D1242="S. tabernaemontani"),G1242&gt;0),E1242*[1]Sheet1!$D$8+N1242*[1]Sheet1!$E$8,IF(AND(D1242="S. californicus",G1242&gt;0),E1242*[1]Sheet1!$D$9+N1242*[1]Sheet1!$E$9,IF(D1242="S. maritimus",F1242*[1]Sheet1!$C$10+E1242*[1]Sheet1!$D$10+G1242*[1]Sheet1!$F$10+[1]Sheet1!$L$10,IF(D1242="S. americanus",F1242*[1]Sheet1!$C$6+E1242*[1]Sheet1!$D$6+[1]Sheet1!$L$6,IF(AND(OR(D1242="T. domingensis",D1242="T. latifolia"),E1242&gt;0),F1242*[1]Sheet1!$C$4+E1242*[1]Sheet1!$D$4+H1242*[1]Sheet1!$J$4+I1242*[1]Sheet1!$K$4+[1]Sheet1!$L$4,IF(AND(OR(D1242="T. domingensis",D1242="T. latifolia"),J1242&gt;0),J1242*[1]Sheet1!$G$5+K1242*[1]Sheet1!$H$5+L1242*[1]Sheet1!$I$5+[1]Sheet1!$L$5,0)))))))</f>
        <v>79.249572999999998</v>
      </c>
    </row>
    <row r="1243" spans="1:15">
      <c r="A1243" s="2">
        <v>40724</v>
      </c>
      <c r="B1243" t="s">
        <v>11</v>
      </c>
      <c r="C1243">
        <v>37</v>
      </c>
      <c r="D1243" s="6" t="s">
        <v>13</v>
      </c>
      <c r="F1243">
        <v>4.4000000000000004</v>
      </c>
      <c r="J1243">
        <f>212+224+324+373+390+407+418+424</f>
        <v>2772</v>
      </c>
      <c r="K1243">
        <v>8</v>
      </c>
      <c r="L1243">
        <v>424</v>
      </c>
      <c r="M1243" t="s">
        <v>25</v>
      </c>
      <c r="O1243">
        <f>IF(AND(OR(D1243="S. acutus",D1243="S. californicus",D1243="S. tabernaemontani"),G1243=0),E1243*[1]Sheet1!$D$7+[1]Sheet1!$L$7,IF(AND(OR(D1243="S. acutus",D1243="S. tabernaemontani"),G1243&gt;0),E1243*[1]Sheet1!$D$8+N1243*[1]Sheet1!$E$8,IF(AND(D1243="S. californicus",G1243&gt;0),E1243*[1]Sheet1!$D$9+N1243*[1]Sheet1!$E$9,IF(D1243="S. maritimus",F1243*[1]Sheet1!$C$10+E1243*[1]Sheet1!$D$10+G1243*[1]Sheet1!$F$10+[1]Sheet1!$L$10,IF(D1243="S. americanus",F1243*[1]Sheet1!$C$6+E1243*[1]Sheet1!$D$6+[1]Sheet1!$L$6,IF(AND(OR(D1243="T. domingensis",D1243="T. latifolia"),E1243&gt;0),F1243*[1]Sheet1!$C$4+E1243*[1]Sheet1!$D$4+H1243*[1]Sheet1!$J$4+I1243*[1]Sheet1!$K$4+[1]Sheet1!$L$4,IF(AND(OR(D1243="T. domingensis",D1243="T. latifolia"),J1243&gt;0),J1243*[1]Sheet1!$G$5+K1243*[1]Sheet1!$H$5+L1243*[1]Sheet1!$I$5+[1]Sheet1!$L$5,0)))))))</f>
        <v>109.01914000000002</v>
      </c>
    </row>
    <row r="1244" spans="1:15">
      <c r="A1244" s="2">
        <v>40724</v>
      </c>
      <c r="B1244" t="s">
        <v>11</v>
      </c>
      <c r="C1244">
        <v>43</v>
      </c>
      <c r="D1244" s="6" t="s">
        <v>12</v>
      </c>
      <c r="E1244">
        <v>36</v>
      </c>
      <c r="F1244">
        <v>0.7</v>
      </c>
      <c r="G1244">
        <v>0</v>
      </c>
      <c r="N1244">
        <f t="shared" ref="N1244:N1256" si="22">(1/3)*(3.14159)*((F1244/2)^2)*E1244</f>
        <v>4.618137299999999</v>
      </c>
      <c r="O1244">
        <f>IF(AND(OR(D1244="S. acutus",D1244="S. californicus",D1244="S. tabernaemontani"),G1244=0),E1244*[1]Sheet1!$D$7+[1]Sheet1!$L$7,IF(AND(OR(D1244="S. acutus",D1244="S. tabernaemontani"),G1244&gt;0),E1244*[1]Sheet1!$D$8+N1244*[1]Sheet1!$E$8,IF(AND(D1244="S. californicus",G1244&gt;0),E1244*[1]Sheet1!$D$9+N1244*[1]Sheet1!$E$9,IF(D1244="S. maritimus",F1244*[1]Sheet1!$C$10+E1244*[1]Sheet1!$D$10+G1244*[1]Sheet1!$F$10+[1]Sheet1!$L$10,IF(D1244="S. americanus",F1244*[1]Sheet1!$C$6+E1244*[1]Sheet1!$D$6+[1]Sheet1!$L$6,IF(AND(OR(D1244="T. domingensis",D1244="T. latifolia"),E1244&gt;0),F1244*[1]Sheet1!$C$4+E1244*[1]Sheet1!$D$4+H1244*[1]Sheet1!$J$4+I1244*[1]Sheet1!$K$4+[1]Sheet1!$L$4,IF(AND(OR(D1244="T. domingensis",D1244="T. latifolia"),J1244&gt;0),J1244*[1]Sheet1!$G$5+K1244*[1]Sheet1!$H$5+L1244*[1]Sheet1!$I$5+[1]Sheet1!$L$5,0)))))))</f>
        <v>-2.0668169999999999</v>
      </c>
    </row>
    <row r="1245" spans="1:15">
      <c r="A1245" s="2">
        <v>40724</v>
      </c>
      <c r="B1245" t="s">
        <v>11</v>
      </c>
      <c r="C1245">
        <v>43</v>
      </c>
      <c r="D1245" s="6" t="s">
        <v>12</v>
      </c>
      <c r="E1245">
        <v>72</v>
      </c>
      <c r="F1245">
        <v>1.65</v>
      </c>
      <c r="G1245">
        <v>0</v>
      </c>
      <c r="N1245">
        <f t="shared" si="22"/>
        <v>51.317872649999991</v>
      </c>
      <c r="O1245">
        <f>IF(AND(OR(D1245="S. acutus",D1245="S. californicus",D1245="S. tabernaemontani"),G1245=0),E1245*[1]Sheet1!$D$7+[1]Sheet1!$L$7,IF(AND(OR(D1245="S. acutus",D1245="S. tabernaemontani"),G1245&gt;0),E1245*[1]Sheet1!$D$8+N1245*[1]Sheet1!$E$8,IF(AND(D1245="S. californicus",G1245&gt;0),E1245*[1]Sheet1!$D$9+N1245*[1]Sheet1!$E$9,IF(D1245="S. maritimus",F1245*[1]Sheet1!$C$10+E1245*[1]Sheet1!$D$10+G1245*[1]Sheet1!$F$10+[1]Sheet1!$L$10,IF(D1245="S. americanus",F1245*[1]Sheet1!$C$6+E1245*[1]Sheet1!$D$6+[1]Sheet1!$L$6,IF(AND(OR(D1245="T. domingensis",D1245="T. latifolia"),E1245&gt;0),F1245*[1]Sheet1!$C$4+E1245*[1]Sheet1!$D$4+H1245*[1]Sheet1!$J$4+I1245*[1]Sheet1!$K$4+[1]Sheet1!$L$4,IF(AND(OR(D1245="T. domingensis",D1245="T. latifolia"),J1245&gt;0),J1245*[1]Sheet1!$G$5+K1245*[1]Sheet1!$H$5+L1245*[1]Sheet1!$I$5+[1]Sheet1!$L$5,0)))))))</f>
        <v>0.45696300000000001</v>
      </c>
    </row>
    <row r="1246" spans="1:15">
      <c r="A1246" s="2">
        <v>40724</v>
      </c>
      <c r="B1246" t="s">
        <v>11</v>
      </c>
      <c r="C1246">
        <v>43</v>
      </c>
      <c r="D1246" s="6" t="s">
        <v>12</v>
      </c>
      <c r="E1246">
        <v>141</v>
      </c>
      <c r="F1246">
        <v>1.39</v>
      </c>
      <c r="G1246">
        <v>0</v>
      </c>
      <c r="N1246">
        <f t="shared" si="22"/>
        <v>71.320925958249973</v>
      </c>
      <c r="O1246">
        <f>IF(AND(OR(D1246="S. acutus",D1246="S. californicus",D1246="S. tabernaemontani"),G1246=0),E1246*[1]Sheet1!$D$7+[1]Sheet1!$L$7,IF(AND(OR(D1246="S. acutus",D1246="S. tabernaemontani"),G1246&gt;0),E1246*[1]Sheet1!$D$8+N1246*[1]Sheet1!$E$8,IF(AND(D1246="S. californicus",G1246&gt;0),E1246*[1]Sheet1!$D$9+N1246*[1]Sheet1!$E$9,IF(D1246="S. maritimus",F1246*[1]Sheet1!$C$10+E1246*[1]Sheet1!$D$10+G1246*[1]Sheet1!$F$10+[1]Sheet1!$L$10,IF(D1246="S. americanus",F1246*[1]Sheet1!$C$6+E1246*[1]Sheet1!$D$6+[1]Sheet1!$L$6,IF(AND(OR(D1246="T. domingensis",D1246="T. latifolia"),E1246&gt;0),F1246*[1]Sheet1!$C$4+E1246*[1]Sheet1!$D$4+H1246*[1]Sheet1!$J$4+I1246*[1]Sheet1!$K$4+[1]Sheet1!$L$4,IF(AND(OR(D1246="T. domingensis",D1246="T. latifolia"),J1246&gt;0),J1246*[1]Sheet1!$G$5+K1246*[1]Sheet1!$H$5+L1246*[1]Sheet1!$I$5+[1]Sheet1!$L$5,0)))))))</f>
        <v>5.2942080000000002</v>
      </c>
    </row>
    <row r="1247" spans="1:15">
      <c r="A1247" s="2">
        <v>40724</v>
      </c>
      <c r="B1247" t="s">
        <v>11</v>
      </c>
      <c r="C1247">
        <v>43</v>
      </c>
      <c r="D1247" s="6" t="s">
        <v>12</v>
      </c>
      <c r="E1247">
        <v>173</v>
      </c>
      <c r="F1247">
        <v>0.72</v>
      </c>
      <c r="G1247">
        <v>0</v>
      </c>
      <c r="N1247">
        <f t="shared" si="22"/>
        <v>23.478987023999995</v>
      </c>
      <c r="O1247">
        <f>IF(AND(OR(D1247="S. acutus",D1247="S. californicus",D1247="S. tabernaemontani"),G1247=0),E1247*[1]Sheet1!$D$7+[1]Sheet1!$L$7,IF(AND(OR(D1247="S. acutus",D1247="S. tabernaemontani"),G1247&gt;0),E1247*[1]Sheet1!$D$8+N1247*[1]Sheet1!$E$8,IF(AND(D1247="S. californicus",G1247&gt;0),E1247*[1]Sheet1!$D$9+N1247*[1]Sheet1!$E$9,IF(D1247="S. maritimus",F1247*[1]Sheet1!$C$10+E1247*[1]Sheet1!$D$10+G1247*[1]Sheet1!$F$10+[1]Sheet1!$L$10,IF(D1247="S. americanus",F1247*[1]Sheet1!$C$6+E1247*[1]Sheet1!$D$6+[1]Sheet1!$L$6,IF(AND(OR(D1247="T. domingensis",D1247="T. latifolia"),E1247&gt;0),F1247*[1]Sheet1!$C$4+E1247*[1]Sheet1!$D$4+H1247*[1]Sheet1!$J$4+I1247*[1]Sheet1!$K$4+[1]Sheet1!$L$4,IF(AND(OR(D1247="T. domingensis",D1247="T. latifolia"),J1247&gt;0),J1247*[1]Sheet1!$G$5+K1247*[1]Sheet1!$H$5+L1247*[1]Sheet1!$I$5+[1]Sheet1!$L$5,0)))))))</f>
        <v>7.5375680000000012</v>
      </c>
    </row>
    <row r="1248" spans="1:15">
      <c r="A1248" s="2">
        <v>40724</v>
      </c>
      <c r="B1248" t="s">
        <v>11</v>
      </c>
      <c r="C1248">
        <v>43</v>
      </c>
      <c r="D1248" s="6" t="s">
        <v>12</v>
      </c>
      <c r="E1248">
        <v>213</v>
      </c>
      <c r="F1248">
        <v>1.2</v>
      </c>
      <c r="G1248">
        <v>10</v>
      </c>
      <c r="N1248">
        <f t="shared" si="22"/>
        <v>80.299040399999996</v>
      </c>
      <c r="O1248">
        <f>IF(AND(OR(D1248="S. acutus",D1248="S. californicus",D1248="S. tabernaemontani"),G1248=0),E1248*[1]Sheet1!$D$7+[1]Sheet1!$L$7,IF(AND(OR(D1248="S. acutus",D1248="S. tabernaemontani"),G1248&gt;0),E1248*[1]Sheet1!$D$8+N1248*[1]Sheet1!$E$8,IF(AND(D1248="S. californicus",G1248&gt;0),E1248*[1]Sheet1!$D$9+N1248*[1]Sheet1!$E$9,IF(D1248="S. maritimus",F1248*[1]Sheet1!$C$10+E1248*[1]Sheet1!$D$10+G1248*[1]Sheet1!$F$10+[1]Sheet1!$L$10,IF(D1248="S. americanus",F1248*[1]Sheet1!$C$6+E1248*[1]Sheet1!$D$6+[1]Sheet1!$L$6,IF(AND(OR(D1248="T. domingensis",D1248="T. latifolia"),E1248&gt;0),F1248*[1]Sheet1!$C$4+E1248*[1]Sheet1!$D$4+H1248*[1]Sheet1!$J$4+I1248*[1]Sheet1!$K$4+[1]Sheet1!$L$4,IF(AND(OR(D1248="T. domingensis",D1248="T. latifolia"),J1248&gt;0),J1248*[1]Sheet1!$G$5+K1248*[1]Sheet1!$H$5+L1248*[1]Sheet1!$I$5+[1]Sheet1!$L$5,0)))))))</f>
        <v>10.787713670016359</v>
      </c>
    </row>
    <row r="1249" spans="1:16">
      <c r="A1249" s="2">
        <v>40724</v>
      </c>
      <c r="B1249" t="s">
        <v>11</v>
      </c>
      <c r="C1249">
        <v>43</v>
      </c>
      <c r="D1249" s="6" t="s">
        <v>12</v>
      </c>
      <c r="E1249">
        <v>219</v>
      </c>
      <c r="F1249">
        <v>1.69</v>
      </c>
      <c r="G1249">
        <v>0</v>
      </c>
      <c r="N1249">
        <f t="shared" si="22"/>
        <v>163.75168738174997</v>
      </c>
      <c r="O1249">
        <f>IF(AND(OR(D1249="S. acutus",D1249="S. californicus",D1249="S. tabernaemontani"),G1249=0),E1249*[1]Sheet1!$D$7+[1]Sheet1!$L$7,IF(AND(OR(D1249="S. acutus",D1249="S. tabernaemontani"),G1249&gt;0),E1249*[1]Sheet1!$D$8+N1249*[1]Sheet1!$E$8,IF(AND(D1249="S. californicus",G1249&gt;0),E1249*[1]Sheet1!$D$9+N1249*[1]Sheet1!$E$9,IF(D1249="S. maritimus",F1249*[1]Sheet1!$C$10+E1249*[1]Sheet1!$D$10+G1249*[1]Sheet1!$F$10+[1]Sheet1!$L$10,IF(D1249="S. americanus",F1249*[1]Sheet1!$C$6+E1249*[1]Sheet1!$D$6+[1]Sheet1!$L$6,IF(AND(OR(D1249="T. domingensis",D1249="T. latifolia"),E1249&gt;0),F1249*[1]Sheet1!$C$4+E1249*[1]Sheet1!$D$4+H1249*[1]Sheet1!$J$4+I1249*[1]Sheet1!$K$4+[1]Sheet1!$L$4,IF(AND(OR(D1249="T. domingensis",D1249="T. latifolia"),J1249&gt;0),J1249*[1]Sheet1!$G$5+K1249*[1]Sheet1!$H$5+L1249*[1]Sheet1!$I$5+[1]Sheet1!$L$5,0)))))))</f>
        <v>10.762398000000001</v>
      </c>
    </row>
    <row r="1250" spans="1:16">
      <c r="A1250" s="2">
        <v>40724</v>
      </c>
      <c r="B1250" t="s">
        <v>11</v>
      </c>
      <c r="C1250">
        <v>43</v>
      </c>
      <c r="D1250" s="6" t="s">
        <v>12</v>
      </c>
      <c r="E1250">
        <v>236</v>
      </c>
      <c r="F1250">
        <v>1.3</v>
      </c>
      <c r="G1250">
        <v>0</v>
      </c>
      <c r="N1250">
        <f t="shared" si="22"/>
        <v>104.41597963333334</v>
      </c>
      <c r="O1250">
        <f>IF(AND(OR(D1250="S. acutus",D1250="S. californicus",D1250="S. tabernaemontani"),G1250=0),E1250*[1]Sheet1!$D$7+[1]Sheet1!$L$7,IF(AND(OR(D1250="S. acutus",D1250="S. tabernaemontani"),G1250&gt;0),E1250*[1]Sheet1!$D$8+N1250*[1]Sheet1!$E$8,IF(AND(D1250="S. californicus",G1250&gt;0),E1250*[1]Sheet1!$D$9+N1250*[1]Sheet1!$E$9,IF(D1250="S. maritimus",F1250*[1]Sheet1!$C$10+E1250*[1]Sheet1!$D$10+G1250*[1]Sheet1!$F$10+[1]Sheet1!$L$10,IF(D1250="S. americanus",F1250*[1]Sheet1!$C$6+E1250*[1]Sheet1!$D$6+[1]Sheet1!$L$6,IF(AND(OR(D1250="T. domingensis",D1250="T. latifolia"),E1250&gt;0),F1250*[1]Sheet1!$C$4+E1250*[1]Sheet1!$D$4+H1250*[1]Sheet1!$J$4+I1250*[1]Sheet1!$K$4+[1]Sheet1!$L$4,IF(AND(OR(D1250="T. domingensis",D1250="T. latifolia"),J1250&gt;0),J1250*[1]Sheet1!$G$5+K1250*[1]Sheet1!$H$5+L1250*[1]Sheet1!$I$5+[1]Sheet1!$L$5,0)))))))</f>
        <v>11.954183</v>
      </c>
    </row>
    <row r="1251" spans="1:16">
      <c r="A1251" s="2">
        <v>40724</v>
      </c>
      <c r="B1251" t="s">
        <v>11</v>
      </c>
      <c r="C1251">
        <v>43</v>
      </c>
      <c r="D1251" s="6" t="s">
        <v>12</v>
      </c>
      <c r="E1251">
        <v>240</v>
      </c>
      <c r="F1251">
        <v>1.3</v>
      </c>
      <c r="G1251">
        <v>0</v>
      </c>
      <c r="N1251">
        <f t="shared" si="22"/>
        <v>106.185742</v>
      </c>
      <c r="O1251">
        <f>IF(AND(OR(D1251="S. acutus",D1251="S. californicus",D1251="S. tabernaemontani"),G1251=0),E1251*[1]Sheet1!$D$7+[1]Sheet1!$L$7,IF(AND(OR(D1251="S. acutus",D1251="S. tabernaemontani"),G1251&gt;0),E1251*[1]Sheet1!$D$8+N1251*[1]Sheet1!$E$8,IF(AND(D1251="S. californicus",G1251&gt;0),E1251*[1]Sheet1!$D$9+N1251*[1]Sheet1!$E$9,IF(D1251="S. maritimus",F1251*[1]Sheet1!$C$10+E1251*[1]Sheet1!$D$10+G1251*[1]Sheet1!$F$10+[1]Sheet1!$L$10,IF(D1251="S. americanus",F1251*[1]Sheet1!$C$6+E1251*[1]Sheet1!$D$6+[1]Sheet1!$L$6,IF(AND(OR(D1251="T. domingensis",D1251="T. latifolia"),E1251&gt;0),F1251*[1]Sheet1!$C$4+E1251*[1]Sheet1!$D$4+H1251*[1]Sheet1!$J$4+I1251*[1]Sheet1!$K$4+[1]Sheet1!$L$4,IF(AND(OR(D1251="T. domingensis",D1251="T. latifolia"),J1251&gt;0),J1251*[1]Sheet1!$G$5+K1251*[1]Sheet1!$H$5+L1251*[1]Sheet1!$I$5+[1]Sheet1!$L$5,0)))))))</f>
        <v>12.234603</v>
      </c>
    </row>
    <row r="1252" spans="1:16">
      <c r="A1252" s="2">
        <v>40724</v>
      </c>
      <c r="B1252" t="s">
        <v>11</v>
      </c>
      <c r="C1252">
        <v>43</v>
      </c>
      <c r="D1252" s="6" t="s">
        <v>12</v>
      </c>
      <c r="E1252">
        <v>250</v>
      </c>
      <c r="F1252">
        <v>1.4</v>
      </c>
      <c r="G1252">
        <v>8</v>
      </c>
      <c r="N1252">
        <f t="shared" si="22"/>
        <v>128.28159166666663</v>
      </c>
      <c r="O1252">
        <f>IF(AND(OR(D1252="S. acutus",D1252="S. californicus",D1252="S. tabernaemontani"),G1252=0),E1252*[1]Sheet1!$D$7+[1]Sheet1!$L$7,IF(AND(OR(D1252="S. acutus",D1252="S. tabernaemontani"),G1252&gt;0),E1252*[1]Sheet1!$D$8+N1252*[1]Sheet1!$E$8,IF(AND(D1252="S. californicus",G1252&gt;0),E1252*[1]Sheet1!$D$9+N1252*[1]Sheet1!$E$9,IF(D1252="S. maritimus",F1252*[1]Sheet1!$C$10+E1252*[1]Sheet1!$D$10+G1252*[1]Sheet1!$F$10+[1]Sheet1!$L$10,IF(D1252="S. americanus",F1252*[1]Sheet1!$C$6+E1252*[1]Sheet1!$D$6+[1]Sheet1!$L$6,IF(AND(OR(D1252="T. domingensis",D1252="T. latifolia"),E1252&gt;0),F1252*[1]Sheet1!$C$4+E1252*[1]Sheet1!$D$4+H1252*[1]Sheet1!$J$4+I1252*[1]Sheet1!$K$4+[1]Sheet1!$L$4,IF(AND(OR(D1252="T. domingensis",D1252="T. latifolia"),J1252&gt;0),J1252*[1]Sheet1!$G$5+K1252*[1]Sheet1!$H$5+L1252*[1]Sheet1!$I$5+[1]Sheet1!$L$5,0)))))))</f>
        <v>13.757557705099165</v>
      </c>
    </row>
    <row r="1253" spans="1:16">
      <c r="A1253" s="2">
        <v>40724</v>
      </c>
      <c r="B1253" t="s">
        <v>11</v>
      </c>
      <c r="C1253">
        <v>43</v>
      </c>
      <c r="D1253" s="6" t="s">
        <v>12</v>
      </c>
      <c r="E1253">
        <v>284</v>
      </c>
      <c r="F1253">
        <v>2.4</v>
      </c>
      <c r="G1253">
        <v>0</v>
      </c>
      <c r="N1253">
        <f t="shared" si="22"/>
        <v>428.26154879999996</v>
      </c>
      <c r="O1253">
        <f>IF(AND(OR(D1253="S. acutus",D1253="S. californicus",D1253="S. tabernaemontani"),G1253=0),E1253*[1]Sheet1!$D$7+[1]Sheet1!$L$7,IF(AND(OR(D1253="S. acutus",D1253="S. tabernaemontani"),G1253&gt;0),E1253*[1]Sheet1!$D$8+N1253*[1]Sheet1!$E$8,IF(AND(D1253="S. californicus",G1253&gt;0),E1253*[1]Sheet1!$D$9+N1253*[1]Sheet1!$E$9,IF(D1253="S. maritimus",F1253*[1]Sheet1!$C$10+E1253*[1]Sheet1!$D$10+G1253*[1]Sheet1!$F$10+[1]Sheet1!$L$10,IF(D1253="S. americanus",F1253*[1]Sheet1!$C$6+E1253*[1]Sheet1!$D$6+[1]Sheet1!$L$6,IF(AND(OR(D1253="T. domingensis",D1253="T. latifolia"),E1253&gt;0),F1253*[1]Sheet1!$C$4+E1253*[1]Sheet1!$D$4+H1253*[1]Sheet1!$J$4+I1253*[1]Sheet1!$K$4+[1]Sheet1!$L$4,IF(AND(OR(D1253="T. domingensis",D1253="T. latifolia"),J1253&gt;0),J1253*[1]Sheet1!$G$5+K1253*[1]Sheet1!$H$5+L1253*[1]Sheet1!$I$5+[1]Sheet1!$L$5,0)))))))</f>
        <v>15.319223000000001</v>
      </c>
    </row>
    <row r="1254" spans="1:16">
      <c r="A1254" s="2">
        <v>40724</v>
      </c>
      <c r="B1254" t="s">
        <v>11</v>
      </c>
      <c r="C1254">
        <v>43</v>
      </c>
      <c r="D1254" s="6" t="s">
        <v>12</v>
      </c>
      <c r="E1254">
        <v>290</v>
      </c>
      <c r="F1254">
        <v>1.9</v>
      </c>
      <c r="G1254">
        <v>0</v>
      </c>
      <c r="N1254">
        <f t="shared" si="22"/>
        <v>274.07754758333328</v>
      </c>
      <c r="O1254">
        <f>IF(AND(OR(D1254="S. acutus",D1254="S. californicus",D1254="S. tabernaemontani"),G1254=0),E1254*[1]Sheet1!$D$7+[1]Sheet1!$L$7,IF(AND(OR(D1254="S. acutus",D1254="S. tabernaemontani"),G1254&gt;0),E1254*[1]Sheet1!$D$8+N1254*[1]Sheet1!$E$8,IF(AND(D1254="S. californicus",G1254&gt;0),E1254*[1]Sheet1!$D$9+N1254*[1]Sheet1!$E$9,IF(D1254="S. maritimus",F1254*[1]Sheet1!$C$10+E1254*[1]Sheet1!$D$10+G1254*[1]Sheet1!$F$10+[1]Sheet1!$L$10,IF(D1254="S. americanus",F1254*[1]Sheet1!$C$6+E1254*[1]Sheet1!$D$6+[1]Sheet1!$L$6,IF(AND(OR(D1254="T. domingensis",D1254="T. latifolia"),E1254&gt;0),F1254*[1]Sheet1!$C$4+E1254*[1]Sheet1!$D$4+H1254*[1]Sheet1!$J$4+I1254*[1]Sheet1!$K$4+[1]Sheet1!$L$4,IF(AND(OR(D1254="T. domingensis",D1254="T. latifolia"),J1254&gt;0),J1254*[1]Sheet1!$G$5+K1254*[1]Sheet1!$H$5+L1254*[1]Sheet1!$I$5+[1]Sheet1!$L$5,0)))))))</f>
        <v>15.739853</v>
      </c>
    </row>
    <row r="1255" spans="1:16">
      <c r="A1255" s="2">
        <v>40724</v>
      </c>
      <c r="B1255" t="s">
        <v>11</v>
      </c>
      <c r="C1255">
        <v>43</v>
      </c>
      <c r="D1255" s="6" t="s">
        <v>12</v>
      </c>
      <c r="E1255">
        <v>313</v>
      </c>
      <c r="F1255">
        <v>2</v>
      </c>
      <c r="G1255">
        <v>0</v>
      </c>
      <c r="N1255">
        <f t="shared" si="22"/>
        <v>327.77255666666662</v>
      </c>
      <c r="O1255">
        <f>IF(AND(OR(D1255="S. acutus",D1255="S. californicus",D1255="S. tabernaemontani"),G1255=0),E1255*[1]Sheet1!$D$7+[1]Sheet1!$L$7,IF(AND(OR(D1255="S. acutus",D1255="S. tabernaemontani"),G1255&gt;0),E1255*[1]Sheet1!$D$8+N1255*[1]Sheet1!$E$8,IF(AND(D1255="S. californicus",G1255&gt;0),E1255*[1]Sheet1!$D$9+N1255*[1]Sheet1!$E$9,IF(D1255="S. maritimus",F1255*[1]Sheet1!$C$10+E1255*[1]Sheet1!$D$10+G1255*[1]Sheet1!$F$10+[1]Sheet1!$L$10,IF(D1255="S. americanus",F1255*[1]Sheet1!$C$6+E1255*[1]Sheet1!$D$6+[1]Sheet1!$L$6,IF(AND(OR(D1255="T. domingensis",D1255="T. latifolia"),E1255&gt;0),F1255*[1]Sheet1!$C$4+E1255*[1]Sheet1!$D$4+H1255*[1]Sheet1!$J$4+I1255*[1]Sheet1!$K$4+[1]Sheet1!$L$4,IF(AND(OR(D1255="T. domingensis",D1255="T. latifolia"),J1255&gt;0),J1255*[1]Sheet1!$G$5+K1255*[1]Sheet1!$H$5+L1255*[1]Sheet1!$I$5+[1]Sheet1!$L$5,0)))))))</f>
        <v>17.352268000000002</v>
      </c>
    </row>
    <row r="1256" spans="1:16">
      <c r="A1256" s="2">
        <v>40724</v>
      </c>
      <c r="B1256" t="s">
        <v>11</v>
      </c>
      <c r="C1256">
        <v>43</v>
      </c>
      <c r="D1256" s="6" t="s">
        <v>12</v>
      </c>
      <c r="E1256">
        <v>324</v>
      </c>
      <c r="F1256">
        <v>1.65</v>
      </c>
      <c r="G1256">
        <v>0</v>
      </c>
      <c r="N1256">
        <f t="shared" si="22"/>
        <v>230.93042692499995</v>
      </c>
      <c r="O1256">
        <f>IF(AND(OR(D1256="S. acutus",D1256="S. californicus",D1256="S. tabernaemontani"),G1256=0),E1256*[1]Sheet1!$D$7+[1]Sheet1!$L$7,IF(AND(OR(D1256="S. acutus",D1256="S. tabernaemontani"),G1256&gt;0),E1256*[1]Sheet1!$D$8+N1256*[1]Sheet1!$E$8,IF(AND(D1256="S. californicus",G1256&gt;0),E1256*[1]Sheet1!$D$9+N1256*[1]Sheet1!$E$9,IF(D1256="S. maritimus",F1256*[1]Sheet1!$C$10+E1256*[1]Sheet1!$D$10+G1256*[1]Sheet1!$F$10+[1]Sheet1!$L$10,IF(D1256="S. americanus",F1256*[1]Sheet1!$C$6+E1256*[1]Sheet1!$D$6+[1]Sheet1!$L$6,IF(AND(OR(D1256="T. domingensis",D1256="T. latifolia"),E1256&gt;0),F1256*[1]Sheet1!$C$4+E1256*[1]Sheet1!$D$4+H1256*[1]Sheet1!$J$4+I1256*[1]Sheet1!$K$4+[1]Sheet1!$L$4,IF(AND(OR(D1256="T. domingensis",D1256="T. latifolia"),J1256&gt;0),J1256*[1]Sheet1!$G$5+K1256*[1]Sheet1!$H$5+L1256*[1]Sheet1!$I$5+[1]Sheet1!$L$5,0)))))))</f>
        <v>18.123423000000003</v>
      </c>
    </row>
    <row r="1257" spans="1:16">
      <c r="A1257" s="2">
        <v>40724</v>
      </c>
      <c r="B1257" t="s">
        <v>11</v>
      </c>
      <c r="C1257">
        <v>43</v>
      </c>
      <c r="D1257" s="6" t="s">
        <v>16</v>
      </c>
      <c r="E1257">
        <v>289</v>
      </c>
      <c r="F1257">
        <v>1.4</v>
      </c>
      <c r="G1257">
        <v>12</v>
      </c>
      <c r="N1257">
        <f>((1/3)*(3.14159)*((F1257/2)^2)*E1257)</f>
        <v>148.29351996666662</v>
      </c>
      <c r="O1257">
        <f>IF(AND(OR(D1257="S. acutus",D1257="S. californicus",D1257="S. tabernaemontani"),G1257=0),E1257*[1]Sheet1!$D$7+[1]Sheet1!$L$7,IF(AND(OR(D1257="S. acutus",D1257="S. tabernaemontani"),G1257&gt;0),E1257*[1]Sheet1!$D$8+N1257*[1]Sheet1!$E$8,IF(AND(D1257="S. californicus",G1257&gt;0),E1257*[1]Sheet1!$D$9+N1257*[1]Sheet1!$E$9,IF(D1257="S. maritimus",F1257*[1]Sheet1!$C$10+E1257*[1]Sheet1!$D$10+G1257*[1]Sheet1!$F$10+[1]Sheet1!$L$10,IF(D1257="S. americanus",F1257*[1]Sheet1!$C$6+E1257*[1]Sheet1!$D$6+[1]Sheet1!$L$6,IF(AND(OR(D1257="T. domingensis",D1257="T. latifolia"),E1257&gt;0),F1257*[1]Sheet1!$C$4+E1257*[1]Sheet1!$D$4+H1257*[1]Sheet1!$J$4+I1257*[1]Sheet1!$K$4+[1]Sheet1!$L$4,IF(AND(OR(D1257="T. domingensis",D1257="T. latifolia"),J1257&gt;0),J1257*[1]Sheet1!$G$5+K1257*[1]Sheet1!$H$5+L1257*[1]Sheet1!$I$5+[1]Sheet1!$L$5,0)))))))</f>
        <v>15.903736707094637</v>
      </c>
    </row>
    <row r="1258" spans="1:16" s="9" customFormat="1">
      <c r="A1258" s="2">
        <v>40724</v>
      </c>
      <c r="B1258" t="s">
        <v>11</v>
      </c>
      <c r="C1258">
        <v>43</v>
      </c>
      <c r="D1258" s="6" t="s">
        <v>16</v>
      </c>
      <c r="E1258">
        <v>315</v>
      </c>
      <c r="F1258">
        <v>1.3</v>
      </c>
      <c r="G1258">
        <v>6</v>
      </c>
      <c r="H1258"/>
      <c r="I1258"/>
      <c r="J1258"/>
      <c r="K1258"/>
      <c r="L1258"/>
      <c r="M1258"/>
      <c r="N1258">
        <f>((1/3)*(3.14159)*((F1258/2)^2)*E1258)</f>
        <v>139.36878637499998</v>
      </c>
      <c r="O1258">
        <f>IF(AND(OR(D1258="S. acutus",D1258="S. californicus",D1258="S. tabernaemontani"),G1258=0),E1258*[1]Sheet1!$D$7+[1]Sheet1!$L$7,IF(AND(OR(D1258="S. acutus",D1258="S. tabernaemontani"),G1258&gt;0),E1258*[1]Sheet1!$D$8+N1258*[1]Sheet1!$E$8,IF(AND(D1258="S. californicus",G1258&gt;0),E1258*[1]Sheet1!$D$9+N1258*[1]Sheet1!$E$9,IF(D1258="S. maritimus",F1258*[1]Sheet1!$C$10+E1258*[1]Sheet1!$D$10+G1258*[1]Sheet1!$F$10+[1]Sheet1!$L$10,IF(D1258="S. americanus",F1258*[1]Sheet1!$C$6+E1258*[1]Sheet1!$D$6+[1]Sheet1!$L$6,IF(AND(OR(D1258="T. domingensis",D1258="T. latifolia"),E1258&gt;0),F1258*[1]Sheet1!$C$4+E1258*[1]Sheet1!$D$4+H1258*[1]Sheet1!$J$4+I1258*[1]Sheet1!$K$4+[1]Sheet1!$L$4,IF(AND(OR(D1258="T. domingensis",D1258="T. latifolia"),J1258&gt;0),J1258*[1]Sheet1!$G$5+K1258*[1]Sheet1!$H$5+L1258*[1]Sheet1!$I$5+[1]Sheet1!$L$5,0)))))))</f>
        <v>16.617536853182735</v>
      </c>
      <c r="P1258"/>
    </row>
    <row r="1259" spans="1:16">
      <c r="A1259" s="2">
        <v>40724</v>
      </c>
      <c r="B1259" t="s">
        <v>11</v>
      </c>
      <c r="C1259">
        <v>43</v>
      </c>
      <c r="D1259" s="6" t="s">
        <v>13</v>
      </c>
      <c r="E1259">
        <v>347</v>
      </c>
      <c r="F1259">
        <v>4.6500000000000004</v>
      </c>
      <c r="H1259">
        <v>53</v>
      </c>
      <c r="I1259">
        <v>2</v>
      </c>
      <c r="O1259">
        <f>IF(AND(OR(D1259="S. acutus",D1259="S. californicus",D1259="S. tabernaemontani"),G1259=0),E1259*[1]Sheet1!$D$7+[1]Sheet1!$L$7,IF(AND(OR(D1259="S. acutus",D1259="S. tabernaemontani"),G1259&gt;0),E1259*[1]Sheet1!$D$8+N1259*[1]Sheet1!$E$8,IF(AND(D1259="S. californicus",G1259&gt;0),E1259*[1]Sheet1!$D$9+N1259*[1]Sheet1!$E$9,IF(D1259="S. maritimus",F1259*[1]Sheet1!$C$10+E1259*[1]Sheet1!$D$10+G1259*[1]Sheet1!$F$10+[1]Sheet1!$L$10,IF(D1259="S. americanus",F1259*[1]Sheet1!$C$6+E1259*[1]Sheet1!$D$6+[1]Sheet1!$L$6,IF(AND(OR(D1259="T. domingensis",D1259="T. latifolia"),E1259&gt;0),F1259*[1]Sheet1!$C$4+E1259*[1]Sheet1!$D$4+H1259*[1]Sheet1!$J$4+I1259*[1]Sheet1!$K$4+[1]Sheet1!$L$4,IF(AND(OR(D1259="T. domingensis",D1259="T. latifolia"),J1259&gt;0),J1259*[1]Sheet1!$G$5+K1259*[1]Sheet1!$H$5+L1259*[1]Sheet1!$I$5+[1]Sheet1!$L$5,0)))))))</f>
        <v>181.08534904999999</v>
      </c>
    </row>
    <row r="1260" spans="1:16">
      <c r="A1260" s="2">
        <v>40724</v>
      </c>
      <c r="B1260" t="s">
        <v>11</v>
      </c>
      <c r="C1260">
        <v>43</v>
      </c>
      <c r="D1260" s="6" t="s">
        <v>13</v>
      </c>
      <c r="F1260">
        <v>2.0499999999999998</v>
      </c>
      <c r="J1260">
        <f>65+66+101+93</f>
        <v>325</v>
      </c>
      <c r="K1260">
        <v>4</v>
      </c>
      <c r="L1260">
        <v>101</v>
      </c>
      <c r="O1260">
        <f>IF(AND(OR(D1260="S. acutus",D1260="S. californicus",D1260="S. tabernaemontani"),G1260=0),E1260*[1]Sheet1!$D$7+[1]Sheet1!$L$7,IF(AND(OR(D1260="S. acutus",D1260="S. tabernaemontani"),G1260&gt;0),E1260*[1]Sheet1!$D$8+N1260*[1]Sheet1!$E$8,IF(AND(D1260="S. californicus",G1260&gt;0),E1260*[1]Sheet1!$D$9+N1260*[1]Sheet1!$E$9,IF(D1260="S. maritimus",F1260*[1]Sheet1!$C$10+E1260*[1]Sheet1!$D$10+G1260*[1]Sheet1!$F$10+[1]Sheet1!$L$10,IF(D1260="S. americanus",F1260*[1]Sheet1!$C$6+E1260*[1]Sheet1!$D$6+[1]Sheet1!$L$6,IF(AND(OR(D1260="T. domingensis",D1260="T. latifolia"),E1260&gt;0),F1260*[1]Sheet1!$C$4+E1260*[1]Sheet1!$D$4+H1260*[1]Sheet1!$J$4+I1260*[1]Sheet1!$K$4+[1]Sheet1!$L$4,IF(AND(OR(D1260="T. domingensis",D1260="T. latifolia"),J1260&gt;0),J1260*[1]Sheet1!$G$5+K1260*[1]Sheet1!$H$5+L1260*[1]Sheet1!$I$5+[1]Sheet1!$L$5,0)))))))</f>
        <v>4.9922019999999989</v>
      </c>
    </row>
    <row r="1261" spans="1:16">
      <c r="A1261" s="2">
        <v>40724</v>
      </c>
      <c r="B1261" t="s">
        <v>11</v>
      </c>
      <c r="C1261">
        <v>43</v>
      </c>
      <c r="D1261" s="6" t="s">
        <v>13</v>
      </c>
      <c r="F1261">
        <v>1.22</v>
      </c>
      <c r="J1261">
        <f>62+85+105+108</f>
        <v>360</v>
      </c>
      <c r="K1261">
        <v>4</v>
      </c>
      <c r="L1261">
        <v>108</v>
      </c>
      <c r="O1261">
        <f>IF(AND(OR(D1261="S. acutus",D1261="S. californicus",D1261="S. tabernaemontani"),G1261=0),E1261*[1]Sheet1!$D$7+[1]Sheet1!$L$7,IF(AND(OR(D1261="S. acutus",D1261="S. tabernaemontani"),G1261&gt;0),E1261*[1]Sheet1!$D$8+N1261*[1]Sheet1!$E$8,IF(AND(D1261="S. californicus",G1261&gt;0),E1261*[1]Sheet1!$D$9+N1261*[1]Sheet1!$E$9,IF(D1261="S. maritimus",F1261*[1]Sheet1!$C$10+E1261*[1]Sheet1!$D$10+G1261*[1]Sheet1!$F$10+[1]Sheet1!$L$10,IF(D1261="S. americanus",F1261*[1]Sheet1!$C$6+E1261*[1]Sheet1!$D$6+[1]Sheet1!$L$6,IF(AND(OR(D1261="T. domingensis",D1261="T. latifolia"),E1261&gt;0),F1261*[1]Sheet1!$C$4+E1261*[1]Sheet1!$D$4+H1261*[1]Sheet1!$J$4+I1261*[1]Sheet1!$K$4+[1]Sheet1!$L$4,IF(AND(OR(D1261="T. domingensis",D1261="T. latifolia"),J1261&gt;0),J1261*[1]Sheet1!$G$5+K1261*[1]Sheet1!$H$5+L1261*[1]Sheet1!$I$5+[1]Sheet1!$L$5,0)))))))</f>
        <v>6.1649120000000046</v>
      </c>
    </row>
    <row r="1262" spans="1:16">
      <c r="A1262" s="2">
        <v>40724</v>
      </c>
      <c r="B1262" t="s">
        <v>11</v>
      </c>
      <c r="C1262">
        <v>43</v>
      </c>
      <c r="D1262" s="6" t="s">
        <v>13</v>
      </c>
      <c r="F1262">
        <v>5.6</v>
      </c>
      <c r="J1262">
        <f>282+266+316+347+352+363+378</f>
        <v>2304</v>
      </c>
      <c r="K1262">
        <v>7</v>
      </c>
      <c r="L1262">
        <v>378</v>
      </c>
      <c r="O1262">
        <f>IF(AND(OR(D1262="S. acutus",D1262="S. californicus",D1262="S. tabernaemontani"),G1262=0),E1262*[1]Sheet1!$D$7+[1]Sheet1!$L$7,IF(AND(OR(D1262="S. acutus",D1262="S. tabernaemontani"),G1262&gt;0),E1262*[1]Sheet1!$D$8+N1262*[1]Sheet1!$E$8,IF(AND(D1262="S. californicus",G1262&gt;0),E1262*[1]Sheet1!$D$9+N1262*[1]Sheet1!$E$9,IF(D1262="S. maritimus",F1262*[1]Sheet1!$C$10+E1262*[1]Sheet1!$D$10+G1262*[1]Sheet1!$F$10+[1]Sheet1!$L$10,IF(D1262="S. americanus",F1262*[1]Sheet1!$C$6+E1262*[1]Sheet1!$D$6+[1]Sheet1!$L$6,IF(AND(OR(D1262="T. domingensis",D1262="T. latifolia"),E1262&gt;0),F1262*[1]Sheet1!$C$4+E1262*[1]Sheet1!$D$4+H1262*[1]Sheet1!$J$4+I1262*[1]Sheet1!$K$4+[1]Sheet1!$L$4,IF(AND(OR(D1262="T. domingensis",D1262="T. latifolia"),J1262&gt;0),J1262*[1]Sheet1!$G$5+K1262*[1]Sheet1!$H$5+L1262*[1]Sheet1!$I$5+[1]Sheet1!$L$5,0)))))))</f>
        <v>86.021422999999999</v>
      </c>
    </row>
    <row r="1263" spans="1:16">
      <c r="A1263" s="2">
        <v>40724</v>
      </c>
      <c r="B1263" t="s">
        <v>11</v>
      </c>
      <c r="C1263">
        <v>43</v>
      </c>
      <c r="D1263" s="6" t="s">
        <v>13</v>
      </c>
      <c r="F1263">
        <v>8</v>
      </c>
      <c r="J1263">
        <f>445+420+454+180+230+260+353+380+410</f>
        <v>3132</v>
      </c>
      <c r="K1263">
        <v>9</v>
      </c>
      <c r="L1263">
        <v>454</v>
      </c>
      <c r="O1263">
        <f>IF(AND(OR(D1263="S. acutus",D1263="S. californicus",D1263="S. tabernaemontani"),G1263=0),E1263*[1]Sheet1!$D$7+[1]Sheet1!$L$7,IF(AND(OR(D1263="S. acutus",D1263="S. tabernaemontani"),G1263&gt;0),E1263*[1]Sheet1!$D$8+N1263*[1]Sheet1!$E$8,IF(AND(D1263="S. californicus",G1263&gt;0),E1263*[1]Sheet1!$D$9+N1263*[1]Sheet1!$E$9,IF(D1263="S. maritimus",F1263*[1]Sheet1!$C$10+E1263*[1]Sheet1!$D$10+G1263*[1]Sheet1!$F$10+[1]Sheet1!$L$10,IF(D1263="S. americanus",F1263*[1]Sheet1!$C$6+E1263*[1]Sheet1!$D$6+[1]Sheet1!$L$6,IF(AND(OR(D1263="T. domingensis",D1263="T. latifolia"),E1263&gt;0),F1263*[1]Sheet1!$C$4+E1263*[1]Sheet1!$D$4+H1263*[1]Sheet1!$J$4+I1263*[1]Sheet1!$K$4+[1]Sheet1!$L$4,IF(AND(OR(D1263="T. domingensis",D1263="T. latifolia"),J1263&gt;0),J1263*[1]Sheet1!$G$5+K1263*[1]Sheet1!$H$5+L1263*[1]Sheet1!$I$5+[1]Sheet1!$L$5,0)))))))</f>
        <v>126.71123700000001</v>
      </c>
    </row>
    <row r="1264" spans="1:16">
      <c r="A1264" s="2">
        <v>40738</v>
      </c>
      <c r="B1264" t="s">
        <v>43</v>
      </c>
      <c r="C1264">
        <v>10</v>
      </c>
      <c r="D1264" s="6" t="s">
        <v>42</v>
      </c>
      <c r="E1264" s="15">
        <v>75</v>
      </c>
      <c r="F1264">
        <v>0.65</v>
      </c>
      <c r="G1264">
        <v>0</v>
      </c>
      <c r="N1264">
        <f t="shared" ref="N1264:N1274" si="23">((1/3)*(3.14159)*((F1264/2)^2)*E1264)</f>
        <v>8.2957610937500004</v>
      </c>
      <c r="O1264">
        <f>IF(AND(OR(D1264="S. acutus",D1264="S. californicus",D1264="S. tabernaemontani"),G1264=0),E1264*[1]Sheet1!$D$7+[1]Sheet1!$L$7,IF(AND(OR(D1264="S. acutus",D1264="S. tabernaemontani"),G1264&gt;0),E1264*[1]Sheet1!$D$8+N1264*[1]Sheet1!$E$8,IF(AND(D1264="S. californicus",G1264&gt;0),E1264*[1]Sheet1!$D$9+N1264*[1]Sheet1!$E$9,IF(D1264="S. maritimus",F1264*[1]Sheet1!$C$10+E1264*[1]Sheet1!$D$10+G1264*[1]Sheet1!$F$10+[1]Sheet1!$L$10,IF(D1264="S. americanus",F1264*[1]Sheet1!$C$6+E1264*[1]Sheet1!$D$6+[1]Sheet1!$L$6,IF(AND(OR(D1264="T. domingensis",D1264="T. latifolia"),E1264&gt;0),F1264*[1]Sheet1!$C$4+E1264*[1]Sheet1!$D$4+H1264*[1]Sheet1!$J$4+I1264*[1]Sheet1!$K$4+[1]Sheet1!$L$4,IF(AND(OR(D1264="T. domingensis",D1264="T. latifolia"),J1264&gt;0),J1264*[1]Sheet1!$G$5+K1264*[1]Sheet1!$H$5+L1264*[1]Sheet1!$I$5+[1]Sheet1!$L$5,0)))))))</f>
        <v>0.66727800000000048</v>
      </c>
    </row>
    <row r="1265" spans="1:15">
      <c r="A1265" s="2">
        <v>40738</v>
      </c>
      <c r="B1265" t="s">
        <v>43</v>
      </c>
      <c r="C1265">
        <v>10</v>
      </c>
      <c r="D1265" s="6" t="s">
        <v>42</v>
      </c>
      <c r="E1265" s="15">
        <v>128</v>
      </c>
      <c r="F1265">
        <v>1.34</v>
      </c>
      <c r="G1265">
        <v>0</v>
      </c>
      <c r="N1265">
        <f t="shared" si="23"/>
        <v>60.171082709333334</v>
      </c>
      <c r="O1265">
        <f>IF(AND(OR(D1265="S. acutus",D1265="S. californicus",D1265="S. tabernaemontani"),G1265=0),E1265*[1]Sheet1!$D$7+[1]Sheet1!$L$7,IF(AND(OR(D1265="S. acutus",D1265="S. tabernaemontani"),G1265&gt;0),E1265*[1]Sheet1!$D$8+N1265*[1]Sheet1!$E$8,IF(AND(D1265="S. californicus",G1265&gt;0),E1265*[1]Sheet1!$D$9+N1265*[1]Sheet1!$E$9,IF(D1265="S. maritimus",F1265*[1]Sheet1!$C$10+E1265*[1]Sheet1!$D$10+G1265*[1]Sheet1!$F$10+[1]Sheet1!$L$10,IF(D1265="S. americanus",F1265*[1]Sheet1!$C$6+E1265*[1]Sheet1!$D$6+[1]Sheet1!$L$6,IF(AND(OR(D1265="T. domingensis",D1265="T. latifolia"),E1265&gt;0),F1265*[1]Sheet1!$C$4+E1265*[1]Sheet1!$D$4+H1265*[1]Sheet1!$J$4+I1265*[1]Sheet1!$K$4+[1]Sheet1!$L$4,IF(AND(OR(D1265="T. domingensis",D1265="T. latifolia"),J1265&gt;0),J1265*[1]Sheet1!$G$5+K1265*[1]Sheet1!$H$5+L1265*[1]Sheet1!$I$5+[1]Sheet1!$L$5,0)))))))</f>
        <v>4.3828430000000003</v>
      </c>
    </row>
    <row r="1266" spans="1:15">
      <c r="A1266" s="2">
        <v>40738</v>
      </c>
      <c r="B1266" t="s">
        <v>43</v>
      </c>
      <c r="C1266">
        <v>10</v>
      </c>
      <c r="D1266" s="6" t="s">
        <v>42</v>
      </c>
      <c r="E1266" s="15">
        <v>137</v>
      </c>
      <c r="F1266">
        <v>0.78</v>
      </c>
      <c r="G1266">
        <v>0</v>
      </c>
      <c r="N1266">
        <f t="shared" si="23"/>
        <v>21.821169980999997</v>
      </c>
      <c r="O1266">
        <f>IF(AND(OR(D1266="S. acutus",D1266="S. californicus",D1266="S. tabernaemontani"),G1266=0),E1266*[1]Sheet1!$D$7+[1]Sheet1!$L$7,IF(AND(OR(D1266="S. acutus",D1266="S. tabernaemontani"),G1266&gt;0),E1266*[1]Sheet1!$D$8+N1266*[1]Sheet1!$E$8,IF(AND(D1266="S. californicus",G1266&gt;0),E1266*[1]Sheet1!$D$9+N1266*[1]Sheet1!$E$9,IF(D1266="S. maritimus",F1266*[1]Sheet1!$C$10+E1266*[1]Sheet1!$D$10+G1266*[1]Sheet1!$F$10+[1]Sheet1!$L$10,IF(D1266="S. americanus",F1266*[1]Sheet1!$C$6+E1266*[1]Sheet1!$D$6+[1]Sheet1!$L$6,IF(AND(OR(D1266="T. domingensis",D1266="T. latifolia"),E1266&gt;0),F1266*[1]Sheet1!$C$4+E1266*[1]Sheet1!$D$4+H1266*[1]Sheet1!$J$4+I1266*[1]Sheet1!$K$4+[1]Sheet1!$L$4,IF(AND(OR(D1266="T. domingensis",D1266="T. latifolia"),J1266&gt;0),J1266*[1]Sheet1!$G$5+K1266*[1]Sheet1!$H$5+L1266*[1]Sheet1!$I$5+[1]Sheet1!$L$5,0)))))))</f>
        <v>5.0137880000000008</v>
      </c>
    </row>
    <row r="1267" spans="1:15">
      <c r="A1267" s="2">
        <v>40738</v>
      </c>
      <c r="B1267" t="s">
        <v>43</v>
      </c>
      <c r="C1267">
        <v>10</v>
      </c>
      <c r="D1267" s="6" t="s">
        <v>42</v>
      </c>
      <c r="E1267" s="15">
        <v>158</v>
      </c>
      <c r="F1267">
        <v>1.45</v>
      </c>
      <c r="G1267">
        <v>0</v>
      </c>
      <c r="N1267">
        <f t="shared" si="23"/>
        <v>86.968374170833329</v>
      </c>
      <c r="O1267">
        <f>IF(AND(OR(D1267="S. acutus",D1267="S. californicus",D1267="S. tabernaemontani"),G1267=0),E1267*[1]Sheet1!$D$7+[1]Sheet1!$L$7,IF(AND(OR(D1267="S. acutus",D1267="S. tabernaemontani"),G1267&gt;0),E1267*[1]Sheet1!$D$8+N1267*[1]Sheet1!$E$8,IF(AND(D1267="S. californicus",G1267&gt;0),E1267*[1]Sheet1!$D$9+N1267*[1]Sheet1!$E$9,IF(D1267="S. maritimus",F1267*[1]Sheet1!$C$10+E1267*[1]Sheet1!$D$10+G1267*[1]Sheet1!$F$10+[1]Sheet1!$L$10,IF(D1267="S. americanus",F1267*[1]Sheet1!$C$6+E1267*[1]Sheet1!$D$6+[1]Sheet1!$L$6,IF(AND(OR(D1267="T. domingensis",D1267="T. latifolia"),E1267&gt;0),F1267*[1]Sheet1!$C$4+E1267*[1]Sheet1!$D$4+H1267*[1]Sheet1!$J$4+I1267*[1]Sheet1!$K$4+[1]Sheet1!$L$4,IF(AND(OR(D1267="T. domingensis",D1267="T. latifolia"),J1267&gt;0),J1267*[1]Sheet1!$G$5+K1267*[1]Sheet1!$H$5+L1267*[1]Sheet1!$I$5+[1]Sheet1!$L$5,0)))))))</f>
        <v>6.4859929999999997</v>
      </c>
    </row>
    <row r="1268" spans="1:15">
      <c r="A1268" s="2">
        <v>40738</v>
      </c>
      <c r="B1268" t="s">
        <v>43</v>
      </c>
      <c r="C1268">
        <v>10</v>
      </c>
      <c r="D1268" s="6" t="s">
        <v>42</v>
      </c>
      <c r="E1268" s="15">
        <v>190</v>
      </c>
      <c r="F1268">
        <v>1.4</v>
      </c>
      <c r="G1268">
        <v>10</v>
      </c>
      <c r="N1268">
        <f t="shared" si="23"/>
        <v>97.494009666666642</v>
      </c>
      <c r="O1268">
        <f>IF(AND(OR(D1268="S. acutus",D1268="S. californicus",D1268="S. tabernaemontani"),G1268=0),E1268*[1]Sheet1!$D$7+[1]Sheet1!$L$7,IF(AND(OR(D1268="S. acutus",D1268="S. tabernaemontani"),G1268&gt;0),E1268*[1]Sheet1!$D$8+N1268*[1]Sheet1!$E$8,IF(AND(D1268="S. californicus",G1268&gt;0),E1268*[1]Sheet1!$D$9+N1268*[1]Sheet1!$E$9,IF(D1268="S. maritimus",F1268*[1]Sheet1!$C$10+E1268*[1]Sheet1!$D$10+G1268*[1]Sheet1!$F$10+[1]Sheet1!$L$10,IF(D1268="S. americanus",F1268*[1]Sheet1!$C$6+E1268*[1]Sheet1!$D$6+[1]Sheet1!$L$6,IF(AND(OR(D1268="T. domingensis",D1268="T. latifolia"),E1268&gt;0),F1268*[1]Sheet1!$C$4+E1268*[1]Sheet1!$D$4+H1268*[1]Sheet1!$J$4+I1268*[1]Sheet1!$K$4+[1]Sheet1!$L$4,IF(AND(OR(D1268="T. domingensis",D1268="T. latifolia"),J1268&gt;0),J1268*[1]Sheet1!$G$5+K1268*[1]Sheet1!$H$5+L1268*[1]Sheet1!$I$5+[1]Sheet1!$L$5,0)))))))</f>
        <v>10.276653513515331</v>
      </c>
    </row>
    <row r="1269" spans="1:15">
      <c r="A1269" s="2">
        <v>40738</v>
      </c>
      <c r="B1269" t="s">
        <v>43</v>
      </c>
      <c r="C1269">
        <v>10</v>
      </c>
      <c r="D1269" s="6" t="s">
        <v>42</v>
      </c>
      <c r="E1269" s="15">
        <v>218</v>
      </c>
      <c r="F1269">
        <v>2.2799999999999998</v>
      </c>
      <c r="G1269">
        <v>0</v>
      </c>
      <c r="N1269">
        <f t="shared" si="23"/>
        <v>296.68421978399994</v>
      </c>
      <c r="O1269">
        <f>IF(AND(OR(D1269="S. acutus",D1269="S. californicus",D1269="S. tabernaemontani"),G1269=0),E1269*[1]Sheet1!$D$7+[1]Sheet1!$L$7,IF(AND(OR(D1269="S. acutus",D1269="S. tabernaemontani"),G1269&gt;0),E1269*[1]Sheet1!$D$8+N1269*[1]Sheet1!$E$8,IF(AND(D1269="S. californicus",G1269&gt;0),E1269*[1]Sheet1!$D$9+N1269*[1]Sheet1!$E$9,IF(D1269="S. maritimus",F1269*[1]Sheet1!$C$10+E1269*[1]Sheet1!$D$10+G1269*[1]Sheet1!$F$10+[1]Sheet1!$L$10,IF(D1269="S. americanus",F1269*[1]Sheet1!$C$6+E1269*[1]Sheet1!$D$6+[1]Sheet1!$L$6,IF(AND(OR(D1269="T. domingensis",D1269="T. latifolia"),E1269&gt;0),F1269*[1]Sheet1!$C$4+E1269*[1]Sheet1!$D$4+H1269*[1]Sheet1!$J$4+I1269*[1]Sheet1!$K$4+[1]Sheet1!$L$4,IF(AND(OR(D1269="T. domingensis",D1269="T. latifolia"),J1269&gt;0),J1269*[1]Sheet1!$G$5+K1269*[1]Sheet1!$H$5+L1269*[1]Sheet1!$I$5+[1]Sheet1!$L$5,0)))))))</f>
        <v>10.692292999999999</v>
      </c>
    </row>
    <row r="1270" spans="1:15">
      <c r="A1270" s="2">
        <v>40738</v>
      </c>
      <c r="B1270" t="s">
        <v>43</v>
      </c>
      <c r="C1270">
        <v>10</v>
      </c>
      <c r="D1270" s="6" t="s">
        <v>42</v>
      </c>
      <c r="E1270" s="15">
        <v>231</v>
      </c>
      <c r="F1270">
        <v>1.75</v>
      </c>
      <c r="G1270">
        <v>17</v>
      </c>
      <c r="N1270">
        <f t="shared" si="23"/>
        <v>185.20654796874999</v>
      </c>
      <c r="O1270">
        <f>IF(AND(OR(D1270="S. acutus",D1270="S. californicus",D1270="S. tabernaemontani"),G1270=0),E1270*[1]Sheet1!$D$7+[1]Sheet1!$L$7,IF(AND(OR(D1270="S. acutus",D1270="S. tabernaemontani"),G1270&gt;0),E1270*[1]Sheet1!$D$8+N1270*[1]Sheet1!$E$8,IF(AND(D1270="S. californicus",G1270&gt;0),E1270*[1]Sheet1!$D$9+N1270*[1]Sheet1!$E$9,IF(D1270="S. maritimus",F1270*[1]Sheet1!$C$10+E1270*[1]Sheet1!$D$10+G1270*[1]Sheet1!$F$10+[1]Sheet1!$L$10,IF(D1270="S. americanus",F1270*[1]Sheet1!$C$6+E1270*[1]Sheet1!$D$6+[1]Sheet1!$L$6,IF(AND(OR(D1270="T. domingensis",D1270="T. latifolia"),E1270&gt;0),F1270*[1]Sheet1!$C$4+E1270*[1]Sheet1!$D$4+H1270*[1]Sheet1!$J$4+I1270*[1]Sheet1!$K$4+[1]Sheet1!$L$4,IF(AND(OR(D1270="T. domingensis",D1270="T. latifolia"),J1270&gt;0),J1270*[1]Sheet1!$G$5+K1270*[1]Sheet1!$H$5+L1270*[1]Sheet1!$I$5+[1]Sheet1!$L$5,0)))))))</f>
        <v>16.339624047549687</v>
      </c>
    </row>
    <row r="1271" spans="1:15">
      <c r="A1271" s="2">
        <v>40738</v>
      </c>
      <c r="B1271" t="s">
        <v>43</v>
      </c>
      <c r="C1271">
        <v>10</v>
      </c>
      <c r="D1271" s="6" t="s">
        <v>42</v>
      </c>
      <c r="E1271" s="15">
        <v>244</v>
      </c>
      <c r="F1271">
        <v>0.74</v>
      </c>
      <c r="G1271">
        <v>8</v>
      </c>
      <c r="N1271">
        <f t="shared" si="23"/>
        <v>34.980138574666661</v>
      </c>
      <c r="O1271">
        <f>IF(AND(OR(D1271="S. acutus",D1271="S. californicus",D1271="S. tabernaemontani"),G1271=0),E1271*[1]Sheet1!$D$7+[1]Sheet1!$L$7,IF(AND(OR(D1271="S. acutus",D1271="S. tabernaemontani"),G1271&gt;0),E1271*[1]Sheet1!$D$8+N1271*[1]Sheet1!$E$8,IF(AND(D1271="S. californicus",G1271&gt;0),E1271*[1]Sheet1!$D$9+N1271*[1]Sheet1!$E$9,IF(D1271="S. maritimus",F1271*[1]Sheet1!$C$10+E1271*[1]Sheet1!$D$10+G1271*[1]Sheet1!$F$10+[1]Sheet1!$L$10,IF(D1271="S. americanus",F1271*[1]Sheet1!$C$6+E1271*[1]Sheet1!$D$6+[1]Sheet1!$L$6,IF(AND(OR(D1271="T. domingensis",D1271="T. latifolia"),E1271&gt;0),F1271*[1]Sheet1!$C$4+E1271*[1]Sheet1!$D$4+H1271*[1]Sheet1!$J$4+I1271*[1]Sheet1!$K$4+[1]Sheet1!$L$4,IF(AND(OR(D1271="T. domingensis",D1271="T. latifolia"),J1271&gt;0),J1271*[1]Sheet1!$G$5+K1271*[1]Sheet1!$H$5+L1271*[1]Sheet1!$I$5+[1]Sheet1!$L$5,0)))))))</f>
        <v>7.9938829121553248</v>
      </c>
    </row>
    <row r="1272" spans="1:15">
      <c r="A1272" s="2">
        <v>40738</v>
      </c>
      <c r="B1272" t="s">
        <v>43</v>
      </c>
      <c r="C1272">
        <v>10</v>
      </c>
      <c r="D1272" s="6" t="s">
        <v>42</v>
      </c>
      <c r="E1272" s="15">
        <v>280</v>
      </c>
      <c r="F1272">
        <v>0.88</v>
      </c>
      <c r="G1272">
        <v>0</v>
      </c>
      <c r="N1272">
        <f t="shared" si="23"/>
        <v>56.766436906666655</v>
      </c>
      <c r="O1272">
        <f>IF(AND(OR(D1272="S. acutus",D1272="S. californicus",D1272="S. tabernaemontani"),G1272=0),E1272*[1]Sheet1!$D$7+[1]Sheet1!$L$7,IF(AND(OR(D1272="S. acutus",D1272="S. tabernaemontani"),G1272&gt;0),E1272*[1]Sheet1!$D$8+N1272*[1]Sheet1!$E$8,IF(AND(D1272="S. californicus",G1272&gt;0),E1272*[1]Sheet1!$D$9+N1272*[1]Sheet1!$E$9,IF(D1272="S. maritimus",F1272*[1]Sheet1!$C$10+E1272*[1]Sheet1!$D$10+G1272*[1]Sheet1!$F$10+[1]Sheet1!$L$10,IF(D1272="S. americanus",F1272*[1]Sheet1!$C$6+E1272*[1]Sheet1!$D$6+[1]Sheet1!$L$6,IF(AND(OR(D1272="T. domingensis",D1272="T. latifolia"),E1272&gt;0),F1272*[1]Sheet1!$C$4+E1272*[1]Sheet1!$D$4+H1272*[1]Sheet1!$J$4+I1272*[1]Sheet1!$K$4+[1]Sheet1!$L$4,IF(AND(OR(D1272="T. domingensis",D1272="T. latifolia"),J1272&gt;0),J1272*[1]Sheet1!$G$5+K1272*[1]Sheet1!$H$5+L1272*[1]Sheet1!$I$5+[1]Sheet1!$L$5,0)))))))</f>
        <v>15.038803000000001</v>
      </c>
    </row>
    <row r="1273" spans="1:15">
      <c r="A1273" s="2">
        <v>40738</v>
      </c>
      <c r="B1273" t="s">
        <v>43</v>
      </c>
      <c r="C1273">
        <v>10</v>
      </c>
      <c r="D1273" s="6" t="s">
        <v>42</v>
      </c>
      <c r="E1273" s="15">
        <v>326</v>
      </c>
      <c r="F1273">
        <v>1.28</v>
      </c>
      <c r="G1273">
        <v>0</v>
      </c>
      <c r="N1273">
        <f t="shared" si="23"/>
        <v>139.83175202133333</v>
      </c>
      <c r="O1273">
        <f>IF(AND(OR(D1273="S. acutus",D1273="S. californicus",D1273="S. tabernaemontani"),G1273=0),E1273*[1]Sheet1!$D$7+[1]Sheet1!$L$7,IF(AND(OR(D1273="S. acutus",D1273="S. tabernaemontani"),G1273&gt;0),E1273*[1]Sheet1!$D$8+N1273*[1]Sheet1!$E$8,IF(AND(D1273="S. californicus",G1273&gt;0),E1273*[1]Sheet1!$D$9+N1273*[1]Sheet1!$E$9,IF(D1273="S. maritimus",F1273*[1]Sheet1!$C$10+E1273*[1]Sheet1!$D$10+G1273*[1]Sheet1!$F$10+[1]Sheet1!$L$10,IF(D1273="S. americanus",F1273*[1]Sheet1!$C$6+E1273*[1]Sheet1!$D$6+[1]Sheet1!$L$6,IF(AND(OR(D1273="T. domingensis",D1273="T. latifolia"),E1273&gt;0),F1273*[1]Sheet1!$C$4+E1273*[1]Sheet1!$D$4+H1273*[1]Sheet1!$J$4+I1273*[1]Sheet1!$K$4+[1]Sheet1!$L$4,IF(AND(OR(D1273="T. domingensis",D1273="T. latifolia"),J1273&gt;0),J1273*[1]Sheet1!$G$5+K1273*[1]Sheet1!$H$5+L1273*[1]Sheet1!$I$5+[1]Sheet1!$L$5,0)))))))</f>
        <v>18.263633000000002</v>
      </c>
    </row>
    <row r="1274" spans="1:15">
      <c r="A1274" s="2">
        <v>40738</v>
      </c>
      <c r="B1274" t="s">
        <v>43</v>
      </c>
      <c r="C1274">
        <v>10</v>
      </c>
      <c r="D1274" s="6" t="s">
        <v>42</v>
      </c>
      <c r="E1274" s="15">
        <v>358</v>
      </c>
      <c r="F1274">
        <v>1.43</v>
      </c>
      <c r="G1274">
        <v>16</v>
      </c>
      <c r="N1274">
        <f t="shared" si="23"/>
        <v>191.65641549816664</v>
      </c>
      <c r="O1274">
        <f>IF(AND(OR(D1274="S. acutus",D1274="S. californicus",D1274="S. tabernaemontani"),G1274=0),E1274*[1]Sheet1!$D$7+[1]Sheet1!$L$7,IF(AND(OR(D1274="S. acutus",D1274="S. tabernaemontani"),G1274&gt;0),E1274*[1]Sheet1!$D$8+N1274*[1]Sheet1!$E$8,IF(AND(D1274="S. californicus",G1274&gt;0),E1274*[1]Sheet1!$D$9+N1274*[1]Sheet1!$E$9,IF(D1274="S. maritimus",F1274*[1]Sheet1!$C$10+E1274*[1]Sheet1!$D$10+G1274*[1]Sheet1!$F$10+[1]Sheet1!$L$10,IF(D1274="S. americanus",F1274*[1]Sheet1!$C$6+E1274*[1]Sheet1!$D$6+[1]Sheet1!$L$6,IF(AND(OR(D1274="T. domingensis",D1274="T. latifolia"),E1274&gt;0),F1274*[1]Sheet1!$C$4+E1274*[1]Sheet1!$D$4+H1274*[1]Sheet1!$J$4+I1274*[1]Sheet1!$K$4+[1]Sheet1!$L$4,IF(AND(OR(D1274="T. domingensis",D1274="T. latifolia"),J1274&gt;0),J1274*[1]Sheet1!$G$5+K1274*[1]Sheet1!$H$5+L1274*[1]Sheet1!$I$5+[1]Sheet1!$L$5,0)))))))</f>
        <v>19.822300907441264</v>
      </c>
    </row>
    <row r="1275" spans="1:15">
      <c r="A1275" s="2">
        <v>40738</v>
      </c>
      <c r="B1275" t="s">
        <v>43</v>
      </c>
      <c r="C1275">
        <v>10</v>
      </c>
      <c r="D1275" s="7" t="s">
        <v>19</v>
      </c>
      <c r="E1275" s="6">
        <v>249</v>
      </c>
      <c r="F1275">
        <v>2</v>
      </c>
      <c r="H1275">
        <v>24</v>
      </c>
      <c r="I1275">
        <v>2</v>
      </c>
      <c r="O1275">
        <f>IF(AND(OR(D1275="S. acutus",D1275="S. californicus",D1275="S. tabernaemontani"),G1275=0),E1275*[1]Sheet1!$D$7+[1]Sheet1!$L$7,IF(AND(OR(D1275="S. acutus",D1275="S. tabernaemontani"),G1275&gt;0),E1275*[1]Sheet1!$D$8+N1275*[1]Sheet1!$E$8,IF(AND(D1275="S. californicus",G1275&gt;0),E1275*[1]Sheet1!$D$9+N1275*[1]Sheet1!$E$9,IF(D1275="S. maritimus",F1275*[1]Sheet1!$C$10+E1275*[1]Sheet1!$D$10+G1275*[1]Sheet1!$F$10+[1]Sheet1!$L$10,IF(D1275="S. americanus",F1275*[1]Sheet1!$C$6+E1275*[1]Sheet1!$D$6+[1]Sheet1!$L$6,IF(AND(OR(D1275="T. domingensis",D1275="T. latifolia"),E1275&gt;0),F1275*[1]Sheet1!$C$4+E1275*[1]Sheet1!$D$4+H1275*[1]Sheet1!$J$4+I1275*[1]Sheet1!$K$4+[1]Sheet1!$L$4,IF(AND(OR(D1275="T. domingensis",D1275="T. latifolia"),J1275&gt;0),J1275*[1]Sheet1!$G$5+K1275*[1]Sheet1!$H$5+L1275*[1]Sheet1!$I$5+[1]Sheet1!$L$5,0)))))))</f>
        <v>73.281258600000001</v>
      </c>
    </row>
    <row r="1276" spans="1:15">
      <c r="A1276" s="2">
        <v>40738</v>
      </c>
      <c r="B1276" t="s">
        <v>43</v>
      </c>
      <c r="C1276">
        <v>10</v>
      </c>
      <c r="D1276" s="7" t="s">
        <v>19</v>
      </c>
      <c r="E1276" s="6">
        <v>271</v>
      </c>
      <c r="F1276">
        <v>1.87</v>
      </c>
      <c r="H1276">
        <v>24.5</v>
      </c>
      <c r="I1276">
        <v>1.9</v>
      </c>
      <c r="O1276">
        <f>IF(AND(OR(D1276="S. acutus",D1276="S. californicus",D1276="S. tabernaemontani"),G1276=0),E1276*[1]Sheet1!$D$7+[1]Sheet1!$L$7,IF(AND(OR(D1276="S. acutus",D1276="S. tabernaemontani"),G1276&gt;0),E1276*[1]Sheet1!$D$8+N1276*[1]Sheet1!$E$8,IF(AND(D1276="S. californicus",G1276&gt;0),E1276*[1]Sheet1!$D$9+N1276*[1]Sheet1!$E$9,IF(D1276="S. maritimus",F1276*[1]Sheet1!$C$10+E1276*[1]Sheet1!$D$10+G1276*[1]Sheet1!$F$10+[1]Sheet1!$L$10,IF(D1276="S. americanus",F1276*[1]Sheet1!$C$6+E1276*[1]Sheet1!$D$6+[1]Sheet1!$L$6,IF(AND(OR(D1276="T. domingensis",D1276="T. latifolia"),E1276&gt;0),F1276*[1]Sheet1!$C$4+E1276*[1]Sheet1!$D$4+H1276*[1]Sheet1!$J$4+I1276*[1]Sheet1!$K$4+[1]Sheet1!$L$4,IF(AND(OR(D1276="T. domingensis",D1276="T. latifolia"),J1276&gt;0),J1276*[1]Sheet1!$G$5+K1276*[1]Sheet1!$H$5+L1276*[1]Sheet1!$I$5+[1]Sheet1!$L$5,0)))))))</f>
        <v>76.180069090000018</v>
      </c>
    </row>
    <row r="1277" spans="1:15">
      <c r="A1277" s="2">
        <v>40738</v>
      </c>
      <c r="B1277" t="s">
        <v>43</v>
      </c>
      <c r="C1277">
        <v>10</v>
      </c>
      <c r="D1277" s="7" t="s">
        <v>19</v>
      </c>
      <c r="E1277" s="6">
        <v>273</v>
      </c>
      <c r="F1277">
        <v>1.96</v>
      </c>
      <c r="H1277">
        <v>24</v>
      </c>
      <c r="I1277">
        <v>2.5</v>
      </c>
      <c r="O1277">
        <f>IF(AND(OR(D1277="S. acutus",D1277="S. californicus",D1277="S. tabernaemontani"),G1277=0),E1277*[1]Sheet1!$D$7+[1]Sheet1!$L$7,IF(AND(OR(D1277="S. acutus",D1277="S. tabernaemontani"),G1277&gt;0),E1277*[1]Sheet1!$D$8+N1277*[1]Sheet1!$E$8,IF(AND(D1277="S. californicus",G1277&gt;0),E1277*[1]Sheet1!$D$9+N1277*[1]Sheet1!$E$9,IF(D1277="S. maritimus",F1277*[1]Sheet1!$C$10+E1277*[1]Sheet1!$D$10+G1277*[1]Sheet1!$F$10+[1]Sheet1!$L$10,IF(D1277="S. americanus",F1277*[1]Sheet1!$C$6+E1277*[1]Sheet1!$D$6+[1]Sheet1!$L$6,IF(AND(OR(D1277="T. domingensis",D1277="T. latifolia"),E1277&gt;0),F1277*[1]Sheet1!$C$4+E1277*[1]Sheet1!$D$4+H1277*[1]Sheet1!$J$4+I1277*[1]Sheet1!$K$4+[1]Sheet1!$L$4,IF(AND(OR(D1277="T. domingensis",D1277="T. latifolia"),J1277&gt;0),J1277*[1]Sheet1!$G$5+K1277*[1]Sheet1!$H$5+L1277*[1]Sheet1!$I$5+[1]Sheet1!$L$5,0)))))))</f>
        <v>88.54176271999998</v>
      </c>
    </row>
    <row r="1278" spans="1:15">
      <c r="A1278" s="2">
        <v>40738</v>
      </c>
      <c r="B1278" t="s">
        <v>43</v>
      </c>
      <c r="C1278">
        <v>10</v>
      </c>
      <c r="D1278" s="6" t="s">
        <v>19</v>
      </c>
      <c r="E1278" s="6">
        <v>281</v>
      </c>
      <c r="F1278">
        <v>2.6</v>
      </c>
      <c r="H1278">
        <v>24</v>
      </c>
      <c r="I1278">
        <v>1.8</v>
      </c>
      <c r="O1278">
        <f>IF(AND(OR(D1278="S. acutus",D1278="S. californicus",D1278="S. tabernaemontani"),G1278=0),E1278*[1]Sheet1!$D$7+[1]Sheet1!$L$7,IF(AND(OR(D1278="S. acutus",D1278="S. tabernaemontani"),G1278&gt;0),E1278*[1]Sheet1!$D$8+N1278*[1]Sheet1!$E$8,IF(AND(D1278="S. californicus",G1278&gt;0),E1278*[1]Sheet1!$D$9+N1278*[1]Sheet1!$E$9,IF(D1278="S. maritimus",F1278*[1]Sheet1!$C$10+E1278*[1]Sheet1!$D$10+G1278*[1]Sheet1!$F$10+[1]Sheet1!$L$10,IF(D1278="S. americanus",F1278*[1]Sheet1!$C$6+E1278*[1]Sheet1!$D$6+[1]Sheet1!$L$6,IF(AND(OR(D1278="T. domingensis",D1278="T. latifolia"),E1278&gt;0),F1278*[1]Sheet1!$C$4+E1278*[1]Sheet1!$D$4+H1278*[1]Sheet1!$J$4+I1278*[1]Sheet1!$K$4+[1]Sheet1!$L$4,IF(AND(OR(D1278="T. domingensis",D1278="T. latifolia"),J1278&gt;0),J1278*[1]Sheet1!$G$5+K1278*[1]Sheet1!$H$5+L1278*[1]Sheet1!$I$5+[1]Sheet1!$L$5,0)))))))</f>
        <v>91.068241599999993</v>
      </c>
    </row>
    <row r="1279" spans="1:15">
      <c r="A1279" s="2">
        <v>40738</v>
      </c>
      <c r="B1279" t="s">
        <v>43</v>
      </c>
      <c r="C1279">
        <v>10</v>
      </c>
      <c r="D1279" s="7" t="s">
        <v>19</v>
      </c>
      <c r="E1279" s="6">
        <v>292</v>
      </c>
      <c r="F1279">
        <v>1.98</v>
      </c>
      <c r="H1279">
        <v>21</v>
      </c>
      <c r="I1279">
        <v>2</v>
      </c>
      <c r="O1279">
        <f>IF(AND(OR(D1279="S. acutus",D1279="S. californicus",D1279="S. tabernaemontani"),G1279=0),E1279*[1]Sheet1!$D$7+[1]Sheet1!$L$7,IF(AND(OR(D1279="S. acutus",D1279="S. tabernaemontani"),G1279&gt;0),E1279*[1]Sheet1!$D$8+N1279*[1]Sheet1!$E$8,IF(AND(D1279="S. californicus",G1279&gt;0),E1279*[1]Sheet1!$D$9+N1279*[1]Sheet1!$E$9,IF(D1279="S. maritimus",F1279*[1]Sheet1!$C$10+E1279*[1]Sheet1!$D$10+G1279*[1]Sheet1!$F$10+[1]Sheet1!$L$10,IF(D1279="S. americanus",F1279*[1]Sheet1!$C$6+E1279*[1]Sheet1!$D$6+[1]Sheet1!$L$6,IF(AND(OR(D1279="T. domingensis",D1279="T. latifolia"),E1279&gt;0),F1279*[1]Sheet1!$C$4+E1279*[1]Sheet1!$D$4+H1279*[1]Sheet1!$J$4+I1279*[1]Sheet1!$K$4+[1]Sheet1!$L$4,IF(AND(OR(D1279="T. domingensis",D1279="T. latifolia"),J1279&gt;0),J1279*[1]Sheet1!$G$5+K1279*[1]Sheet1!$H$5+L1279*[1]Sheet1!$I$5+[1]Sheet1!$L$5,0)))))))</f>
        <v>83.172352260000025</v>
      </c>
    </row>
    <row r="1280" spans="1:15">
      <c r="A1280" s="2">
        <v>40738</v>
      </c>
      <c r="B1280" t="s">
        <v>43</v>
      </c>
      <c r="C1280">
        <v>10</v>
      </c>
      <c r="D1280" s="7" t="s">
        <v>19</v>
      </c>
      <c r="E1280" s="6">
        <v>300</v>
      </c>
      <c r="F1280">
        <v>2.54</v>
      </c>
      <c r="H1280">
        <v>31</v>
      </c>
      <c r="I1280">
        <v>2</v>
      </c>
      <c r="O1280">
        <f>IF(AND(OR(D1280="S. acutus",D1280="S. californicus",D1280="S. tabernaemontani"),G1280=0),E1280*[1]Sheet1!$D$7+[1]Sheet1!$L$7,IF(AND(OR(D1280="S. acutus",D1280="S. tabernaemontani"),G1280&gt;0),E1280*[1]Sheet1!$D$8+N1280*[1]Sheet1!$E$8,IF(AND(D1280="S. californicus",G1280&gt;0),E1280*[1]Sheet1!$D$9+N1280*[1]Sheet1!$E$9,IF(D1280="S. maritimus",F1280*[1]Sheet1!$C$10+E1280*[1]Sheet1!$D$10+G1280*[1]Sheet1!$F$10+[1]Sheet1!$L$10,IF(D1280="S. americanus",F1280*[1]Sheet1!$C$6+E1280*[1]Sheet1!$D$6+[1]Sheet1!$L$6,IF(AND(OR(D1280="T. domingensis",D1280="T. latifolia"),E1280&gt;0),F1280*[1]Sheet1!$C$4+E1280*[1]Sheet1!$D$4+H1280*[1]Sheet1!$J$4+I1280*[1]Sheet1!$K$4+[1]Sheet1!$L$4,IF(AND(OR(D1280="T. domingensis",D1280="T. latifolia"),J1280&gt;0),J1280*[1]Sheet1!$G$5+K1280*[1]Sheet1!$H$5+L1280*[1]Sheet1!$I$5+[1]Sheet1!$L$5,0)))))))</f>
        <v>105.69293737999999</v>
      </c>
    </row>
    <row r="1281" spans="1:15">
      <c r="A1281" s="2">
        <v>40738</v>
      </c>
      <c r="B1281" t="s">
        <v>43</v>
      </c>
      <c r="C1281">
        <v>10</v>
      </c>
      <c r="D1281" s="7" t="s">
        <v>19</v>
      </c>
      <c r="E1281" s="6">
        <v>314</v>
      </c>
      <c r="F1281">
        <v>2.25</v>
      </c>
      <c r="H1281">
        <v>31</v>
      </c>
      <c r="I1281">
        <v>2.1</v>
      </c>
      <c r="O1281">
        <f>IF(AND(OR(D1281="S. acutus",D1281="S. californicus",D1281="S. tabernaemontani"),G1281=0),E1281*[1]Sheet1!$D$7+[1]Sheet1!$L$7,IF(AND(OR(D1281="S. acutus",D1281="S. tabernaemontani"),G1281&gt;0),E1281*[1]Sheet1!$D$8+N1281*[1]Sheet1!$E$8,IF(AND(D1281="S. californicus",G1281&gt;0),E1281*[1]Sheet1!$D$9+N1281*[1]Sheet1!$E$9,IF(D1281="S. maritimus",F1281*[1]Sheet1!$C$10+E1281*[1]Sheet1!$D$10+G1281*[1]Sheet1!$F$10+[1]Sheet1!$L$10,IF(D1281="S. americanus",F1281*[1]Sheet1!$C$6+E1281*[1]Sheet1!$D$6+[1]Sheet1!$L$6,IF(AND(OR(D1281="T. domingensis",D1281="T. latifolia"),E1281&gt;0),F1281*[1]Sheet1!$C$4+E1281*[1]Sheet1!$D$4+H1281*[1]Sheet1!$J$4+I1281*[1]Sheet1!$K$4+[1]Sheet1!$L$4,IF(AND(OR(D1281="T. domingensis",D1281="T. latifolia"),J1281&gt;0),J1281*[1]Sheet1!$G$5+K1281*[1]Sheet1!$H$5+L1281*[1]Sheet1!$I$5+[1]Sheet1!$L$5,0)))))))</f>
        <v>106.10860205</v>
      </c>
    </row>
    <row r="1282" spans="1:15">
      <c r="A1282" s="2">
        <v>40738</v>
      </c>
      <c r="B1282" t="s">
        <v>43</v>
      </c>
      <c r="C1282">
        <v>10</v>
      </c>
      <c r="D1282" s="7" t="s">
        <v>19</v>
      </c>
      <c r="E1282" s="6">
        <v>320</v>
      </c>
      <c r="F1282">
        <v>2.4</v>
      </c>
      <c r="H1282">
        <v>32</v>
      </c>
      <c r="I1282">
        <v>2.4</v>
      </c>
      <c r="O1282">
        <f>IF(AND(OR(D1282="S. acutus",D1282="S. californicus",D1282="S. tabernaemontani"),G1282=0),E1282*[1]Sheet1!$D$7+[1]Sheet1!$L$7,IF(AND(OR(D1282="S. acutus",D1282="S. tabernaemontani"),G1282&gt;0),E1282*[1]Sheet1!$D$8+N1282*[1]Sheet1!$E$8,IF(AND(D1282="S. californicus",G1282&gt;0),E1282*[1]Sheet1!$D$9+N1282*[1]Sheet1!$E$9,IF(D1282="S. maritimus",F1282*[1]Sheet1!$C$10+E1282*[1]Sheet1!$D$10+G1282*[1]Sheet1!$F$10+[1]Sheet1!$L$10,IF(D1282="S. americanus",F1282*[1]Sheet1!$C$6+E1282*[1]Sheet1!$D$6+[1]Sheet1!$L$6,IF(AND(OR(D1282="T. domingensis",D1282="T. latifolia"),E1282&gt;0),F1282*[1]Sheet1!$C$4+E1282*[1]Sheet1!$D$4+H1282*[1]Sheet1!$J$4+I1282*[1]Sheet1!$K$4+[1]Sheet1!$L$4,IF(AND(OR(D1282="T. domingensis",D1282="T. latifolia"),J1282&gt;0),J1282*[1]Sheet1!$G$5+K1282*[1]Sheet1!$H$5+L1282*[1]Sheet1!$I$5+[1]Sheet1!$L$5,0)))))))</f>
        <v>116.99426439999999</v>
      </c>
    </row>
    <row r="1283" spans="1:15">
      <c r="A1283" s="2">
        <v>40738</v>
      </c>
      <c r="B1283" t="s">
        <v>43</v>
      </c>
      <c r="C1283">
        <v>10</v>
      </c>
      <c r="D1283" s="7" t="s">
        <v>19</v>
      </c>
      <c r="E1283" s="6"/>
      <c r="F1283">
        <v>1.94</v>
      </c>
      <c r="J1283">
        <f>SUM(120,218,254,281,299)</f>
        <v>1172</v>
      </c>
      <c r="K1283">
        <v>5</v>
      </c>
      <c r="L1283">
        <v>299</v>
      </c>
      <c r="O1283">
        <f>IF(AND(OR(D1283="S. acutus",D1283="S. californicus",D1283="S. tabernaemontani"),G1283=0),E1283*[1]Sheet1!$D$7+[1]Sheet1!$L$7,IF(AND(OR(D1283="S. acutus",D1283="S. tabernaemontani"),G1283&gt;0),E1283*[1]Sheet1!$D$8+N1283*[1]Sheet1!$E$8,IF(AND(D1283="S. californicus",G1283&gt;0),E1283*[1]Sheet1!$D$9+N1283*[1]Sheet1!$E$9,IF(D1283="S. maritimus",F1283*[1]Sheet1!$C$10+E1283*[1]Sheet1!$D$10+G1283*[1]Sheet1!$F$10+[1]Sheet1!$L$10,IF(D1283="S. americanus",F1283*[1]Sheet1!$C$6+E1283*[1]Sheet1!$D$6+[1]Sheet1!$L$6,IF(AND(OR(D1283="T. domingensis",D1283="T. latifolia"),E1283&gt;0),F1283*[1]Sheet1!$C$4+E1283*[1]Sheet1!$D$4+H1283*[1]Sheet1!$J$4+I1283*[1]Sheet1!$K$4+[1]Sheet1!$L$4,IF(AND(OR(D1283="T. domingensis",D1283="T. latifolia"),J1283&gt;0),J1283*[1]Sheet1!$G$5+K1283*[1]Sheet1!$H$5+L1283*[1]Sheet1!$I$5+[1]Sheet1!$L$5,0)))))))</f>
        <v>17.73382400000002</v>
      </c>
    </row>
    <row r="1284" spans="1:15">
      <c r="A1284" s="2">
        <v>40738</v>
      </c>
      <c r="B1284" t="s">
        <v>43</v>
      </c>
      <c r="C1284">
        <v>20</v>
      </c>
      <c r="D1284" s="6" t="s">
        <v>29</v>
      </c>
      <c r="E1284">
        <v>67</v>
      </c>
      <c r="F1284">
        <v>0.54</v>
      </c>
      <c r="G1284">
        <v>0</v>
      </c>
      <c r="M1284" t="s">
        <v>46</v>
      </c>
      <c r="O1284">
        <f>IF(AND(OR(D1284="S. acutus",D1284="S. californicus",D1284="S. tabernaemontani"),G1284=0),E1284*[1]Sheet1!$D$7+[1]Sheet1!$L$7,IF(AND(OR(D1284="S. acutus",D1284="S. tabernaemontani"),G1284&gt;0),E1284*[1]Sheet1!$D$8+N1284*[1]Sheet1!$E$8,IF(AND(D1284="S. californicus",G1284&gt;0),E1284*[1]Sheet1!$D$9+N1284*[1]Sheet1!$E$9,IF(D1284="S. maritimus",F1284*[1]Sheet1!$C$10+E1284*[1]Sheet1!$D$10+G1284*[1]Sheet1!$F$10+[1]Sheet1!$L$10,IF(D1284="S. americanus",F1284*[1]Sheet1!$C$6+E1284*[1]Sheet1!$D$6+[1]Sheet1!$L$6,IF(AND(OR(D1284="T. domingensis",D1284="T. latifolia"),E1284&gt;0),F1284*[1]Sheet1!$C$4+E1284*[1]Sheet1!$D$4+H1284*[1]Sheet1!$J$4+I1284*[1]Sheet1!$K$4+[1]Sheet1!$L$4,IF(AND(OR(D1284="T. domingensis",D1284="T. latifolia"),J1284&gt;0),J1284*[1]Sheet1!$G$5+K1284*[1]Sheet1!$H$5+L1284*[1]Sheet1!$I$5+[1]Sheet1!$L$5,0)))))))</f>
        <v>0.67102170599999988</v>
      </c>
    </row>
    <row r="1285" spans="1:15">
      <c r="A1285" s="2">
        <v>40738</v>
      </c>
      <c r="B1285" t="s">
        <v>43</v>
      </c>
      <c r="C1285">
        <v>20</v>
      </c>
      <c r="D1285" s="6" t="s">
        <v>29</v>
      </c>
      <c r="E1285">
        <v>80</v>
      </c>
      <c r="F1285">
        <v>0.65</v>
      </c>
      <c r="G1285">
        <v>0</v>
      </c>
      <c r="M1285" t="s">
        <v>46</v>
      </c>
      <c r="O1285">
        <f>IF(AND(OR(D1285="S. acutus",D1285="S. californicus",D1285="S. tabernaemontani"),G1285=0),E1285*[1]Sheet1!$D$7+[1]Sheet1!$L$7,IF(AND(OR(D1285="S. acutus",D1285="S. tabernaemontani"),G1285&gt;0),E1285*[1]Sheet1!$D$8+N1285*[1]Sheet1!$E$8,IF(AND(D1285="S. californicus",G1285&gt;0),E1285*[1]Sheet1!$D$9+N1285*[1]Sheet1!$E$9,IF(D1285="S. maritimus",F1285*[1]Sheet1!$C$10+E1285*[1]Sheet1!$D$10+G1285*[1]Sheet1!$F$10+[1]Sheet1!$L$10,IF(D1285="S. americanus",F1285*[1]Sheet1!$C$6+E1285*[1]Sheet1!$D$6+[1]Sheet1!$L$6,IF(AND(OR(D1285="T. domingensis",D1285="T. latifolia"),E1285&gt;0),F1285*[1]Sheet1!$C$4+E1285*[1]Sheet1!$D$4+H1285*[1]Sheet1!$J$4+I1285*[1]Sheet1!$K$4+[1]Sheet1!$L$4,IF(AND(OR(D1285="T. domingensis",D1285="T. latifolia"),J1285&gt;0),J1285*[1]Sheet1!$G$5+K1285*[1]Sheet1!$H$5+L1285*[1]Sheet1!$I$5+[1]Sheet1!$L$5,0)))))))</f>
        <v>1.2656467849999995</v>
      </c>
    </row>
    <row r="1286" spans="1:15">
      <c r="A1286" s="2">
        <v>40738</v>
      </c>
      <c r="B1286" t="s">
        <v>43</v>
      </c>
      <c r="C1286">
        <v>20</v>
      </c>
      <c r="D1286" s="6" t="s">
        <v>29</v>
      </c>
      <c r="E1286">
        <v>87</v>
      </c>
      <c r="F1286">
        <v>0.47</v>
      </c>
      <c r="G1286">
        <v>0</v>
      </c>
      <c r="M1286" t="s">
        <v>46</v>
      </c>
      <c r="O1286">
        <f>IF(AND(OR(D1286="S. acutus",D1286="S. californicus",D1286="S. tabernaemontani"),G1286=0),E1286*[1]Sheet1!$D$7+[1]Sheet1!$L$7,IF(AND(OR(D1286="S. acutus",D1286="S. tabernaemontani"),G1286&gt;0),E1286*[1]Sheet1!$D$8+N1286*[1]Sheet1!$E$8,IF(AND(D1286="S. californicus",G1286&gt;0),E1286*[1]Sheet1!$D$9+N1286*[1]Sheet1!$E$9,IF(D1286="S. maritimus",F1286*[1]Sheet1!$C$10+E1286*[1]Sheet1!$D$10+G1286*[1]Sheet1!$F$10+[1]Sheet1!$L$10,IF(D1286="S. americanus",F1286*[1]Sheet1!$C$6+E1286*[1]Sheet1!$D$6+[1]Sheet1!$L$6,IF(AND(OR(D1286="T. domingensis",D1286="T. latifolia"),E1286&gt;0),F1286*[1]Sheet1!$C$4+E1286*[1]Sheet1!$D$4+H1286*[1]Sheet1!$J$4+I1286*[1]Sheet1!$K$4+[1]Sheet1!$L$4,IF(AND(OR(D1286="T. domingensis",D1286="T. latifolia"),J1286&gt;0),J1286*[1]Sheet1!$G$5+K1286*[1]Sheet1!$H$5+L1286*[1]Sheet1!$I$5+[1]Sheet1!$L$5,0)))))))</f>
        <v>0.73596008299999971</v>
      </c>
    </row>
    <row r="1287" spans="1:15">
      <c r="A1287" s="2">
        <v>40738</v>
      </c>
      <c r="B1287" t="s">
        <v>43</v>
      </c>
      <c r="C1287">
        <v>20</v>
      </c>
      <c r="D1287" s="6" t="s">
        <v>29</v>
      </c>
      <c r="E1287">
        <v>97</v>
      </c>
      <c r="F1287">
        <v>0.33</v>
      </c>
      <c r="G1287">
        <v>0</v>
      </c>
      <c r="M1287" t="s">
        <v>46</v>
      </c>
      <c r="O1287">
        <f>IF(AND(OR(D1287="S. acutus",D1287="S. californicus",D1287="S. tabernaemontani"),G1287=0),E1287*[1]Sheet1!$D$7+[1]Sheet1!$L$7,IF(AND(OR(D1287="S. acutus",D1287="S. tabernaemontani"),G1287&gt;0),E1287*[1]Sheet1!$D$8+N1287*[1]Sheet1!$E$8,IF(AND(D1287="S. californicus",G1287&gt;0),E1287*[1]Sheet1!$D$9+N1287*[1]Sheet1!$E$9,IF(D1287="S. maritimus",F1287*[1]Sheet1!$C$10+E1287*[1]Sheet1!$D$10+G1287*[1]Sheet1!$F$10+[1]Sheet1!$L$10,IF(D1287="S. americanus",F1287*[1]Sheet1!$C$6+E1287*[1]Sheet1!$D$6+[1]Sheet1!$L$6,IF(AND(OR(D1287="T. domingensis",D1287="T. latifolia"),E1287&gt;0),F1287*[1]Sheet1!$C$4+E1287*[1]Sheet1!$D$4+H1287*[1]Sheet1!$J$4+I1287*[1]Sheet1!$K$4+[1]Sheet1!$L$4,IF(AND(OR(D1287="T. domingensis",D1287="T. latifolia"),J1287&gt;0),J1287*[1]Sheet1!$G$5+K1287*[1]Sheet1!$H$5+L1287*[1]Sheet1!$I$5+[1]Sheet1!$L$5,0)))))))</f>
        <v>0.39541583699999983</v>
      </c>
    </row>
    <row r="1288" spans="1:15">
      <c r="A1288" s="2">
        <v>40738</v>
      </c>
      <c r="B1288" t="s">
        <v>43</v>
      </c>
      <c r="C1288">
        <v>20</v>
      </c>
      <c r="D1288" s="6" t="s">
        <v>29</v>
      </c>
      <c r="E1288">
        <v>105</v>
      </c>
      <c r="F1288">
        <v>0.35</v>
      </c>
      <c r="G1288">
        <v>0</v>
      </c>
      <c r="M1288" t="s">
        <v>46</v>
      </c>
      <c r="O1288">
        <f>IF(AND(OR(D1288="S. acutus",D1288="S. californicus",D1288="S. tabernaemontani"),G1288=0),E1288*[1]Sheet1!$D$7+[1]Sheet1!$L$7,IF(AND(OR(D1288="S. acutus",D1288="S. tabernaemontani"),G1288&gt;0),E1288*[1]Sheet1!$D$8+N1288*[1]Sheet1!$E$8,IF(AND(D1288="S. californicus",G1288&gt;0),E1288*[1]Sheet1!$D$9+N1288*[1]Sheet1!$E$9,IF(D1288="S. maritimus",F1288*[1]Sheet1!$C$10+E1288*[1]Sheet1!$D$10+G1288*[1]Sheet1!$F$10+[1]Sheet1!$L$10,IF(D1288="S. americanus",F1288*[1]Sheet1!$C$6+E1288*[1]Sheet1!$D$6+[1]Sheet1!$L$6,IF(AND(OR(D1288="T. domingensis",D1288="T. latifolia"),E1288&gt;0),F1288*[1]Sheet1!$C$4+E1288*[1]Sheet1!$D$4+H1288*[1]Sheet1!$J$4+I1288*[1]Sheet1!$K$4+[1]Sheet1!$L$4,IF(AND(OR(D1288="T. domingensis",D1288="T. latifolia"),J1288&gt;0),J1288*[1]Sheet1!$G$5+K1288*[1]Sheet1!$H$5+L1288*[1]Sheet1!$I$5+[1]Sheet1!$L$5,0)))))))</f>
        <v>0.59191161499999945</v>
      </c>
    </row>
    <row r="1289" spans="1:15">
      <c r="A1289" s="2">
        <v>40738</v>
      </c>
      <c r="B1289" t="s">
        <v>43</v>
      </c>
      <c r="C1289">
        <v>20</v>
      </c>
      <c r="D1289" s="6" t="s">
        <v>29</v>
      </c>
      <c r="E1289">
        <v>106</v>
      </c>
      <c r="F1289">
        <v>0.42</v>
      </c>
      <c r="G1289">
        <v>0</v>
      </c>
      <c r="M1289" t="s">
        <v>46</v>
      </c>
      <c r="O1289">
        <f>IF(AND(OR(D1289="S. acutus",D1289="S. californicus",D1289="S. tabernaemontani"),G1289=0),E1289*[1]Sheet1!$D$7+[1]Sheet1!$L$7,IF(AND(OR(D1289="S. acutus",D1289="S. tabernaemontani"),G1289&gt;0),E1289*[1]Sheet1!$D$8+N1289*[1]Sheet1!$E$8,IF(AND(D1289="S. californicus",G1289&gt;0),E1289*[1]Sheet1!$D$9+N1289*[1]Sheet1!$E$9,IF(D1289="S. maritimus",F1289*[1]Sheet1!$C$10+E1289*[1]Sheet1!$D$10+G1289*[1]Sheet1!$F$10+[1]Sheet1!$L$10,IF(D1289="S. americanus",F1289*[1]Sheet1!$C$6+E1289*[1]Sheet1!$D$6+[1]Sheet1!$L$6,IF(AND(OR(D1289="T. domingensis",D1289="T. latifolia"),E1289&gt;0),F1289*[1]Sheet1!$C$4+E1289*[1]Sheet1!$D$4+H1289*[1]Sheet1!$J$4+I1289*[1]Sheet1!$K$4+[1]Sheet1!$L$4,IF(AND(OR(D1289="T. domingensis",D1289="T. latifolia"),J1289&gt;0),J1289*[1]Sheet1!$G$5+K1289*[1]Sheet1!$H$5+L1289*[1]Sheet1!$I$5+[1]Sheet1!$L$5,0)))))))</f>
        <v>0.85626793799999978</v>
      </c>
    </row>
    <row r="1290" spans="1:15">
      <c r="A1290" s="2">
        <v>40738</v>
      </c>
      <c r="B1290" t="s">
        <v>43</v>
      </c>
      <c r="C1290">
        <v>20</v>
      </c>
      <c r="D1290" s="6" t="s">
        <v>29</v>
      </c>
      <c r="E1290">
        <v>114</v>
      </c>
      <c r="F1290">
        <v>0.35</v>
      </c>
      <c r="G1290">
        <v>0</v>
      </c>
      <c r="M1290" t="s">
        <v>46</v>
      </c>
      <c r="O1290">
        <f>IF(AND(OR(D1290="S. acutus",D1290="S. californicus",D1290="S. tabernaemontani"),G1290=0),E1290*[1]Sheet1!$D$7+[1]Sheet1!$L$7,IF(AND(OR(D1290="S. acutus",D1290="S. tabernaemontani"),G1290&gt;0),E1290*[1]Sheet1!$D$8+N1290*[1]Sheet1!$E$8,IF(AND(D1290="S. californicus",G1290&gt;0),E1290*[1]Sheet1!$D$9+N1290*[1]Sheet1!$E$9,IF(D1290="S. maritimus",F1290*[1]Sheet1!$C$10+E1290*[1]Sheet1!$D$10+G1290*[1]Sheet1!$F$10+[1]Sheet1!$L$10,IF(D1290="S. americanus",F1290*[1]Sheet1!$C$6+E1290*[1]Sheet1!$D$6+[1]Sheet1!$L$6,IF(AND(OR(D1290="T. domingensis",D1290="T. latifolia"),E1290&gt;0),F1290*[1]Sheet1!$C$4+E1290*[1]Sheet1!$D$4+H1290*[1]Sheet1!$J$4+I1290*[1]Sheet1!$K$4+[1]Sheet1!$L$4,IF(AND(OR(D1290="T. domingensis",D1290="T. latifolia"),J1290&gt;0),J1290*[1]Sheet1!$G$5+K1290*[1]Sheet1!$H$5+L1290*[1]Sheet1!$I$5+[1]Sheet1!$L$5,0)))))))</f>
        <v>0.73303791499999971</v>
      </c>
    </row>
    <row r="1291" spans="1:15">
      <c r="A1291" s="2">
        <v>40738</v>
      </c>
      <c r="B1291" t="s">
        <v>43</v>
      </c>
      <c r="C1291">
        <v>20</v>
      </c>
      <c r="D1291" s="6" t="s">
        <v>29</v>
      </c>
      <c r="E1291">
        <v>114</v>
      </c>
      <c r="F1291">
        <v>0.4</v>
      </c>
      <c r="G1291">
        <v>0</v>
      </c>
      <c r="M1291" t="s">
        <v>46</v>
      </c>
      <c r="O1291">
        <f>IF(AND(OR(D1291="S. acutus",D1291="S. californicus",D1291="S. tabernaemontani"),G1291=0),E1291*[1]Sheet1!$D$7+[1]Sheet1!$L$7,IF(AND(OR(D1291="S. acutus",D1291="S. tabernaemontani"),G1291&gt;0),E1291*[1]Sheet1!$D$8+N1291*[1]Sheet1!$E$8,IF(AND(D1291="S. californicus",G1291&gt;0),E1291*[1]Sheet1!$D$9+N1291*[1]Sheet1!$E$9,IF(D1291="S. maritimus",F1291*[1]Sheet1!$C$10+E1291*[1]Sheet1!$D$10+G1291*[1]Sheet1!$F$10+[1]Sheet1!$L$10,IF(D1291="S. americanus",F1291*[1]Sheet1!$C$6+E1291*[1]Sheet1!$D$6+[1]Sheet1!$L$6,IF(AND(OR(D1291="T. domingensis",D1291="T. latifolia"),E1291&gt;0),F1291*[1]Sheet1!$C$4+E1291*[1]Sheet1!$D$4+H1291*[1]Sheet1!$J$4+I1291*[1]Sheet1!$K$4+[1]Sheet1!$L$4,IF(AND(OR(D1291="T. domingensis",D1291="T. latifolia"),J1291&gt;0),J1291*[1]Sheet1!$G$5+K1291*[1]Sheet1!$H$5+L1291*[1]Sheet1!$I$5+[1]Sheet1!$L$5,0)))))))</f>
        <v>0.91066335999999959</v>
      </c>
    </row>
    <row r="1292" spans="1:15">
      <c r="A1292" s="2">
        <v>40738</v>
      </c>
      <c r="B1292" t="s">
        <v>43</v>
      </c>
      <c r="C1292">
        <v>20</v>
      </c>
      <c r="D1292" s="6" t="s">
        <v>29</v>
      </c>
      <c r="E1292">
        <v>118</v>
      </c>
      <c r="F1292">
        <v>0.34</v>
      </c>
      <c r="G1292">
        <v>1</v>
      </c>
      <c r="M1292" t="s">
        <v>46</v>
      </c>
      <c r="O1292">
        <f>IF(AND(OR(D1292="S. acutus",D1292="S. californicus",D1292="S. tabernaemontani"),G1292=0),E1292*[1]Sheet1!$D$7+[1]Sheet1!$L$7,IF(AND(OR(D1292="S. acutus",D1292="S. tabernaemontani"),G1292&gt;0),E1292*[1]Sheet1!$D$8+N1292*[1]Sheet1!$E$8,IF(AND(D1292="S. californicus",G1292&gt;0),E1292*[1]Sheet1!$D$9+N1292*[1]Sheet1!$E$9,IF(D1292="S. maritimus",F1292*[1]Sheet1!$C$10+E1292*[1]Sheet1!$D$10+G1292*[1]Sheet1!$F$10+[1]Sheet1!$L$10,IF(D1292="S. americanus",F1292*[1]Sheet1!$C$6+E1292*[1]Sheet1!$D$6+[1]Sheet1!$L$6,IF(AND(OR(D1292="T. domingensis",D1292="T. latifolia"),E1292&gt;0),F1292*[1]Sheet1!$C$4+E1292*[1]Sheet1!$D$4+H1292*[1]Sheet1!$J$4+I1292*[1]Sheet1!$K$4+[1]Sheet1!$L$4,IF(AND(OR(D1292="T. domingensis",D1292="T. latifolia"),J1292&gt;0),J1292*[1]Sheet1!$G$5+K1292*[1]Sheet1!$H$5+L1292*[1]Sheet1!$I$5+[1]Sheet1!$L$5,0)))))))</f>
        <v>0.76023562599999961</v>
      </c>
    </row>
    <row r="1293" spans="1:15">
      <c r="A1293" s="2">
        <v>40738</v>
      </c>
      <c r="B1293" t="s">
        <v>43</v>
      </c>
      <c r="C1293">
        <v>20</v>
      </c>
      <c r="D1293" s="6" t="s">
        <v>29</v>
      </c>
      <c r="E1293">
        <v>120</v>
      </c>
      <c r="F1293">
        <v>0.42</v>
      </c>
      <c r="G1293">
        <v>1</v>
      </c>
      <c r="M1293" t="s">
        <v>46</v>
      </c>
      <c r="O1293">
        <f>IF(AND(OR(D1293="S. acutus",D1293="S. californicus",D1293="S. tabernaemontani"),G1293=0),E1293*[1]Sheet1!$D$7+[1]Sheet1!$L$7,IF(AND(OR(D1293="S. acutus",D1293="S. tabernaemontani"),G1293&gt;0),E1293*[1]Sheet1!$D$8+N1293*[1]Sheet1!$E$8,IF(AND(D1293="S. californicus",G1293&gt;0),E1293*[1]Sheet1!$D$9+N1293*[1]Sheet1!$E$9,IF(D1293="S. maritimus",F1293*[1]Sheet1!$C$10+E1293*[1]Sheet1!$D$10+G1293*[1]Sheet1!$F$10+[1]Sheet1!$L$10,IF(D1293="S. americanus",F1293*[1]Sheet1!$C$6+E1293*[1]Sheet1!$D$6+[1]Sheet1!$L$6,IF(AND(OR(D1293="T. domingensis",D1293="T. latifolia"),E1293&gt;0),F1293*[1]Sheet1!$C$4+E1293*[1]Sheet1!$D$4+H1293*[1]Sheet1!$J$4+I1293*[1]Sheet1!$K$4+[1]Sheet1!$L$4,IF(AND(OR(D1293="T. domingensis",D1293="T. latifolia"),J1293&gt;0),J1293*[1]Sheet1!$G$5+K1293*[1]Sheet1!$H$5+L1293*[1]Sheet1!$I$5+[1]Sheet1!$L$5,0)))))))</f>
        <v>1.0757977379999999</v>
      </c>
    </row>
    <row r="1294" spans="1:15">
      <c r="A1294" s="2">
        <v>40738</v>
      </c>
      <c r="B1294" t="s">
        <v>43</v>
      </c>
      <c r="C1294">
        <v>20</v>
      </c>
      <c r="D1294" s="6" t="s">
        <v>29</v>
      </c>
      <c r="E1294">
        <v>126</v>
      </c>
      <c r="F1294">
        <v>0.4</v>
      </c>
      <c r="G1294">
        <v>1</v>
      </c>
      <c r="M1294" t="s">
        <v>46</v>
      </c>
      <c r="O1294">
        <f>IF(AND(OR(D1294="S. acutus",D1294="S. californicus",D1294="S. tabernaemontani"),G1294=0),E1294*[1]Sheet1!$D$7+[1]Sheet1!$L$7,IF(AND(OR(D1294="S. acutus",D1294="S. tabernaemontani"),G1294&gt;0),E1294*[1]Sheet1!$D$8+N1294*[1]Sheet1!$E$8,IF(AND(D1294="S. californicus",G1294&gt;0),E1294*[1]Sheet1!$D$9+N1294*[1]Sheet1!$E$9,IF(D1294="S. maritimus",F1294*[1]Sheet1!$C$10+E1294*[1]Sheet1!$D$10+G1294*[1]Sheet1!$F$10+[1]Sheet1!$L$10,IF(D1294="S. americanus",F1294*[1]Sheet1!$C$6+E1294*[1]Sheet1!$D$6+[1]Sheet1!$L$6,IF(AND(OR(D1294="T. domingensis",D1294="T. latifolia"),E1294&gt;0),F1294*[1]Sheet1!$C$4+E1294*[1]Sheet1!$D$4+H1294*[1]Sheet1!$J$4+I1294*[1]Sheet1!$K$4+[1]Sheet1!$L$4,IF(AND(OR(D1294="T. domingensis",D1294="T. latifolia"),J1294&gt;0),J1294*[1]Sheet1!$G$5+K1294*[1]Sheet1!$H$5+L1294*[1]Sheet1!$I$5+[1]Sheet1!$L$5,0)))))))</f>
        <v>1.0988317599999999</v>
      </c>
    </row>
    <row r="1295" spans="1:15">
      <c r="A1295" s="2">
        <v>40738</v>
      </c>
      <c r="B1295" t="s">
        <v>43</v>
      </c>
      <c r="C1295">
        <v>20</v>
      </c>
      <c r="D1295" s="6" t="s">
        <v>29</v>
      </c>
      <c r="E1295">
        <v>126</v>
      </c>
      <c r="F1295">
        <v>0.54</v>
      </c>
      <c r="G1295">
        <v>0</v>
      </c>
      <c r="M1295" t="s">
        <v>46</v>
      </c>
      <c r="O1295">
        <f>IF(AND(OR(D1295="S. acutus",D1295="S. californicus",D1295="S. tabernaemontani"),G1295=0),E1295*[1]Sheet1!$D$7+[1]Sheet1!$L$7,IF(AND(OR(D1295="S. acutus",D1295="S. tabernaemontani"),G1295&gt;0),E1295*[1]Sheet1!$D$8+N1295*[1]Sheet1!$E$8,IF(AND(D1295="S. californicus",G1295&gt;0),E1295*[1]Sheet1!$D$9+N1295*[1]Sheet1!$E$9,IF(D1295="S. maritimus",F1295*[1]Sheet1!$C$10+E1295*[1]Sheet1!$D$10+G1295*[1]Sheet1!$F$10+[1]Sheet1!$L$10,IF(D1295="S. americanus",F1295*[1]Sheet1!$C$6+E1295*[1]Sheet1!$D$6+[1]Sheet1!$L$6,IF(AND(OR(D1295="T. domingensis",D1295="T. latifolia"),E1295&gt;0),F1295*[1]Sheet1!$C$4+E1295*[1]Sheet1!$D$4+H1295*[1]Sheet1!$J$4+I1295*[1]Sheet1!$K$4+[1]Sheet1!$L$4,IF(AND(OR(D1295="T. domingensis",D1295="T. latifolia"),J1295&gt;0),J1295*[1]Sheet1!$G$5+K1295*[1]Sheet1!$H$5+L1295*[1]Sheet1!$I$5+[1]Sheet1!$L$5,0)))))))</f>
        <v>1.596183006</v>
      </c>
    </row>
    <row r="1296" spans="1:15">
      <c r="A1296" s="2">
        <v>40738</v>
      </c>
      <c r="B1296" t="s">
        <v>43</v>
      </c>
      <c r="C1296">
        <v>20</v>
      </c>
      <c r="D1296" s="6" t="s">
        <v>29</v>
      </c>
      <c r="E1296">
        <v>127</v>
      </c>
      <c r="F1296">
        <v>0.44</v>
      </c>
      <c r="G1296">
        <v>0</v>
      </c>
      <c r="M1296" t="s">
        <v>46</v>
      </c>
      <c r="O1296">
        <f>IF(AND(OR(D1296="S. acutus",D1296="S. californicus",D1296="S. tabernaemontani"),G1296=0),E1296*[1]Sheet1!$D$7+[1]Sheet1!$L$7,IF(AND(OR(D1296="S. acutus",D1296="S. tabernaemontani"),G1296&gt;0),E1296*[1]Sheet1!$D$8+N1296*[1]Sheet1!$E$8,IF(AND(D1296="S. californicus",G1296&gt;0),E1296*[1]Sheet1!$D$9+N1296*[1]Sheet1!$E$9,IF(D1296="S. maritimus",F1296*[1]Sheet1!$C$10+E1296*[1]Sheet1!$D$10+G1296*[1]Sheet1!$F$10+[1]Sheet1!$L$10,IF(D1296="S. americanus",F1296*[1]Sheet1!$C$6+E1296*[1]Sheet1!$D$6+[1]Sheet1!$L$6,IF(AND(OR(D1296="T. domingensis",D1296="T. latifolia"),E1296&gt;0),F1296*[1]Sheet1!$C$4+E1296*[1]Sheet1!$D$4+H1296*[1]Sheet1!$J$4+I1296*[1]Sheet1!$K$4+[1]Sheet1!$L$4,IF(AND(OR(D1296="T. domingensis",D1296="T. latifolia"),J1296&gt;0),J1296*[1]Sheet1!$G$5+K1296*[1]Sheet1!$H$5+L1296*[1]Sheet1!$I$5+[1]Sheet1!$L$5,0)))))))</f>
        <v>1.2566128159999996</v>
      </c>
    </row>
    <row r="1297" spans="1:15">
      <c r="A1297" s="2">
        <v>40738</v>
      </c>
      <c r="B1297" t="s">
        <v>43</v>
      </c>
      <c r="C1297">
        <v>20</v>
      </c>
      <c r="D1297" s="6" t="s">
        <v>29</v>
      </c>
      <c r="E1297">
        <v>129</v>
      </c>
      <c r="F1297">
        <v>0.36</v>
      </c>
      <c r="G1297">
        <v>0</v>
      </c>
      <c r="M1297" t="s">
        <v>46</v>
      </c>
      <c r="O1297">
        <f>IF(AND(OR(D1297="S. acutus",D1297="S. californicus",D1297="S. tabernaemontani"),G1297=0),E1297*[1]Sheet1!$D$7+[1]Sheet1!$L$7,IF(AND(OR(D1297="S. acutus",D1297="S. tabernaemontani"),G1297&gt;0),E1297*[1]Sheet1!$D$8+N1297*[1]Sheet1!$E$8,IF(AND(D1297="S. californicus",G1297&gt;0),E1297*[1]Sheet1!$D$9+N1297*[1]Sheet1!$E$9,IF(D1297="S. maritimus",F1297*[1]Sheet1!$C$10+E1297*[1]Sheet1!$D$10+G1297*[1]Sheet1!$F$10+[1]Sheet1!$L$10,IF(D1297="S. americanus",F1297*[1]Sheet1!$C$6+E1297*[1]Sheet1!$D$6+[1]Sheet1!$L$6,IF(AND(OR(D1297="T. domingensis",D1297="T. latifolia"),E1297&gt;0),F1297*[1]Sheet1!$C$4+E1297*[1]Sheet1!$D$4+H1297*[1]Sheet1!$J$4+I1297*[1]Sheet1!$K$4+[1]Sheet1!$L$4,IF(AND(OR(D1297="T. domingensis",D1297="T. latifolia"),J1297&gt;0),J1297*[1]Sheet1!$G$5+K1297*[1]Sheet1!$H$5+L1297*[1]Sheet1!$I$5+[1]Sheet1!$L$5,0)))))))</f>
        <v>1.0037735039999993</v>
      </c>
    </row>
    <row r="1298" spans="1:15">
      <c r="A1298" s="2">
        <v>40738</v>
      </c>
      <c r="B1298" t="s">
        <v>43</v>
      </c>
      <c r="C1298">
        <v>20</v>
      </c>
      <c r="D1298" s="6" t="s">
        <v>29</v>
      </c>
      <c r="E1298">
        <v>130</v>
      </c>
      <c r="F1298">
        <v>0.38</v>
      </c>
      <c r="G1298">
        <v>0</v>
      </c>
      <c r="M1298" t="s">
        <v>46</v>
      </c>
      <c r="O1298">
        <f>IF(AND(OR(D1298="S. acutus",D1298="S. californicus",D1298="S. tabernaemontani"),G1298=0),E1298*[1]Sheet1!$D$7+[1]Sheet1!$L$7,IF(AND(OR(D1298="S. acutus",D1298="S. tabernaemontani"),G1298&gt;0),E1298*[1]Sheet1!$D$8+N1298*[1]Sheet1!$E$8,IF(AND(D1298="S. californicus",G1298&gt;0),E1298*[1]Sheet1!$D$9+N1298*[1]Sheet1!$E$9,IF(D1298="S. maritimus",F1298*[1]Sheet1!$C$10+E1298*[1]Sheet1!$D$10+G1298*[1]Sheet1!$F$10+[1]Sheet1!$L$10,IF(D1298="S. americanus",F1298*[1]Sheet1!$C$6+E1298*[1]Sheet1!$D$6+[1]Sheet1!$L$6,IF(AND(OR(D1298="T. domingensis",D1298="T. latifolia"),E1298&gt;0),F1298*[1]Sheet1!$C$4+E1298*[1]Sheet1!$D$4+H1298*[1]Sheet1!$J$4+I1298*[1]Sheet1!$K$4+[1]Sheet1!$L$4,IF(AND(OR(D1298="T. domingensis",D1298="T. latifolia"),J1298&gt;0),J1298*[1]Sheet1!$G$5+K1298*[1]Sheet1!$H$5+L1298*[1]Sheet1!$I$5+[1]Sheet1!$L$5,0)))))))</f>
        <v>1.0905043820000002</v>
      </c>
    </row>
    <row r="1299" spans="1:15">
      <c r="A1299" s="2">
        <v>40738</v>
      </c>
      <c r="B1299" t="s">
        <v>43</v>
      </c>
      <c r="C1299">
        <v>20</v>
      </c>
      <c r="D1299" s="6" t="s">
        <v>29</v>
      </c>
      <c r="E1299">
        <v>130</v>
      </c>
      <c r="F1299">
        <v>0.39</v>
      </c>
      <c r="G1299">
        <v>1</v>
      </c>
      <c r="M1299" t="s">
        <v>46</v>
      </c>
      <c r="O1299">
        <f>IF(AND(OR(D1299="S. acutus",D1299="S. californicus",D1299="S. tabernaemontani"),G1299=0),E1299*[1]Sheet1!$D$7+[1]Sheet1!$L$7,IF(AND(OR(D1299="S. acutus",D1299="S. tabernaemontani"),G1299&gt;0),E1299*[1]Sheet1!$D$8+N1299*[1]Sheet1!$E$8,IF(AND(D1299="S. californicus",G1299&gt;0),E1299*[1]Sheet1!$D$9+N1299*[1]Sheet1!$E$9,IF(D1299="S. maritimus",F1299*[1]Sheet1!$C$10+E1299*[1]Sheet1!$D$10+G1299*[1]Sheet1!$F$10+[1]Sheet1!$L$10,IF(D1299="S. americanus",F1299*[1]Sheet1!$C$6+E1299*[1]Sheet1!$D$6+[1]Sheet1!$L$6,IF(AND(OR(D1299="T. domingensis",D1299="T. latifolia"),E1299&gt;0),F1299*[1]Sheet1!$C$4+E1299*[1]Sheet1!$D$4+H1299*[1]Sheet1!$J$4+I1299*[1]Sheet1!$K$4+[1]Sheet1!$L$4,IF(AND(OR(D1299="T. domingensis",D1299="T. latifolia"),J1299&gt;0),J1299*[1]Sheet1!$G$5+K1299*[1]Sheet1!$H$5+L1299*[1]Sheet1!$I$5+[1]Sheet1!$L$5,0)))))))</f>
        <v>1.1260294710000003</v>
      </c>
    </row>
    <row r="1300" spans="1:15">
      <c r="A1300" s="2">
        <v>40738</v>
      </c>
      <c r="B1300" t="s">
        <v>43</v>
      </c>
      <c r="C1300">
        <v>20</v>
      </c>
      <c r="D1300" s="6" t="s">
        <v>29</v>
      </c>
      <c r="E1300">
        <v>130</v>
      </c>
      <c r="F1300">
        <v>0.52</v>
      </c>
      <c r="G1300">
        <v>0</v>
      </c>
      <c r="M1300" t="s">
        <v>46</v>
      </c>
      <c r="O1300">
        <f>IF(AND(OR(D1300="S. acutus",D1300="S. californicus",D1300="S. tabernaemontani"),G1300=0),E1300*[1]Sheet1!$D$7+[1]Sheet1!$L$7,IF(AND(OR(D1300="S. acutus",D1300="S. tabernaemontani"),G1300&gt;0),E1300*[1]Sheet1!$D$8+N1300*[1]Sheet1!$E$8,IF(AND(D1300="S. californicus",G1300&gt;0),E1300*[1]Sheet1!$D$9+N1300*[1]Sheet1!$E$9,IF(D1300="S. maritimus",F1300*[1]Sheet1!$C$10+E1300*[1]Sheet1!$D$10+G1300*[1]Sheet1!$F$10+[1]Sheet1!$L$10,IF(D1300="S. americanus",F1300*[1]Sheet1!$C$6+E1300*[1]Sheet1!$D$6+[1]Sheet1!$L$6,IF(AND(OR(D1300="T. domingensis",D1300="T. latifolia"),E1300&gt;0),F1300*[1]Sheet1!$C$4+E1300*[1]Sheet1!$D$4+H1300*[1]Sheet1!$J$4+I1300*[1]Sheet1!$K$4+[1]Sheet1!$L$4,IF(AND(OR(D1300="T. domingensis",D1300="T. latifolia"),J1300&gt;0),J1300*[1]Sheet1!$G$5+K1300*[1]Sheet1!$H$5+L1300*[1]Sheet1!$I$5+[1]Sheet1!$L$5,0)))))))</f>
        <v>1.5878556280000002</v>
      </c>
    </row>
    <row r="1301" spans="1:15">
      <c r="A1301" s="2">
        <v>40738</v>
      </c>
      <c r="B1301" t="s">
        <v>43</v>
      </c>
      <c r="C1301">
        <v>20</v>
      </c>
      <c r="D1301" s="6" t="s">
        <v>29</v>
      </c>
      <c r="E1301">
        <v>132</v>
      </c>
      <c r="F1301">
        <v>0.41</v>
      </c>
      <c r="G1301">
        <v>0</v>
      </c>
      <c r="M1301" t="s">
        <v>46</v>
      </c>
      <c r="O1301">
        <f>IF(AND(OR(D1301="S. acutus",D1301="S. californicus",D1301="S. tabernaemontani"),G1301=0),E1301*[1]Sheet1!$D$7+[1]Sheet1!$L$7,IF(AND(OR(D1301="S. acutus",D1301="S. tabernaemontani"),G1301&gt;0),E1301*[1]Sheet1!$D$8+N1301*[1]Sheet1!$E$8,IF(AND(D1301="S. californicus",G1301&gt;0),E1301*[1]Sheet1!$D$9+N1301*[1]Sheet1!$E$9,IF(D1301="S. maritimus",F1301*[1]Sheet1!$C$10+E1301*[1]Sheet1!$D$10+G1301*[1]Sheet1!$F$10+[1]Sheet1!$L$10,IF(D1301="S. americanus",F1301*[1]Sheet1!$C$6+E1301*[1]Sheet1!$D$6+[1]Sheet1!$L$6,IF(AND(OR(D1301="T. domingensis",D1301="T. latifolia"),E1301&gt;0),F1301*[1]Sheet1!$C$4+E1301*[1]Sheet1!$D$4+H1301*[1]Sheet1!$J$4+I1301*[1]Sheet1!$K$4+[1]Sheet1!$L$4,IF(AND(OR(D1301="T. domingensis",D1301="T. latifolia"),J1301&gt;0),J1301*[1]Sheet1!$G$5+K1301*[1]Sheet1!$H$5+L1301*[1]Sheet1!$I$5+[1]Sheet1!$L$5,0)))))))</f>
        <v>1.2284410489999993</v>
      </c>
    </row>
    <row r="1302" spans="1:15">
      <c r="A1302" s="2">
        <v>40738</v>
      </c>
      <c r="B1302" t="s">
        <v>43</v>
      </c>
      <c r="C1302">
        <v>20</v>
      </c>
      <c r="D1302" s="6" t="s">
        <v>29</v>
      </c>
      <c r="E1302">
        <v>133</v>
      </c>
      <c r="F1302">
        <v>0.44</v>
      </c>
      <c r="G1302">
        <v>0</v>
      </c>
      <c r="M1302" t="s">
        <v>46</v>
      </c>
      <c r="O1302">
        <f>IF(AND(OR(D1302="S. acutus",D1302="S. californicus",D1302="S. tabernaemontani"),G1302=0),E1302*[1]Sheet1!$D$7+[1]Sheet1!$L$7,IF(AND(OR(D1302="S. acutus",D1302="S. tabernaemontani"),G1302&gt;0),E1302*[1]Sheet1!$D$8+N1302*[1]Sheet1!$E$8,IF(AND(D1302="S. californicus",G1302&gt;0),E1302*[1]Sheet1!$D$9+N1302*[1]Sheet1!$E$9,IF(D1302="S. maritimus",F1302*[1]Sheet1!$C$10+E1302*[1]Sheet1!$D$10+G1302*[1]Sheet1!$F$10+[1]Sheet1!$L$10,IF(D1302="S. americanus",F1302*[1]Sheet1!$C$6+E1302*[1]Sheet1!$D$6+[1]Sheet1!$L$6,IF(AND(OR(D1302="T. domingensis",D1302="T. latifolia"),E1302&gt;0),F1302*[1]Sheet1!$C$4+E1302*[1]Sheet1!$D$4+H1302*[1]Sheet1!$J$4+I1302*[1]Sheet1!$K$4+[1]Sheet1!$L$4,IF(AND(OR(D1302="T. domingensis",D1302="T. latifolia"),J1302&gt;0),J1302*[1]Sheet1!$G$5+K1302*[1]Sheet1!$H$5+L1302*[1]Sheet1!$I$5+[1]Sheet1!$L$5,0)))))))</f>
        <v>1.3506970159999994</v>
      </c>
    </row>
    <row r="1303" spans="1:15">
      <c r="A1303" s="2">
        <v>40738</v>
      </c>
      <c r="B1303" t="s">
        <v>43</v>
      </c>
      <c r="C1303">
        <v>20</v>
      </c>
      <c r="D1303" s="6" t="s">
        <v>29</v>
      </c>
      <c r="E1303">
        <v>133</v>
      </c>
      <c r="F1303">
        <v>0.5</v>
      </c>
      <c r="G1303">
        <v>0</v>
      </c>
      <c r="M1303" t="s">
        <v>46</v>
      </c>
      <c r="O1303">
        <f>IF(AND(OR(D1303="S. acutus",D1303="S. californicus",D1303="S. tabernaemontani"),G1303=0),E1303*[1]Sheet1!$D$7+[1]Sheet1!$L$7,IF(AND(OR(D1303="S. acutus",D1303="S. tabernaemontani"),G1303&gt;0),E1303*[1]Sheet1!$D$8+N1303*[1]Sheet1!$E$8,IF(AND(D1303="S. californicus",G1303&gt;0),E1303*[1]Sheet1!$D$9+N1303*[1]Sheet1!$E$9,IF(D1303="S. maritimus",F1303*[1]Sheet1!$C$10+E1303*[1]Sheet1!$D$10+G1303*[1]Sheet1!$F$10+[1]Sheet1!$L$10,IF(D1303="S. americanus",F1303*[1]Sheet1!$C$6+E1303*[1]Sheet1!$D$6+[1]Sheet1!$L$6,IF(AND(OR(D1303="T. domingensis",D1303="T. latifolia"),E1303&gt;0),F1303*[1]Sheet1!$C$4+E1303*[1]Sheet1!$D$4+H1303*[1]Sheet1!$J$4+I1303*[1]Sheet1!$K$4+[1]Sheet1!$L$4,IF(AND(OR(D1303="T. domingensis",D1303="T. latifolia"),J1303&gt;0),J1303*[1]Sheet1!$G$5+K1303*[1]Sheet1!$H$5+L1303*[1]Sheet1!$I$5+[1]Sheet1!$L$5,0)))))))</f>
        <v>1.5638475499999998</v>
      </c>
    </row>
    <row r="1304" spans="1:15">
      <c r="A1304" s="2">
        <v>40738</v>
      </c>
      <c r="B1304" t="s">
        <v>43</v>
      </c>
      <c r="C1304">
        <v>20</v>
      </c>
      <c r="D1304" s="6" t="s">
        <v>29</v>
      </c>
      <c r="E1304">
        <v>135</v>
      </c>
      <c r="F1304">
        <v>0.48</v>
      </c>
      <c r="G1304">
        <v>1</v>
      </c>
      <c r="M1304" t="s">
        <v>46</v>
      </c>
      <c r="O1304">
        <f>IF(AND(OR(D1304="S. acutus",D1304="S. californicus",D1304="S. tabernaemontani"),G1304=0),E1304*[1]Sheet1!$D$7+[1]Sheet1!$L$7,IF(AND(OR(D1304="S. acutus",D1304="S. tabernaemontani"),G1304&gt;0),E1304*[1]Sheet1!$D$8+N1304*[1]Sheet1!$E$8,IF(AND(D1304="S. californicus",G1304&gt;0),E1304*[1]Sheet1!$D$9+N1304*[1]Sheet1!$E$9,IF(D1304="S. maritimus",F1304*[1]Sheet1!$C$10+E1304*[1]Sheet1!$D$10+G1304*[1]Sheet1!$F$10+[1]Sheet1!$L$10,IF(D1304="S. americanus",F1304*[1]Sheet1!$C$6+E1304*[1]Sheet1!$D$6+[1]Sheet1!$L$6,IF(AND(OR(D1304="T. domingensis",D1304="T. latifolia"),E1304&gt;0),F1304*[1]Sheet1!$C$4+E1304*[1]Sheet1!$D$4+H1304*[1]Sheet1!$J$4+I1304*[1]Sheet1!$K$4+[1]Sheet1!$L$4,IF(AND(OR(D1304="T. domingensis",D1304="T. latifolia"),J1304&gt;0),J1304*[1]Sheet1!$G$5+K1304*[1]Sheet1!$H$5+L1304*[1]Sheet1!$I$5+[1]Sheet1!$L$5,0)))))))</f>
        <v>1.5241587719999994</v>
      </c>
    </row>
    <row r="1305" spans="1:15">
      <c r="A1305" s="2">
        <v>40738</v>
      </c>
      <c r="B1305" t="s">
        <v>43</v>
      </c>
      <c r="C1305">
        <v>20</v>
      </c>
      <c r="D1305" s="6" t="s">
        <v>29</v>
      </c>
      <c r="E1305">
        <v>136</v>
      </c>
      <c r="F1305">
        <v>0.72</v>
      </c>
      <c r="G1305">
        <v>0</v>
      </c>
      <c r="M1305" t="s">
        <v>46</v>
      </c>
      <c r="O1305">
        <f>IF(AND(OR(D1305="S. acutus",D1305="S. californicus",D1305="S. tabernaemontani"),G1305=0),E1305*[1]Sheet1!$D$7+[1]Sheet1!$L$7,IF(AND(OR(D1305="S. acutus",D1305="S. tabernaemontani"),G1305&gt;0),E1305*[1]Sheet1!$D$8+N1305*[1]Sheet1!$E$8,IF(AND(D1305="S. californicus",G1305&gt;0),E1305*[1]Sheet1!$D$9+N1305*[1]Sheet1!$E$9,IF(D1305="S. maritimus",F1305*[1]Sheet1!$C$10+E1305*[1]Sheet1!$D$10+G1305*[1]Sheet1!$F$10+[1]Sheet1!$L$10,IF(D1305="S. americanus",F1305*[1]Sheet1!$C$6+E1305*[1]Sheet1!$D$6+[1]Sheet1!$L$6,IF(AND(OR(D1305="T. domingensis",D1305="T. latifolia"),E1305&gt;0),F1305*[1]Sheet1!$C$4+E1305*[1]Sheet1!$D$4+H1305*[1]Sheet1!$J$4+I1305*[1]Sheet1!$K$4+[1]Sheet1!$L$4,IF(AND(OR(D1305="T. domingensis",D1305="T. latifolia"),J1305&gt;0),J1305*[1]Sheet1!$G$5+K1305*[1]Sheet1!$H$5+L1305*[1]Sheet1!$I$5+[1]Sheet1!$L$5,0)))))))</f>
        <v>2.3924416079999991</v>
      </c>
    </row>
    <row r="1306" spans="1:15">
      <c r="A1306" s="2">
        <v>40738</v>
      </c>
      <c r="B1306" t="s">
        <v>43</v>
      </c>
      <c r="C1306">
        <v>20</v>
      </c>
      <c r="D1306" s="6" t="s">
        <v>29</v>
      </c>
      <c r="E1306">
        <v>137</v>
      </c>
      <c r="F1306">
        <v>0.67</v>
      </c>
      <c r="G1306">
        <v>0</v>
      </c>
      <c r="M1306" t="s">
        <v>46</v>
      </c>
      <c r="O1306">
        <f>IF(AND(OR(D1306="S. acutus",D1306="S. californicus",D1306="S. tabernaemontani"),G1306=0),E1306*[1]Sheet1!$D$7+[1]Sheet1!$L$7,IF(AND(OR(D1306="S. acutus",D1306="S. tabernaemontani"),G1306&gt;0),E1306*[1]Sheet1!$D$8+N1306*[1]Sheet1!$E$8,IF(AND(D1306="S. californicus",G1306&gt;0),E1306*[1]Sheet1!$D$9+N1306*[1]Sheet1!$E$9,IF(D1306="S. maritimus",F1306*[1]Sheet1!$C$10+E1306*[1]Sheet1!$D$10+G1306*[1]Sheet1!$F$10+[1]Sheet1!$L$10,IF(D1306="S. americanus",F1306*[1]Sheet1!$C$6+E1306*[1]Sheet1!$D$6+[1]Sheet1!$L$6,IF(AND(OR(D1306="T. domingensis",D1306="T. latifolia"),E1306&gt;0),F1306*[1]Sheet1!$C$4+E1306*[1]Sheet1!$D$4+H1306*[1]Sheet1!$J$4+I1306*[1]Sheet1!$K$4+[1]Sheet1!$L$4,IF(AND(OR(D1306="T. domingensis",D1306="T. latifolia"),J1306&gt;0),J1306*[1]Sheet1!$G$5+K1306*[1]Sheet1!$H$5+L1306*[1]Sheet1!$I$5+[1]Sheet1!$L$5,0)))))))</f>
        <v>2.2304968629999995</v>
      </c>
    </row>
    <row r="1307" spans="1:15">
      <c r="A1307" s="2">
        <v>40738</v>
      </c>
      <c r="B1307" t="s">
        <v>43</v>
      </c>
      <c r="C1307">
        <v>20</v>
      </c>
      <c r="D1307" s="6" t="s">
        <v>29</v>
      </c>
      <c r="E1307">
        <v>138</v>
      </c>
      <c r="F1307">
        <v>0.55000000000000004</v>
      </c>
      <c r="G1307">
        <v>0</v>
      </c>
      <c r="M1307" t="s">
        <v>46</v>
      </c>
      <c r="O1307">
        <f>IF(AND(OR(D1307="S. acutus",D1307="S. californicus",D1307="S. tabernaemontani"),G1307=0),E1307*[1]Sheet1!$D$7+[1]Sheet1!$L$7,IF(AND(OR(D1307="S. acutus",D1307="S. tabernaemontani"),G1307&gt;0),E1307*[1]Sheet1!$D$8+N1307*[1]Sheet1!$E$8,IF(AND(D1307="S. californicus",G1307&gt;0),E1307*[1]Sheet1!$D$9+N1307*[1]Sheet1!$E$9,IF(D1307="S. maritimus",F1307*[1]Sheet1!$C$10+E1307*[1]Sheet1!$D$10+G1307*[1]Sheet1!$F$10+[1]Sheet1!$L$10,IF(D1307="S. americanus",F1307*[1]Sheet1!$C$6+E1307*[1]Sheet1!$D$6+[1]Sheet1!$L$6,IF(AND(OR(D1307="T. domingensis",D1307="T. latifolia"),E1307&gt;0),F1307*[1]Sheet1!$C$4+E1307*[1]Sheet1!$D$4+H1307*[1]Sheet1!$J$4+I1307*[1]Sheet1!$K$4+[1]Sheet1!$L$4,IF(AND(OR(D1307="T. domingensis",D1307="T. latifolia"),J1307&gt;0),J1307*[1]Sheet1!$G$5+K1307*[1]Sheet1!$H$5+L1307*[1]Sheet1!$I$5+[1]Sheet1!$L$5,0)))))))</f>
        <v>1.8198764949999995</v>
      </c>
    </row>
    <row r="1308" spans="1:15">
      <c r="A1308" s="2">
        <v>40738</v>
      </c>
      <c r="B1308" t="s">
        <v>43</v>
      </c>
      <c r="C1308">
        <v>20</v>
      </c>
      <c r="D1308" s="6" t="s">
        <v>29</v>
      </c>
      <c r="E1308">
        <v>139</v>
      </c>
      <c r="F1308">
        <v>0.45</v>
      </c>
      <c r="G1308">
        <v>0</v>
      </c>
      <c r="M1308" t="s">
        <v>46</v>
      </c>
      <c r="O1308">
        <f>IF(AND(OR(D1308="S. acutus",D1308="S. californicus",D1308="S. tabernaemontani"),G1308=0),E1308*[1]Sheet1!$D$7+[1]Sheet1!$L$7,IF(AND(OR(D1308="S. acutus",D1308="S. tabernaemontani"),G1308&gt;0),E1308*[1]Sheet1!$D$8+N1308*[1]Sheet1!$E$8,IF(AND(D1308="S. californicus",G1308&gt;0),E1308*[1]Sheet1!$D$9+N1308*[1]Sheet1!$E$9,IF(D1308="S. maritimus",F1308*[1]Sheet1!$C$10+E1308*[1]Sheet1!$D$10+G1308*[1]Sheet1!$F$10+[1]Sheet1!$L$10,IF(D1308="S. americanus",F1308*[1]Sheet1!$C$6+E1308*[1]Sheet1!$D$6+[1]Sheet1!$L$6,IF(AND(OR(D1308="T. domingensis",D1308="T. latifolia"),E1308&gt;0),F1308*[1]Sheet1!$C$4+E1308*[1]Sheet1!$D$4+H1308*[1]Sheet1!$J$4+I1308*[1]Sheet1!$K$4+[1]Sheet1!$L$4,IF(AND(OR(D1308="T. domingensis",D1308="T. latifolia"),J1308&gt;0),J1308*[1]Sheet1!$G$5+K1308*[1]Sheet1!$H$5+L1308*[1]Sheet1!$I$5+[1]Sheet1!$L$5,0)))))))</f>
        <v>1.4803063049999996</v>
      </c>
    </row>
    <row r="1309" spans="1:15">
      <c r="A1309" s="2">
        <v>40738</v>
      </c>
      <c r="B1309" t="s">
        <v>43</v>
      </c>
      <c r="C1309">
        <v>20</v>
      </c>
      <c r="D1309" s="6" t="s">
        <v>29</v>
      </c>
      <c r="E1309">
        <v>143</v>
      </c>
      <c r="F1309">
        <v>0.38</v>
      </c>
      <c r="G1309">
        <v>0</v>
      </c>
      <c r="M1309" t="s">
        <v>46</v>
      </c>
      <c r="O1309">
        <f>IF(AND(OR(D1309="S. acutus",D1309="S. californicus",D1309="S. tabernaemontani"),G1309=0),E1309*[1]Sheet1!$D$7+[1]Sheet1!$L$7,IF(AND(OR(D1309="S. acutus",D1309="S. tabernaemontani"),G1309&gt;0),E1309*[1]Sheet1!$D$8+N1309*[1]Sheet1!$E$8,IF(AND(D1309="S. californicus",G1309&gt;0),E1309*[1]Sheet1!$D$9+N1309*[1]Sheet1!$E$9,IF(D1309="S. maritimus",F1309*[1]Sheet1!$C$10+E1309*[1]Sheet1!$D$10+G1309*[1]Sheet1!$F$10+[1]Sheet1!$L$10,IF(D1309="S. americanus",F1309*[1]Sheet1!$C$6+E1309*[1]Sheet1!$D$6+[1]Sheet1!$L$6,IF(AND(OR(D1309="T. domingensis",D1309="T. latifolia"),E1309&gt;0),F1309*[1]Sheet1!$C$4+E1309*[1]Sheet1!$D$4+H1309*[1]Sheet1!$J$4+I1309*[1]Sheet1!$K$4+[1]Sheet1!$L$4,IF(AND(OR(D1309="T. domingensis",D1309="T. latifolia"),J1309&gt;0),J1309*[1]Sheet1!$G$5+K1309*[1]Sheet1!$H$5+L1309*[1]Sheet1!$I$5+[1]Sheet1!$L$5,0)))))))</f>
        <v>1.2943534819999996</v>
      </c>
    </row>
    <row r="1310" spans="1:15">
      <c r="A1310" s="2">
        <v>40738</v>
      </c>
      <c r="B1310" t="s">
        <v>43</v>
      </c>
      <c r="C1310">
        <v>20</v>
      </c>
      <c r="D1310" s="6" t="s">
        <v>29</v>
      </c>
      <c r="E1310">
        <v>143</v>
      </c>
      <c r="F1310">
        <v>0.38</v>
      </c>
      <c r="G1310">
        <v>1</v>
      </c>
      <c r="M1310" t="s">
        <v>46</v>
      </c>
      <c r="O1310">
        <f>IF(AND(OR(D1310="S. acutus",D1310="S. californicus",D1310="S. tabernaemontani"),G1310=0),E1310*[1]Sheet1!$D$7+[1]Sheet1!$L$7,IF(AND(OR(D1310="S. acutus",D1310="S. tabernaemontani"),G1310&gt;0),E1310*[1]Sheet1!$D$8+N1310*[1]Sheet1!$E$8,IF(AND(D1310="S. californicus",G1310&gt;0),E1310*[1]Sheet1!$D$9+N1310*[1]Sheet1!$E$9,IF(D1310="S. maritimus",F1310*[1]Sheet1!$C$10+E1310*[1]Sheet1!$D$10+G1310*[1]Sheet1!$F$10+[1]Sheet1!$L$10,IF(D1310="S. americanus",F1310*[1]Sheet1!$C$6+E1310*[1]Sheet1!$D$6+[1]Sheet1!$L$6,IF(AND(OR(D1310="T. domingensis",D1310="T. latifolia"),E1310&gt;0),F1310*[1]Sheet1!$C$4+E1310*[1]Sheet1!$D$4+H1310*[1]Sheet1!$J$4+I1310*[1]Sheet1!$K$4+[1]Sheet1!$L$4,IF(AND(OR(D1310="T. domingensis",D1310="T. latifolia"),J1310&gt;0),J1310*[1]Sheet1!$G$5+K1310*[1]Sheet1!$H$5+L1310*[1]Sheet1!$I$5+[1]Sheet1!$L$5,0)))))))</f>
        <v>1.2943534819999996</v>
      </c>
    </row>
    <row r="1311" spans="1:15">
      <c r="A1311" s="2">
        <v>40738</v>
      </c>
      <c r="B1311" t="s">
        <v>43</v>
      </c>
      <c r="C1311">
        <v>20</v>
      </c>
      <c r="D1311" s="6" t="s">
        <v>29</v>
      </c>
      <c r="E1311">
        <v>144</v>
      </c>
      <c r="F1311">
        <v>0.35</v>
      </c>
      <c r="G1311">
        <v>0</v>
      </c>
      <c r="M1311" t="s">
        <v>46</v>
      </c>
      <c r="O1311">
        <f>IF(AND(OR(D1311="S. acutus",D1311="S. californicus",D1311="S. tabernaemontani"),G1311=0),E1311*[1]Sheet1!$D$7+[1]Sheet1!$L$7,IF(AND(OR(D1311="S. acutus",D1311="S. tabernaemontani"),G1311&gt;0),E1311*[1]Sheet1!$D$8+N1311*[1]Sheet1!$E$8,IF(AND(D1311="S. californicus",G1311&gt;0),E1311*[1]Sheet1!$D$9+N1311*[1]Sheet1!$E$9,IF(D1311="S. maritimus",F1311*[1]Sheet1!$C$10+E1311*[1]Sheet1!$D$10+G1311*[1]Sheet1!$F$10+[1]Sheet1!$L$10,IF(D1311="S. americanus",F1311*[1]Sheet1!$C$6+E1311*[1]Sheet1!$D$6+[1]Sheet1!$L$6,IF(AND(OR(D1311="T. domingensis",D1311="T. latifolia"),E1311&gt;0),F1311*[1]Sheet1!$C$4+E1311*[1]Sheet1!$D$4+H1311*[1]Sheet1!$J$4+I1311*[1]Sheet1!$K$4+[1]Sheet1!$L$4,IF(AND(OR(D1311="T. domingensis",D1311="T. latifolia"),J1311&gt;0),J1311*[1]Sheet1!$G$5+K1311*[1]Sheet1!$H$5+L1311*[1]Sheet1!$I$5+[1]Sheet1!$L$5,0)))))))</f>
        <v>1.2034589149999992</v>
      </c>
    </row>
    <row r="1312" spans="1:15">
      <c r="A1312" s="2">
        <v>40738</v>
      </c>
      <c r="B1312" t="s">
        <v>43</v>
      </c>
      <c r="C1312">
        <v>20</v>
      </c>
      <c r="D1312" s="6" t="s">
        <v>29</v>
      </c>
      <c r="E1312">
        <v>144</v>
      </c>
      <c r="F1312">
        <v>0.39</v>
      </c>
      <c r="G1312">
        <v>1</v>
      </c>
      <c r="M1312" t="s">
        <v>46</v>
      </c>
      <c r="O1312">
        <f>IF(AND(OR(D1312="S. acutus",D1312="S. californicus",D1312="S. tabernaemontani"),G1312=0),E1312*[1]Sheet1!$D$7+[1]Sheet1!$L$7,IF(AND(OR(D1312="S. acutus",D1312="S. tabernaemontani"),G1312&gt;0),E1312*[1]Sheet1!$D$8+N1312*[1]Sheet1!$E$8,IF(AND(D1312="S. californicus",G1312&gt;0),E1312*[1]Sheet1!$D$9+N1312*[1]Sheet1!$E$9,IF(D1312="S. maritimus",F1312*[1]Sheet1!$C$10+E1312*[1]Sheet1!$D$10+G1312*[1]Sheet1!$F$10+[1]Sheet1!$L$10,IF(D1312="S. americanus",F1312*[1]Sheet1!$C$6+E1312*[1]Sheet1!$D$6+[1]Sheet1!$L$6,IF(AND(OR(D1312="T. domingensis",D1312="T. latifolia"),E1312&gt;0),F1312*[1]Sheet1!$C$4+E1312*[1]Sheet1!$D$4+H1312*[1]Sheet1!$J$4+I1312*[1]Sheet1!$K$4+[1]Sheet1!$L$4,IF(AND(OR(D1312="T. domingensis",D1312="T. latifolia"),J1312&gt;0),J1312*[1]Sheet1!$G$5+K1312*[1]Sheet1!$H$5+L1312*[1]Sheet1!$I$5+[1]Sheet1!$L$5,0)))))))</f>
        <v>1.3455592709999995</v>
      </c>
    </row>
    <row r="1313" spans="1:15">
      <c r="A1313" s="2">
        <v>40738</v>
      </c>
      <c r="B1313" t="s">
        <v>43</v>
      </c>
      <c r="C1313">
        <v>20</v>
      </c>
      <c r="D1313" s="6" t="s">
        <v>29</v>
      </c>
      <c r="E1313">
        <v>145</v>
      </c>
      <c r="F1313">
        <v>0.5</v>
      </c>
      <c r="G1313">
        <v>0</v>
      </c>
      <c r="M1313" t="s">
        <v>46</v>
      </c>
      <c r="O1313">
        <f>IF(AND(OR(D1313="S. acutus",D1313="S. californicus",D1313="S. tabernaemontani"),G1313=0),E1313*[1]Sheet1!$D$7+[1]Sheet1!$L$7,IF(AND(OR(D1313="S. acutus",D1313="S. tabernaemontani"),G1313&gt;0),E1313*[1]Sheet1!$D$8+N1313*[1]Sheet1!$E$8,IF(AND(D1313="S. californicus",G1313&gt;0),E1313*[1]Sheet1!$D$9+N1313*[1]Sheet1!$E$9,IF(D1313="S. maritimus",F1313*[1]Sheet1!$C$10+E1313*[1]Sheet1!$D$10+G1313*[1]Sheet1!$F$10+[1]Sheet1!$L$10,IF(D1313="S. americanus",F1313*[1]Sheet1!$C$6+E1313*[1]Sheet1!$D$6+[1]Sheet1!$L$6,IF(AND(OR(D1313="T. domingensis",D1313="T. latifolia"),E1313&gt;0),F1313*[1]Sheet1!$C$4+E1313*[1]Sheet1!$D$4+H1313*[1]Sheet1!$J$4+I1313*[1]Sheet1!$K$4+[1]Sheet1!$L$4,IF(AND(OR(D1313="T. domingensis",D1313="T. latifolia"),J1313&gt;0),J1313*[1]Sheet1!$G$5+K1313*[1]Sheet1!$H$5+L1313*[1]Sheet1!$I$5+[1]Sheet1!$L$5,0)))))))</f>
        <v>1.7520159500000001</v>
      </c>
    </row>
    <row r="1314" spans="1:15">
      <c r="A1314" s="2">
        <v>40738</v>
      </c>
      <c r="B1314" t="s">
        <v>43</v>
      </c>
      <c r="C1314">
        <v>20</v>
      </c>
      <c r="D1314" s="6" t="s">
        <v>29</v>
      </c>
      <c r="E1314">
        <v>145</v>
      </c>
      <c r="F1314">
        <v>0.59</v>
      </c>
      <c r="G1314">
        <v>1</v>
      </c>
      <c r="M1314" t="s">
        <v>46</v>
      </c>
      <c r="O1314">
        <f>IF(AND(OR(D1314="S. acutus",D1314="S. californicus",D1314="S. tabernaemontani"),G1314=0),E1314*[1]Sheet1!$D$7+[1]Sheet1!$L$7,IF(AND(OR(D1314="S. acutus",D1314="S. tabernaemontani"),G1314&gt;0),E1314*[1]Sheet1!$D$8+N1314*[1]Sheet1!$E$8,IF(AND(D1314="S. californicus",G1314&gt;0),E1314*[1]Sheet1!$D$9+N1314*[1]Sheet1!$E$9,IF(D1314="S. maritimus",F1314*[1]Sheet1!$C$10+E1314*[1]Sheet1!$D$10+G1314*[1]Sheet1!$F$10+[1]Sheet1!$L$10,IF(D1314="S. americanus",F1314*[1]Sheet1!$C$6+E1314*[1]Sheet1!$D$6+[1]Sheet1!$L$6,IF(AND(OR(D1314="T. domingensis",D1314="T. latifolia"),E1314&gt;0),F1314*[1]Sheet1!$C$4+E1314*[1]Sheet1!$D$4+H1314*[1]Sheet1!$J$4+I1314*[1]Sheet1!$K$4+[1]Sheet1!$L$4,IF(AND(OR(D1314="T. domingensis",D1314="T. latifolia"),J1314&gt;0),J1314*[1]Sheet1!$G$5+K1314*[1]Sheet1!$H$5+L1314*[1]Sheet1!$I$5+[1]Sheet1!$L$5,0)))))))</f>
        <v>2.0717417509999998</v>
      </c>
    </row>
    <row r="1315" spans="1:15">
      <c r="A1315" s="2">
        <v>40738</v>
      </c>
      <c r="B1315" t="s">
        <v>43</v>
      </c>
      <c r="C1315">
        <v>20</v>
      </c>
      <c r="D1315" s="6" t="s">
        <v>29</v>
      </c>
      <c r="E1315">
        <v>149</v>
      </c>
      <c r="F1315">
        <v>0.6</v>
      </c>
      <c r="G1315">
        <v>0</v>
      </c>
      <c r="M1315" t="s">
        <v>46</v>
      </c>
      <c r="O1315">
        <f>IF(AND(OR(D1315="S. acutus",D1315="S. californicus",D1315="S. tabernaemontani"),G1315=0),E1315*[1]Sheet1!$D$7+[1]Sheet1!$L$7,IF(AND(OR(D1315="S. acutus",D1315="S. tabernaemontani"),G1315&gt;0),E1315*[1]Sheet1!$D$8+N1315*[1]Sheet1!$E$8,IF(AND(D1315="S. californicus",G1315&gt;0),E1315*[1]Sheet1!$D$9+N1315*[1]Sheet1!$E$9,IF(D1315="S. maritimus",F1315*[1]Sheet1!$C$10+E1315*[1]Sheet1!$D$10+G1315*[1]Sheet1!$F$10+[1]Sheet1!$L$10,IF(D1315="S. americanus",F1315*[1]Sheet1!$C$6+E1315*[1]Sheet1!$D$6+[1]Sheet1!$L$6,IF(AND(OR(D1315="T. domingensis",D1315="T. latifolia"),E1315&gt;0),F1315*[1]Sheet1!$C$4+E1315*[1]Sheet1!$D$4+H1315*[1]Sheet1!$J$4+I1315*[1]Sheet1!$K$4+[1]Sheet1!$L$4,IF(AND(OR(D1315="T. domingensis",D1315="T. latifolia"),J1315&gt;0),J1315*[1]Sheet1!$G$5+K1315*[1]Sheet1!$H$5+L1315*[1]Sheet1!$I$5+[1]Sheet1!$L$5,0)))))))</f>
        <v>2.1699896399999994</v>
      </c>
    </row>
    <row r="1316" spans="1:15">
      <c r="A1316" s="2">
        <v>40738</v>
      </c>
      <c r="B1316" t="s">
        <v>43</v>
      </c>
      <c r="C1316">
        <v>20</v>
      </c>
      <c r="D1316" s="6" t="s">
        <v>29</v>
      </c>
      <c r="E1316">
        <v>151</v>
      </c>
      <c r="F1316">
        <v>0.42</v>
      </c>
      <c r="G1316">
        <v>0</v>
      </c>
      <c r="M1316" t="s">
        <v>46</v>
      </c>
      <c r="O1316">
        <f>IF(AND(OR(D1316="S. acutus",D1316="S. californicus",D1316="S. tabernaemontani"),G1316=0),E1316*[1]Sheet1!$D$7+[1]Sheet1!$L$7,IF(AND(OR(D1316="S. acutus",D1316="S. tabernaemontani"),G1316&gt;0),E1316*[1]Sheet1!$D$8+N1316*[1]Sheet1!$E$8,IF(AND(D1316="S. californicus",G1316&gt;0),E1316*[1]Sheet1!$D$9+N1316*[1]Sheet1!$E$9,IF(D1316="S. maritimus",F1316*[1]Sheet1!$C$10+E1316*[1]Sheet1!$D$10+G1316*[1]Sheet1!$F$10+[1]Sheet1!$L$10,IF(D1316="S. americanus",F1316*[1]Sheet1!$C$6+E1316*[1]Sheet1!$D$6+[1]Sheet1!$L$6,IF(AND(OR(D1316="T. domingensis",D1316="T. latifolia"),E1316&gt;0),F1316*[1]Sheet1!$C$4+E1316*[1]Sheet1!$D$4+H1316*[1]Sheet1!$J$4+I1316*[1]Sheet1!$K$4+[1]Sheet1!$L$4,IF(AND(OR(D1316="T. domingensis",D1316="T. latifolia"),J1316&gt;0),J1316*[1]Sheet1!$G$5+K1316*[1]Sheet1!$H$5+L1316*[1]Sheet1!$I$5+[1]Sheet1!$L$5,0)))))))</f>
        <v>1.5618994379999998</v>
      </c>
    </row>
    <row r="1317" spans="1:15">
      <c r="A1317" s="2">
        <v>40738</v>
      </c>
      <c r="B1317" t="s">
        <v>43</v>
      </c>
      <c r="C1317">
        <v>20</v>
      </c>
      <c r="D1317" s="6" t="s">
        <v>29</v>
      </c>
      <c r="E1317">
        <v>151</v>
      </c>
      <c r="F1317">
        <v>0.49</v>
      </c>
      <c r="G1317">
        <v>0</v>
      </c>
      <c r="M1317" t="s">
        <v>46</v>
      </c>
      <c r="O1317">
        <f>IF(AND(OR(D1317="S. acutus",D1317="S. californicus",D1317="S. tabernaemontani"),G1317=0),E1317*[1]Sheet1!$D$7+[1]Sheet1!$L$7,IF(AND(OR(D1317="S. acutus",D1317="S. tabernaemontani"),G1317&gt;0),E1317*[1]Sheet1!$D$8+N1317*[1]Sheet1!$E$8,IF(AND(D1317="S. californicus",G1317&gt;0),E1317*[1]Sheet1!$D$9+N1317*[1]Sheet1!$E$9,IF(D1317="S. maritimus",F1317*[1]Sheet1!$C$10+E1317*[1]Sheet1!$D$10+G1317*[1]Sheet1!$F$10+[1]Sheet1!$L$10,IF(D1317="S. americanus",F1317*[1]Sheet1!$C$6+E1317*[1]Sheet1!$D$6+[1]Sheet1!$L$6,IF(AND(OR(D1317="T. domingensis",D1317="T. latifolia"),E1317&gt;0),F1317*[1]Sheet1!$C$4+E1317*[1]Sheet1!$D$4+H1317*[1]Sheet1!$J$4+I1317*[1]Sheet1!$K$4+[1]Sheet1!$L$4,IF(AND(OR(D1317="T. domingensis",D1317="T. latifolia"),J1317&gt;0),J1317*[1]Sheet1!$G$5+K1317*[1]Sheet1!$H$5+L1317*[1]Sheet1!$I$5+[1]Sheet1!$L$5,0)))))))</f>
        <v>1.8105750609999993</v>
      </c>
    </row>
    <row r="1318" spans="1:15">
      <c r="A1318" s="2">
        <v>40738</v>
      </c>
      <c r="B1318" t="s">
        <v>43</v>
      </c>
      <c r="C1318">
        <v>20</v>
      </c>
      <c r="D1318" s="6" t="s">
        <v>29</v>
      </c>
      <c r="E1318">
        <v>153</v>
      </c>
      <c r="F1318">
        <v>0.66</v>
      </c>
      <c r="G1318">
        <v>0</v>
      </c>
      <c r="M1318" t="s">
        <v>46</v>
      </c>
      <c r="O1318">
        <f>IF(AND(OR(D1318="S. acutus",D1318="S. californicus",D1318="S. tabernaemontani"),G1318=0),E1318*[1]Sheet1!$D$7+[1]Sheet1!$L$7,IF(AND(OR(D1318="S. acutus",D1318="S. tabernaemontani"),G1318&gt;0),E1318*[1]Sheet1!$D$8+N1318*[1]Sheet1!$E$8,IF(AND(D1318="S. californicus",G1318&gt;0),E1318*[1]Sheet1!$D$9+N1318*[1]Sheet1!$E$9,IF(D1318="S. maritimus",F1318*[1]Sheet1!$C$10+E1318*[1]Sheet1!$D$10+G1318*[1]Sheet1!$F$10+[1]Sheet1!$L$10,IF(D1318="S. americanus",F1318*[1]Sheet1!$C$6+E1318*[1]Sheet1!$D$6+[1]Sheet1!$L$6,IF(AND(OR(D1318="T. domingensis",D1318="T. latifolia"),E1318&gt;0),F1318*[1]Sheet1!$C$4+E1318*[1]Sheet1!$D$4+H1318*[1]Sheet1!$J$4+I1318*[1]Sheet1!$K$4+[1]Sheet1!$L$4,IF(AND(OR(D1318="T. domingensis",D1318="T. latifolia"),J1318&gt;0),J1318*[1]Sheet1!$G$5+K1318*[1]Sheet1!$H$5+L1318*[1]Sheet1!$I$5+[1]Sheet1!$L$5,0)))))))</f>
        <v>2.4458629739999993</v>
      </c>
    </row>
    <row r="1319" spans="1:15">
      <c r="A1319" s="2">
        <v>40738</v>
      </c>
      <c r="B1319" t="s">
        <v>43</v>
      </c>
      <c r="C1319">
        <v>20</v>
      </c>
      <c r="D1319" s="6" t="s">
        <v>29</v>
      </c>
      <c r="E1319">
        <v>153</v>
      </c>
      <c r="F1319">
        <v>1.46</v>
      </c>
      <c r="G1319">
        <v>1</v>
      </c>
      <c r="M1319" t="s">
        <v>46</v>
      </c>
      <c r="O1319">
        <f>IF(AND(OR(D1319="S. acutus",D1319="S. californicus",D1319="S. tabernaemontani"),G1319=0),E1319*[1]Sheet1!$D$7+[1]Sheet1!$L$7,IF(AND(OR(D1319="S. acutus",D1319="S. tabernaemontani"),G1319&gt;0),E1319*[1]Sheet1!$D$8+N1319*[1]Sheet1!$E$8,IF(AND(D1319="S. californicus",G1319&gt;0),E1319*[1]Sheet1!$D$9+N1319*[1]Sheet1!$E$9,IF(D1319="S. maritimus",F1319*[1]Sheet1!$C$10+E1319*[1]Sheet1!$D$10+G1319*[1]Sheet1!$F$10+[1]Sheet1!$L$10,IF(D1319="S. americanus",F1319*[1]Sheet1!$C$6+E1319*[1]Sheet1!$D$6+[1]Sheet1!$L$6,IF(AND(OR(D1319="T. domingensis",D1319="T. latifolia"),E1319&gt;0),F1319*[1]Sheet1!$C$4+E1319*[1]Sheet1!$D$4+H1319*[1]Sheet1!$J$4+I1319*[1]Sheet1!$K$4+[1]Sheet1!$L$4,IF(AND(OR(D1319="T. domingensis",D1319="T. latifolia"),J1319&gt;0),J1319*[1]Sheet1!$G$5+K1319*[1]Sheet1!$H$5+L1319*[1]Sheet1!$I$5+[1]Sheet1!$L$5,0)))))))</f>
        <v>5.2878700939999987</v>
      </c>
    </row>
    <row r="1320" spans="1:15">
      <c r="A1320" s="2">
        <v>40738</v>
      </c>
      <c r="B1320" t="s">
        <v>43</v>
      </c>
      <c r="C1320">
        <v>20</v>
      </c>
      <c r="D1320" s="6" t="s">
        <v>29</v>
      </c>
      <c r="E1320">
        <v>154</v>
      </c>
      <c r="F1320">
        <v>0.35</v>
      </c>
      <c r="G1320">
        <v>1</v>
      </c>
      <c r="M1320" t="s">
        <v>46</v>
      </c>
      <c r="O1320">
        <f>IF(AND(OR(D1320="S. acutus",D1320="S. californicus",D1320="S. tabernaemontani"),G1320=0),E1320*[1]Sheet1!$D$7+[1]Sheet1!$L$7,IF(AND(OR(D1320="S. acutus",D1320="S. tabernaemontani"),G1320&gt;0),E1320*[1]Sheet1!$D$8+N1320*[1]Sheet1!$E$8,IF(AND(D1320="S. californicus",G1320&gt;0),E1320*[1]Sheet1!$D$9+N1320*[1]Sheet1!$E$9,IF(D1320="S. maritimus",F1320*[1]Sheet1!$C$10+E1320*[1]Sheet1!$D$10+G1320*[1]Sheet1!$F$10+[1]Sheet1!$L$10,IF(D1320="S. americanus",F1320*[1]Sheet1!$C$6+E1320*[1]Sheet1!$D$6+[1]Sheet1!$L$6,IF(AND(OR(D1320="T. domingensis",D1320="T. latifolia"),E1320&gt;0),F1320*[1]Sheet1!$C$4+E1320*[1]Sheet1!$D$4+H1320*[1]Sheet1!$J$4+I1320*[1]Sheet1!$K$4+[1]Sheet1!$L$4,IF(AND(OR(D1320="T. domingensis",D1320="T. latifolia"),J1320&gt;0),J1320*[1]Sheet1!$G$5+K1320*[1]Sheet1!$H$5+L1320*[1]Sheet1!$I$5+[1]Sheet1!$L$5,0)))))))</f>
        <v>1.3602659149999998</v>
      </c>
    </row>
    <row r="1321" spans="1:15">
      <c r="A1321" s="2">
        <v>40738</v>
      </c>
      <c r="B1321" t="s">
        <v>43</v>
      </c>
      <c r="C1321">
        <v>20</v>
      </c>
      <c r="D1321" s="6" t="s">
        <v>29</v>
      </c>
      <c r="E1321">
        <v>155</v>
      </c>
      <c r="F1321">
        <v>0.55000000000000004</v>
      </c>
      <c r="G1321">
        <v>0</v>
      </c>
      <c r="M1321" t="s">
        <v>46</v>
      </c>
      <c r="O1321">
        <f>IF(AND(OR(D1321="S. acutus",D1321="S. californicus",D1321="S. tabernaemontani"),G1321=0),E1321*[1]Sheet1!$D$7+[1]Sheet1!$L$7,IF(AND(OR(D1321="S. acutus",D1321="S. tabernaemontani"),G1321&gt;0),E1321*[1]Sheet1!$D$8+N1321*[1]Sheet1!$E$8,IF(AND(D1321="S. californicus",G1321&gt;0),E1321*[1]Sheet1!$D$9+N1321*[1]Sheet1!$E$9,IF(D1321="S. maritimus",F1321*[1]Sheet1!$C$10+E1321*[1]Sheet1!$D$10+G1321*[1]Sheet1!$F$10+[1]Sheet1!$L$10,IF(D1321="S. americanus",F1321*[1]Sheet1!$C$6+E1321*[1]Sheet1!$D$6+[1]Sheet1!$L$6,IF(AND(OR(D1321="T. domingensis",D1321="T. latifolia"),E1321&gt;0),F1321*[1]Sheet1!$C$4+E1321*[1]Sheet1!$D$4+H1321*[1]Sheet1!$J$4+I1321*[1]Sheet1!$K$4+[1]Sheet1!$L$4,IF(AND(OR(D1321="T. domingensis",D1321="T. latifolia"),J1321&gt;0),J1321*[1]Sheet1!$G$5+K1321*[1]Sheet1!$H$5+L1321*[1]Sheet1!$I$5+[1]Sheet1!$L$5,0)))))))</f>
        <v>2.0864483950000001</v>
      </c>
    </row>
    <row r="1322" spans="1:15">
      <c r="A1322" s="2">
        <v>40738</v>
      </c>
      <c r="B1322" t="s">
        <v>43</v>
      </c>
      <c r="C1322">
        <v>20</v>
      </c>
      <c r="D1322" s="6" t="s">
        <v>29</v>
      </c>
      <c r="E1322">
        <v>155</v>
      </c>
      <c r="F1322">
        <v>0.64</v>
      </c>
      <c r="G1322">
        <v>1</v>
      </c>
      <c r="M1322" t="s">
        <v>46</v>
      </c>
      <c r="O1322">
        <f>IF(AND(OR(D1322="S. acutus",D1322="S. californicus",D1322="S. tabernaemontani"),G1322=0),E1322*[1]Sheet1!$D$7+[1]Sheet1!$L$7,IF(AND(OR(D1322="S. acutus",D1322="S. tabernaemontani"),G1322&gt;0),E1322*[1]Sheet1!$D$8+N1322*[1]Sheet1!$E$8,IF(AND(D1322="S. californicus",G1322&gt;0),E1322*[1]Sheet1!$D$9+N1322*[1]Sheet1!$E$9,IF(D1322="S. maritimus",F1322*[1]Sheet1!$C$10+E1322*[1]Sheet1!$D$10+G1322*[1]Sheet1!$F$10+[1]Sheet1!$L$10,IF(D1322="S. americanus",F1322*[1]Sheet1!$C$6+E1322*[1]Sheet1!$D$6+[1]Sheet1!$L$6,IF(AND(OR(D1322="T. domingensis",D1322="T. latifolia"),E1322&gt;0),F1322*[1]Sheet1!$C$4+E1322*[1]Sheet1!$D$4+H1322*[1]Sheet1!$J$4+I1322*[1]Sheet1!$K$4+[1]Sheet1!$L$4,IF(AND(OR(D1322="T. domingensis",D1322="T. latifolia"),J1322&gt;0),J1322*[1]Sheet1!$G$5+K1322*[1]Sheet1!$H$5+L1322*[1]Sheet1!$I$5+[1]Sheet1!$L$5,0)))))))</f>
        <v>2.4061741959999998</v>
      </c>
    </row>
    <row r="1323" spans="1:15">
      <c r="A1323" s="2">
        <v>40738</v>
      </c>
      <c r="B1323" t="s">
        <v>43</v>
      </c>
      <c r="C1323">
        <v>20</v>
      </c>
      <c r="D1323" s="6" t="s">
        <v>29</v>
      </c>
      <c r="E1323">
        <v>157</v>
      </c>
      <c r="F1323">
        <v>0.56000000000000005</v>
      </c>
      <c r="G1323">
        <v>1</v>
      </c>
      <c r="M1323" t="s">
        <v>46</v>
      </c>
      <c r="O1323">
        <f>IF(AND(OR(D1323="S. acutus",D1323="S. californicus",D1323="S. tabernaemontani"),G1323=0),E1323*[1]Sheet1!$D$7+[1]Sheet1!$L$7,IF(AND(OR(D1323="S. acutus",D1323="S. tabernaemontani"),G1323&gt;0),E1323*[1]Sheet1!$D$8+N1323*[1]Sheet1!$E$8,IF(AND(D1323="S. californicus",G1323&gt;0),E1323*[1]Sheet1!$D$9+N1323*[1]Sheet1!$E$9,IF(D1323="S. maritimus",F1323*[1]Sheet1!$C$10+E1323*[1]Sheet1!$D$10+G1323*[1]Sheet1!$F$10+[1]Sheet1!$L$10,IF(D1323="S. americanus",F1323*[1]Sheet1!$C$6+E1323*[1]Sheet1!$D$6+[1]Sheet1!$L$6,IF(AND(OR(D1323="T. domingensis",D1323="T. latifolia"),E1323&gt;0),F1323*[1]Sheet1!$C$4+E1323*[1]Sheet1!$D$4+H1323*[1]Sheet1!$J$4+I1323*[1]Sheet1!$K$4+[1]Sheet1!$L$4,IF(AND(OR(D1323="T. domingensis",D1323="T. latifolia"),J1323&gt;0),J1323*[1]Sheet1!$G$5+K1323*[1]Sheet1!$H$5+L1323*[1]Sheet1!$I$5+[1]Sheet1!$L$5,0)))))))</f>
        <v>2.1533348839999999</v>
      </c>
    </row>
    <row r="1324" spans="1:15">
      <c r="A1324" s="2">
        <v>40738</v>
      </c>
      <c r="B1324" t="s">
        <v>43</v>
      </c>
      <c r="C1324">
        <v>20</v>
      </c>
      <c r="D1324" s="6" t="s">
        <v>29</v>
      </c>
      <c r="E1324">
        <v>162</v>
      </c>
      <c r="F1324">
        <v>0.38</v>
      </c>
      <c r="G1324">
        <v>0</v>
      </c>
      <c r="M1324" t="s">
        <v>46</v>
      </c>
      <c r="O1324">
        <f>IF(AND(OR(D1324="S. acutus",D1324="S. californicus",D1324="S. tabernaemontani"),G1324=0),E1324*[1]Sheet1!$D$7+[1]Sheet1!$L$7,IF(AND(OR(D1324="S. acutus",D1324="S. tabernaemontani"),G1324&gt;0),E1324*[1]Sheet1!$D$8+N1324*[1]Sheet1!$E$8,IF(AND(D1324="S. californicus",G1324&gt;0),E1324*[1]Sheet1!$D$9+N1324*[1]Sheet1!$E$9,IF(D1324="S. maritimus",F1324*[1]Sheet1!$C$10+E1324*[1]Sheet1!$D$10+G1324*[1]Sheet1!$F$10+[1]Sheet1!$L$10,IF(D1324="S. americanus",F1324*[1]Sheet1!$C$6+E1324*[1]Sheet1!$D$6+[1]Sheet1!$L$6,IF(AND(OR(D1324="T. domingensis",D1324="T. latifolia"),E1324&gt;0),F1324*[1]Sheet1!$C$4+E1324*[1]Sheet1!$D$4+H1324*[1]Sheet1!$J$4+I1324*[1]Sheet1!$K$4+[1]Sheet1!$L$4,IF(AND(OR(D1324="T. domingensis",D1324="T. latifolia"),J1324&gt;0),J1324*[1]Sheet1!$G$5+K1324*[1]Sheet1!$H$5+L1324*[1]Sheet1!$I$5+[1]Sheet1!$L$5,0)))))))</f>
        <v>1.592286782</v>
      </c>
    </row>
    <row r="1325" spans="1:15">
      <c r="A1325" s="2">
        <v>40738</v>
      </c>
      <c r="B1325" t="s">
        <v>43</v>
      </c>
      <c r="C1325">
        <v>20</v>
      </c>
      <c r="D1325" s="6" t="s">
        <v>29</v>
      </c>
      <c r="E1325">
        <v>162</v>
      </c>
      <c r="F1325">
        <v>0.72</v>
      </c>
      <c r="G1325">
        <v>0</v>
      </c>
      <c r="M1325" t="s">
        <v>46</v>
      </c>
      <c r="O1325">
        <f>IF(AND(OR(D1325="S. acutus",D1325="S. californicus",D1325="S. tabernaemontani"),G1325=0),E1325*[1]Sheet1!$D$7+[1]Sheet1!$L$7,IF(AND(OR(D1325="S. acutus",D1325="S. tabernaemontani"),G1325&gt;0),E1325*[1]Sheet1!$D$8+N1325*[1]Sheet1!$E$8,IF(AND(D1325="S. californicus",G1325&gt;0),E1325*[1]Sheet1!$D$9+N1325*[1]Sheet1!$E$9,IF(D1325="S. maritimus",F1325*[1]Sheet1!$C$10+E1325*[1]Sheet1!$D$10+G1325*[1]Sheet1!$F$10+[1]Sheet1!$L$10,IF(D1325="S. americanus",F1325*[1]Sheet1!$C$6+E1325*[1]Sheet1!$D$6+[1]Sheet1!$L$6,IF(AND(OR(D1325="T. domingensis",D1325="T. latifolia"),E1325&gt;0),F1325*[1]Sheet1!$C$4+E1325*[1]Sheet1!$D$4+H1325*[1]Sheet1!$J$4+I1325*[1]Sheet1!$K$4+[1]Sheet1!$L$4,IF(AND(OR(D1325="T. domingensis",D1325="T. latifolia"),J1325&gt;0),J1325*[1]Sheet1!$G$5+K1325*[1]Sheet1!$H$5+L1325*[1]Sheet1!$I$5+[1]Sheet1!$L$5,0)))))))</f>
        <v>2.8001398079999995</v>
      </c>
    </row>
    <row r="1326" spans="1:15">
      <c r="A1326" s="2">
        <v>40738</v>
      </c>
      <c r="B1326" t="s">
        <v>43</v>
      </c>
      <c r="C1326">
        <v>20</v>
      </c>
      <c r="D1326" s="6" t="s">
        <v>29</v>
      </c>
      <c r="E1326">
        <v>162</v>
      </c>
      <c r="F1326">
        <v>0.72</v>
      </c>
      <c r="G1326">
        <v>0</v>
      </c>
      <c r="M1326" t="s">
        <v>46</v>
      </c>
      <c r="O1326">
        <f>IF(AND(OR(D1326="S. acutus",D1326="S. californicus",D1326="S. tabernaemontani"),G1326=0),E1326*[1]Sheet1!$D$7+[1]Sheet1!$L$7,IF(AND(OR(D1326="S. acutus",D1326="S. tabernaemontani"),G1326&gt;0),E1326*[1]Sheet1!$D$8+N1326*[1]Sheet1!$E$8,IF(AND(D1326="S. californicus",G1326&gt;0),E1326*[1]Sheet1!$D$9+N1326*[1]Sheet1!$E$9,IF(D1326="S. maritimus",F1326*[1]Sheet1!$C$10+E1326*[1]Sheet1!$D$10+G1326*[1]Sheet1!$F$10+[1]Sheet1!$L$10,IF(D1326="S. americanus",F1326*[1]Sheet1!$C$6+E1326*[1]Sheet1!$D$6+[1]Sheet1!$L$6,IF(AND(OR(D1326="T. domingensis",D1326="T. latifolia"),E1326&gt;0),F1326*[1]Sheet1!$C$4+E1326*[1]Sheet1!$D$4+H1326*[1]Sheet1!$J$4+I1326*[1]Sheet1!$K$4+[1]Sheet1!$L$4,IF(AND(OR(D1326="T. domingensis",D1326="T. latifolia"),J1326&gt;0),J1326*[1]Sheet1!$G$5+K1326*[1]Sheet1!$H$5+L1326*[1]Sheet1!$I$5+[1]Sheet1!$L$5,0)))))))</f>
        <v>2.8001398079999995</v>
      </c>
    </row>
    <row r="1327" spans="1:15">
      <c r="A1327" s="2">
        <v>40738</v>
      </c>
      <c r="B1327" t="s">
        <v>43</v>
      </c>
      <c r="C1327">
        <v>20</v>
      </c>
      <c r="D1327" s="6" t="s">
        <v>29</v>
      </c>
      <c r="E1327">
        <v>163</v>
      </c>
      <c r="F1327">
        <v>0.51</v>
      </c>
      <c r="G1327">
        <v>0</v>
      </c>
      <c r="M1327" t="s">
        <v>46</v>
      </c>
      <c r="O1327">
        <f>IF(AND(OR(D1327="S. acutus",D1327="S. californicus",D1327="S. tabernaemontani"),G1327=0),E1327*[1]Sheet1!$D$7+[1]Sheet1!$L$7,IF(AND(OR(D1327="S. acutus",D1327="S. tabernaemontani"),G1327&gt;0),E1327*[1]Sheet1!$D$8+N1327*[1]Sheet1!$E$8,IF(AND(D1327="S. californicus",G1327&gt;0),E1327*[1]Sheet1!$D$9+N1327*[1]Sheet1!$E$9,IF(D1327="S. maritimus",F1327*[1]Sheet1!$C$10+E1327*[1]Sheet1!$D$10+G1327*[1]Sheet1!$F$10+[1]Sheet1!$L$10,IF(D1327="S. americanus",F1327*[1]Sheet1!$C$6+E1327*[1]Sheet1!$D$6+[1]Sheet1!$L$6,IF(AND(OR(D1327="T. domingensis",D1327="T. latifolia"),E1327&gt;0),F1327*[1]Sheet1!$C$4+E1327*[1]Sheet1!$D$4+H1327*[1]Sheet1!$J$4+I1327*[1]Sheet1!$K$4+[1]Sheet1!$L$4,IF(AND(OR(D1327="T. domingensis",D1327="T. latifolia"),J1327&gt;0),J1327*[1]Sheet1!$G$5+K1327*[1]Sheet1!$H$5+L1327*[1]Sheet1!$I$5+[1]Sheet1!$L$5,0)))))))</f>
        <v>2.0697936389999998</v>
      </c>
    </row>
    <row r="1328" spans="1:15">
      <c r="A1328" s="2">
        <v>40738</v>
      </c>
      <c r="B1328" t="s">
        <v>43</v>
      </c>
      <c r="C1328">
        <v>20</v>
      </c>
      <c r="D1328" s="6" t="s">
        <v>29</v>
      </c>
      <c r="E1328">
        <v>163</v>
      </c>
      <c r="F1328">
        <v>0.64</v>
      </c>
      <c r="G1328">
        <v>0</v>
      </c>
      <c r="M1328" t="s">
        <v>46</v>
      </c>
      <c r="O1328">
        <f>IF(AND(OR(D1328="S. acutus",D1328="S. californicus",D1328="S. tabernaemontani"),G1328=0),E1328*[1]Sheet1!$D$7+[1]Sheet1!$L$7,IF(AND(OR(D1328="S. acutus",D1328="S. tabernaemontani"),G1328&gt;0),E1328*[1]Sheet1!$D$8+N1328*[1]Sheet1!$E$8,IF(AND(D1328="S. californicus",G1328&gt;0),E1328*[1]Sheet1!$D$9+N1328*[1]Sheet1!$E$9,IF(D1328="S. maritimus",F1328*[1]Sheet1!$C$10+E1328*[1]Sheet1!$D$10+G1328*[1]Sheet1!$F$10+[1]Sheet1!$L$10,IF(D1328="S. americanus",F1328*[1]Sheet1!$C$6+E1328*[1]Sheet1!$D$6+[1]Sheet1!$L$6,IF(AND(OR(D1328="T. domingensis",D1328="T. latifolia"),E1328&gt;0),F1328*[1]Sheet1!$C$4+E1328*[1]Sheet1!$D$4+H1328*[1]Sheet1!$J$4+I1328*[1]Sheet1!$K$4+[1]Sheet1!$L$4,IF(AND(OR(D1328="T. domingensis",D1328="T. latifolia"),J1328&gt;0),J1328*[1]Sheet1!$G$5+K1328*[1]Sheet1!$H$5+L1328*[1]Sheet1!$I$5+[1]Sheet1!$L$5,0)))))))</f>
        <v>2.5316197959999998</v>
      </c>
    </row>
    <row r="1329" spans="1:15">
      <c r="A1329" s="2">
        <v>40738</v>
      </c>
      <c r="B1329" t="s">
        <v>43</v>
      </c>
      <c r="C1329">
        <v>20</v>
      </c>
      <c r="D1329" s="6" t="s">
        <v>29</v>
      </c>
      <c r="E1329">
        <v>163</v>
      </c>
      <c r="F1329">
        <v>0.66</v>
      </c>
      <c r="G1329">
        <v>0</v>
      </c>
      <c r="M1329" t="s">
        <v>46</v>
      </c>
      <c r="O1329">
        <f>IF(AND(OR(D1329="S. acutus",D1329="S. californicus",D1329="S. tabernaemontani"),G1329=0),E1329*[1]Sheet1!$D$7+[1]Sheet1!$L$7,IF(AND(OR(D1329="S. acutus",D1329="S. tabernaemontani"),G1329&gt;0),E1329*[1]Sheet1!$D$8+N1329*[1]Sheet1!$E$8,IF(AND(D1329="S. californicus",G1329&gt;0),E1329*[1]Sheet1!$D$9+N1329*[1]Sheet1!$E$9,IF(D1329="S. maritimus",F1329*[1]Sheet1!$C$10+E1329*[1]Sheet1!$D$10+G1329*[1]Sheet1!$F$10+[1]Sheet1!$L$10,IF(D1329="S. americanus",F1329*[1]Sheet1!$C$6+E1329*[1]Sheet1!$D$6+[1]Sheet1!$L$6,IF(AND(OR(D1329="T. domingensis",D1329="T. latifolia"),E1329&gt;0),F1329*[1]Sheet1!$C$4+E1329*[1]Sheet1!$D$4+H1329*[1]Sheet1!$J$4+I1329*[1]Sheet1!$K$4+[1]Sheet1!$L$4,IF(AND(OR(D1329="T. domingensis",D1329="T. latifolia"),J1329&gt;0),J1329*[1]Sheet1!$G$5+K1329*[1]Sheet1!$H$5+L1329*[1]Sheet1!$I$5+[1]Sheet1!$L$5,0)))))))</f>
        <v>2.6026699739999999</v>
      </c>
    </row>
    <row r="1330" spans="1:15">
      <c r="A1330" s="2">
        <v>40738</v>
      </c>
      <c r="B1330" t="s">
        <v>43</v>
      </c>
      <c r="C1330">
        <v>20</v>
      </c>
      <c r="D1330" s="6" t="s">
        <v>29</v>
      </c>
      <c r="E1330">
        <v>165</v>
      </c>
      <c r="F1330">
        <v>0.71</v>
      </c>
      <c r="G1330">
        <v>0</v>
      </c>
      <c r="M1330" t="s">
        <v>46</v>
      </c>
      <c r="O1330">
        <f>IF(AND(OR(D1330="S. acutus",D1330="S. californicus",D1330="S. tabernaemontani"),G1330=0),E1330*[1]Sheet1!$D$7+[1]Sheet1!$L$7,IF(AND(OR(D1330="S. acutus",D1330="S. tabernaemontani"),G1330&gt;0),E1330*[1]Sheet1!$D$8+N1330*[1]Sheet1!$E$8,IF(AND(D1330="S. californicus",G1330&gt;0),E1330*[1]Sheet1!$D$9+N1330*[1]Sheet1!$E$9,IF(D1330="S. maritimus",F1330*[1]Sheet1!$C$10+E1330*[1]Sheet1!$D$10+G1330*[1]Sheet1!$F$10+[1]Sheet1!$L$10,IF(D1330="S. americanus",F1330*[1]Sheet1!$C$6+E1330*[1]Sheet1!$D$6+[1]Sheet1!$L$6,IF(AND(OR(D1330="T. domingensis",D1330="T. latifolia"),E1330&gt;0),F1330*[1]Sheet1!$C$4+E1330*[1]Sheet1!$D$4+H1330*[1]Sheet1!$J$4+I1330*[1]Sheet1!$K$4+[1]Sheet1!$L$4,IF(AND(OR(D1330="T. domingensis",D1330="T. latifolia"),J1330&gt;0),J1330*[1]Sheet1!$G$5+K1330*[1]Sheet1!$H$5+L1330*[1]Sheet1!$I$5+[1]Sheet1!$L$5,0)))))))</f>
        <v>2.811656819</v>
      </c>
    </row>
    <row r="1331" spans="1:15">
      <c r="A1331" s="2">
        <v>40738</v>
      </c>
      <c r="B1331" t="s">
        <v>43</v>
      </c>
      <c r="C1331">
        <v>20</v>
      </c>
      <c r="D1331" s="6" t="s">
        <v>29</v>
      </c>
      <c r="E1331">
        <v>171</v>
      </c>
      <c r="F1331">
        <v>0.52</v>
      </c>
      <c r="G1331">
        <v>0</v>
      </c>
      <c r="M1331" t="s">
        <v>46</v>
      </c>
      <c r="O1331">
        <f>IF(AND(OR(D1331="S. acutus",D1331="S. californicus",D1331="S. tabernaemontani"),G1331=0),E1331*[1]Sheet1!$D$7+[1]Sheet1!$L$7,IF(AND(OR(D1331="S. acutus",D1331="S. tabernaemontani"),G1331&gt;0),E1331*[1]Sheet1!$D$8+N1331*[1]Sheet1!$E$8,IF(AND(D1331="S. californicus",G1331&gt;0),E1331*[1]Sheet1!$D$9+N1331*[1]Sheet1!$E$9,IF(D1331="S. maritimus",F1331*[1]Sheet1!$C$10+E1331*[1]Sheet1!$D$10+G1331*[1]Sheet1!$F$10+[1]Sheet1!$L$10,IF(D1331="S. americanus",F1331*[1]Sheet1!$C$6+E1331*[1]Sheet1!$D$6+[1]Sheet1!$L$6,IF(AND(OR(D1331="T. domingensis",D1331="T. latifolia"),E1331&gt;0),F1331*[1]Sheet1!$C$4+E1331*[1]Sheet1!$D$4+H1331*[1]Sheet1!$J$4+I1331*[1]Sheet1!$K$4+[1]Sheet1!$L$4,IF(AND(OR(D1331="T. domingensis",D1331="T. latifolia"),J1331&gt;0),J1331*[1]Sheet1!$G$5+K1331*[1]Sheet1!$H$5+L1331*[1]Sheet1!$I$5+[1]Sheet1!$L$5,0)))))))</f>
        <v>2.2307643279999998</v>
      </c>
    </row>
    <row r="1332" spans="1:15">
      <c r="A1332" s="2">
        <v>40738</v>
      </c>
      <c r="B1332" t="s">
        <v>43</v>
      </c>
      <c r="C1332">
        <v>20</v>
      </c>
      <c r="D1332" s="6" t="s">
        <v>29</v>
      </c>
      <c r="E1332">
        <v>172</v>
      </c>
      <c r="F1332">
        <v>0.44</v>
      </c>
      <c r="G1332">
        <v>0</v>
      </c>
      <c r="M1332" t="s">
        <v>46</v>
      </c>
      <c r="O1332">
        <f>IF(AND(OR(D1332="S. acutus",D1332="S. californicus",D1332="S. tabernaemontani"),G1332=0),E1332*[1]Sheet1!$D$7+[1]Sheet1!$L$7,IF(AND(OR(D1332="S. acutus",D1332="S. tabernaemontani"),G1332&gt;0),E1332*[1]Sheet1!$D$8+N1332*[1]Sheet1!$E$8,IF(AND(D1332="S. californicus",G1332&gt;0),E1332*[1]Sheet1!$D$9+N1332*[1]Sheet1!$E$9,IF(D1332="S. maritimus",F1332*[1]Sheet1!$C$10+E1332*[1]Sheet1!$D$10+G1332*[1]Sheet1!$F$10+[1]Sheet1!$L$10,IF(D1332="S. americanus",F1332*[1]Sheet1!$C$6+E1332*[1]Sheet1!$D$6+[1]Sheet1!$L$6,IF(AND(OR(D1332="T. domingensis",D1332="T. latifolia"),E1332&gt;0),F1332*[1]Sheet1!$C$4+E1332*[1]Sheet1!$D$4+H1332*[1]Sheet1!$J$4+I1332*[1]Sheet1!$K$4+[1]Sheet1!$L$4,IF(AND(OR(D1332="T. domingensis",D1332="T. latifolia"),J1332&gt;0),J1332*[1]Sheet1!$G$5+K1332*[1]Sheet1!$H$5+L1332*[1]Sheet1!$I$5+[1]Sheet1!$L$5,0)))))))</f>
        <v>1.962244316</v>
      </c>
    </row>
    <row r="1333" spans="1:15">
      <c r="A1333" s="2">
        <v>40738</v>
      </c>
      <c r="B1333" t="s">
        <v>43</v>
      </c>
      <c r="C1333">
        <v>20</v>
      </c>
      <c r="D1333" s="6" t="s">
        <v>29</v>
      </c>
      <c r="E1333">
        <v>174</v>
      </c>
      <c r="F1333">
        <v>0.76</v>
      </c>
      <c r="G1333">
        <v>0</v>
      </c>
      <c r="M1333" t="s">
        <v>46</v>
      </c>
      <c r="O1333">
        <f>IF(AND(OR(D1333="S. acutus",D1333="S. californicus",D1333="S. tabernaemontani"),G1333=0),E1333*[1]Sheet1!$D$7+[1]Sheet1!$L$7,IF(AND(OR(D1333="S. acutus",D1333="S. tabernaemontani"),G1333&gt;0),E1333*[1]Sheet1!$D$8+N1333*[1]Sheet1!$E$8,IF(AND(D1333="S. californicus",G1333&gt;0),E1333*[1]Sheet1!$D$9+N1333*[1]Sheet1!$E$9,IF(D1333="S. maritimus",F1333*[1]Sheet1!$C$10+E1333*[1]Sheet1!$D$10+G1333*[1]Sheet1!$F$10+[1]Sheet1!$L$10,IF(D1333="S. americanus",F1333*[1]Sheet1!$C$6+E1333*[1]Sheet1!$D$6+[1]Sheet1!$L$6,IF(AND(OR(D1333="T. domingensis",D1333="T. latifolia"),E1333&gt;0),F1333*[1]Sheet1!$C$4+E1333*[1]Sheet1!$D$4+H1333*[1]Sheet1!$J$4+I1333*[1]Sheet1!$K$4+[1]Sheet1!$L$4,IF(AND(OR(D1333="T. domingensis",D1333="T. latifolia"),J1333&gt;0),J1333*[1]Sheet1!$G$5+K1333*[1]Sheet1!$H$5+L1333*[1]Sheet1!$I$5+[1]Sheet1!$L$5,0)))))))</f>
        <v>3.1304085640000001</v>
      </c>
    </row>
    <row r="1334" spans="1:15">
      <c r="A1334" s="2">
        <v>40738</v>
      </c>
      <c r="B1334" t="s">
        <v>43</v>
      </c>
      <c r="C1334">
        <v>20</v>
      </c>
      <c r="D1334" s="6" t="s">
        <v>29</v>
      </c>
      <c r="E1334">
        <v>176</v>
      </c>
      <c r="F1334">
        <v>0.76</v>
      </c>
      <c r="G1334">
        <v>0</v>
      </c>
      <c r="M1334" t="s">
        <v>46</v>
      </c>
      <c r="O1334">
        <f>IF(AND(OR(D1334="S. acutus",D1334="S. californicus",D1334="S. tabernaemontani"),G1334=0),E1334*[1]Sheet1!$D$7+[1]Sheet1!$L$7,IF(AND(OR(D1334="S. acutus",D1334="S. tabernaemontani"),G1334&gt;0),E1334*[1]Sheet1!$D$8+N1334*[1]Sheet1!$E$8,IF(AND(D1334="S. californicus",G1334&gt;0),E1334*[1]Sheet1!$D$9+N1334*[1]Sheet1!$E$9,IF(D1334="S. maritimus",F1334*[1]Sheet1!$C$10+E1334*[1]Sheet1!$D$10+G1334*[1]Sheet1!$F$10+[1]Sheet1!$L$10,IF(D1334="S. americanus",F1334*[1]Sheet1!$C$6+E1334*[1]Sheet1!$D$6+[1]Sheet1!$L$6,IF(AND(OR(D1334="T. domingensis",D1334="T. latifolia"),E1334&gt;0),F1334*[1]Sheet1!$C$4+E1334*[1]Sheet1!$D$4+H1334*[1]Sheet1!$J$4+I1334*[1]Sheet1!$K$4+[1]Sheet1!$L$4,IF(AND(OR(D1334="T. domingensis",D1334="T. latifolia"),J1334&gt;0),J1334*[1]Sheet1!$G$5+K1334*[1]Sheet1!$H$5+L1334*[1]Sheet1!$I$5+[1]Sheet1!$L$5,0)))))))</f>
        <v>3.1617699639999999</v>
      </c>
    </row>
    <row r="1335" spans="1:15">
      <c r="A1335" s="2">
        <v>40738</v>
      </c>
      <c r="B1335" t="s">
        <v>43</v>
      </c>
      <c r="C1335">
        <v>20</v>
      </c>
      <c r="D1335" s="6" t="s">
        <v>29</v>
      </c>
      <c r="E1335">
        <v>177</v>
      </c>
      <c r="F1335">
        <v>0.48</v>
      </c>
      <c r="G1335">
        <v>0</v>
      </c>
      <c r="M1335" t="s">
        <v>46</v>
      </c>
      <c r="O1335">
        <f>IF(AND(OR(D1335="S. acutus",D1335="S. californicus",D1335="S. tabernaemontani"),G1335=0),E1335*[1]Sheet1!$D$7+[1]Sheet1!$L$7,IF(AND(OR(D1335="S. acutus",D1335="S. tabernaemontani"),G1335&gt;0),E1335*[1]Sheet1!$D$8+N1335*[1]Sheet1!$E$8,IF(AND(D1335="S. californicus",G1335&gt;0),E1335*[1]Sheet1!$D$9+N1335*[1]Sheet1!$E$9,IF(D1335="S. maritimus",F1335*[1]Sheet1!$C$10+E1335*[1]Sheet1!$D$10+G1335*[1]Sheet1!$F$10+[1]Sheet1!$L$10,IF(D1335="S. americanus",F1335*[1]Sheet1!$C$6+E1335*[1]Sheet1!$D$6+[1]Sheet1!$L$6,IF(AND(OR(D1335="T. domingensis",D1335="T. latifolia"),E1335&gt;0),F1335*[1]Sheet1!$C$4+E1335*[1]Sheet1!$D$4+H1335*[1]Sheet1!$J$4+I1335*[1]Sheet1!$K$4+[1]Sheet1!$L$4,IF(AND(OR(D1335="T. domingensis",D1335="T. latifolia"),J1335&gt;0),J1335*[1]Sheet1!$G$5+K1335*[1]Sheet1!$H$5+L1335*[1]Sheet1!$I$5+[1]Sheet1!$L$5,0)))))))</f>
        <v>2.1827481719999997</v>
      </c>
    </row>
    <row r="1336" spans="1:15">
      <c r="A1336" s="2">
        <v>40738</v>
      </c>
      <c r="B1336" t="s">
        <v>43</v>
      </c>
      <c r="C1336">
        <v>20</v>
      </c>
      <c r="D1336" s="6" t="s">
        <v>29</v>
      </c>
      <c r="E1336">
        <v>178</v>
      </c>
      <c r="F1336">
        <v>0.88</v>
      </c>
      <c r="G1336">
        <v>1</v>
      </c>
      <c r="M1336" t="s">
        <v>46</v>
      </c>
      <c r="O1336">
        <f>IF(AND(OR(D1336="S. acutus",D1336="S. californicus",D1336="S. tabernaemontani"),G1336=0),E1336*[1]Sheet1!$D$7+[1]Sheet1!$L$7,IF(AND(OR(D1336="S. acutus",D1336="S. tabernaemontani"),G1336&gt;0),E1336*[1]Sheet1!$D$8+N1336*[1]Sheet1!$E$8,IF(AND(D1336="S. californicus",G1336&gt;0),E1336*[1]Sheet1!$D$9+N1336*[1]Sheet1!$E$9,IF(D1336="S. maritimus",F1336*[1]Sheet1!$C$10+E1336*[1]Sheet1!$D$10+G1336*[1]Sheet1!$F$10+[1]Sheet1!$L$10,IF(D1336="S. americanus",F1336*[1]Sheet1!$C$6+E1336*[1]Sheet1!$D$6+[1]Sheet1!$L$6,IF(AND(OR(D1336="T. domingensis",D1336="T. latifolia"),E1336&gt;0),F1336*[1]Sheet1!$C$4+E1336*[1]Sheet1!$D$4+H1336*[1]Sheet1!$J$4+I1336*[1]Sheet1!$K$4+[1]Sheet1!$L$4,IF(AND(OR(D1336="T. domingensis",D1336="T. latifolia"),J1336&gt;0),J1336*[1]Sheet1!$G$5+K1336*[1]Sheet1!$H$5+L1336*[1]Sheet1!$I$5+[1]Sheet1!$L$5,0)))))))</f>
        <v>3.6194324319999995</v>
      </c>
    </row>
    <row r="1337" spans="1:15">
      <c r="A1337" s="2">
        <v>40738</v>
      </c>
      <c r="B1337" t="s">
        <v>43</v>
      </c>
      <c r="C1337">
        <v>20</v>
      </c>
      <c r="D1337" s="6" t="s">
        <v>29</v>
      </c>
      <c r="E1337">
        <v>179</v>
      </c>
      <c r="F1337">
        <v>0.7</v>
      </c>
      <c r="G1337">
        <v>0</v>
      </c>
      <c r="M1337" t="s">
        <v>46</v>
      </c>
      <c r="O1337">
        <f>IF(AND(OR(D1337="S. acutus",D1337="S. californicus",D1337="S. tabernaemontani"),G1337=0),E1337*[1]Sheet1!$D$7+[1]Sheet1!$L$7,IF(AND(OR(D1337="S. acutus",D1337="S. tabernaemontani"),G1337&gt;0),E1337*[1]Sheet1!$D$8+N1337*[1]Sheet1!$E$8,IF(AND(D1337="S. californicus",G1337&gt;0),E1337*[1]Sheet1!$D$9+N1337*[1]Sheet1!$E$9,IF(D1337="S. maritimus",F1337*[1]Sheet1!$C$10+E1337*[1]Sheet1!$D$10+G1337*[1]Sheet1!$F$10+[1]Sheet1!$L$10,IF(D1337="S. americanus",F1337*[1]Sheet1!$C$6+E1337*[1]Sheet1!$D$6+[1]Sheet1!$L$6,IF(AND(OR(D1337="T. domingensis",D1337="T. latifolia"),E1337&gt;0),F1337*[1]Sheet1!$C$4+E1337*[1]Sheet1!$D$4+H1337*[1]Sheet1!$J$4+I1337*[1]Sheet1!$K$4+[1]Sheet1!$L$4,IF(AND(OR(D1337="T. domingensis",D1337="T. latifolia"),J1337&gt;0),J1337*[1]Sheet1!$G$5+K1337*[1]Sheet1!$H$5+L1337*[1]Sheet1!$I$5+[1]Sheet1!$L$5,0)))))))</f>
        <v>2.99566153</v>
      </c>
    </row>
    <row r="1338" spans="1:15">
      <c r="A1338" s="2">
        <v>40738</v>
      </c>
      <c r="B1338" t="s">
        <v>43</v>
      </c>
      <c r="C1338">
        <v>20</v>
      </c>
      <c r="D1338" s="6" t="s">
        <v>29</v>
      </c>
      <c r="E1338">
        <v>180</v>
      </c>
      <c r="F1338">
        <v>0.68</v>
      </c>
      <c r="G1338">
        <v>0</v>
      </c>
      <c r="M1338" t="s">
        <v>46</v>
      </c>
      <c r="O1338">
        <f>IF(AND(OR(D1338="S. acutus",D1338="S. californicus",D1338="S. tabernaemontani"),G1338=0),E1338*[1]Sheet1!$D$7+[1]Sheet1!$L$7,IF(AND(OR(D1338="S. acutus",D1338="S. tabernaemontani"),G1338&gt;0),E1338*[1]Sheet1!$D$8+N1338*[1]Sheet1!$E$8,IF(AND(D1338="S. californicus",G1338&gt;0),E1338*[1]Sheet1!$D$9+N1338*[1]Sheet1!$E$9,IF(D1338="S. maritimus",F1338*[1]Sheet1!$C$10+E1338*[1]Sheet1!$D$10+G1338*[1]Sheet1!$F$10+[1]Sheet1!$L$10,IF(D1338="S. americanus",F1338*[1]Sheet1!$C$6+E1338*[1]Sheet1!$D$6+[1]Sheet1!$L$6,IF(AND(OR(D1338="T. domingensis",D1338="T. latifolia"),E1338&gt;0),F1338*[1]Sheet1!$C$4+E1338*[1]Sheet1!$D$4+H1338*[1]Sheet1!$J$4+I1338*[1]Sheet1!$K$4+[1]Sheet1!$L$4,IF(AND(OR(D1338="T. domingensis",D1338="T. latifolia"),J1338&gt;0),J1338*[1]Sheet1!$G$5+K1338*[1]Sheet1!$H$5+L1338*[1]Sheet1!$I$5+[1]Sheet1!$L$5,0)))))))</f>
        <v>2.9402920519999998</v>
      </c>
    </row>
    <row r="1339" spans="1:15">
      <c r="A1339" s="2">
        <v>40738</v>
      </c>
      <c r="B1339" t="s">
        <v>43</v>
      </c>
      <c r="C1339">
        <v>20</v>
      </c>
      <c r="D1339" s="6" t="s">
        <v>29</v>
      </c>
      <c r="E1339">
        <v>180</v>
      </c>
      <c r="F1339">
        <v>0.71</v>
      </c>
      <c r="G1339">
        <v>0</v>
      </c>
      <c r="M1339" t="s">
        <v>46</v>
      </c>
      <c r="O1339">
        <f>IF(AND(OR(D1339="S. acutus",D1339="S. californicus",D1339="S. tabernaemontani"),G1339=0),E1339*[1]Sheet1!$D$7+[1]Sheet1!$L$7,IF(AND(OR(D1339="S. acutus",D1339="S. tabernaemontani"),G1339&gt;0),E1339*[1]Sheet1!$D$8+N1339*[1]Sheet1!$E$8,IF(AND(D1339="S. californicus",G1339&gt;0),E1339*[1]Sheet1!$D$9+N1339*[1]Sheet1!$E$9,IF(D1339="S. maritimus",F1339*[1]Sheet1!$C$10+E1339*[1]Sheet1!$D$10+G1339*[1]Sheet1!$F$10+[1]Sheet1!$L$10,IF(D1339="S. americanus",F1339*[1]Sheet1!$C$6+E1339*[1]Sheet1!$D$6+[1]Sheet1!$L$6,IF(AND(OR(D1339="T. domingensis",D1339="T. latifolia"),E1339&gt;0),F1339*[1]Sheet1!$C$4+E1339*[1]Sheet1!$D$4+H1339*[1]Sheet1!$J$4+I1339*[1]Sheet1!$K$4+[1]Sheet1!$L$4,IF(AND(OR(D1339="T. domingensis",D1339="T. latifolia"),J1339&gt;0),J1339*[1]Sheet1!$G$5+K1339*[1]Sheet1!$H$5+L1339*[1]Sheet1!$I$5+[1]Sheet1!$L$5,0)))))))</f>
        <v>3.0468673189999991</v>
      </c>
    </row>
    <row r="1340" spans="1:15">
      <c r="A1340" s="2">
        <v>40738</v>
      </c>
      <c r="B1340" t="s">
        <v>43</v>
      </c>
      <c r="C1340">
        <v>20</v>
      </c>
      <c r="D1340" s="6" t="s">
        <v>29</v>
      </c>
      <c r="E1340">
        <v>182</v>
      </c>
      <c r="F1340">
        <v>0.55000000000000004</v>
      </c>
      <c r="G1340">
        <v>0</v>
      </c>
      <c r="M1340" t="s">
        <v>46</v>
      </c>
      <c r="O1340">
        <f>IF(AND(OR(D1340="S. acutus",D1340="S. californicus",D1340="S. tabernaemontani"),G1340=0),E1340*[1]Sheet1!$D$7+[1]Sheet1!$L$7,IF(AND(OR(D1340="S. acutus",D1340="S. tabernaemontani"),G1340&gt;0),E1340*[1]Sheet1!$D$8+N1340*[1]Sheet1!$E$8,IF(AND(D1340="S. californicus",G1340&gt;0),E1340*[1]Sheet1!$D$9+N1340*[1]Sheet1!$E$9,IF(D1340="S. maritimus",F1340*[1]Sheet1!$C$10+E1340*[1]Sheet1!$D$10+G1340*[1]Sheet1!$F$10+[1]Sheet1!$L$10,IF(D1340="S. americanus",F1340*[1]Sheet1!$C$6+E1340*[1]Sheet1!$D$6+[1]Sheet1!$L$6,IF(AND(OR(D1340="T. domingensis",D1340="T. latifolia"),E1340&gt;0),F1340*[1]Sheet1!$C$4+E1340*[1]Sheet1!$D$4+H1340*[1]Sheet1!$J$4+I1340*[1]Sheet1!$K$4+[1]Sheet1!$L$4,IF(AND(OR(D1340="T. domingensis",D1340="T. latifolia"),J1340&gt;0),J1340*[1]Sheet1!$G$5+K1340*[1]Sheet1!$H$5+L1340*[1]Sheet1!$I$5+[1]Sheet1!$L$5,0)))))))</f>
        <v>2.5098272949999996</v>
      </c>
    </row>
    <row r="1341" spans="1:15">
      <c r="A1341" s="2">
        <v>40738</v>
      </c>
      <c r="B1341" t="s">
        <v>43</v>
      </c>
      <c r="C1341">
        <v>20</v>
      </c>
      <c r="D1341" s="6" t="s">
        <v>29</v>
      </c>
      <c r="E1341">
        <v>183</v>
      </c>
      <c r="F1341">
        <v>0.64</v>
      </c>
      <c r="G1341">
        <v>1</v>
      </c>
      <c r="M1341" t="s">
        <v>46</v>
      </c>
      <c r="O1341">
        <f>IF(AND(OR(D1341="S. acutus",D1341="S. californicus",D1341="S. tabernaemontani"),G1341=0),E1341*[1]Sheet1!$D$7+[1]Sheet1!$L$7,IF(AND(OR(D1341="S. acutus",D1341="S. tabernaemontani"),G1341&gt;0),E1341*[1]Sheet1!$D$8+N1341*[1]Sheet1!$E$8,IF(AND(D1341="S. californicus",G1341&gt;0),E1341*[1]Sheet1!$D$9+N1341*[1]Sheet1!$E$9,IF(D1341="S. maritimus",F1341*[1]Sheet1!$C$10+E1341*[1]Sheet1!$D$10+G1341*[1]Sheet1!$F$10+[1]Sheet1!$L$10,IF(D1341="S. americanus",F1341*[1]Sheet1!$C$6+E1341*[1]Sheet1!$D$6+[1]Sheet1!$L$6,IF(AND(OR(D1341="T. domingensis",D1341="T. latifolia"),E1341&gt;0),F1341*[1]Sheet1!$C$4+E1341*[1]Sheet1!$D$4+H1341*[1]Sheet1!$J$4+I1341*[1]Sheet1!$K$4+[1]Sheet1!$L$4,IF(AND(OR(D1341="T. domingensis",D1341="T. latifolia"),J1341&gt;0),J1341*[1]Sheet1!$G$5+K1341*[1]Sheet1!$H$5+L1341*[1]Sheet1!$I$5+[1]Sheet1!$L$5,0)))))))</f>
        <v>2.845233796</v>
      </c>
    </row>
    <row r="1342" spans="1:15">
      <c r="A1342" s="2">
        <v>40738</v>
      </c>
      <c r="B1342" t="s">
        <v>43</v>
      </c>
      <c r="C1342">
        <v>20</v>
      </c>
      <c r="D1342" s="6" t="s">
        <v>29</v>
      </c>
      <c r="E1342">
        <v>186</v>
      </c>
      <c r="F1342">
        <v>0.52</v>
      </c>
      <c r="G1342">
        <v>0</v>
      </c>
      <c r="M1342" t="s">
        <v>46</v>
      </c>
      <c r="O1342">
        <f>IF(AND(OR(D1342="S. acutus",D1342="S. californicus",D1342="S. tabernaemontani"),G1342=0),E1342*[1]Sheet1!$D$7+[1]Sheet1!$L$7,IF(AND(OR(D1342="S. acutus",D1342="S. tabernaemontani"),G1342&gt;0),E1342*[1]Sheet1!$D$8+N1342*[1]Sheet1!$E$8,IF(AND(D1342="S. californicus",G1342&gt;0),E1342*[1]Sheet1!$D$9+N1342*[1]Sheet1!$E$9,IF(D1342="S. maritimus",F1342*[1]Sheet1!$C$10+E1342*[1]Sheet1!$D$10+G1342*[1]Sheet1!$F$10+[1]Sheet1!$L$10,IF(D1342="S. americanus",F1342*[1]Sheet1!$C$6+E1342*[1]Sheet1!$D$6+[1]Sheet1!$L$6,IF(AND(OR(D1342="T. domingensis",D1342="T. latifolia"),E1342&gt;0),F1342*[1]Sheet1!$C$4+E1342*[1]Sheet1!$D$4+H1342*[1]Sheet1!$J$4+I1342*[1]Sheet1!$K$4+[1]Sheet1!$L$4,IF(AND(OR(D1342="T. domingensis",D1342="T. latifolia"),J1342&gt;0),J1342*[1]Sheet1!$G$5+K1342*[1]Sheet1!$H$5+L1342*[1]Sheet1!$I$5+[1]Sheet1!$L$5,0)))))))</f>
        <v>2.4659748279999998</v>
      </c>
    </row>
    <row r="1343" spans="1:15">
      <c r="A1343" s="2">
        <v>40738</v>
      </c>
      <c r="B1343" t="s">
        <v>43</v>
      </c>
      <c r="C1343">
        <v>20</v>
      </c>
      <c r="D1343" s="6" t="s">
        <v>29</v>
      </c>
      <c r="E1343">
        <v>186</v>
      </c>
      <c r="F1343">
        <v>0.9</v>
      </c>
      <c r="G1343">
        <v>0</v>
      </c>
      <c r="M1343" t="s">
        <v>46</v>
      </c>
      <c r="O1343">
        <f>IF(AND(OR(D1343="S. acutus",D1343="S. californicus",D1343="S. tabernaemontani"),G1343=0),E1343*[1]Sheet1!$D$7+[1]Sheet1!$L$7,IF(AND(OR(D1343="S. acutus",D1343="S. tabernaemontani"),G1343&gt;0),E1343*[1]Sheet1!$D$8+N1343*[1]Sheet1!$E$8,IF(AND(D1343="S. californicus",G1343&gt;0),E1343*[1]Sheet1!$D$9+N1343*[1]Sheet1!$E$9,IF(D1343="S. maritimus",F1343*[1]Sheet1!$C$10+E1343*[1]Sheet1!$D$10+G1343*[1]Sheet1!$F$10+[1]Sheet1!$L$10,IF(D1343="S. americanus",F1343*[1]Sheet1!$C$6+E1343*[1]Sheet1!$D$6+[1]Sheet1!$L$6,IF(AND(OR(D1343="T. domingensis",D1343="T. latifolia"),E1343&gt;0),F1343*[1]Sheet1!$C$4+E1343*[1]Sheet1!$D$4+H1343*[1]Sheet1!$J$4+I1343*[1]Sheet1!$K$4+[1]Sheet1!$L$4,IF(AND(OR(D1343="T. domingensis",D1343="T. latifolia"),J1343&gt;0),J1343*[1]Sheet1!$G$5+K1343*[1]Sheet1!$H$5+L1343*[1]Sheet1!$I$5+[1]Sheet1!$L$5,0)))))))</f>
        <v>3.8159282099999996</v>
      </c>
    </row>
    <row r="1344" spans="1:15">
      <c r="A1344" s="2">
        <v>40738</v>
      </c>
      <c r="B1344" t="s">
        <v>43</v>
      </c>
      <c r="C1344">
        <v>20</v>
      </c>
      <c r="D1344" s="6" t="s">
        <v>29</v>
      </c>
      <c r="E1344">
        <v>187</v>
      </c>
      <c r="F1344">
        <v>0.65</v>
      </c>
      <c r="G1344">
        <v>1</v>
      </c>
      <c r="M1344" t="s">
        <v>46</v>
      </c>
      <c r="O1344">
        <f>IF(AND(OR(D1344="S. acutus",D1344="S. californicus",D1344="S. tabernaemontani"),G1344=0),E1344*[1]Sheet1!$D$7+[1]Sheet1!$L$7,IF(AND(OR(D1344="S. acutus",D1344="S. tabernaemontani"),G1344&gt;0),E1344*[1]Sheet1!$D$8+N1344*[1]Sheet1!$E$8,IF(AND(D1344="S. californicus",G1344&gt;0),E1344*[1]Sheet1!$D$9+N1344*[1]Sheet1!$E$9,IF(D1344="S. maritimus",F1344*[1]Sheet1!$C$10+E1344*[1]Sheet1!$D$10+G1344*[1]Sheet1!$F$10+[1]Sheet1!$L$10,IF(D1344="S. americanus",F1344*[1]Sheet1!$C$6+E1344*[1]Sheet1!$D$6+[1]Sheet1!$L$6,IF(AND(OR(D1344="T. domingensis",D1344="T. latifolia"),E1344&gt;0),F1344*[1]Sheet1!$C$4+E1344*[1]Sheet1!$D$4+H1344*[1]Sheet1!$J$4+I1344*[1]Sheet1!$K$4+[1]Sheet1!$L$4,IF(AND(OR(D1344="T. domingensis",D1344="T. latifolia"),J1344&gt;0),J1344*[1]Sheet1!$G$5+K1344*[1]Sheet1!$H$5+L1344*[1]Sheet1!$I$5+[1]Sheet1!$L$5,0)))))))</f>
        <v>2.9434816849999996</v>
      </c>
    </row>
    <row r="1345" spans="1:15">
      <c r="A1345" s="2">
        <v>40738</v>
      </c>
      <c r="B1345" t="s">
        <v>43</v>
      </c>
      <c r="C1345">
        <v>20</v>
      </c>
      <c r="D1345" s="6" t="s">
        <v>29</v>
      </c>
      <c r="E1345">
        <v>188</v>
      </c>
      <c r="F1345">
        <v>0.63</v>
      </c>
      <c r="G1345">
        <v>1</v>
      </c>
      <c r="M1345" t="s">
        <v>46</v>
      </c>
      <c r="O1345">
        <f>IF(AND(OR(D1345="S. acutus",D1345="S. californicus",D1345="S. tabernaemontani"),G1345=0),E1345*[1]Sheet1!$D$7+[1]Sheet1!$L$7,IF(AND(OR(D1345="S. acutus",D1345="S. tabernaemontani"),G1345&gt;0),E1345*[1]Sheet1!$D$8+N1345*[1]Sheet1!$E$8,IF(AND(D1345="S. californicus",G1345&gt;0),E1345*[1]Sheet1!$D$9+N1345*[1]Sheet1!$E$9,IF(D1345="S. maritimus",F1345*[1]Sheet1!$C$10+E1345*[1]Sheet1!$D$10+G1345*[1]Sheet1!$F$10+[1]Sheet1!$L$10,IF(D1345="S. americanus",F1345*[1]Sheet1!$C$6+E1345*[1]Sheet1!$D$6+[1]Sheet1!$L$6,IF(AND(OR(D1345="T. domingensis",D1345="T. latifolia"),E1345&gt;0),F1345*[1]Sheet1!$C$4+E1345*[1]Sheet1!$D$4+H1345*[1]Sheet1!$J$4+I1345*[1]Sheet1!$K$4+[1]Sheet1!$L$4,IF(AND(OR(D1345="T. domingensis",D1345="T. latifolia"),J1345&gt;0),J1345*[1]Sheet1!$G$5+K1345*[1]Sheet1!$H$5+L1345*[1]Sheet1!$I$5+[1]Sheet1!$L$5,0)))))))</f>
        <v>2.8881122069999994</v>
      </c>
    </row>
    <row r="1346" spans="1:15">
      <c r="A1346" s="2">
        <v>40738</v>
      </c>
      <c r="B1346" t="s">
        <v>43</v>
      </c>
      <c r="C1346">
        <v>20</v>
      </c>
      <c r="D1346" s="6" t="s">
        <v>29</v>
      </c>
      <c r="E1346">
        <v>191</v>
      </c>
      <c r="F1346">
        <v>0.55000000000000004</v>
      </c>
      <c r="G1346">
        <v>0</v>
      </c>
      <c r="M1346" t="s">
        <v>46</v>
      </c>
      <c r="O1346">
        <f>IF(AND(OR(D1346="S. acutus",D1346="S. californicus",D1346="S. tabernaemontani"),G1346=0),E1346*[1]Sheet1!$D$7+[1]Sheet1!$L$7,IF(AND(OR(D1346="S. acutus",D1346="S. tabernaemontani"),G1346&gt;0),E1346*[1]Sheet1!$D$8+N1346*[1]Sheet1!$E$8,IF(AND(D1346="S. californicus",G1346&gt;0),E1346*[1]Sheet1!$D$9+N1346*[1]Sheet1!$E$9,IF(D1346="S. maritimus",F1346*[1]Sheet1!$C$10+E1346*[1]Sheet1!$D$10+G1346*[1]Sheet1!$F$10+[1]Sheet1!$L$10,IF(D1346="S. americanus",F1346*[1]Sheet1!$C$6+E1346*[1]Sheet1!$D$6+[1]Sheet1!$L$6,IF(AND(OR(D1346="T. domingensis",D1346="T. latifolia"),E1346&gt;0),F1346*[1]Sheet1!$C$4+E1346*[1]Sheet1!$D$4+H1346*[1]Sheet1!$J$4+I1346*[1]Sheet1!$K$4+[1]Sheet1!$L$4,IF(AND(OR(D1346="T. domingensis",D1346="T. latifolia"),J1346&gt;0),J1346*[1]Sheet1!$G$5+K1346*[1]Sheet1!$H$5+L1346*[1]Sheet1!$I$5+[1]Sheet1!$L$5,0)))))))</f>
        <v>2.6509535949999994</v>
      </c>
    </row>
    <row r="1347" spans="1:15">
      <c r="A1347" s="2">
        <v>40738</v>
      </c>
      <c r="B1347" t="s">
        <v>43</v>
      </c>
      <c r="C1347">
        <v>20</v>
      </c>
      <c r="D1347" s="6" t="s">
        <v>29</v>
      </c>
      <c r="E1347">
        <v>191</v>
      </c>
      <c r="F1347">
        <v>0.61</v>
      </c>
      <c r="G1347">
        <v>0</v>
      </c>
      <c r="M1347" t="s">
        <v>46</v>
      </c>
      <c r="O1347">
        <f>IF(AND(OR(D1347="S. acutus",D1347="S. californicus",D1347="S. tabernaemontani"),G1347=0),E1347*[1]Sheet1!$D$7+[1]Sheet1!$L$7,IF(AND(OR(D1347="S. acutus",D1347="S. tabernaemontani"),G1347&gt;0),E1347*[1]Sheet1!$D$8+N1347*[1]Sheet1!$E$8,IF(AND(D1347="S. californicus",G1347&gt;0),E1347*[1]Sheet1!$D$9+N1347*[1]Sheet1!$E$9,IF(D1347="S. maritimus",F1347*[1]Sheet1!$C$10+E1347*[1]Sheet1!$D$10+G1347*[1]Sheet1!$F$10+[1]Sheet1!$L$10,IF(D1347="S. americanus",F1347*[1]Sheet1!$C$6+E1347*[1]Sheet1!$D$6+[1]Sheet1!$L$6,IF(AND(OR(D1347="T. domingensis",D1347="T. latifolia"),E1347&gt;0),F1347*[1]Sheet1!$C$4+E1347*[1]Sheet1!$D$4+H1347*[1]Sheet1!$J$4+I1347*[1]Sheet1!$K$4+[1]Sheet1!$L$4,IF(AND(OR(D1347="T. domingensis",D1347="T. latifolia"),J1347&gt;0),J1347*[1]Sheet1!$G$5+K1347*[1]Sheet1!$H$5+L1347*[1]Sheet1!$I$5+[1]Sheet1!$L$5,0)))))))</f>
        <v>2.8641041289999998</v>
      </c>
    </row>
    <row r="1348" spans="1:15">
      <c r="A1348" s="2">
        <v>40738</v>
      </c>
      <c r="B1348" t="s">
        <v>43</v>
      </c>
      <c r="C1348">
        <v>20</v>
      </c>
      <c r="D1348" s="6" t="s">
        <v>29</v>
      </c>
      <c r="E1348">
        <v>192</v>
      </c>
      <c r="F1348">
        <v>1.1299999999999999</v>
      </c>
      <c r="G1348">
        <v>0</v>
      </c>
      <c r="M1348" t="s">
        <v>46</v>
      </c>
      <c r="O1348">
        <f>IF(AND(OR(D1348="S. acutus",D1348="S. californicus",D1348="S. tabernaemontani"),G1348=0),E1348*[1]Sheet1!$D$7+[1]Sheet1!$L$7,IF(AND(OR(D1348="S. acutus",D1348="S. tabernaemontani"),G1348&gt;0),E1348*[1]Sheet1!$D$8+N1348*[1]Sheet1!$E$8,IF(AND(D1348="S. californicus",G1348&gt;0),E1348*[1]Sheet1!$D$9+N1348*[1]Sheet1!$E$9,IF(D1348="S. maritimus",F1348*[1]Sheet1!$C$10+E1348*[1]Sheet1!$D$10+G1348*[1]Sheet1!$F$10+[1]Sheet1!$L$10,IF(D1348="S. americanus",F1348*[1]Sheet1!$C$6+E1348*[1]Sheet1!$D$6+[1]Sheet1!$L$6,IF(AND(OR(D1348="T. domingensis",D1348="T. latifolia"),E1348&gt;0),F1348*[1]Sheet1!$C$4+E1348*[1]Sheet1!$D$4+H1348*[1]Sheet1!$J$4+I1348*[1]Sheet1!$K$4+[1]Sheet1!$L$4,IF(AND(OR(D1348="T. domingensis",D1348="T. latifolia"),J1348&gt;0),J1348*[1]Sheet1!$G$5+K1348*[1]Sheet1!$H$5+L1348*[1]Sheet1!$I$5+[1]Sheet1!$L$5,0)))))))</f>
        <v>4.7270894569999982</v>
      </c>
    </row>
    <row r="1349" spans="1:15">
      <c r="A1349" s="2">
        <v>40738</v>
      </c>
      <c r="B1349" t="s">
        <v>43</v>
      </c>
      <c r="C1349">
        <v>20</v>
      </c>
      <c r="D1349" s="6" t="s">
        <v>29</v>
      </c>
      <c r="E1349">
        <v>193</v>
      </c>
      <c r="F1349">
        <v>0.78</v>
      </c>
      <c r="G1349">
        <v>0</v>
      </c>
      <c r="M1349" t="s">
        <v>46</v>
      </c>
      <c r="O1349">
        <f>IF(AND(OR(D1349="S. acutus",D1349="S. californicus",D1349="S. tabernaemontani"),G1349=0),E1349*[1]Sheet1!$D$7+[1]Sheet1!$L$7,IF(AND(OR(D1349="S. acutus",D1349="S. tabernaemontani"),G1349&gt;0),E1349*[1]Sheet1!$D$8+N1349*[1]Sheet1!$E$8,IF(AND(D1349="S. californicus",G1349&gt;0),E1349*[1]Sheet1!$D$9+N1349*[1]Sheet1!$E$9,IF(D1349="S. maritimus",F1349*[1]Sheet1!$C$10+E1349*[1]Sheet1!$D$10+G1349*[1]Sheet1!$F$10+[1]Sheet1!$L$10,IF(D1349="S. americanus",F1349*[1]Sheet1!$C$6+E1349*[1]Sheet1!$D$6+[1]Sheet1!$L$6,IF(AND(OR(D1349="T. domingensis",D1349="T. latifolia"),E1349&gt;0),F1349*[1]Sheet1!$C$4+E1349*[1]Sheet1!$D$4+H1349*[1]Sheet1!$J$4+I1349*[1]Sheet1!$K$4+[1]Sheet1!$L$4,IF(AND(OR(D1349="T. domingensis",D1349="T. latifolia"),J1349&gt;0),J1349*[1]Sheet1!$G$5+K1349*[1]Sheet1!$H$5+L1349*[1]Sheet1!$I$5+[1]Sheet1!$L$5,0)))))))</f>
        <v>3.4993920419999998</v>
      </c>
    </row>
    <row r="1350" spans="1:15">
      <c r="A1350" s="2">
        <v>40738</v>
      </c>
      <c r="B1350" t="s">
        <v>43</v>
      </c>
      <c r="C1350">
        <v>20</v>
      </c>
      <c r="D1350" s="6" t="s">
        <v>29</v>
      </c>
      <c r="E1350">
        <v>193</v>
      </c>
      <c r="F1350">
        <v>0.78</v>
      </c>
      <c r="G1350">
        <v>0</v>
      </c>
      <c r="M1350" t="s">
        <v>46</v>
      </c>
      <c r="O1350">
        <f>IF(AND(OR(D1350="S. acutus",D1350="S. californicus",D1350="S. tabernaemontani"),G1350=0),E1350*[1]Sheet1!$D$7+[1]Sheet1!$L$7,IF(AND(OR(D1350="S. acutus",D1350="S. tabernaemontani"),G1350&gt;0),E1350*[1]Sheet1!$D$8+N1350*[1]Sheet1!$E$8,IF(AND(D1350="S. californicus",G1350&gt;0),E1350*[1]Sheet1!$D$9+N1350*[1]Sheet1!$E$9,IF(D1350="S. maritimus",F1350*[1]Sheet1!$C$10+E1350*[1]Sheet1!$D$10+G1350*[1]Sheet1!$F$10+[1]Sheet1!$L$10,IF(D1350="S. americanus",F1350*[1]Sheet1!$C$6+E1350*[1]Sheet1!$D$6+[1]Sheet1!$L$6,IF(AND(OR(D1350="T. domingensis",D1350="T. latifolia"),E1350&gt;0),F1350*[1]Sheet1!$C$4+E1350*[1]Sheet1!$D$4+H1350*[1]Sheet1!$J$4+I1350*[1]Sheet1!$K$4+[1]Sheet1!$L$4,IF(AND(OR(D1350="T. domingensis",D1350="T. latifolia"),J1350&gt;0),J1350*[1]Sheet1!$G$5+K1350*[1]Sheet1!$H$5+L1350*[1]Sheet1!$I$5+[1]Sheet1!$L$5,0)))))))</f>
        <v>3.4993920419999998</v>
      </c>
    </row>
    <row r="1351" spans="1:15">
      <c r="A1351" s="2">
        <v>40738</v>
      </c>
      <c r="B1351" t="s">
        <v>43</v>
      </c>
      <c r="C1351">
        <v>20</v>
      </c>
      <c r="D1351" s="6" t="s">
        <v>29</v>
      </c>
      <c r="E1351">
        <v>194</v>
      </c>
      <c r="F1351">
        <v>0.34</v>
      </c>
      <c r="G1351">
        <v>0</v>
      </c>
      <c r="M1351" t="s">
        <v>46</v>
      </c>
      <c r="O1351">
        <f>IF(AND(OR(D1351="S. acutus",D1351="S. californicus",D1351="S. tabernaemontani"),G1351=0),E1351*[1]Sheet1!$D$7+[1]Sheet1!$L$7,IF(AND(OR(D1351="S. acutus",D1351="S. tabernaemontani"),G1351&gt;0),E1351*[1]Sheet1!$D$8+N1351*[1]Sheet1!$E$8,IF(AND(D1351="S. californicus",G1351&gt;0),E1351*[1]Sheet1!$D$9+N1351*[1]Sheet1!$E$9,IF(D1351="S. maritimus",F1351*[1]Sheet1!$C$10+E1351*[1]Sheet1!$D$10+G1351*[1]Sheet1!$F$10+[1]Sheet1!$L$10,IF(D1351="S. americanus",F1351*[1]Sheet1!$C$6+E1351*[1]Sheet1!$D$6+[1]Sheet1!$L$6,IF(AND(OR(D1351="T. domingensis",D1351="T. latifolia"),E1351&gt;0),F1351*[1]Sheet1!$C$4+E1351*[1]Sheet1!$D$4+H1351*[1]Sheet1!$J$4+I1351*[1]Sheet1!$K$4+[1]Sheet1!$L$4,IF(AND(OR(D1351="T. domingensis",D1351="T. latifolia"),J1351&gt;0),J1351*[1]Sheet1!$G$5+K1351*[1]Sheet1!$H$5+L1351*[1]Sheet1!$I$5+[1]Sheet1!$L$5,0)))))))</f>
        <v>1.9519688260000003</v>
      </c>
    </row>
    <row r="1352" spans="1:15">
      <c r="A1352" s="2">
        <v>40738</v>
      </c>
      <c r="B1352" t="s">
        <v>43</v>
      </c>
      <c r="C1352">
        <v>20</v>
      </c>
      <c r="D1352" s="6" t="s">
        <v>29</v>
      </c>
      <c r="E1352">
        <v>195</v>
      </c>
      <c r="F1352">
        <v>0.65</v>
      </c>
      <c r="G1352">
        <v>1</v>
      </c>
      <c r="M1352" t="s">
        <v>46</v>
      </c>
      <c r="O1352">
        <f>IF(AND(OR(D1352="S. acutus",D1352="S. californicus",D1352="S. tabernaemontani"),G1352=0),E1352*[1]Sheet1!$D$7+[1]Sheet1!$L$7,IF(AND(OR(D1352="S. acutus",D1352="S. tabernaemontani"),G1352&gt;0),E1352*[1]Sheet1!$D$8+N1352*[1]Sheet1!$E$8,IF(AND(D1352="S. californicus",G1352&gt;0),E1352*[1]Sheet1!$D$9+N1352*[1]Sheet1!$E$9,IF(D1352="S. maritimus",F1352*[1]Sheet1!$C$10+E1352*[1]Sheet1!$D$10+G1352*[1]Sheet1!$F$10+[1]Sheet1!$L$10,IF(D1352="S. americanus",F1352*[1]Sheet1!$C$6+E1352*[1]Sheet1!$D$6+[1]Sheet1!$L$6,IF(AND(OR(D1352="T. domingensis",D1352="T. latifolia"),E1352&gt;0),F1352*[1]Sheet1!$C$4+E1352*[1]Sheet1!$D$4+H1352*[1]Sheet1!$J$4+I1352*[1]Sheet1!$K$4+[1]Sheet1!$L$4,IF(AND(OR(D1352="T. domingensis",D1352="T. latifolia"),J1352&gt;0),J1352*[1]Sheet1!$G$5+K1352*[1]Sheet1!$H$5+L1352*[1]Sheet1!$I$5+[1]Sheet1!$L$5,0)))))))</f>
        <v>3.0689272849999996</v>
      </c>
    </row>
    <row r="1353" spans="1:15">
      <c r="A1353" s="2">
        <v>40738</v>
      </c>
      <c r="B1353" t="s">
        <v>43</v>
      </c>
      <c r="C1353">
        <v>20</v>
      </c>
      <c r="D1353" s="6" t="s">
        <v>29</v>
      </c>
      <c r="E1353">
        <v>198</v>
      </c>
      <c r="F1353">
        <v>0.74</v>
      </c>
      <c r="G1353">
        <v>0</v>
      </c>
      <c r="M1353" t="s">
        <v>46</v>
      </c>
      <c r="O1353">
        <f>IF(AND(OR(D1353="S. acutus",D1353="S. californicus",D1353="S. tabernaemontani"),G1353=0),E1353*[1]Sheet1!$D$7+[1]Sheet1!$L$7,IF(AND(OR(D1353="S. acutus",D1353="S. tabernaemontani"),G1353&gt;0),E1353*[1]Sheet1!$D$8+N1353*[1]Sheet1!$E$8,IF(AND(D1353="S. californicus",G1353&gt;0),E1353*[1]Sheet1!$D$9+N1353*[1]Sheet1!$E$9,IF(D1353="S. maritimus",F1353*[1]Sheet1!$C$10+E1353*[1]Sheet1!$D$10+G1353*[1]Sheet1!$F$10+[1]Sheet1!$L$10,IF(D1353="S. americanus",F1353*[1]Sheet1!$C$6+E1353*[1]Sheet1!$D$6+[1]Sheet1!$L$6,IF(AND(OR(D1353="T. domingensis",D1353="T. latifolia"),E1353&gt;0),F1353*[1]Sheet1!$C$4+E1353*[1]Sheet1!$D$4+H1353*[1]Sheet1!$J$4+I1353*[1]Sheet1!$K$4+[1]Sheet1!$L$4,IF(AND(OR(D1353="T. domingensis",D1353="T. latifolia"),J1353&gt;0),J1353*[1]Sheet1!$G$5+K1353*[1]Sheet1!$H$5+L1353*[1]Sheet1!$I$5+[1]Sheet1!$L$5,0)))))))</f>
        <v>3.4356951859999998</v>
      </c>
    </row>
    <row r="1354" spans="1:15">
      <c r="A1354" s="2">
        <v>40738</v>
      </c>
      <c r="B1354" t="s">
        <v>43</v>
      </c>
      <c r="C1354">
        <v>20</v>
      </c>
      <c r="D1354" s="6" t="s">
        <v>29</v>
      </c>
      <c r="E1354">
        <v>199</v>
      </c>
      <c r="F1354">
        <v>0.8</v>
      </c>
      <c r="G1354">
        <v>0</v>
      </c>
      <c r="M1354" t="s">
        <v>46</v>
      </c>
      <c r="O1354">
        <f>IF(AND(OR(D1354="S. acutus",D1354="S. californicus",D1354="S. tabernaemontani"),G1354=0),E1354*[1]Sheet1!$D$7+[1]Sheet1!$L$7,IF(AND(OR(D1354="S. acutus",D1354="S. tabernaemontani"),G1354&gt;0),E1354*[1]Sheet1!$D$8+N1354*[1]Sheet1!$E$8,IF(AND(D1354="S. californicus",G1354&gt;0),E1354*[1]Sheet1!$D$9+N1354*[1]Sheet1!$E$9,IF(D1354="S. maritimus",F1354*[1]Sheet1!$C$10+E1354*[1]Sheet1!$D$10+G1354*[1]Sheet1!$F$10+[1]Sheet1!$L$10,IF(D1354="S. americanus",F1354*[1]Sheet1!$C$6+E1354*[1]Sheet1!$D$6+[1]Sheet1!$L$6,IF(AND(OR(D1354="T. domingensis",D1354="T. latifolia"),E1354&gt;0),F1354*[1]Sheet1!$C$4+E1354*[1]Sheet1!$D$4+H1354*[1]Sheet1!$J$4+I1354*[1]Sheet1!$K$4+[1]Sheet1!$L$4,IF(AND(OR(D1354="T. domingensis",D1354="T. latifolia"),J1354&gt;0),J1354*[1]Sheet1!$G$5+K1354*[1]Sheet1!$H$5+L1354*[1]Sheet1!$I$5+[1]Sheet1!$L$5,0)))))))</f>
        <v>3.6645264200000001</v>
      </c>
    </row>
    <row r="1355" spans="1:15">
      <c r="A1355" s="2">
        <v>40738</v>
      </c>
      <c r="B1355" t="s">
        <v>43</v>
      </c>
      <c r="C1355">
        <v>20</v>
      </c>
      <c r="D1355" s="6" t="s">
        <v>29</v>
      </c>
      <c r="E1355">
        <v>200</v>
      </c>
      <c r="F1355">
        <v>0.64</v>
      </c>
      <c r="G1355">
        <v>0</v>
      </c>
      <c r="M1355" t="s">
        <v>46</v>
      </c>
      <c r="O1355">
        <f>IF(AND(OR(D1355="S. acutus",D1355="S. californicus",D1355="S. tabernaemontani"),G1355=0),E1355*[1]Sheet1!$D$7+[1]Sheet1!$L$7,IF(AND(OR(D1355="S. acutus",D1355="S. tabernaemontani"),G1355&gt;0),E1355*[1]Sheet1!$D$8+N1355*[1]Sheet1!$E$8,IF(AND(D1355="S. californicus",G1355&gt;0),E1355*[1]Sheet1!$D$9+N1355*[1]Sheet1!$E$9,IF(D1355="S. maritimus",F1355*[1]Sheet1!$C$10+E1355*[1]Sheet1!$D$10+G1355*[1]Sheet1!$F$10+[1]Sheet1!$L$10,IF(D1355="S. americanus",F1355*[1]Sheet1!$C$6+E1355*[1]Sheet1!$D$6+[1]Sheet1!$L$6,IF(AND(OR(D1355="T. domingensis",D1355="T. latifolia"),E1355&gt;0),F1355*[1]Sheet1!$C$4+E1355*[1]Sheet1!$D$4+H1355*[1]Sheet1!$J$4+I1355*[1]Sheet1!$K$4+[1]Sheet1!$L$4,IF(AND(OR(D1355="T. domingensis",D1355="T. latifolia"),J1355&gt;0),J1355*[1]Sheet1!$G$5+K1355*[1]Sheet1!$H$5+L1355*[1]Sheet1!$I$5+[1]Sheet1!$L$5,0)))))))</f>
        <v>3.1118056959999998</v>
      </c>
    </row>
    <row r="1356" spans="1:15">
      <c r="A1356" s="2">
        <v>40738</v>
      </c>
      <c r="B1356" t="s">
        <v>43</v>
      </c>
      <c r="C1356">
        <v>20</v>
      </c>
      <c r="D1356" s="6" t="s">
        <v>29</v>
      </c>
      <c r="E1356">
        <v>200</v>
      </c>
      <c r="F1356">
        <v>0.66</v>
      </c>
      <c r="G1356">
        <v>1</v>
      </c>
      <c r="M1356" t="s">
        <v>46</v>
      </c>
      <c r="O1356">
        <f>IF(AND(OR(D1356="S. acutus",D1356="S. californicus",D1356="S. tabernaemontani"),G1356=0),E1356*[1]Sheet1!$D$7+[1]Sheet1!$L$7,IF(AND(OR(D1356="S. acutus",D1356="S. tabernaemontani"),G1356&gt;0),E1356*[1]Sheet1!$D$8+N1356*[1]Sheet1!$E$8,IF(AND(D1356="S. californicus",G1356&gt;0),E1356*[1]Sheet1!$D$9+N1356*[1]Sheet1!$E$9,IF(D1356="S. maritimus",F1356*[1]Sheet1!$C$10+E1356*[1]Sheet1!$D$10+G1356*[1]Sheet1!$F$10+[1]Sheet1!$L$10,IF(D1356="S. americanus",F1356*[1]Sheet1!$C$6+E1356*[1]Sheet1!$D$6+[1]Sheet1!$L$6,IF(AND(OR(D1356="T. domingensis",D1356="T. latifolia"),E1356&gt;0),F1356*[1]Sheet1!$C$4+E1356*[1]Sheet1!$D$4+H1356*[1]Sheet1!$J$4+I1356*[1]Sheet1!$K$4+[1]Sheet1!$L$4,IF(AND(OR(D1356="T. domingensis",D1356="T. latifolia"),J1356&gt;0),J1356*[1]Sheet1!$G$5+K1356*[1]Sheet1!$H$5+L1356*[1]Sheet1!$I$5+[1]Sheet1!$L$5,0)))))))</f>
        <v>3.1828558739999999</v>
      </c>
    </row>
    <row r="1357" spans="1:15">
      <c r="A1357" s="2">
        <v>40738</v>
      </c>
      <c r="B1357" t="s">
        <v>43</v>
      </c>
      <c r="C1357">
        <v>20</v>
      </c>
      <c r="D1357" s="6" t="s">
        <v>29</v>
      </c>
      <c r="E1357">
        <v>201</v>
      </c>
      <c r="F1357">
        <v>0.78</v>
      </c>
      <c r="G1357">
        <v>0</v>
      </c>
      <c r="M1357" t="s">
        <v>46</v>
      </c>
      <c r="O1357">
        <f>IF(AND(OR(D1357="S. acutus",D1357="S. californicus",D1357="S. tabernaemontani"),G1357=0),E1357*[1]Sheet1!$D$7+[1]Sheet1!$L$7,IF(AND(OR(D1357="S. acutus",D1357="S. tabernaemontani"),G1357&gt;0),E1357*[1]Sheet1!$D$8+N1357*[1]Sheet1!$E$8,IF(AND(D1357="S. californicus",G1357&gt;0),E1357*[1]Sheet1!$D$9+N1357*[1]Sheet1!$E$9,IF(D1357="S. maritimus",F1357*[1]Sheet1!$C$10+E1357*[1]Sheet1!$D$10+G1357*[1]Sheet1!$F$10+[1]Sheet1!$L$10,IF(D1357="S. americanus",F1357*[1]Sheet1!$C$6+E1357*[1]Sheet1!$D$6+[1]Sheet1!$L$6,IF(AND(OR(D1357="T. domingensis",D1357="T. latifolia"),E1357&gt;0),F1357*[1]Sheet1!$C$4+E1357*[1]Sheet1!$D$4+H1357*[1]Sheet1!$J$4+I1357*[1]Sheet1!$K$4+[1]Sheet1!$L$4,IF(AND(OR(D1357="T. domingensis",D1357="T. latifolia"),J1357&gt;0),J1357*[1]Sheet1!$G$5+K1357*[1]Sheet1!$H$5+L1357*[1]Sheet1!$I$5+[1]Sheet1!$L$5,0)))))))</f>
        <v>3.6248376419999997</v>
      </c>
    </row>
    <row r="1358" spans="1:15">
      <c r="A1358" s="2">
        <v>40738</v>
      </c>
      <c r="B1358" t="s">
        <v>43</v>
      </c>
      <c r="C1358">
        <v>20</v>
      </c>
      <c r="D1358" s="6" t="s">
        <v>29</v>
      </c>
      <c r="E1358">
        <v>201</v>
      </c>
      <c r="F1358">
        <v>0.93</v>
      </c>
      <c r="G1358">
        <v>0</v>
      </c>
      <c r="M1358" t="s">
        <v>46</v>
      </c>
      <c r="O1358">
        <f>IF(AND(OR(D1358="S. acutus",D1358="S. californicus",D1358="S. tabernaemontani"),G1358=0),E1358*[1]Sheet1!$D$7+[1]Sheet1!$L$7,IF(AND(OR(D1358="S. acutus",D1358="S. tabernaemontani"),G1358&gt;0),E1358*[1]Sheet1!$D$8+N1358*[1]Sheet1!$E$8,IF(AND(D1358="S. californicus",G1358&gt;0),E1358*[1]Sheet1!$D$9+N1358*[1]Sheet1!$E$9,IF(D1358="S. maritimus",F1358*[1]Sheet1!$C$10+E1358*[1]Sheet1!$D$10+G1358*[1]Sheet1!$F$10+[1]Sheet1!$L$10,IF(D1358="S. americanus",F1358*[1]Sheet1!$C$6+E1358*[1]Sheet1!$D$6+[1]Sheet1!$L$6,IF(AND(OR(D1358="T. domingensis",D1358="T. latifolia"),E1358&gt;0),F1358*[1]Sheet1!$C$4+E1358*[1]Sheet1!$D$4+H1358*[1]Sheet1!$J$4+I1358*[1]Sheet1!$K$4+[1]Sheet1!$L$4,IF(AND(OR(D1358="T. domingensis",D1358="T. latifolia"),J1358&gt;0),J1358*[1]Sheet1!$G$5+K1358*[1]Sheet1!$H$5+L1358*[1]Sheet1!$I$5+[1]Sheet1!$L$5,0)))))))</f>
        <v>4.1577139769999985</v>
      </c>
    </row>
    <row r="1359" spans="1:15">
      <c r="A1359" s="2">
        <v>40738</v>
      </c>
      <c r="B1359" t="s">
        <v>43</v>
      </c>
      <c r="C1359">
        <v>20</v>
      </c>
      <c r="D1359" s="6" t="s">
        <v>29</v>
      </c>
      <c r="E1359">
        <v>202</v>
      </c>
      <c r="F1359">
        <v>0.6</v>
      </c>
      <c r="G1359">
        <v>0</v>
      </c>
      <c r="M1359" t="s">
        <v>46</v>
      </c>
      <c r="O1359">
        <f>IF(AND(OR(D1359="S. acutus",D1359="S. californicus",D1359="S. tabernaemontani"),G1359=0),E1359*[1]Sheet1!$D$7+[1]Sheet1!$L$7,IF(AND(OR(D1359="S. acutus",D1359="S. tabernaemontani"),G1359&gt;0),E1359*[1]Sheet1!$D$8+N1359*[1]Sheet1!$E$8,IF(AND(D1359="S. californicus",G1359&gt;0),E1359*[1]Sheet1!$D$9+N1359*[1]Sheet1!$E$9,IF(D1359="S. maritimus",F1359*[1]Sheet1!$C$10+E1359*[1]Sheet1!$D$10+G1359*[1]Sheet1!$F$10+[1]Sheet1!$L$10,IF(D1359="S. americanus",F1359*[1]Sheet1!$C$6+E1359*[1]Sheet1!$D$6+[1]Sheet1!$L$6,IF(AND(OR(D1359="T. domingensis",D1359="T. latifolia"),E1359&gt;0),F1359*[1]Sheet1!$C$4+E1359*[1]Sheet1!$D$4+H1359*[1]Sheet1!$J$4+I1359*[1]Sheet1!$K$4+[1]Sheet1!$L$4,IF(AND(OR(D1359="T. domingensis",D1359="T. latifolia"),J1359&gt;0),J1359*[1]Sheet1!$G$5+K1359*[1]Sheet1!$H$5+L1359*[1]Sheet1!$I$5+[1]Sheet1!$L$5,0)))))))</f>
        <v>3.0010667399999993</v>
      </c>
    </row>
    <row r="1360" spans="1:15">
      <c r="A1360" s="2">
        <v>40738</v>
      </c>
      <c r="B1360" t="s">
        <v>43</v>
      </c>
      <c r="C1360">
        <v>20</v>
      </c>
      <c r="D1360" s="6" t="s">
        <v>29</v>
      </c>
      <c r="E1360">
        <v>203</v>
      </c>
      <c r="F1360">
        <v>0.71</v>
      </c>
      <c r="G1360">
        <v>0</v>
      </c>
      <c r="M1360" t="s">
        <v>46</v>
      </c>
      <c r="O1360">
        <f>IF(AND(OR(D1360="S. acutus",D1360="S. californicus",D1360="S. tabernaemontani"),G1360=0),E1360*[1]Sheet1!$D$7+[1]Sheet1!$L$7,IF(AND(OR(D1360="S. acutus",D1360="S. tabernaemontani"),G1360&gt;0),E1360*[1]Sheet1!$D$8+N1360*[1]Sheet1!$E$8,IF(AND(D1360="S. californicus",G1360&gt;0),E1360*[1]Sheet1!$D$9+N1360*[1]Sheet1!$E$9,IF(D1360="S. maritimus",F1360*[1]Sheet1!$C$10+E1360*[1]Sheet1!$D$10+G1360*[1]Sheet1!$F$10+[1]Sheet1!$L$10,IF(D1360="S. americanus",F1360*[1]Sheet1!$C$6+E1360*[1]Sheet1!$D$6+[1]Sheet1!$L$6,IF(AND(OR(D1360="T. domingensis",D1360="T. latifolia"),E1360&gt;0),F1360*[1]Sheet1!$C$4+E1360*[1]Sheet1!$D$4+H1360*[1]Sheet1!$J$4+I1360*[1]Sheet1!$K$4+[1]Sheet1!$L$4,IF(AND(OR(D1360="T. domingensis",D1360="T. latifolia"),J1360&gt;0),J1360*[1]Sheet1!$G$5+K1360*[1]Sheet1!$H$5+L1360*[1]Sheet1!$I$5+[1]Sheet1!$L$5,0)))))))</f>
        <v>3.407523418999999</v>
      </c>
    </row>
    <row r="1361" spans="1:15">
      <c r="A1361" s="2">
        <v>40738</v>
      </c>
      <c r="B1361" t="s">
        <v>43</v>
      </c>
      <c r="C1361">
        <v>20</v>
      </c>
      <c r="D1361" s="6" t="s">
        <v>29</v>
      </c>
      <c r="E1361">
        <v>203</v>
      </c>
      <c r="F1361">
        <v>0.88</v>
      </c>
      <c r="G1361">
        <v>0</v>
      </c>
      <c r="M1361" t="s">
        <v>46</v>
      </c>
      <c r="O1361">
        <f>IF(AND(OR(D1361="S. acutus",D1361="S. californicus",D1361="S. tabernaemontani"),G1361=0),E1361*[1]Sheet1!$D$7+[1]Sheet1!$L$7,IF(AND(OR(D1361="S. acutus",D1361="S. tabernaemontani"),G1361&gt;0),E1361*[1]Sheet1!$D$8+N1361*[1]Sheet1!$E$8,IF(AND(D1361="S. californicus",G1361&gt;0),E1361*[1]Sheet1!$D$9+N1361*[1]Sheet1!$E$9,IF(D1361="S. maritimus",F1361*[1]Sheet1!$C$10+E1361*[1]Sheet1!$D$10+G1361*[1]Sheet1!$F$10+[1]Sheet1!$L$10,IF(D1361="S. americanus",F1361*[1]Sheet1!$C$6+E1361*[1]Sheet1!$D$6+[1]Sheet1!$L$6,IF(AND(OR(D1361="T. domingensis",D1361="T. latifolia"),E1361&gt;0),F1361*[1]Sheet1!$C$4+E1361*[1]Sheet1!$D$4+H1361*[1]Sheet1!$J$4+I1361*[1]Sheet1!$K$4+[1]Sheet1!$L$4,IF(AND(OR(D1361="T. domingensis",D1361="T. latifolia"),J1361&gt;0),J1361*[1]Sheet1!$G$5+K1361*[1]Sheet1!$H$5+L1361*[1]Sheet1!$I$5+[1]Sheet1!$L$5,0)))))))</f>
        <v>4.0114499319999997</v>
      </c>
    </row>
    <row r="1362" spans="1:15">
      <c r="A1362" s="2">
        <v>40738</v>
      </c>
      <c r="B1362" t="s">
        <v>43</v>
      </c>
      <c r="C1362">
        <v>20</v>
      </c>
      <c r="D1362" s="6" t="s">
        <v>29</v>
      </c>
      <c r="E1362">
        <v>203</v>
      </c>
      <c r="F1362">
        <v>0.98</v>
      </c>
      <c r="G1362">
        <v>0</v>
      </c>
      <c r="M1362" t="s">
        <v>46</v>
      </c>
      <c r="O1362">
        <f>IF(AND(OR(D1362="S. acutus",D1362="S. californicus",D1362="S. tabernaemontani"),G1362=0),E1362*[1]Sheet1!$D$7+[1]Sheet1!$L$7,IF(AND(OR(D1362="S. acutus",D1362="S. tabernaemontani"),G1362&gt;0),E1362*[1]Sheet1!$D$8+N1362*[1]Sheet1!$E$8,IF(AND(D1362="S. californicus",G1362&gt;0),E1362*[1]Sheet1!$D$9+N1362*[1]Sheet1!$E$9,IF(D1362="S. maritimus",F1362*[1]Sheet1!$C$10+E1362*[1]Sheet1!$D$10+G1362*[1]Sheet1!$F$10+[1]Sheet1!$L$10,IF(D1362="S. americanus",F1362*[1]Sheet1!$C$6+E1362*[1]Sheet1!$D$6+[1]Sheet1!$L$6,IF(AND(OR(D1362="T. domingensis",D1362="T. latifolia"),E1362&gt;0),F1362*[1]Sheet1!$C$4+E1362*[1]Sheet1!$D$4+H1362*[1]Sheet1!$J$4+I1362*[1]Sheet1!$K$4+[1]Sheet1!$L$4,IF(AND(OR(D1362="T. domingensis",D1362="T. latifolia"),J1362&gt;0),J1362*[1]Sheet1!$G$5+K1362*[1]Sheet1!$H$5+L1362*[1]Sheet1!$I$5+[1]Sheet1!$L$5,0)))))))</f>
        <v>4.3667008219999985</v>
      </c>
    </row>
    <row r="1363" spans="1:15">
      <c r="A1363" s="2">
        <v>40738</v>
      </c>
      <c r="B1363" t="s">
        <v>43</v>
      </c>
      <c r="C1363">
        <v>20</v>
      </c>
      <c r="D1363" s="6" t="s">
        <v>29</v>
      </c>
      <c r="E1363">
        <v>209</v>
      </c>
      <c r="F1363">
        <v>0.68</v>
      </c>
      <c r="G1363">
        <v>0</v>
      </c>
      <c r="M1363" t="s">
        <v>46</v>
      </c>
      <c r="O1363">
        <f>IF(AND(OR(D1363="S. acutus",D1363="S. californicus",D1363="S. tabernaemontani"),G1363=0),E1363*[1]Sheet1!$D$7+[1]Sheet1!$L$7,IF(AND(OR(D1363="S. acutus",D1363="S. tabernaemontani"),G1363&gt;0),E1363*[1]Sheet1!$D$8+N1363*[1]Sheet1!$E$8,IF(AND(D1363="S. californicus",G1363&gt;0),E1363*[1]Sheet1!$D$9+N1363*[1]Sheet1!$E$9,IF(D1363="S. maritimus",F1363*[1]Sheet1!$C$10+E1363*[1]Sheet1!$D$10+G1363*[1]Sheet1!$F$10+[1]Sheet1!$L$10,IF(D1363="S. americanus",F1363*[1]Sheet1!$C$6+E1363*[1]Sheet1!$D$6+[1]Sheet1!$L$6,IF(AND(OR(D1363="T. domingensis",D1363="T. latifolia"),E1363&gt;0),F1363*[1]Sheet1!$C$4+E1363*[1]Sheet1!$D$4+H1363*[1]Sheet1!$J$4+I1363*[1]Sheet1!$K$4+[1]Sheet1!$L$4,IF(AND(OR(D1363="T. domingensis",D1363="T. latifolia"),J1363&gt;0),J1363*[1]Sheet1!$G$5+K1363*[1]Sheet1!$H$5+L1363*[1]Sheet1!$I$5+[1]Sheet1!$L$5,0)))))))</f>
        <v>3.3950323519999999</v>
      </c>
    </row>
    <row r="1364" spans="1:15">
      <c r="A1364" s="2">
        <v>40738</v>
      </c>
      <c r="B1364" t="s">
        <v>43</v>
      </c>
      <c r="C1364">
        <v>20</v>
      </c>
      <c r="D1364" s="6" t="s">
        <v>29</v>
      </c>
      <c r="E1364">
        <v>211</v>
      </c>
      <c r="F1364">
        <v>0.8</v>
      </c>
      <c r="G1364">
        <v>0</v>
      </c>
      <c r="M1364" t="s">
        <v>46</v>
      </c>
      <c r="O1364">
        <f>IF(AND(OR(D1364="S. acutus",D1364="S. californicus",D1364="S. tabernaemontani"),G1364=0),E1364*[1]Sheet1!$D$7+[1]Sheet1!$L$7,IF(AND(OR(D1364="S. acutus",D1364="S. tabernaemontani"),G1364&gt;0),E1364*[1]Sheet1!$D$8+N1364*[1]Sheet1!$E$8,IF(AND(D1364="S. californicus",G1364&gt;0),E1364*[1]Sheet1!$D$9+N1364*[1]Sheet1!$E$9,IF(D1364="S. maritimus",F1364*[1]Sheet1!$C$10+E1364*[1]Sheet1!$D$10+G1364*[1]Sheet1!$F$10+[1]Sheet1!$L$10,IF(D1364="S. americanus",F1364*[1]Sheet1!$C$6+E1364*[1]Sheet1!$D$6+[1]Sheet1!$L$6,IF(AND(OR(D1364="T. domingensis",D1364="T. latifolia"),E1364&gt;0),F1364*[1]Sheet1!$C$4+E1364*[1]Sheet1!$D$4+H1364*[1]Sheet1!$J$4+I1364*[1]Sheet1!$K$4+[1]Sheet1!$L$4,IF(AND(OR(D1364="T. domingensis",D1364="T. latifolia"),J1364&gt;0),J1364*[1]Sheet1!$G$5+K1364*[1]Sheet1!$H$5+L1364*[1]Sheet1!$I$5+[1]Sheet1!$L$5,0)))))))</f>
        <v>3.8526948199999995</v>
      </c>
    </row>
    <row r="1365" spans="1:15">
      <c r="A1365" s="2">
        <v>40738</v>
      </c>
      <c r="B1365" t="s">
        <v>43</v>
      </c>
      <c r="C1365">
        <v>20</v>
      </c>
      <c r="D1365" s="6" t="s">
        <v>29</v>
      </c>
      <c r="E1365">
        <v>214</v>
      </c>
      <c r="F1365">
        <v>0.85</v>
      </c>
      <c r="G1365">
        <v>0</v>
      </c>
      <c r="M1365" t="s">
        <v>46</v>
      </c>
      <c r="O1365">
        <f>IF(AND(OR(D1365="S. acutus",D1365="S. californicus",D1365="S. tabernaemontani"),G1365=0),E1365*[1]Sheet1!$D$7+[1]Sheet1!$L$7,IF(AND(OR(D1365="S. acutus",D1365="S. tabernaemontani"),G1365&gt;0),E1365*[1]Sheet1!$D$8+N1365*[1]Sheet1!$E$8,IF(AND(D1365="S. californicus",G1365&gt;0),E1365*[1]Sheet1!$D$9+N1365*[1]Sheet1!$E$9,IF(D1365="S. maritimus",F1365*[1]Sheet1!$C$10+E1365*[1]Sheet1!$D$10+G1365*[1]Sheet1!$F$10+[1]Sheet1!$L$10,IF(D1365="S. americanus",F1365*[1]Sheet1!$C$6+E1365*[1]Sheet1!$D$6+[1]Sheet1!$L$6,IF(AND(OR(D1365="T. domingensis",D1365="T. latifolia"),E1365&gt;0),F1365*[1]Sheet1!$C$4+E1365*[1]Sheet1!$D$4+H1365*[1]Sheet1!$J$4+I1365*[1]Sheet1!$K$4+[1]Sheet1!$L$4,IF(AND(OR(D1365="T. domingensis",D1365="T. latifolia"),J1365&gt;0),J1365*[1]Sheet1!$G$5+K1365*[1]Sheet1!$H$5+L1365*[1]Sheet1!$I$5+[1]Sheet1!$L$5,0)))))))</f>
        <v>4.077362364999999</v>
      </c>
    </row>
    <row r="1366" spans="1:15">
      <c r="A1366" s="2">
        <v>40738</v>
      </c>
      <c r="B1366" t="s">
        <v>43</v>
      </c>
      <c r="C1366">
        <v>20</v>
      </c>
      <c r="D1366" s="6" t="s">
        <v>29</v>
      </c>
      <c r="E1366">
        <v>214</v>
      </c>
      <c r="F1366">
        <v>0.91</v>
      </c>
      <c r="G1366">
        <v>0</v>
      </c>
      <c r="M1366" t="s">
        <v>46</v>
      </c>
      <c r="O1366">
        <f>IF(AND(OR(D1366="S. acutus",D1366="S. californicus",D1366="S. tabernaemontani"),G1366=0),E1366*[1]Sheet1!$D$7+[1]Sheet1!$L$7,IF(AND(OR(D1366="S. acutus",D1366="S. tabernaemontani"),G1366&gt;0),E1366*[1]Sheet1!$D$8+N1366*[1]Sheet1!$E$8,IF(AND(D1366="S. californicus",G1366&gt;0),E1366*[1]Sheet1!$D$9+N1366*[1]Sheet1!$E$9,IF(D1366="S. maritimus",F1366*[1]Sheet1!$C$10+E1366*[1]Sheet1!$D$10+G1366*[1]Sheet1!$F$10+[1]Sheet1!$L$10,IF(D1366="S. americanus",F1366*[1]Sheet1!$C$6+E1366*[1]Sheet1!$D$6+[1]Sheet1!$L$6,IF(AND(OR(D1366="T. domingensis",D1366="T. latifolia"),E1366&gt;0),F1366*[1]Sheet1!$C$4+E1366*[1]Sheet1!$D$4+H1366*[1]Sheet1!$J$4+I1366*[1]Sheet1!$K$4+[1]Sheet1!$L$4,IF(AND(OR(D1366="T. domingensis",D1366="T. latifolia"),J1366&gt;0),J1366*[1]Sheet1!$G$5+K1366*[1]Sheet1!$H$5+L1366*[1]Sheet1!$I$5+[1]Sheet1!$L$5,0)))))))</f>
        <v>4.2905128989999994</v>
      </c>
    </row>
    <row r="1367" spans="1:15">
      <c r="A1367" s="2">
        <v>40738</v>
      </c>
      <c r="B1367" t="s">
        <v>43</v>
      </c>
      <c r="C1367">
        <v>20</v>
      </c>
      <c r="D1367" s="6" t="s">
        <v>29</v>
      </c>
      <c r="E1367">
        <v>216</v>
      </c>
      <c r="F1367">
        <v>0.33</v>
      </c>
      <c r="G1367">
        <v>0</v>
      </c>
      <c r="M1367" t="s">
        <v>46</v>
      </c>
      <c r="O1367">
        <f>IF(AND(OR(D1367="S. acutus",D1367="S. californicus",D1367="S. tabernaemontani"),G1367=0),E1367*[1]Sheet1!$D$7+[1]Sheet1!$L$7,IF(AND(OR(D1367="S. acutus",D1367="S. tabernaemontani"),G1367&gt;0),E1367*[1]Sheet1!$D$8+N1367*[1]Sheet1!$E$8,IF(AND(D1367="S. californicus",G1367&gt;0),E1367*[1]Sheet1!$D$9+N1367*[1]Sheet1!$E$9,IF(D1367="S. maritimus",F1367*[1]Sheet1!$C$10+E1367*[1]Sheet1!$D$10+G1367*[1]Sheet1!$F$10+[1]Sheet1!$L$10,IF(D1367="S. americanus",F1367*[1]Sheet1!$C$6+E1367*[1]Sheet1!$D$6+[1]Sheet1!$L$6,IF(AND(OR(D1367="T. domingensis",D1367="T. latifolia"),E1367&gt;0),F1367*[1]Sheet1!$C$4+E1367*[1]Sheet1!$D$4+H1367*[1]Sheet1!$J$4+I1367*[1]Sheet1!$K$4+[1]Sheet1!$L$4,IF(AND(OR(D1367="T. domingensis",D1367="T. latifolia"),J1367&gt;0),J1367*[1]Sheet1!$G$5+K1367*[1]Sheet1!$H$5+L1367*[1]Sheet1!$I$5+[1]Sheet1!$L$5,0)))))))</f>
        <v>2.2614191369999994</v>
      </c>
    </row>
    <row r="1368" spans="1:15">
      <c r="A1368" s="2">
        <v>40738</v>
      </c>
      <c r="B1368" t="s">
        <v>43</v>
      </c>
      <c r="C1368">
        <v>20</v>
      </c>
      <c r="D1368" s="6" t="s">
        <v>29</v>
      </c>
      <c r="E1368">
        <v>216</v>
      </c>
      <c r="F1368">
        <v>1.1100000000000001</v>
      </c>
      <c r="G1368">
        <v>0</v>
      </c>
      <c r="M1368" t="s">
        <v>46</v>
      </c>
      <c r="O1368">
        <f>IF(AND(OR(D1368="S. acutus",D1368="S. californicus",D1368="S. tabernaemontani"),G1368=0),E1368*[1]Sheet1!$D$7+[1]Sheet1!$L$7,IF(AND(OR(D1368="S. acutus",D1368="S. tabernaemontani"),G1368&gt;0),E1368*[1]Sheet1!$D$8+N1368*[1]Sheet1!$E$8,IF(AND(D1368="S. californicus",G1368&gt;0),E1368*[1]Sheet1!$D$9+N1368*[1]Sheet1!$E$9,IF(D1368="S. maritimus",F1368*[1]Sheet1!$C$10+E1368*[1]Sheet1!$D$10+G1368*[1]Sheet1!$F$10+[1]Sheet1!$L$10,IF(D1368="S. americanus",F1368*[1]Sheet1!$C$6+E1368*[1]Sheet1!$D$6+[1]Sheet1!$L$6,IF(AND(OR(D1368="T. domingensis",D1368="T. latifolia"),E1368&gt;0),F1368*[1]Sheet1!$C$4+E1368*[1]Sheet1!$D$4+H1368*[1]Sheet1!$J$4+I1368*[1]Sheet1!$K$4+[1]Sheet1!$L$4,IF(AND(OR(D1368="T. domingensis",D1368="T. latifolia"),J1368&gt;0),J1368*[1]Sheet1!$G$5+K1368*[1]Sheet1!$H$5+L1368*[1]Sheet1!$I$5+[1]Sheet1!$L$5,0)))))))</f>
        <v>5.0323760789999987</v>
      </c>
    </row>
    <row r="1369" spans="1:15">
      <c r="A1369" s="2">
        <v>40738</v>
      </c>
      <c r="B1369" t="s">
        <v>43</v>
      </c>
      <c r="C1369">
        <v>20</v>
      </c>
      <c r="D1369" s="6" t="s">
        <v>29</v>
      </c>
      <c r="E1369">
        <v>217</v>
      </c>
      <c r="F1369">
        <v>0.35</v>
      </c>
      <c r="G1369">
        <v>0</v>
      </c>
      <c r="M1369" t="s">
        <v>46</v>
      </c>
      <c r="O1369">
        <f>IF(AND(OR(D1369="S. acutus",D1369="S. californicus",D1369="S. tabernaemontani"),G1369=0),E1369*[1]Sheet1!$D$7+[1]Sheet1!$L$7,IF(AND(OR(D1369="S. acutus",D1369="S. tabernaemontani"),G1369&gt;0),E1369*[1]Sheet1!$D$8+N1369*[1]Sheet1!$E$8,IF(AND(D1369="S. californicus",G1369&gt;0),E1369*[1]Sheet1!$D$9+N1369*[1]Sheet1!$E$9,IF(D1369="S. maritimus",F1369*[1]Sheet1!$C$10+E1369*[1]Sheet1!$D$10+G1369*[1]Sheet1!$F$10+[1]Sheet1!$L$10,IF(D1369="S. americanus",F1369*[1]Sheet1!$C$6+E1369*[1]Sheet1!$D$6+[1]Sheet1!$L$6,IF(AND(OR(D1369="T. domingensis",D1369="T. latifolia"),E1369&gt;0),F1369*[1]Sheet1!$C$4+E1369*[1]Sheet1!$D$4+H1369*[1]Sheet1!$J$4+I1369*[1]Sheet1!$K$4+[1]Sheet1!$L$4,IF(AND(OR(D1369="T. domingensis",D1369="T. latifolia"),J1369&gt;0),J1369*[1]Sheet1!$G$5+K1369*[1]Sheet1!$H$5+L1369*[1]Sheet1!$I$5+[1]Sheet1!$L$5,0)))))))</f>
        <v>2.3481500149999994</v>
      </c>
    </row>
    <row r="1370" spans="1:15">
      <c r="A1370" s="2">
        <v>40738</v>
      </c>
      <c r="B1370" t="s">
        <v>43</v>
      </c>
      <c r="C1370">
        <v>20</v>
      </c>
      <c r="D1370" s="6" t="s">
        <v>29</v>
      </c>
      <c r="E1370">
        <v>219</v>
      </c>
      <c r="F1370">
        <v>0.88</v>
      </c>
      <c r="G1370">
        <v>0</v>
      </c>
      <c r="M1370" t="s">
        <v>46</v>
      </c>
      <c r="O1370">
        <f>IF(AND(OR(D1370="S. acutus",D1370="S. californicus",D1370="S. tabernaemontani"),G1370=0),E1370*[1]Sheet1!$D$7+[1]Sheet1!$L$7,IF(AND(OR(D1370="S. acutus",D1370="S. tabernaemontani"),G1370&gt;0),E1370*[1]Sheet1!$D$8+N1370*[1]Sheet1!$E$8,IF(AND(D1370="S. californicus",G1370&gt;0),E1370*[1]Sheet1!$D$9+N1370*[1]Sheet1!$E$9,IF(D1370="S. maritimus",F1370*[1]Sheet1!$C$10+E1370*[1]Sheet1!$D$10+G1370*[1]Sheet1!$F$10+[1]Sheet1!$L$10,IF(D1370="S. americanus",F1370*[1]Sheet1!$C$6+E1370*[1]Sheet1!$D$6+[1]Sheet1!$L$6,IF(AND(OR(D1370="T. domingensis",D1370="T. latifolia"),E1370&gt;0),F1370*[1]Sheet1!$C$4+E1370*[1]Sheet1!$D$4+H1370*[1]Sheet1!$J$4+I1370*[1]Sheet1!$K$4+[1]Sheet1!$L$4,IF(AND(OR(D1370="T. domingensis",D1370="T. latifolia"),J1370&gt;0),J1370*[1]Sheet1!$G$5+K1370*[1]Sheet1!$H$5+L1370*[1]Sheet1!$I$5+[1]Sheet1!$L$5,0)))))))</f>
        <v>4.2623411319999995</v>
      </c>
    </row>
    <row r="1371" spans="1:15">
      <c r="A1371" s="2">
        <v>40738</v>
      </c>
      <c r="B1371" t="s">
        <v>43</v>
      </c>
      <c r="C1371">
        <v>20</v>
      </c>
      <c r="D1371" s="6" t="s">
        <v>29</v>
      </c>
      <c r="E1371">
        <v>222</v>
      </c>
      <c r="F1371">
        <v>0.69</v>
      </c>
      <c r="G1371">
        <v>1</v>
      </c>
      <c r="M1371" t="s">
        <v>46</v>
      </c>
      <c r="O1371">
        <f>IF(AND(OR(D1371="S. acutus",D1371="S. californicus",D1371="S. tabernaemontani"),G1371=0),E1371*[1]Sheet1!$D$7+[1]Sheet1!$L$7,IF(AND(OR(D1371="S. acutus",D1371="S. tabernaemontani"),G1371&gt;0),E1371*[1]Sheet1!$D$8+N1371*[1]Sheet1!$E$8,IF(AND(D1371="S. californicus",G1371&gt;0),E1371*[1]Sheet1!$D$9+N1371*[1]Sheet1!$E$9,IF(D1371="S. maritimus",F1371*[1]Sheet1!$C$10+E1371*[1]Sheet1!$D$10+G1371*[1]Sheet1!$F$10+[1]Sheet1!$L$10,IF(D1371="S. americanus",F1371*[1]Sheet1!$C$6+E1371*[1]Sheet1!$D$6+[1]Sheet1!$L$6,IF(AND(OR(D1371="T. domingensis",D1371="T. latifolia"),E1371&gt;0),F1371*[1]Sheet1!$C$4+E1371*[1]Sheet1!$D$4+H1371*[1]Sheet1!$J$4+I1371*[1]Sheet1!$K$4+[1]Sheet1!$L$4,IF(AND(OR(D1371="T. domingensis",D1371="T. latifolia"),J1371&gt;0),J1371*[1]Sheet1!$G$5+K1371*[1]Sheet1!$H$5+L1371*[1]Sheet1!$I$5+[1]Sheet1!$L$5,0)))))))</f>
        <v>3.6344065409999993</v>
      </c>
    </row>
    <row r="1372" spans="1:15">
      <c r="A1372" s="2">
        <v>40738</v>
      </c>
      <c r="B1372" t="s">
        <v>43</v>
      </c>
      <c r="C1372">
        <v>20</v>
      </c>
      <c r="D1372" s="6" t="s">
        <v>29</v>
      </c>
      <c r="E1372">
        <v>238</v>
      </c>
      <c r="F1372">
        <v>0.45</v>
      </c>
      <c r="G1372">
        <v>1</v>
      </c>
      <c r="M1372" t="s">
        <v>46</v>
      </c>
      <c r="O1372">
        <f>IF(AND(OR(D1372="S. acutus",D1372="S. californicus",D1372="S. tabernaemontani"),G1372=0),E1372*[1]Sheet1!$D$7+[1]Sheet1!$L$7,IF(AND(OR(D1372="S. acutus",D1372="S. tabernaemontani"),G1372&gt;0),E1372*[1]Sheet1!$D$8+N1372*[1]Sheet1!$E$8,IF(AND(D1372="S. californicus",G1372&gt;0),E1372*[1]Sheet1!$D$9+N1372*[1]Sheet1!$E$9,IF(D1372="S. maritimus",F1372*[1]Sheet1!$C$10+E1372*[1]Sheet1!$D$10+G1372*[1]Sheet1!$F$10+[1]Sheet1!$L$10,IF(D1372="S. americanus",F1372*[1]Sheet1!$C$6+E1372*[1]Sheet1!$D$6+[1]Sheet1!$L$6,IF(AND(OR(D1372="T. domingensis",D1372="T. latifolia"),E1372&gt;0),F1372*[1]Sheet1!$C$4+E1372*[1]Sheet1!$D$4+H1372*[1]Sheet1!$J$4+I1372*[1]Sheet1!$K$4+[1]Sheet1!$L$4,IF(AND(OR(D1372="T. domingensis",D1372="T. latifolia"),J1372&gt;0),J1372*[1]Sheet1!$G$5+K1372*[1]Sheet1!$H$5+L1372*[1]Sheet1!$I$5+[1]Sheet1!$L$5,0)))))))</f>
        <v>3.0326956049999994</v>
      </c>
    </row>
    <row r="1373" spans="1:15">
      <c r="A1373" s="2">
        <v>40738</v>
      </c>
      <c r="B1373" t="s">
        <v>43</v>
      </c>
      <c r="C1373">
        <v>20</v>
      </c>
      <c r="D1373" s="6" t="s">
        <v>29</v>
      </c>
      <c r="E1373">
        <v>262</v>
      </c>
      <c r="F1373">
        <v>0.8</v>
      </c>
      <c r="G1373">
        <v>1</v>
      </c>
      <c r="M1373" t="s">
        <v>46</v>
      </c>
      <c r="O1373">
        <f>IF(AND(OR(D1373="S. acutus",D1373="S. californicus",D1373="S. tabernaemontani"),G1373=0),E1373*[1]Sheet1!$D$7+[1]Sheet1!$L$7,IF(AND(OR(D1373="S. acutus",D1373="S. tabernaemontani"),G1373&gt;0),E1373*[1]Sheet1!$D$8+N1373*[1]Sheet1!$E$8,IF(AND(D1373="S. californicus",G1373&gt;0),E1373*[1]Sheet1!$D$9+N1373*[1]Sheet1!$E$9,IF(D1373="S. maritimus",F1373*[1]Sheet1!$C$10+E1373*[1]Sheet1!$D$10+G1373*[1]Sheet1!$F$10+[1]Sheet1!$L$10,IF(D1373="S. americanus",F1373*[1]Sheet1!$C$6+E1373*[1]Sheet1!$D$6+[1]Sheet1!$L$6,IF(AND(OR(D1373="T. domingensis",D1373="T. latifolia"),E1373&gt;0),F1373*[1]Sheet1!$C$4+E1373*[1]Sheet1!$D$4+H1373*[1]Sheet1!$J$4+I1373*[1]Sheet1!$K$4+[1]Sheet1!$L$4,IF(AND(OR(D1373="T. domingensis",D1373="T. latifolia"),J1373&gt;0),J1373*[1]Sheet1!$G$5+K1373*[1]Sheet1!$H$5+L1373*[1]Sheet1!$I$5+[1]Sheet1!$L$5,0)))))))</f>
        <v>4.6524105200000001</v>
      </c>
    </row>
    <row r="1374" spans="1:15">
      <c r="A1374" s="2">
        <v>40738</v>
      </c>
      <c r="B1374" t="s">
        <v>43</v>
      </c>
      <c r="C1374">
        <v>20</v>
      </c>
      <c r="D1374" s="6" t="s">
        <v>29</v>
      </c>
      <c r="E1374">
        <v>263</v>
      </c>
      <c r="F1374">
        <v>0.64</v>
      </c>
      <c r="G1374">
        <v>0</v>
      </c>
      <c r="M1374" t="s">
        <v>46</v>
      </c>
      <c r="O1374">
        <f>IF(AND(OR(D1374="S. acutus",D1374="S. californicus",D1374="S. tabernaemontani"),G1374=0),E1374*[1]Sheet1!$D$7+[1]Sheet1!$L$7,IF(AND(OR(D1374="S. acutus",D1374="S. tabernaemontani"),G1374&gt;0),E1374*[1]Sheet1!$D$8+N1374*[1]Sheet1!$E$8,IF(AND(D1374="S. californicus",G1374&gt;0),E1374*[1]Sheet1!$D$9+N1374*[1]Sheet1!$E$9,IF(D1374="S. maritimus",F1374*[1]Sheet1!$C$10+E1374*[1]Sheet1!$D$10+G1374*[1]Sheet1!$F$10+[1]Sheet1!$L$10,IF(D1374="S. americanus",F1374*[1]Sheet1!$C$6+E1374*[1]Sheet1!$D$6+[1]Sheet1!$L$6,IF(AND(OR(D1374="T. domingensis",D1374="T. latifolia"),E1374&gt;0),F1374*[1]Sheet1!$C$4+E1374*[1]Sheet1!$D$4+H1374*[1]Sheet1!$J$4+I1374*[1]Sheet1!$K$4+[1]Sheet1!$L$4,IF(AND(OR(D1374="T. domingensis",D1374="T. latifolia"),J1374&gt;0),J1374*[1]Sheet1!$G$5+K1374*[1]Sheet1!$H$5+L1374*[1]Sheet1!$I$5+[1]Sheet1!$L$5,0)))))))</f>
        <v>4.0996897959999998</v>
      </c>
    </row>
    <row r="1375" spans="1:15">
      <c r="A1375" s="2">
        <v>40738</v>
      </c>
      <c r="B1375" t="s">
        <v>43</v>
      </c>
      <c r="C1375">
        <v>20</v>
      </c>
      <c r="D1375" s="6" t="s">
        <v>19</v>
      </c>
      <c r="F1375">
        <v>2.66</v>
      </c>
      <c r="J1375">
        <f>SUM(201,204,221,220,223)</f>
        <v>1069</v>
      </c>
      <c r="K1375">
        <v>5</v>
      </c>
      <c r="L1375">
        <v>223</v>
      </c>
      <c r="M1375" t="s">
        <v>46</v>
      </c>
      <c r="O1375">
        <f>IF(AND(OR(D1375="S. acutus",D1375="S. californicus",D1375="S. tabernaemontani"),G1375=0),E1375*[1]Sheet1!$D$7+[1]Sheet1!$L$7,IF(AND(OR(D1375="S. acutus",D1375="S. tabernaemontani"),G1375&gt;0),E1375*[1]Sheet1!$D$8+N1375*[1]Sheet1!$E$8,IF(AND(D1375="S. californicus",G1375&gt;0),E1375*[1]Sheet1!$D$9+N1375*[1]Sheet1!$E$9,IF(D1375="S. maritimus",F1375*[1]Sheet1!$C$10+E1375*[1]Sheet1!$D$10+G1375*[1]Sheet1!$F$10+[1]Sheet1!$L$10,IF(D1375="S. americanus",F1375*[1]Sheet1!$C$6+E1375*[1]Sheet1!$D$6+[1]Sheet1!$L$6,IF(AND(OR(D1375="T. domingensis",D1375="T. latifolia"),E1375&gt;0),F1375*[1]Sheet1!$C$4+E1375*[1]Sheet1!$D$4+H1375*[1]Sheet1!$J$4+I1375*[1]Sheet1!$K$4+[1]Sheet1!$L$4,IF(AND(OR(D1375="T. domingensis",D1375="T. latifolia"),J1375&gt;0),J1375*[1]Sheet1!$G$5+K1375*[1]Sheet1!$H$5+L1375*[1]Sheet1!$I$5+[1]Sheet1!$L$5,0)))))))</f>
        <v>30.971679000000016</v>
      </c>
    </row>
    <row r="1376" spans="1:15">
      <c r="A1376" s="2">
        <v>40738</v>
      </c>
      <c r="B1376" t="s">
        <v>43</v>
      </c>
      <c r="C1376">
        <v>22</v>
      </c>
      <c r="D1376" s="6" t="s">
        <v>29</v>
      </c>
      <c r="E1376">
        <v>37</v>
      </c>
      <c r="F1376">
        <v>0.64</v>
      </c>
      <c r="G1376">
        <v>0</v>
      </c>
      <c r="M1376" t="s">
        <v>45</v>
      </c>
      <c r="O1376">
        <f>IF(AND(OR(D1376="S. acutus",D1376="S. californicus",D1376="S. tabernaemontani"),G1376=0),E1376*[1]Sheet1!$D$7+[1]Sheet1!$L$7,IF(AND(OR(D1376="S. acutus",D1376="S. tabernaemontani"),G1376&gt;0),E1376*[1]Sheet1!$D$8+N1376*[1]Sheet1!$E$8,IF(AND(D1376="S. californicus",G1376&gt;0),E1376*[1]Sheet1!$D$9+N1376*[1]Sheet1!$E$9,IF(D1376="S. maritimus",F1376*[1]Sheet1!$C$10+E1376*[1]Sheet1!$D$10+G1376*[1]Sheet1!$F$10+[1]Sheet1!$L$10,IF(D1376="S. americanus",F1376*[1]Sheet1!$C$6+E1376*[1]Sheet1!$D$6+[1]Sheet1!$L$6,IF(AND(OR(D1376="T. domingensis",D1376="T. latifolia"),E1376&gt;0),F1376*[1]Sheet1!$C$4+E1376*[1]Sheet1!$D$4+H1376*[1]Sheet1!$J$4+I1376*[1]Sheet1!$K$4+[1]Sheet1!$L$4,IF(AND(OR(D1376="T. domingensis",D1376="T. latifolia"),J1376&gt;0),J1376*[1]Sheet1!$G$5+K1376*[1]Sheet1!$H$5+L1376*[1]Sheet1!$I$5+[1]Sheet1!$L$5,0)))))))</f>
        <v>0.55585159600000011</v>
      </c>
    </row>
    <row r="1377" spans="1:15">
      <c r="A1377" s="2">
        <v>40738</v>
      </c>
      <c r="B1377" t="s">
        <v>43</v>
      </c>
      <c r="C1377">
        <v>22</v>
      </c>
      <c r="D1377" s="6" t="s">
        <v>29</v>
      </c>
      <c r="E1377">
        <v>85</v>
      </c>
      <c r="F1377">
        <v>0.26</v>
      </c>
      <c r="G1377">
        <v>0</v>
      </c>
      <c r="M1377" t="s">
        <v>45</v>
      </c>
      <c r="O1377">
        <f>IF(AND(OR(D1377="S. acutus",D1377="S. californicus",D1377="S. tabernaemontani"),G1377=0),E1377*[1]Sheet1!$D$7+[1]Sheet1!$L$7,IF(AND(OR(D1377="S. acutus",D1377="S. tabernaemontani"),G1377&gt;0),E1377*[1]Sheet1!$D$8+N1377*[1]Sheet1!$E$8,IF(AND(D1377="S. californicus",G1377&gt;0),E1377*[1]Sheet1!$D$9+N1377*[1]Sheet1!$E$9,IF(D1377="S. maritimus",F1377*[1]Sheet1!$C$10+E1377*[1]Sheet1!$D$10+G1377*[1]Sheet1!$F$10+[1]Sheet1!$L$10,IF(D1377="S. americanus",F1377*[1]Sheet1!$C$6+E1377*[1]Sheet1!$D$6+[1]Sheet1!$L$6,IF(AND(OR(D1377="T. domingensis",D1377="T. latifolia"),E1377&gt;0),F1377*[1]Sheet1!$C$4+E1377*[1]Sheet1!$D$4+H1377*[1]Sheet1!$J$4+I1377*[1]Sheet1!$K$4+[1]Sheet1!$L$4,IF(AND(OR(D1377="T. domingensis",D1377="T. latifolia"),J1377&gt;0),J1377*[1]Sheet1!$G$5+K1377*[1]Sheet1!$H$5+L1377*[1]Sheet1!$I$5+[1]Sheet1!$L$5,0)))))))</f>
        <v>-4.1428186000000089E-2</v>
      </c>
    </row>
    <row r="1378" spans="1:15">
      <c r="A1378" s="2">
        <v>40738</v>
      </c>
      <c r="B1378" t="s">
        <v>43</v>
      </c>
      <c r="C1378">
        <v>22</v>
      </c>
      <c r="D1378" s="6" t="s">
        <v>29</v>
      </c>
      <c r="E1378">
        <v>85</v>
      </c>
      <c r="F1378">
        <v>0.49</v>
      </c>
      <c r="G1378">
        <v>0</v>
      </c>
      <c r="M1378" t="s">
        <v>45</v>
      </c>
      <c r="O1378">
        <f>IF(AND(OR(D1378="S. acutus",D1378="S. californicus",D1378="S. tabernaemontani"),G1378=0),E1378*[1]Sheet1!$D$7+[1]Sheet1!$L$7,IF(AND(OR(D1378="S. acutus",D1378="S. tabernaemontani"),G1378&gt;0),E1378*[1]Sheet1!$D$8+N1378*[1]Sheet1!$E$8,IF(AND(D1378="S. californicus",G1378&gt;0),E1378*[1]Sheet1!$D$9+N1378*[1]Sheet1!$E$9,IF(D1378="S. maritimus",F1378*[1]Sheet1!$C$10+E1378*[1]Sheet1!$D$10+G1378*[1]Sheet1!$F$10+[1]Sheet1!$L$10,IF(D1378="S. americanus",F1378*[1]Sheet1!$C$6+E1378*[1]Sheet1!$D$6+[1]Sheet1!$L$6,IF(AND(OR(D1378="T. domingensis",D1378="T. latifolia"),E1378&gt;0),F1378*[1]Sheet1!$C$4+E1378*[1]Sheet1!$D$4+H1378*[1]Sheet1!$J$4+I1378*[1]Sheet1!$K$4+[1]Sheet1!$L$4,IF(AND(OR(D1378="T. domingensis",D1378="T. latifolia"),J1378&gt;0),J1378*[1]Sheet1!$G$5+K1378*[1]Sheet1!$H$5+L1378*[1]Sheet1!$I$5+[1]Sheet1!$L$5,0)))))))</f>
        <v>0.77564886099999963</v>
      </c>
    </row>
    <row r="1379" spans="1:15">
      <c r="A1379" s="2">
        <v>40738</v>
      </c>
      <c r="B1379" t="s">
        <v>43</v>
      </c>
      <c r="C1379">
        <v>22</v>
      </c>
      <c r="D1379" s="6" t="s">
        <v>29</v>
      </c>
      <c r="E1379">
        <v>85</v>
      </c>
      <c r="F1379">
        <v>0.87</v>
      </c>
      <c r="G1379">
        <v>0</v>
      </c>
      <c r="M1379" t="s">
        <v>45</v>
      </c>
      <c r="O1379">
        <f>IF(AND(OR(D1379="S. acutus",D1379="S. californicus",D1379="S. tabernaemontani"),G1379=0),E1379*[1]Sheet1!$D$7+[1]Sheet1!$L$7,IF(AND(OR(D1379="S. acutus",D1379="S. tabernaemontani"),G1379&gt;0),E1379*[1]Sheet1!$D$8+N1379*[1]Sheet1!$E$8,IF(AND(D1379="S. californicus",G1379&gt;0),E1379*[1]Sheet1!$D$9+N1379*[1]Sheet1!$E$9,IF(D1379="S. maritimus",F1379*[1]Sheet1!$C$10+E1379*[1]Sheet1!$D$10+G1379*[1]Sheet1!$F$10+[1]Sheet1!$L$10,IF(D1379="S. americanus",F1379*[1]Sheet1!$C$6+E1379*[1]Sheet1!$D$6+[1]Sheet1!$L$6,IF(AND(OR(D1379="T. domingensis",D1379="T. latifolia"),E1379&gt;0),F1379*[1]Sheet1!$C$4+E1379*[1]Sheet1!$D$4+H1379*[1]Sheet1!$J$4+I1379*[1]Sheet1!$K$4+[1]Sheet1!$L$4,IF(AND(OR(D1379="T. domingensis",D1379="T. latifolia"),J1379&gt;0),J1379*[1]Sheet1!$G$5+K1379*[1]Sheet1!$H$5+L1379*[1]Sheet1!$I$5+[1]Sheet1!$L$5,0)))))))</f>
        <v>2.1256022429999999</v>
      </c>
    </row>
    <row r="1380" spans="1:15">
      <c r="A1380" s="2">
        <v>40738</v>
      </c>
      <c r="B1380" t="s">
        <v>43</v>
      </c>
      <c r="C1380">
        <v>22</v>
      </c>
      <c r="D1380" s="6" t="s">
        <v>29</v>
      </c>
      <c r="E1380">
        <v>88</v>
      </c>
      <c r="F1380">
        <v>0.41</v>
      </c>
      <c r="G1380">
        <v>0</v>
      </c>
      <c r="M1380" t="s">
        <v>45</v>
      </c>
      <c r="O1380">
        <f>IF(AND(OR(D1380="S. acutus",D1380="S. californicus",D1380="S. tabernaemontani"),G1380=0),E1380*[1]Sheet1!$D$7+[1]Sheet1!$L$7,IF(AND(OR(D1380="S. acutus",D1380="S. tabernaemontani"),G1380&gt;0),E1380*[1]Sheet1!$D$8+N1380*[1]Sheet1!$E$8,IF(AND(D1380="S. californicus",G1380&gt;0),E1380*[1]Sheet1!$D$9+N1380*[1]Sheet1!$E$9,IF(D1380="S. maritimus",F1380*[1]Sheet1!$C$10+E1380*[1]Sheet1!$D$10+G1380*[1]Sheet1!$F$10+[1]Sheet1!$L$10,IF(D1380="S. americanus",F1380*[1]Sheet1!$C$6+E1380*[1]Sheet1!$D$6+[1]Sheet1!$L$6,IF(AND(OR(D1380="T. domingensis",D1380="T. latifolia"),E1380&gt;0),F1380*[1]Sheet1!$C$4+E1380*[1]Sheet1!$D$4+H1380*[1]Sheet1!$J$4+I1380*[1]Sheet1!$K$4+[1]Sheet1!$L$4,IF(AND(OR(D1380="T. domingensis",D1380="T. latifolia"),J1380&gt;0),J1380*[1]Sheet1!$G$5+K1380*[1]Sheet1!$H$5+L1380*[1]Sheet1!$I$5+[1]Sheet1!$L$5,0)))))))</f>
        <v>0.53849024899999964</v>
      </c>
    </row>
    <row r="1381" spans="1:15">
      <c r="A1381" s="2">
        <v>40738</v>
      </c>
      <c r="B1381" t="s">
        <v>43</v>
      </c>
      <c r="C1381">
        <v>22</v>
      </c>
      <c r="D1381" s="6" t="s">
        <v>29</v>
      </c>
      <c r="E1381">
        <v>89</v>
      </c>
      <c r="F1381">
        <v>0.4</v>
      </c>
      <c r="G1381">
        <v>0</v>
      </c>
      <c r="M1381" t="s">
        <v>45</v>
      </c>
      <c r="O1381">
        <f>IF(AND(OR(D1381="S. acutus",D1381="S. californicus",D1381="S. tabernaemontani"),G1381=0),E1381*[1]Sheet1!$D$7+[1]Sheet1!$L$7,IF(AND(OR(D1381="S. acutus",D1381="S. tabernaemontani"),G1381&gt;0),E1381*[1]Sheet1!$D$8+N1381*[1]Sheet1!$E$8,IF(AND(D1381="S. californicus",G1381&gt;0),E1381*[1]Sheet1!$D$9+N1381*[1]Sheet1!$E$9,IF(D1381="S. maritimus",F1381*[1]Sheet1!$C$10+E1381*[1]Sheet1!$D$10+G1381*[1]Sheet1!$F$10+[1]Sheet1!$L$10,IF(D1381="S. americanus",F1381*[1]Sheet1!$C$6+E1381*[1]Sheet1!$D$6+[1]Sheet1!$L$6,IF(AND(OR(D1381="T. domingensis",D1381="T. latifolia"),E1381&gt;0),F1381*[1]Sheet1!$C$4+E1381*[1]Sheet1!$D$4+H1381*[1]Sheet1!$J$4+I1381*[1]Sheet1!$K$4+[1]Sheet1!$L$4,IF(AND(OR(D1381="T. domingensis",D1381="T. latifolia"),J1381&gt;0),J1381*[1]Sheet1!$G$5+K1381*[1]Sheet1!$H$5+L1381*[1]Sheet1!$I$5+[1]Sheet1!$L$5,0)))))))</f>
        <v>0.5186458599999999</v>
      </c>
    </row>
    <row r="1382" spans="1:15">
      <c r="A1382" s="2">
        <v>40738</v>
      </c>
      <c r="B1382" t="s">
        <v>43</v>
      </c>
      <c r="C1382">
        <v>22</v>
      </c>
      <c r="D1382" s="6" t="s">
        <v>29</v>
      </c>
      <c r="E1382">
        <v>95</v>
      </c>
      <c r="F1382">
        <v>0.45</v>
      </c>
      <c r="G1382">
        <v>0</v>
      </c>
      <c r="M1382" t="s">
        <v>45</v>
      </c>
      <c r="O1382">
        <f>IF(AND(OR(D1382="S. acutus",D1382="S. californicus",D1382="S. tabernaemontani"),G1382=0),E1382*[1]Sheet1!$D$7+[1]Sheet1!$L$7,IF(AND(OR(D1382="S. acutus",D1382="S. tabernaemontani"),G1382&gt;0),E1382*[1]Sheet1!$D$8+N1382*[1]Sheet1!$E$8,IF(AND(D1382="S. californicus",G1382&gt;0),E1382*[1]Sheet1!$D$9+N1382*[1]Sheet1!$E$9,IF(D1382="S. maritimus",F1382*[1]Sheet1!$C$10+E1382*[1]Sheet1!$D$10+G1382*[1]Sheet1!$F$10+[1]Sheet1!$L$10,IF(D1382="S. americanus",F1382*[1]Sheet1!$C$6+E1382*[1]Sheet1!$D$6+[1]Sheet1!$L$6,IF(AND(OR(D1382="T. domingensis",D1382="T. latifolia"),E1382&gt;0),F1382*[1]Sheet1!$C$4+E1382*[1]Sheet1!$D$4+H1382*[1]Sheet1!$J$4+I1382*[1]Sheet1!$K$4+[1]Sheet1!$L$4,IF(AND(OR(D1382="T. domingensis",D1382="T. latifolia"),J1382&gt;0),J1382*[1]Sheet1!$G$5+K1382*[1]Sheet1!$H$5+L1382*[1]Sheet1!$I$5+[1]Sheet1!$L$5,0)))))))</f>
        <v>0.79035550499999951</v>
      </c>
    </row>
    <row r="1383" spans="1:15">
      <c r="A1383" s="2">
        <v>40738</v>
      </c>
      <c r="B1383" t="s">
        <v>43</v>
      </c>
      <c r="C1383">
        <v>22</v>
      </c>
      <c r="D1383" s="6" t="s">
        <v>29</v>
      </c>
      <c r="E1383">
        <v>104</v>
      </c>
      <c r="F1383">
        <v>0.62</v>
      </c>
      <c r="G1383">
        <v>0</v>
      </c>
      <c r="M1383" t="s">
        <v>45</v>
      </c>
      <c r="O1383">
        <f>IF(AND(OR(D1383="S. acutus",D1383="S. californicus",D1383="S. tabernaemontani"),G1383=0),E1383*[1]Sheet1!$D$7+[1]Sheet1!$L$7,IF(AND(OR(D1383="S. acutus",D1383="S. tabernaemontani"),G1383&gt;0),E1383*[1]Sheet1!$D$8+N1383*[1]Sheet1!$E$8,IF(AND(D1383="S. californicus",G1383&gt;0),E1383*[1]Sheet1!$D$9+N1383*[1]Sheet1!$E$9,IF(D1383="S. maritimus",F1383*[1]Sheet1!$C$10+E1383*[1]Sheet1!$D$10+G1383*[1]Sheet1!$F$10+[1]Sheet1!$L$10,IF(D1383="S. americanus",F1383*[1]Sheet1!$C$6+E1383*[1]Sheet1!$D$6+[1]Sheet1!$L$6,IF(AND(OR(D1383="T. domingensis",D1383="T. latifolia"),E1383&gt;0),F1383*[1]Sheet1!$C$4+E1383*[1]Sheet1!$D$4+H1383*[1]Sheet1!$J$4+I1383*[1]Sheet1!$K$4+[1]Sheet1!$L$4,IF(AND(OR(D1383="T. domingensis",D1383="T. latifolia"),J1383&gt;0),J1383*[1]Sheet1!$G$5+K1383*[1]Sheet1!$H$5+L1383*[1]Sheet1!$I$5+[1]Sheet1!$L$5,0)))))))</f>
        <v>1.5354083179999996</v>
      </c>
    </row>
    <row r="1384" spans="1:15">
      <c r="A1384" s="2">
        <v>40738</v>
      </c>
      <c r="B1384" t="s">
        <v>43</v>
      </c>
      <c r="C1384">
        <v>22</v>
      </c>
      <c r="D1384" s="6" t="s">
        <v>29</v>
      </c>
      <c r="E1384">
        <v>106</v>
      </c>
      <c r="F1384">
        <v>0.28000000000000003</v>
      </c>
      <c r="G1384">
        <v>0</v>
      </c>
      <c r="M1384" t="s">
        <v>45</v>
      </c>
      <c r="O1384">
        <f>IF(AND(OR(D1384="S. acutus",D1384="S. californicus",D1384="S. tabernaemontani"),G1384=0),E1384*[1]Sheet1!$D$7+[1]Sheet1!$L$7,IF(AND(OR(D1384="S. acutus",D1384="S. tabernaemontani"),G1384&gt;0),E1384*[1]Sheet1!$D$8+N1384*[1]Sheet1!$E$8,IF(AND(D1384="S. californicus",G1384&gt;0),E1384*[1]Sheet1!$D$9+N1384*[1]Sheet1!$E$9,IF(D1384="S. maritimus",F1384*[1]Sheet1!$C$10+E1384*[1]Sheet1!$D$10+G1384*[1]Sheet1!$F$10+[1]Sheet1!$L$10,IF(D1384="S. americanus",F1384*[1]Sheet1!$C$6+E1384*[1]Sheet1!$D$6+[1]Sheet1!$L$6,IF(AND(OR(D1384="T. domingensis",D1384="T. latifolia"),E1384&gt;0),F1384*[1]Sheet1!$C$4+E1384*[1]Sheet1!$D$4+H1384*[1]Sheet1!$J$4+I1384*[1]Sheet1!$K$4+[1]Sheet1!$L$4,IF(AND(OR(D1384="T. domingensis",D1384="T. latifolia"),J1384&gt;0),J1384*[1]Sheet1!$G$5+K1384*[1]Sheet1!$H$5+L1384*[1]Sheet1!$I$5+[1]Sheet1!$L$5,0)))))))</f>
        <v>0.35891669199999976</v>
      </c>
    </row>
    <row r="1385" spans="1:15">
      <c r="A1385" s="2">
        <v>40738</v>
      </c>
      <c r="B1385" t="s">
        <v>43</v>
      </c>
      <c r="C1385">
        <v>22</v>
      </c>
      <c r="D1385" s="6" t="s">
        <v>29</v>
      </c>
      <c r="E1385">
        <v>106</v>
      </c>
      <c r="F1385">
        <v>0.5</v>
      </c>
      <c r="G1385">
        <v>0</v>
      </c>
      <c r="M1385" t="s">
        <v>45</v>
      </c>
      <c r="O1385">
        <f>IF(AND(OR(D1385="S. acutus",D1385="S. californicus",D1385="S. tabernaemontani"),G1385=0),E1385*[1]Sheet1!$D$7+[1]Sheet1!$L$7,IF(AND(OR(D1385="S. acutus",D1385="S. tabernaemontani"),G1385&gt;0),E1385*[1]Sheet1!$D$8+N1385*[1]Sheet1!$E$8,IF(AND(D1385="S. californicus",G1385&gt;0),E1385*[1]Sheet1!$D$9+N1385*[1]Sheet1!$E$9,IF(D1385="S. maritimus",F1385*[1]Sheet1!$C$10+E1385*[1]Sheet1!$D$10+G1385*[1]Sheet1!$F$10+[1]Sheet1!$L$10,IF(D1385="S. americanus",F1385*[1]Sheet1!$C$6+E1385*[1]Sheet1!$D$6+[1]Sheet1!$L$6,IF(AND(OR(D1385="T. domingensis",D1385="T. latifolia"),E1385&gt;0),F1385*[1]Sheet1!$C$4+E1385*[1]Sheet1!$D$4+H1385*[1]Sheet1!$J$4+I1385*[1]Sheet1!$K$4+[1]Sheet1!$L$4,IF(AND(OR(D1385="T. domingensis",D1385="T. latifolia"),J1385&gt;0),J1385*[1]Sheet1!$G$5+K1385*[1]Sheet1!$H$5+L1385*[1]Sheet1!$I$5+[1]Sheet1!$L$5,0)))))))</f>
        <v>1.1404686499999994</v>
      </c>
    </row>
    <row r="1386" spans="1:15">
      <c r="A1386" s="2">
        <v>40738</v>
      </c>
      <c r="B1386" t="s">
        <v>43</v>
      </c>
      <c r="C1386">
        <v>22</v>
      </c>
      <c r="D1386" s="6" t="s">
        <v>29</v>
      </c>
      <c r="E1386">
        <v>106</v>
      </c>
      <c r="F1386">
        <v>0.63</v>
      </c>
      <c r="G1386">
        <v>0</v>
      </c>
      <c r="M1386" t="s">
        <v>45</v>
      </c>
      <c r="O1386">
        <f>IF(AND(OR(D1386="S. acutus",D1386="S. californicus",D1386="S. tabernaemontani"),G1386=0),E1386*[1]Sheet1!$D$7+[1]Sheet1!$L$7,IF(AND(OR(D1386="S. acutus",D1386="S. tabernaemontani"),G1386&gt;0),E1386*[1]Sheet1!$D$8+N1386*[1]Sheet1!$E$8,IF(AND(D1386="S. californicus",G1386&gt;0),E1386*[1]Sheet1!$D$9+N1386*[1]Sheet1!$E$9,IF(D1386="S. maritimus",F1386*[1]Sheet1!$C$10+E1386*[1]Sheet1!$D$10+G1386*[1]Sheet1!$F$10+[1]Sheet1!$L$10,IF(D1386="S. americanus",F1386*[1]Sheet1!$C$6+E1386*[1]Sheet1!$D$6+[1]Sheet1!$L$6,IF(AND(OR(D1386="T. domingensis",D1386="T. latifolia"),E1386&gt;0),F1386*[1]Sheet1!$C$4+E1386*[1]Sheet1!$D$4+H1386*[1]Sheet1!$J$4+I1386*[1]Sheet1!$K$4+[1]Sheet1!$L$4,IF(AND(OR(D1386="T. domingensis",D1386="T. latifolia"),J1386&gt;0),J1386*[1]Sheet1!$G$5+K1386*[1]Sheet1!$H$5+L1386*[1]Sheet1!$I$5+[1]Sheet1!$L$5,0)))))))</f>
        <v>1.6022948069999998</v>
      </c>
    </row>
    <row r="1387" spans="1:15">
      <c r="A1387" s="2">
        <v>40738</v>
      </c>
      <c r="B1387" t="s">
        <v>43</v>
      </c>
      <c r="C1387">
        <v>22</v>
      </c>
      <c r="D1387" s="6" t="s">
        <v>29</v>
      </c>
      <c r="E1387">
        <v>107</v>
      </c>
      <c r="F1387">
        <v>0.39</v>
      </c>
      <c r="G1387">
        <v>0</v>
      </c>
      <c r="M1387" t="s">
        <v>45</v>
      </c>
      <c r="O1387">
        <f>IF(AND(OR(D1387="S. acutus",D1387="S. californicus",D1387="S. tabernaemontani"),G1387=0),E1387*[1]Sheet1!$D$7+[1]Sheet1!$L$7,IF(AND(OR(D1387="S. acutus",D1387="S. tabernaemontani"),G1387&gt;0),E1387*[1]Sheet1!$D$8+N1387*[1]Sheet1!$E$8,IF(AND(D1387="S. californicus",G1387&gt;0),E1387*[1]Sheet1!$D$9+N1387*[1]Sheet1!$E$9,IF(D1387="S. maritimus",F1387*[1]Sheet1!$C$10+E1387*[1]Sheet1!$D$10+G1387*[1]Sheet1!$F$10+[1]Sheet1!$L$10,IF(D1387="S. americanus",F1387*[1]Sheet1!$C$6+E1387*[1]Sheet1!$D$6+[1]Sheet1!$L$6,IF(AND(OR(D1387="T. domingensis",D1387="T. latifolia"),E1387&gt;0),F1387*[1]Sheet1!$C$4+E1387*[1]Sheet1!$D$4+H1387*[1]Sheet1!$J$4+I1387*[1]Sheet1!$K$4+[1]Sheet1!$L$4,IF(AND(OR(D1387="T. domingensis",D1387="T. latifolia"),J1387&gt;0),J1387*[1]Sheet1!$G$5+K1387*[1]Sheet1!$H$5+L1387*[1]Sheet1!$I$5+[1]Sheet1!$L$5,0)))))))</f>
        <v>0.76537337099999991</v>
      </c>
    </row>
    <row r="1388" spans="1:15">
      <c r="A1388" s="2">
        <v>40738</v>
      </c>
      <c r="B1388" t="s">
        <v>43</v>
      </c>
      <c r="C1388">
        <v>22</v>
      </c>
      <c r="D1388" s="6" t="s">
        <v>29</v>
      </c>
      <c r="E1388">
        <v>108</v>
      </c>
      <c r="F1388">
        <v>0.4</v>
      </c>
      <c r="G1388">
        <v>0</v>
      </c>
      <c r="M1388" t="s">
        <v>45</v>
      </c>
      <c r="O1388">
        <f>IF(AND(OR(D1388="S. acutus",D1388="S. californicus",D1388="S. tabernaemontani"),G1388=0),E1388*[1]Sheet1!$D$7+[1]Sheet1!$L$7,IF(AND(OR(D1388="S. acutus",D1388="S. tabernaemontani"),G1388&gt;0),E1388*[1]Sheet1!$D$8+N1388*[1]Sheet1!$E$8,IF(AND(D1388="S. californicus",G1388&gt;0),E1388*[1]Sheet1!$D$9+N1388*[1]Sheet1!$E$9,IF(D1388="S. maritimus",F1388*[1]Sheet1!$C$10+E1388*[1]Sheet1!$D$10+G1388*[1]Sheet1!$F$10+[1]Sheet1!$L$10,IF(D1388="S. americanus",F1388*[1]Sheet1!$C$6+E1388*[1]Sheet1!$D$6+[1]Sheet1!$L$6,IF(AND(OR(D1388="T. domingensis",D1388="T. latifolia"),E1388&gt;0),F1388*[1]Sheet1!$C$4+E1388*[1]Sheet1!$D$4+H1388*[1]Sheet1!$J$4+I1388*[1]Sheet1!$K$4+[1]Sheet1!$L$4,IF(AND(OR(D1388="T. domingensis",D1388="T. latifolia"),J1388&gt;0),J1388*[1]Sheet1!$G$5+K1388*[1]Sheet1!$H$5+L1388*[1]Sheet1!$I$5+[1]Sheet1!$L$5,0)))))))</f>
        <v>0.81657915999999942</v>
      </c>
    </row>
    <row r="1389" spans="1:15">
      <c r="A1389" s="2">
        <v>40738</v>
      </c>
      <c r="B1389" t="s">
        <v>43</v>
      </c>
      <c r="C1389">
        <v>22</v>
      </c>
      <c r="D1389" s="6" t="s">
        <v>29</v>
      </c>
      <c r="E1389">
        <v>112</v>
      </c>
      <c r="F1389">
        <v>0.51</v>
      </c>
      <c r="G1389">
        <v>0</v>
      </c>
      <c r="M1389" t="s">
        <v>45</v>
      </c>
      <c r="O1389">
        <f>IF(AND(OR(D1389="S. acutus",D1389="S. californicus",D1389="S. tabernaemontani"),G1389=0),E1389*[1]Sheet1!$D$7+[1]Sheet1!$L$7,IF(AND(OR(D1389="S. acutus",D1389="S. tabernaemontani"),G1389&gt;0),E1389*[1]Sheet1!$D$8+N1389*[1]Sheet1!$E$8,IF(AND(D1389="S. californicus",G1389&gt;0),E1389*[1]Sheet1!$D$9+N1389*[1]Sheet1!$E$9,IF(D1389="S. maritimus",F1389*[1]Sheet1!$C$10+E1389*[1]Sheet1!$D$10+G1389*[1]Sheet1!$F$10+[1]Sheet1!$L$10,IF(D1389="S. americanus",F1389*[1]Sheet1!$C$6+E1389*[1]Sheet1!$D$6+[1]Sheet1!$L$6,IF(AND(OR(D1389="T. domingensis",D1389="T. latifolia"),E1389&gt;0),F1389*[1]Sheet1!$C$4+E1389*[1]Sheet1!$D$4+H1389*[1]Sheet1!$J$4+I1389*[1]Sheet1!$K$4+[1]Sheet1!$L$4,IF(AND(OR(D1389="T. domingensis",D1389="T. latifolia"),J1389&gt;0),J1389*[1]Sheet1!$G$5+K1389*[1]Sheet1!$H$5+L1389*[1]Sheet1!$I$5+[1]Sheet1!$L$5,0)))))))</f>
        <v>1.2700779389999997</v>
      </c>
    </row>
    <row r="1390" spans="1:15">
      <c r="A1390" s="2">
        <v>40738</v>
      </c>
      <c r="B1390" t="s">
        <v>43</v>
      </c>
      <c r="C1390">
        <v>22</v>
      </c>
      <c r="D1390" s="6" t="s">
        <v>29</v>
      </c>
      <c r="E1390">
        <v>115</v>
      </c>
      <c r="F1390">
        <v>0.41</v>
      </c>
      <c r="G1390">
        <v>0</v>
      </c>
      <c r="M1390" t="s">
        <v>45</v>
      </c>
      <c r="O1390">
        <f>IF(AND(OR(D1390="S. acutus",D1390="S. californicus",D1390="S. tabernaemontani"),G1390=0),E1390*[1]Sheet1!$D$7+[1]Sheet1!$L$7,IF(AND(OR(D1390="S. acutus",D1390="S. tabernaemontani"),G1390&gt;0),E1390*[1]Sheet1!$D$8+N1390*[1]Sheet1!$E$8,IF(AND(D1390="S. californicus",G1390&gt;0),E1390*[1]Sheet1!$D$9+N1390*[1]Sheet1!$E$9,IF(D1390="S. maritimus",F1390*[1]Sheet1!$C$10+E1390*[1]Sheet1!$D$10+G1390*[1]Sheet1!$F$10+[1]Sheet1!$L$10,IF(D1390="S. americanus",F1390*[1]Sheet1!$C$6+E1390*[1]Sheet1!$D$6+[1]Sheet1!$L$6,IF(AND(OR(D1390="T. domingensis",D1390="T. latifolia"),E1390&gt;0),F1390*[1]Sheet1!$C$4+E1390*[1]Sheet1!$D$4+H1390*[1]Sheet1!$J$4+I1390*[1]Sheet1!$K$4+[1]Sheet1!$L$4,IF(AND(OR(D1390="T. domingensis",D1390="T. latifolia"),J1390&gt;0),J1390*[1]Sheet1!$G$5+K1390*[1]Sheet1!$H$5+L1390*[1]Sheet1!$I$5+[1]Sheet1!$L$5,0)))))))</f>
        <v>0.96186914899999953</v>
      </c>
    </row>
    <row r="1391" spans="1:15">
      <c r="A1391" s="2">
        <v>40738</v>
      </c>
      <c r="B1391" t="s">
        <v>43</v>
      </c>
      <c r="C1391">
        <v>22</v>
      </c>
      <c r="D1391" s="6" t="s">
        <v>29</v>
      </c>
      <c r="E1391">
        <v>115</v>
      </c>
      <c r="F1391">
        <v>0.41</v>
      </c>
      <c r="G1391">
        <v>0</v>
      </c>
      <c r="M1391" t="s">
        <v>45</v>
      </c>
      <c r="O1391">
        <f>IF(AND(OR(D1391="S. acutus",D1391="S. californicus",D1391="S. tabernaemontani"),G1391=0),E1391*[1]Sheet1!$D$7+[1]Sheet1!$L$7,IF(AND(OR(D1391="S. acutus",D1391="S. tabernaemontani"),G1391&gt;0),E1391*[1]Sheet1!$D$8+N1391*[1]Sheet1!$E$8,IF(AND(D1391="S. californicus",G1391&gt;0),E1391*[1]Sheet1!$D$9+N1391*[1]Sheet1!$E$9,IF(D1391="S. maritimus",F1391*[1]Sheet1!$C$10+E1391*[1]Sheet1!$D$10+G1391*[1]Sheet1!$F$10+[1]Sheet1!$L$10,IF(D1391="S. americanus",F1391*[1]Sheet1!$C$6+E1391*[1]Sheet1!$D$6+[1]Sheet1!$L$6,IF(AND(OR(D1391="T. domingensis",D1391="T. latifolia"),E1391&gt;0),F1391*[1]Sheet1!$C$4+E1391*[1]Sheet1!$D$4+H1391*[1]Sheet1!$J$4+I1391*[1]Sheet1!$K$4+[1]Sheet1!$L$4,IF(AND(OR(D1391="T. domingensis",D1391="T. latifolia"),J1391&gt;0),J1391*[1]Sheet1!$G$5+K1391*[1]Sheet1!$H$5+L1391*[1]Sheet1!$I$5+[1]Sheet1!$L$5,0)))))))</f>
        <v>0.96186914899999953</v>
      </c>
    </row>
    <row r="1392" spans="1:15">
      <c r="A1392" s="2">
        <v>40738</v>
      </c>
      <c r="B1392" t="s">
        <v>43</v>
      </c>
      <c r="C1392">
        <v>22</v>
      </c>
      <c r="D1392" s="6" t="s">
        <v>29</v>
      </c>
      <c r="E1392">
        <v>115</v>
      </c>
      <c r="F1392">
        <v>0.68</v>
      </c>
      <c r="G1392">
        <v>0</v>
      </c>
      <c r="M1392" t="s">
        <v>45</v>
      </c>
      <c r="O1392">
        <f>IF(AND(OR(D1392="S. acutus",D1392="S. californicus",D1392="S. tabernaemontani"),G1392=0),E1392*[1]Sheet1!$D$7+[1]Sheet1!$L$7,IF(AND(OR(D1392="S. acutus",D1392="S. tabernaemontani"),G1392&gt;0),E1392*[1]Sheet1!$D$8+N1392*[1]Sheet1!$E$8,IF(AND(D1392="S. californicus",G1392&gt;0),E1392*[1]Sheet1!$D$9+N1392*[1]Sheet1!$E$9,IF(D1392="S. maritimus",F1392*[1]Sheet1!$C$10+E1392*[1]Sheet1!$D$10+G1392*[1]Sheet1!$F$10+[1]Sheet1!$L$10,IF(D1392="S. americanus",F1392*[1]Sheet1!$C$6+E1392*[1]Sheet1!$D$6+[1]Sheet1!$L$6,IF(AND(OR(D1392="T. domingensis",D1392="T. latifolia"),E1392&gt;0),F1392*[1]Sheet1!$C$4+E1392*[1]Sheet1!$D$4+H1392*[1]Sheet1!$J$4+I1392*[1]Sheet1!$K$4+[1]Sheet1!$L$4,IF(AND(OR(D1392="T. domingensis",D1392="T. latifolia"),J1392&gt;0),J1392*[1]Sheet1!$G$5+K1392*[1]Sheet1!$H$5+L1392*[1]Sheet1!$I$5+[1]Sheet1!$L$5,0)))))))</f>
        <v>1.9210465519999995</v>
      </c>
    </row>
    <row r="1393" spans="1:15">
      <c r="A1393" s="2">
        <v>40738</v>
      </c>
      <c r="B1393" t="s">
        <v>43</v>
      </c>
      <c r="C1393">
        <v>22</v>
      </c>
      <c r="D1393" s="6" t="s">
        <v>29</v>
      </c>
      <c r="E1393">
        <v>118</v>
      </c>
      <c r="F1393">
        <v>0.39</v>
      </c>
      <c r="G1393">
        <v>0</v>
      </c>
      <c r="M1393" t="s">
        <v>45</v>
      </c>
      <c r="O1393">
        <f>IF(AND(OR(D1393="S. acutus",D1393="S. californicus",D1393="S. tabernaemontani"),G1393=0),E1393*[1]Sheet1!$D$7+[1]Sheet1!$L$7,IF(AND(OR(D1393="S. acutus",D1393="S. tabernaemontani"),G1393&gt;0),E1393*[1]Sheet1!$D$8+N1393*[1]Sheet1!$E$8,IF(AND(D1393="S. californicus",G1393&gt;0),E1393*[1]Sheet1!$D$9+N1393*[1]Sheet1!$E$9,IF(D1393="S. maritimus",F1393*[1]Sheet1!$C$10+E1393*[1]Sheet1!$D$10+G1393*[1]Sheet1!$F$10+[1]Sheet1!$L$10,IF(D1393="S. americanus",F1393*[1]Sheet1!$C$6+E1393*[1]Sheet1!$D$6+[1]Sheet1!$L$6,IF(AND(OR(D1393="T. domingensis",D1393="T. latifolia"),E1393&gt;0),F1393*[1]Sheet1!$C$4+E1393*[1]Sheet1!$D$4+H1393*[1]Sheet1!$J$4+I1393*[1]Sheet1!$K$4+[1]Sheet1!$L$4,IF(AND(OR(D1393="T. domingensis",D1393="T. latifolia"),J1393&gt;0),J1393*[1]Sheet1!$G$5+K1393*[1]Sheet1!$H$5+L1393*[1]Sheet1!$I$5+[1]Sheet1!$L$5,0)))))))</f>
        <v>0.93786107099999994</v>
      </c>
    </row>
    <row r="1394" spans="1:15">
      <c r="A1394" s="2">
        <v>40738</v>
      </c>
      <c r="B1394" t="s">
        <v>43</v>
      </c>
      <c r="C1394">
        <v>22</v>
      </c>
      <c r="D1394" s="6" t="s">
        <v>29</v>
      </c>
      <c r="E1394">
        <v>121</v>
      </c>
      <c r="F1394">
        <v>0.39</v>
      </c>
      <c r="G1394">
        <v>0</v>
      </c>
      <c r="M1394" t="s">
        <v>45</v>
      </c>
      <c r="O1394">
        <f>IF(AND(OR(D1394="S. acutus",D1394="S. californicus",D1394="S. tabernaemontani"),G1394=0),E1394*[1]Sheet1!$D$7+[1]Sheet1!$L$7,IF(AND(OR(D1394="S. acutus",D1394="S. tabernaemontani"),G1394&gt;0),E1394*[1]Sheet1!$D$8+N1394*[1]Sheet1!$E$8,IF(AND(D1394="S. californicus",G1394&gt;0),E1394*[1]Sheet1!$D$9+N1394*[1]Sheet1!$E$9,IF(D1394="S. maritimus",F1394*[1]Sheet1!$C$10+E1394*[1]Sheet1!$D$10+G1394*[1]Sheet1!$F$10+[1]Sheet1!$L$10,IF(D1394="S. americanus",F1394*[1]Sheet1!$C$6+E1394*[1]Sheet1!$D$6+[1]Sheet1!$L$6,IF(AND(OR(D1394="T. domingensis",D1394="T. latifolia"),E1394&gt;0),F1394*[1]Sheet1!$C$4+E1394*[1]Sheet1!$D$4+H1394*[1]Sheet1!$J$4+I1394*[1]Sheet1!$K$4+[1]Sheet1!$L$4,IF(AND(OR(D1394="T. domingensis",D1394="T. latifolia"),J1394&gt;0),J1394*[1]Sheet1!$G$5+K1394*[1]Sheet1!$H$5+L1394*[1]Sheet1!$I$5+[1]Sheet1!$L$5,0)))))))</f>
        <v>0.98490317099999958</v>
      </c>
    </row>
    <row r="1395" spans="1:15">
      <c r="A1395" s="2">
        <v>40738</v>
      </c>
      <c r="B1395" t="s">
        <v>43</v>
      </c>
      <c r="C1395">
        <v>22</v>
      </c>
      <c r="D1395" s="6" t="s">
        <v>29</v>
      </c>
      <c r="E1395">
        <v>124</v>
      </c>
      <c r="F1395">
        <v>0.42</v>
      </c>
      <c r="G1395">
        <v>0</v>
      </c>
      <c r="M1395" t="s">
        <v>45</v>
      </c>
      <c r="O1395">
        <f>IF(AND(OR(D1395="S. acutus",D1395="S. californicus",D1395="S. tabernaemontani"),G1395=0),E1395*[1]Sheet1!$D$7+[1]Sheet1!$L$7,IF(AND(OR(D1395="S. acutus",D1395="S. tabernaemontani"),G1395&gt;0),E1395*[1]Sheet1!$D$8+N1395*[1]Sheet1!$E$8,IF(AND(D1395="S. californicus",G1395&gt;0),E1395*[1]Sheet1!$D$9+N1395*[1]Sheet1!$E$9,IF(D1395="S. maritimus",F1395*[1]Sheet1!$C$10+E1395*[1]Sheet1!$D$10+G1395*[1]Sheet1!$F$10+[1]Sheet1!$L$10,IF(D1395="S. americanus",F1395*[1]Sheet1!$C$6+E1395*[1]Sheet1!$D$6+[1]Sheet1!$L$6,IF(AND(OR(D1395="T. domingensis",D1395="T. latifolia"),E1395&gt;0),F1395*[1]Sheet1!$C$4+E1395*[1]Sheet1!$D$4+H1395*[1]Sheet1!$J$4+I1395*[1]Sheet1!$K$4+[1]Sheet1!$L$4,IF(AND(OR(D1395="T. domingensis",D1395="T. latifolia"),J1395&gt;0),J1395*[1]Sheet1!$G$5+K1395*[1]Sheet1!$H$5+L1395*[1]Sheet1!$I$5+[1]Sheet1!$L$5,0)))))))</f>
        <v>1.1385205379999994</v>
      </c>
    </row>
    <row r="1396" spans="1:15">
      <c r="A1396" s="2">
        <v>40738</v>
      </c>
      <c r="B1396" t="s">
        <v>43</v>
      </c>
      <c r="C1396">
        <v>22</v>
      </c>
      <c r="D1396" s="6" t="s">
        <v>29</v>
      </c>
      <c r="E1396">
        <v>131</v>
      </c>
      <c r="F1396">
        <v>0.41</v>
      </c>
      <c r="G1396">
        <v>0</v>
      </c>
      <c r="M1396" t="s">
        <v>45</v>
      </c>
      <c r="O1396">
        <f>IF(AND(OR(D1396="S. acutus",D1396="S. californicus",D1396="S. tabernaemontani"),G1396=0),E1396*[1]Sheet1!$D$7+[1]Sheet1!$L$7,IF(AND(OR(D1396="S. acutus",D1396="S. tabernaemontani"),G1396&gt;0),E1396*[1]Sheet1!$D$8+N1396*[1]Sheet1!$E$8,IF(AND(D1396="S. californicus",G1396&gt;0),E1396*[1]Sheet1!$D$9+N1396*[1]Sheet1!$E$9,IF(D1396="S. maritimus",F1396*[1]Sheet1!$C$10+E1396*[1]Sheet1!$D$10+G1396*[1]Sheet1!$F$10+[1]Sheet1!$L$10,IF(D1396="S. americanus",F1396*[1]Sheet1!$C$6+E1396*[1]Sheet1!$D$6+[1]Sheet1!$L$6,IF(AND(OR(D1396="T. domingensis",D1396="T. latifolia"),E1396&gt;0),F1396*[1]Sheet1!$C$4+E1396*[1]Sheet1!$D$4+H1396*[1]Sheet1!$J$4+I1396*[1]Sheet1!$K$4+[1]Sheet1!$L$4,IF(AND(OR(D1396="T. domingensis",D1396="T. latifolia"),J1396&gt;0),J1396*[1]Sheet1!$G$5+K1396*[1]Sheet1!$H$5+L1396*[1]Sheet1!$I$5+[1]Sheet1!$L$5,0)))))))</f>
        <v>1.2127603489999994</v>
      </c>
    </row>
    <row r="1397" spans="1:15">
      <c r="A1397" s="2">
        <v>40738</v>
      </c>
      <c r="B1397" t="s">
        <v>43</v>
      </c>
      <c r="C1397">
        <v>22</v>
      </c>
      <c r="D1397" s="6" t="s">
        <v>29</v>
      </c>
      <c r="E1397">
        <v>131</v>
      </c>
      <c r="F1397">
        <v>0.46</v>
      </c>
      <c r="G1397">
        <v>0</v>
      </c>
      <c r="M1397" t="s">
        <v>45</v>
      </c>
      <c r="O1397">
        <f>IF(AND(OR(D1397="S. acutus",D1397="S. californicus",D1397="S. tabernaemontani"),G1397=0),E1397*[1]Sheet1!$D$7+[1]Sheet1!$L$7,IF(AND(OR(D1397="S. acutus",D1397="S. tabernaemontani"),G1397&gt;0),E1397*[1]Sheet1!$D$8+N1397*[1]Sheet1!$E$8,IF(AND(D1397="S. californicus",G1397&gt;0),E1397*[1]Sheet1!$D$9+N1397*[1]Sheet1!$E$9,IF(D1397="S. maritimus",F1397*[1]Sheet1!$C$10+E1397*[1]Sheet1!$D$10+G1397*[1]Sheet1!$F$10+[1]Sheet1!$L$10,IF(D1397="S. americanus",F1397*[1]Sheet1!$C$6+E1397*[1]Sheet1!$D$6+[1]Sheet1!$L$6,IF(AND(OR(D1397="T. domingensis",D1397="T. latifolia"),E1397&gt;0),F1397*[1]Sheet1!$C$4+E1397*[1]Sheet1!$D$4+H1397*[1]Sheet1!$J$4+I1397*[1]Sheet1!$K$4+[1]Sheet1!$L$4,IF(AND(OR(D1397="T. domingensis",D1397="T. latifolia"),J1397&gt;0),J1397*[1]Sheet1!$G$5+K1397*[1]Sheet1!$H$5+L1397*[1]Sheet1!$I$5+[1]Sheet1!$L$5,0)))))))</f>
        <v>1.3903857939999997</v>
      </c>
    </row>
    <row r="1398" spans="1:15">
      <c r="A1398" s="2">
        <v>40738</v>
      </c>
      <c r="B1398" t="s">
        <v>43</v>
      </c>
      <c r="C1398">
        <v>22</v>
      </c>
      <c r="D1398" s="6" t="s">
        <v>29</v>
      </c>
      <c r="E1398">
        <v>131</v>
      </c>
      <c r="F1398">
        <v>0.67</v>
      </c>
      <c r="G1398">
        <v>0</v>
      </c>
      <c r="M1398" t="s">
        <v>45</v>
      </c>
      <c r="O1398">
        <f>IF(AND(OR(D1398="S. acutus",D1398="S. californicus",D1398="S. tabernaemontani"),G1398=0),E1398*[1]Sheet1!$D$7+[1]Sheet1!$L$7,IF(AND(OR(D1398="S. acutus",D1398="S. tabernaemontani"),G1398&gt;0),E1398*[1]Sheet1!$D$8+N1398*[1]Sheet1!$E$8,IF(AND(D1398="S. californicus",G1398&gt;0),E1398*[1]Sheet1!$D$9+N1398*[1]Sheet1!$E$9,IF(D1398="S. maritimus",F1398*[1]Sheet1!$C$10+E1398*[1]Sheet1!$D$10+G1398*[1]Sheet1!$F$10+[1]Sheet1!$L$10,IF(D1398="S. americanus",F1398*[1]Sheet1!$C$6+E1398*[1]Sheet1!$D$6+[1]Sheet1!$L$6,IF(AND(OR(D1398="T. domingensis",D1398="T. latifolia"),E1398&gt;0),F1398*[1]Sheet1!$C$4+E1398*[1]Sheet1!$D$4+H1398*[1]Sheet1!$J$4+I1398*[1]Sheet1!$K$4+[1]Sheet1!$L$4,IF(AND(OR(D1398="T. domingensis",D1398="T. latifolia"),J1398&gt;0),J1398*[1]Sheet1!$G$5+K1398*[1]Sheet1!$H$5+L1398*[1]Sheet1!$I$5+[1]Sheet1!$L$5,0)))))))</f>
        <v>2.1364126630000002</v>
      </c>
    </row>
    <row r="1399" spans="1:15">
      <c r="A1399" s="2">
        <v>40738</v>
      </c>
      <c r="B1399" t="s">
        <v>43</v>
      </c>
      <c r="C1399">
        <v>22</v>
      </c>
      <c r="D1399" s="6" t="s">
        <v>29</v>
      </c>
      <c r="E1399">
        <v>133</v>
      </c>
      <c r="F1399">
        <v>0.51</v>
      </c>
      <c r="G1399">
        <v>0</v>
      </c>
      <c r="M1399" t="s">
        <v>45</v>
      </c>
      <c r="O1399">
        <f>IF(AND(OR(D1399="S. acutus",D1399="S. californicus",D1399="S. tabernaemontani"),G1399=0),E1399*[1]Sheet1!$D$7+[1]Sheet1!$L$7,IF(AND(OR(D1399="S. acutus",D1399="S. tabernaemontani"),G1399&gt;0),E1399*[1]Sheet1!$D$8+N1399*[1]Sheet1!$E$8,IF(AND(D1399="S. californicus",G1399&gt;0),E1399*[1]Sheet1!$D$9+N1399*[1]Sheet1!$E$9,IF(D1399="S. maritimus",F1399*[1]Sheet1!$C$10+E1399*[1]Sheet1!$D$10+G1399*[1]Sheet1!$F$10+[1]Sheet1!$L$10,IF(D1399="S. americanus",F1399*[1]Sheet1!$C$6+E1399*[1]Sheet1!$D$6+[1]Sheet1!$L$6,IF(AND(OR(D1399="T. domingensis",D1399="T. latifolia"),E1399&gt;0),F1399*[1]Sheet1!$C$4+E1399*[1]Sheet1!$D$4+H1399*[1]Sheet1!$J$4+I1399*[1]Sheet1!$K$4+[1]Sheet1!$L$4,IF(AND(OR(D1399="T. domingensis",D1399="T. latifolia"),J1399&gt;0),J1399*[1]Sheet1!$G$5+K1399*[1]Sheet1!$H$5+L1399*[1]Sheet1!$I$5+[1]Sheet1!$L$5,0)))))))</f>
        <v>1.5993726389999998</v>
      </c>
    </row>
    <row r="1400" spans="1:15">
      <c r="A1400" s="2">
        <v>40738</v>
      </c>
      <c r="B1400" t="s">
        <v>43</v>
      </c>
      <c r="C1400">
        <v>22</v>
      </c>
      <c r="D1400" s="6" t="s">
        <v>29</v>
      </c>
      <c r="E1400">
        <v>133</v>
      </c>
      <c r="F1400">
        <v>0.57999999999999996</v>
      </c>
      <c r="G1400">
        <v>0</v>
      </c>
      <c r="M1400" t="s">
        <v>45</v>
      </c>
      <c r="O1400">
        <f>IF(AND(OR(D1400="S. acutus",D1400="S. californicus",D1400="S. tabernaemontani"),G1400=0),E1400*[1]Sheet1!$D$7+[1]Sheet1!$L$7,IF(AND(OR(D1400="S. acutus",D1400="S. tabernaemontani"),G1400&gt;0),E1400*[1]Sheet1!$D$8+N1400*[1]Sheet1!$E$8,IF(AND(D1400="S. californicus",G1400&gt;0),E1400*[1]Sheet1!$D$9+N1400*[1]Sheet1!$E$9,IF(D1400="S. maritimus",F1400*[1]Sheet1!$C$10+E1400*[1]Sheet1!$D$10+G1400*[1]Sheet1!$F$10+[1]Sheet1!$L$10,IF(D1400="S. americanus",F1400*[1]Sheet1!$C$6+E1400*[1]Sheet1!$D$6+[1]Sheet1!$L$6,IF(AND(OR(D1400="T. domingensis",D1400="T. latifolia"),E1400&gt;0),F1400*[1]Sheet1!$C$4+E1400*[1]Sheet1!$D$4+H1400*[1]Sheet1!$J$4+I1400*[1]Sheet1!$K$4+[1]Sheet1!$L$4,IF(AND(OR(D1400="T. domingensis",D1400="T. latifolia"),J1400&gt;0),J1400*[1]Sheet1!$G$5+K1400*[1]Sheet1!$H$5+L1400*[1]Sheet1!$I$5+[1]Sheet1!$L$5,0)))))))</f>
        <v>1.8480482619999994</v>
      </c>
    </row>
    <row r="1401" spans="1:15">
      <c r="A1401" s="2">
        <v>40738</v>
      </c>
      <c r="B1401" t="s">
        <v>43</v>
      </c>
      <c r="C1401">
        <v>22</v>
      </c>
      <c r="D1401" s="6" t="s">
        <v>29</v>
      </c>
      <c r="E1401">
        <v>133</v>
      </c>
      <c r="F1401">
        <v>0.64</v>
      </c>
      <c r="G1401">
        <v>0</v>
      </c>
      <c r="M1401" t="s">
        <v>45</v>
      </c>
      <c r="O1401">
        <f>IF(AND(OR(D1401="S. acutus",D1401="S. californicus",D1401="S. tabernaemontani"),G1401=0),E1401*[1]Sheet1!$D$7+[1]Sheet1!$L$7,IF(AND(OR(D1401="S. acutus",D1401="S. tabernaemontani"),G1401&gt;0),E1401*[1]Sheet1!$D$8+N1401*[1]Sheet1!$E$8,IF(AND(D1401="S. californicus",G1401&gt;0),E1401*[1]Sheet1!$D$9+N1401*[1]Sheet1!$E$9,IF(D1401="S. maritimus",F1401*[1]Sheet1!$C$10+E1401*[1]Sheet1!$D$10+G1401*[1]Sheet1!$F$10+[1]Sheet1!$L$10,IF(D1401="S. americanus",F1401*[1]Sheet1!$C$6+E1401*[1]Sheet1!$D$6+[1]Sheet1!$L$6,IF(AND(OR(D1401="T. domingensis",D1401="T. latifolia"),E1401&gt;0),F1401*[1]Sheet1!$C$4+E1401*[1]Sheet1!$D$4+H1401*[1]Sheet1!$J$4+I1401*[1]Sheet1!$K$4+[1]Sheet1!$L$4,IF(AND(OR(D1401="T. domingensis",D1401="T. latifolia"),J1401&gt;0),J1401*[1]Sheet1!$G$5+K1401*[1]Sheet1!$H$5+L1401*[1]Sheet1!$I$5+[1]Sheet1!$L$5,0)))))))</f>
        <v>2.0611987959999998</v>
      </c>
    </row>
    <row r="1402" spans="1:15">
      <c r="A1402" s="2">
        <v>40738</v>
      </c>
      <c r="B1402" t="s">
        <v>43</v>
      </c>
      <c r="C1402">
        <v>22</v>
      </c>
      <c r="D1402" s="6" t="s">
        <v>29</v>
      </c>
      <c r="E1402">
        <v>134</v>
      </c>
      <c r="F1402">
        <v>0.5</v>
      </c>
      <c r="G1402">
        <v>0</v>
      </c>
      <c r="M1402" t="s">
        <v>45</v>
      </c>
      <c r="O1402">
        <f>IF(AND(OR(D1402="S. acutus",D1402="S. californicus",D1402="S. tabernaemontani"),G1402=0),E1402*[1]Sheet1!$D$7+[1]Sheet1!$L$7,IF(AND(OR(D1402="S. acutus",D1402="S. tabernaemontani"),G1402&gt;0),E1402*[1]Sheet1!$D$8+N1402*[1]Sheet1!$E$8,IF(AND(D1402="S. californicus",G1402&gt;0),E1402*[1]Sheet1!$D$9+N1402*[1]Sheet1!$E$9,IF(D1402="S. maritimus",F1402*[1]Sheet1!$C$10+E1402*[1]Sheet1!$D$10+G1402*[1]Sheet1!$F$10+[1]Sheet1!$L$10,IF(D1402="S. americanus",F1402*[1]Sheet1!$C$6+E1402*[1]Sheet1!$D$6+[1]Sheet1!$L$6,IF(AND(OR(D1402="T. domingensis",D1402="T. latifolia"),E1402&gt;0),F1402*[1]Sheet1!$C$4+E1402*[1]Sheet1!$D$4+H1402*[1]Sheet1!$J$4+I1402*[1]Sheet1!$K$4+[1]Sheet1!$L$4,IF(AND(OR(D1402="T. domingensis",D1402="T. latifolia"),J1402&gt;0),J1402*[1]Sheet1!$G$5+K1402*[1]Sheet1!$H$5+L1402*[1]Sheet1!$I$5+[1]Sheet1!$L$5,0)))))))</f>
        <v>1.5795282499999996</v>
      </c>
    </row>
    <row r="1403" spans="1:15">
      <c r="A1403" s="2">
        <v>40738</v>
      </c>
      <c r="B1403" t="s">
        <v>43</v>
      </c>
      <c r="C1403">
        <v>22</v>
      </c>
      <c r="D1403" s="6" t="s">
        <v>29</v>
      </c>
      <c r="E1403">
        <v>134</v>
      </c>
      <c r="F1403">
        <v>0.83</v>
      </c>
      <c r="G1403">
        <v>0</v>
      </c>
      <c r="M1403" t="s">
        <v>45</v>
      </c>
      <c r="O1403">
        <f>IF(AND(OR(D1403="S. acutus",D1403="S. californicus",D1403="S. tabernaemontani"),G1403=0),E1403*[1]Sheet1!$D$7+[1]Sheet1!$L$7,IF(AND(OR(D1403="S. acutus",D1403="S. tabernaemontani"),G1403&gt;0),E1403*[1]Sheet1!$D$8+N1403*[1]Sheet1!$E$8,IF(AND(D1403="S. californicus",G1403&gt;0),E1403*[1]Sheet1!$D$9+N1403*[1]Sheet1!$E$9,IF(D1403="S. maritimus",F1403*[1]Sheet1!$C$10+E1403*[1]Sheet1!$D$10+G1403*[1]Sheet1!$F$10+[1]Sheet1!$L$10,IF(D1403="S. americanus",F1403*[1]Sheet1!$C$6+E1403*[1]Sheet1!$D$6+[1]Sheet1!$L$6,IF(AND(OR(D1403="T. domingensis",D1403="T. latifolia"),E1403&gt;0),F1403*[1]Sheet1!$C$4+E1403*[1]Sheet1!$D$4+H1403*[1]Sheet1!$J$4+I1403*[1]Sheet1!$K$4+[1]Sheet1!$L$4,IF(AND(OR(D1403="T. domingensis",D1403="T. latifolia"),J1403&gt;0),J1403*[1]Sheet1!$G$5+K1403*[1]Sheet1!$H$5+L1403*[1]Sheet1!$I$5+[1]Sheet1!$L$5,0)))))))</f>
        <v>2.751856187</v>
      </c>
    </row>
    <row r="1404" spans="1:15">
      <c r="A1404" s="2">
        <v>40738</v>
      </c>
      <c r="B1404" t="s">
        <v>43</v>
      </c>
      <c r="C1404">
        <v>22</v>
      </c>
      <c r="D1404" s="6" t="s">
        <v>29</v>
      </c>
      <c r="E1404">
        <v>137</v>
      </c>
      <c r="F1404">
        <v>0.81</v>
      </c>
      <c r="G1404">
        <v>0</v>
      </c>
      <c r="M1404" t="s">
        <v>45</v>
      </c>
      <c r="O1404">
        <f>IF(AND(OR(D1404="S. acutus",D1404="S. californicus",D1404="S. tabernaemontani"),G1404=0),E1404*[1]Sheet1!$D$7+[1]Sheet1!$L$7,IF(AND(OR(D1404="S. acutus",D1404="S. tabernaemontani"),G1404&gt;0),E1404*[1]Sheet1!$D$8+N1404*[1]Sheet1!$E$8,IF(AND(D1404="S. californicus",G1404&gt;0),E1404*[1]Sheet1!$D$9+N1404*[1]Sheet1!$E$9,IF(D1404="S. maritimus",F1404*[1]Sheet1!$C$10+E1404*[1]Sheet1!$D$10+G1404*[1]Sheet1!$F$10+[1]Sheet1!$L$10,IF(D1404="S. americanus",F1404*[1]Sheet1!$C$6+E1404*[1]Sheet1!$D$6+[1]Sheet1!$L$6,IF(AND(OR(D1404="T. domingensis",D1404="T. latifolia"),E1404&gt;0),F1404*[1]Sheet1!$C$4+E1404*[1]Sheet1!$D$4+H1404*[1]Sheet1!$J$4+I1404*[1]Sheet1!$K$4+[1]Sheet1!$L$4,IF(AND(OR(D1404="T. domingensis",D1404="T. latifolia"),J1404&gt;0),J1404*[1]Sheet1!$G$5+K1404*[1]Sheet1!$H$5+L1404*[1]Sheet1!$I$5+[1]Sheet1!$L$5,0)))))))</f>
        <v>2.7278481089999995</v>
      </c>
    </row>
    <row r="1405" spans="1:15">
      <c r="A1405" s="2">
        <v>40738</v>
      </c>
      <c r="B1405" t="s">
        <v>43</v>
      </c>
      <c r="C1405">
        <v>22</v>
      </c>
      <c r="D1405" s="6" t="s">
        <v>29</v>
      </c>
      <c r="E1405">
        <v>137</v>
      </c>
      <c r="F1405">
        <v>1.01</v>
      </c>
      <c r="G1405">
        <v>0</v>
      </c>
      <c r="M1405" t="s">
        <v>45</v>
      </c>
      <c r="O1405">
        <f>IF(AND(OR(D1405="S. acutus",D1405="S. californicus",D1405="S. tabernaemontani"),G1405=0),E1405*[1]Sheet1!$D$7+[1]Sheet1!$L$7,IF(AND(OR(D1405="S. acutus",D1405="S. tabernaemontani"),G1405&gt;0),E1405*[1]Sheet1!$D$8+N1405*[1]Sheet1!$E$8,IF(AND(D1405="S. californicus",G1405&gt;0),E1405*[1]Sheet1!$D$9+N1405*[1]Sheet1!$E$9,IF(D1405="S. maritimus",F1405*[1]Sheet1!$C$10+E1405*[1]Sheet1!$D$10+G1405*[1]Sheet1!$F$10+[1]Sheet1!$L$10,IF(D1405="S. americanus",F1405*[1]Sheet1!$C$6+E1405*[1]Sheet1!$D$6+[1]Sheet1!$L$6,IF(AND(OR(D1405="T. domingensis",D1405="T. latifolia"),E1405&gt;0),F1405*[1]Sheet1!$C$4+E1405*[1]Sheet1!$D$4+H1405*[1]Sheet1!$J$4+I1405*[1]Sheet1!$K$4+[1]Sheet1!$L$4,IF(AND(OR(D1405="T. domingensis",D1405="T. latifolia"),J1405&gt;0),J1405*[1]Sheet1!$G$5+K1405*[1]Sheet1!$H$5+L1405*[1]Sheet1!$I$5+[1]Sheet1!$L$5,0)))))))</f>
        <v>3.4383498889999999</v>
      </c>
    </row>
    <row r="1406" spans="1:15">
      <c r="A1406" s="2">
        <v>40738</v>
      </c>
      <c r="B1406" t="s">
        <v>43</v>
      </c>
      <c r="C1406">
        <v>22</v>
      </c>
      <c r="D1406" s="6" t="s">
        <v>29</v>
      </c>
      <c r="E1406">
        <v>142</v>
      </c>
      <c r="F1406">
        <v>0.6</v>
      </c>
      <c r="G1406">
        <v>1</v>
      </c>
      <c r="M1406" t="s">
        <v>45</v>
      </c>
      <c r="O1406">
        <f>IF(AND(OR(D1406="S. acutus",D1406="S. californicus",D1406="S. tabernaemontani"),G1406=0),E1406*[1]Sheet1!$D$7+[1]Sheet1!$L$7,IF(AND(OR(D1406="S. acutus",D1406="S. tabernaemontani"),G1406&gt;0),E1406*[1]Sheet1!$D$8+N1406*[1]Sheet1!$E$8,IF(AND(D1406="S. californicus",G1406&gt;0),E1406*[1]Sheet1!$D$9+N1406*[1]Sheet1!$E$9,IF(D1406="S. maritimus",F1406*[1]Sheet1!$C$10+E1406*[1]Sheet1!$D$10+G1406*[1]Sheet1!$F$10+[1]Sheet1!$L$10,IF(D1406="S. americanus",F1406*[1]Sheet1!$C$6+E1406*[1]Sheet1!$D$6+[1]Sheet1!$L$6,IF(AND(OR(D1406="T. domingensis",D1406="T. latifolia"),E1406&gt;0),F1406*[1]Sheet1!$C$4+E1406*[1]Sheet1!$D$4+H1406*[1]Sheet1!$J$4+I1406*[1]Sheet1!$K$4+[1]Sheet1!$L$4,IF(AND(OR(D1406="T. domingensis",D1406="T. latifolia"),J1406&gt;0),J1406*[1]Sheet1!$G$5+K1406*[1]Sheet1!$H$5+L1406*[1]Sheet1!$I$5+[1]Sheet1!$L$5,0)))))))</f>
        <v>2.0602247399999993</v>
      </c>
    </row>
    <row r="1407" spans="1:15">
      <c r="A1407" s="2">
        <v>40738</v>
      </c>
      <c r="B1407" t="s">
        <v>43</v>
      </c>
      <c r="C1407">
        <v>22</v>
      </c>
      <c r="D1407" s="6" t="s">
        <v>29</v>
      </c>
      <c r="E1407">
        <v>142</v>
      </c>
      <c r="F1407">
        <v>0.66</v>
      </c>
      <c r="G1407">
        <v>0</v>
      </c>
      <c r="M1407" t="s">
        <v>45</v>
      </c>
      <c r="O1407">
        <f>IF(AND(OR(D1407="S. acutus",D1407="S. californicus",D1407="S. tabernaemontani"),G1407=0),E1407*[1]Sheet1!$D$7+[1]Sheet1!$L$7,IF(AND(OR(D1407="S. acutus",D1407="S. tabernaemontani"),G1407&gt;0),E1407*[1]Sheet1!$D$8+N1407*[1]Sheet1!$E$8,IF(AND(D1407="S. californicus",G1407&gt;0),E1407*[1]Sheet1!$D$9+N1407*[1]Sheet1!$E$9,IF(D1407="S. maritimus",F1407*[1]Sheet1!$C$10+E1407*[1]Sheet1!$D$10+G1407*[1]Sheet1!$F$10+[1]Sheet1!$L$10,IF(D1407="S. americanus",F1407*[1]Sheet1!$C$6+E1407*[1]Sheet1!$D$6+[1]Sheet1!$L$6,IF(AND(OR(D1407="T. domingensis",D1407="T. latifolia"),E1407&gt;0),F1407*[1]Sheet1!$C$4+E1407*[1]Sheet1!$D$4+H1407*[1]Sheet1!$J$4+I1407*[1]Sheet1!$K$4+[1]Sheet1!$L$4,IF(AND(OR(D1407="T. domingensis",D1407="T. latifolia"),J1407&gt;0),J1407*[1]Sheet1!$G$5+K1407*[1]Sheet1!$H$5+L1407*[1]Sheet1!$I$5+[1]Sheet1!$L$5,0)))))))</f>
        <v>2.2733752739999997</v>
      </c>
    </row>
    <row r="1408" spans="1:15">
      <c r="A1408" s="2">
        <v>40738</v>
      </c>
      <c r="B1408" t="s">
        <v>43</v>
      </c>
      <c r="C1408">
        <v>22</v>
      </c>
      <c r="D1408" s="6" t="s">
        <v>29</v>
      </c>
      <c r="E1408">
        <v>147</v>
      </c>
      <c r="F1408">
        <v>0.96</v>
      </c>
      <c r="G1408">
        <v>0</v>
      </c>
      <c r="M1408" t="s">
        <v>45</v>
      </c>
      <c r="O1408">
        <f>IF(AND(OR(D1408="S. acutus",D1408="S. californicus",D1408="S. tabernaemontani"),G1408=0),E1408*[1]Sheet1!$D$7+[1]Sheet1!$L$7,IF(AND(OR(D1408="S. acutus",D1408="S. tabernaemontani"),G1408&gt;0),E1408*[1]Sheet1!$D$8+N1408*[1]Sheet1!$E$8,IF(AND(D1408="S. californicus",G1408&gt;0),E1408*[1]Sheet1!$D$9+N1408*[1]Sheet1!$E$9,IF(D1408="S. maritimus",F1408*[1]Sheet1!$C$10+E1408*[1]Sheet1!$D$10+G1408*[1]Sheet1!$F$10+[1]Sheet1!$L$10,IF(D1408="S. americanus",F1408*[1]Sheet1!$C$6+E1408*[1]Sheet1!$D$6+[1]Sheet1!$L$6,IF(AND(OR(D1408="T. domingensis",D1408="T. latifolia"),E1408&gt;0),F1408*[1]Sheet1!$C$4+E1408*[1]Sheet1!$D$4+H1408*[1]Sheet1!$J$4+I1408*[1]Sheet1!$K$4+[1]Sheet1!$L$4,IF(AND(OR(D1408="T. domingensis",D1408="T. latifolia"),J1408&gt;0),J1408*[1]Sheet1!$G$5+K1408*[1]Sheet1!$H$5+L1408*[1]Sheet1!$I$5+[1]Sheet1!$L$5,0)))))))</f>
        <v>3.4175314439999993</v>
      </c>
    </row>
    <row r="1409" spans="1:15">
      <c r="A1409" s="2">
        <v>40738</v>
      </c>
      <c r="B1409" t="s">
        <v>43</v>
      </c>
      <c r="C1409">
        <v>22</v>
      </c>
      <c r="D1409" s="6" t="s">
        <v>29</v>
      </c>
      <c r="E1409">
        <v>148</v>
      </c>
      <c r="F1409">
        <v>0.54</v>
      </c>
      <c r="G1409">
        <v>0</v>
      </c>
      <c r="M1409" t="s">
        <v>45</v>
      </c>
      <c r="O1409">
        <f>IF(AND(OR(D1409="S. acutus",D1409="S. californicus",D1409="S. tabernaemontani"),G1409=0),E1409*[1]Sheet1!$D$7+[1]Sheet1!$L$7,IF(AND(OR(D1409="S. acutus",D1409="S. tabernaemontani"),G1409&gt;0),E1409*[1]Sheet1!$D$8+N1409*[1]Sheet1!$E$8,IF(AND(D1409="S. californicus",G1409&gt;0),E1409*[1]Sheet1!$D$9+N1409*[1]Sheet1!$E$9,IF(D1409="S. maritimus",F1409*[1]Sheet1!$C$10+E1409*[1]Sheet1!$D$10+G1409*[1]Sheet1!$F$10+[1]Sheet1!$L$10,IF(D1409="S. americanus",F1409*[1]Sheet1!$C$6+E1409*[1]Sheet1!$D$6+[1]Sheet1!$L$6,IF(AND(OR(D1409="T. domingensis",D1409="T. latifolia"),E1409&gt;0),F1409*[1]Sheet1!$C$4+E1409*[1]Sheet1!$D$4+H1409*[1]Sheet1!$J$4+I1409*[1]Sheet1!$K$4+[1]Sheet1!$L$4,IF(AND(OR(D1409="T. domingensis",D1409="T. latifolia"),J1409&gt;0),J1409*[1]Sheet1!$G$5+K1409*[1]Sheet1!$H$5+L1409*[1]Sheet1!$I$5+[1]Sheet1!$L$5,0)))))))</f>
        <v>1.941158406</v>
      </c>
    </row>
    <row r="1410" spans="1:15">
      <c r="A1410" s="2">
        <v>40738</v>
      </c>
      <c r="B1410" t="s">
        <v>43</v>
      </c>
      <c r="C1410">
        <v>22</v>
      </c>
      <c r="D1410" s="6" t="s">
        <v>29</v>
      </c>
      <c r="E1410">
        <v>149</v>
      </c>
      <c r="F1410">
        <v>0.56000000000000005</v>
      </c>
      <c r="G1410">
        <v>0</v>
      </c>
      <c r="M1410" t="s">
        <v>45</v>
      </c>
      <c r="O1410">
        <f>IF(AND(OR(D1410="S. acutus",D1410="S. californicus",D1410="S. tabernaemontani"),G1410=0),E1410*[1]Sheet1!$D$7+[1]Sheet1!$L$7,IF(AND(OR(D1410="S. acutus",D1410="S. tabernaemontani"),G1410&gt;0),E1410*[1]Sheet1!$D$8+N1410*[1]Sheet1!$E$8,IF(AND(D1410="S. californicus",G1410&gt;0),E1410*[1]Sheet1!$D$9+N1410*[1]Sheet1!$E$9,IF(D1410="S. maritimus",F1410*[1]Sheet1!$C$10+E1410*[1]Sheet1!$D$10+G1410*[1]Sheet1!$F$10+[1]Sheet1!$L$10,IF(D1410="S. americanus",F1410*[1]Sheet1!$C$6+E1410*[1]Sheet1!$D$6+[1]Sheet1!$L$6,IF(AND(OR(D1410="T. domingensis",D1410="T. latifolia"),E1410&gt;0),F1410*[1]Sheet1!$C$4+E1410*[1]Sheet1!$D$4+H1410*[1]Sheet1!$J$4+I1410*[1]Sheet1!$K$4+[1]Sheet1!$L$4,IF(AND(OR(D1410="T. domingensis",D1410="T. latifolia"),J1410&gt;0),J1410*[1]Sheet1!$G$5+K1410*[1]Sheet1!$H$5+L1410*[1]Sheet1!$I$5+[1]Sheet1!$L$5,0)))))))</f>
        <v>2.027889284</v>
      </c>
    </row>
    <row r="1411" spans="1:15">
      <c r="A1411" s="2">
        <v>40738</v>
      </c>
      <c r="B1411" t="s">
        <v>43</v>
      </c>
      <c r="C1411">
        <v>22</v>
      </c>
      <c r="D1411" s="6" t="s">
        <v>29</v>
      </c>
      <c r="E1411">
        <v>149</v>
      </c>
      <c r="F1411">
        <v>0.6</v>
      </c>
      <c r="G1411">
        <v>1</v>
      </c>
      <c r="M1411" t="s">
        <v>45</v>
      </c>
      <c r="O1411">
        <f>IF(AND(OR(D1411="S. acutus",D1411="S. californicus",D1411="S. tabernaemontani"),G1411=0),E1411*[1]Sheet1!$D$7+[1]Sheet1!$L$7,IF(AND(OR(D1411="S. acutus",D1411="S. tabernaemontani"),G1411&gt;0),E1411*[1]Sheet1!$D$8+N1411*[1]Sheet1!$E$8,IF(AND(D1411="S. californicus",G1411&gt;0),E1411*[1]Sheet1!$D$9+N1411*[1]Sheet1!$E$9,IF(D1411="S. maritimus",F1411*[1]Sheet1!$C$10+E1411*[1]Sheet1!$D$10+G1411*[1]Sheet1!$F$10+[1]Sheet1!$L$10,IF(D1411="S. americanus",F1411*[1]Sheet1!$C$6+E1411*[1]Sheet1!$D$6+[1]Sheet1!$L$6,IF(AND(OR(D1411="T. domingensis",D1411="T. latifolia"),E1411&gt;0),F1411*[1]Sheet1!$C$4+E1411*[1]Sheet1!$D$4+H1411*[1]Sheet1!$J$4+I1411*[1]Sheet1!$K$4+[1]Sheet1!$L$4,IF(AND(OR(D1411="T. domingensis",D1411="T. latifolia"),J1411&gt;0),J1411*[1]Sheet1!$G$5+K1411*[1]Sheet1!$H$5+L1411*[1]Sheet1!$I$5+[1]Sheet1!$L$5,0)))))))</f>
        <v>2.1699896399999994</v>
      </c>
    </row>
    <row r="1412" spans="1:15">
      <c r="A1412" s="2">
        <v>40738</v>
      </c>
      <c r="B1412" t="s">
        <v>43</v>
      </c>
      <c r="C1412">
        <v>22</v>
      </c>
      <c r="D1412" s="6" t="s">
        <v>29</v>
      </c>
      <c r="E1412">
        <v>150</v>
      </c>
      <c r="F1412">
        <v>0.42</v>
      </c>
      <c r="G1412">
        <v>0</v>
      </c>
      <c r="M1412" t="s">
        <v>45</v>
      </c>
      <c r="O1412">
        <f>IF(AND(OR(D1412="S. acutus",D1412="S. californicus",D1412="S. tabernaemontani"),G1412=0),E1412*[1]Sheet1!$D$7+[1]Sheet1!$L$7,IF(AND(OR(D1412="S. acutus",D1412="S. tabernaemontani"),G1412&gt;0),E1412*[1]Sheet1!$D$8+N1412*[1]Sheet1!$E$8,IF(AND(D1412="S. californicus",G1412&gt;0),E1412*[1]Sheet1!$D$9+N1412*[1]Sheet1!$E$9,IF(D1412="S. maritimus",F1412*[1]Sheet1!$C$10+E1412*[1]Sheet1!$D$10+G1412*[1]Sheet1!$F$10+[1]Sheet1!$L$10,IF(D1412="S. americanus",F1412*[1]Sheet1!$C$6+E1412*[1]Sheet1!$D$6+[1]Sheet1!$L$6,IF(AND(OR(D1412="T. domingensis",D1412="T. latifolia"),E1412&gt;0),F1412*[1]Sheet1!$C$4+E1412*[1]Sheet1!$D$4+H1412*[1]Sheet1!$J$4+I1412*[1]Sheet1!$K$4+[1]Sheet1!$L$4,IF(AND(OR(D1412="T. domingensis",D1412="T. latifolia"),J1412&gt;0),J1412*[1]Sheet1!$G$5+K1412*[1]Sheet1!$H$5+L1412*[1]Sheet1!$I$5+[1]Sheet1!$L$5,0)))))))</f>
        <v>1.5462187379999999</v>
      </c>
    </row>
    <row r="1413" spans="1:15">
      <c r="A1413" s="2">
        <v>40738</v>
      </c>
      <c r="B1413" t="s">
        <v>43</v>
      </c>
      <c r="C1413">
        <v>22</v>
      </c>
      <c r="D1413" s="6" t="s">
        <v>29</v>
      </c>
      <c r="E1413">
        <v>151</v>
      </c>
      <c r="F1413">
        <v>0.54</v>
      </c>
      <c r="G1413">
        <v>0</v>
      </c>
      <c r="M1413" t="s">
        <v>45</v>
      </c>
      <c r="O1413">
        <f>IF(AND(OR(D1413="S. acutus",D1413="S. californicus",D1413="S. tabernaemontani"),G1413=0),E1413*[1]Sheet1!$D$7+[1]Sheet1!$L$7,IF(AND(OR(D1413="S. acutus",D1413="S. tabernaemontani"),G1413&gt;0),E1413*[1]Sheet1!$D$8+N1413*[1]Sheet1!$E$8,IF(AND(D1413="S. californicus",G1413&gt;0),E1413*[1]Sheet1!$D$9+N1413*[1]Sheet1!$E$9,IF(D1413="S. maritimus",F1413*[1]Sheet1!$C$10+E1413*[1]Sheet1!$D$10+G1413*[1]Sheet1!$F$10+[1]Sheet1!$L$10,IF(D1413="S. americanus",F1413*[1]Sheet1!$C$6+E1413*[1]Sheet1!$D$6+[1]Sheet1!$L$6,IF(AND(OR(D1413="T. domingensis",D1413="T. latifolia"),E1413&gt;0),F1413*[1]Sheet1!$C$4+E1413*[1]Sheet1!$D$4+H1413*[1]Sheet1!$J$4+I1413*[1]Sheet1!$K$4+[1]Sheet1!$L$4,IF(AND(OR(D1413="T. domingensis",D1413="T. latifolia"),J1413&gt;0),J1413*[1]Sheet1!$G$5+K1413*[1]Sheet1!$H$5+L1413*[1]Sheet1!$I$5+[1]Sheet1!$L$5,0)))))))</f>
        <v>1.9882005059999996</v>
      </c>
    </row>
    <row r="1414" spans="1:15">
      <c r="A1414" s="2">
        <v>40738</v>
      </c>
      <c r="B1414" t="s">
        <v>43</v>
      </c>
      <c r="C1414">
        <v>22</v>
      </c>
      <c r="D1414" s="6" t="s">
        <v>29</v>
      </c>
      <c r="E1414">
        <v>153</v>
      </c>
      <c r="F1414">
        <v>0.84</v>
      </c>
      <c r="G1414">
        <v>0</v>
      </c>
      <c r="M1414" t="s">
        <v>45</v>
      </c>
      <c r="O1414">
        <f>IF(AND(OR(D1414="S. acutus",D1414="S. californicus",D1414="S. tabernaemontani"),G1414=0),E1414*[1]Sheet1!$D$7+[1]Sheet1!$L$7,IF(AND(OR(D1414="S. acutus",D1414="S. tabernaemontani"),G1414&gt;0),E1414*[1]Sheet1!$D$8+N1414*[1]Sheet1!$E$8,IF(AND(D1414="S. californicus",G1414&gt;0),E1414*[1]Sheet1!$D$9+N1414*[1]Sheet1!$E$9,IF(D1414="S. maritimus",F1414*[1]Sheet1!$C$10+E1414*[1]Sheet1!$D$10+G1414*[1]Sheet1!$F$10+[1]Sheet1!$L$10,IF(D1414="S. americanus",F1414*[1]Sheet1!$C$6+E1414*[1]Sheet1!$D$6+[1]Sheet1!$L$6,IF(AND(OR(D1414="T. domingensis",D1414="T. latifolia"),E1414&gt;0),F1414*[1]Sheet1!$C$4+E1414*[1]Sheet1!$D$4+H1414*[1]Sheet1!$J$4+I1414*[1]Sheet1!$K$4+[1]Sheet1!$L$4,IF(AND(OR(D1414="T. domingensis",D1414="T. latifolia"),J1414&gt;0),J1414*[1]Sheet1!$G$5+K1414*[1]Sheet1!$H$5+L1414*[1]Sheet1!$I$5+[1]Sheet1!$L$5,0)))))))</f>
        <v>3.0853145759999996</v>
      </c>
    </row>
    <row r="1415" spans="1:15">
      <c r="A1415" s="2">
        <v>40738</v>
      </c>
      <c r="B1415" t="s">
        <v>43</v>
      </c>
      <c r="C1415">
        <v>22</v>
      </c>
      <c r="D1415" s="6" t="s">
        <v>29</v>
      </c>
      <c r="E1415">
        <v>157</v>
      </c>
      <c r="F1415">
        <v>0.63</v>
      </c>
      <c r="G1415">
        <v>1</v>
      </c>
      <c r="M1415" t="s">
        <v>45</v>
      </c>
      <c r="O1415">
        <f>IF(AND(OR(D1415="S. acutus",D1415="S. californicus",D1415="S. tabernaemontani"),G1415=0),E1415*[1]Sheet1!$D$7+[1]Sheet1!$L$7,IF(AND(OR(D1415="S. acutus",D1415="S. tabernaemontani"),G1415&gt;0),E1415*[1]Sheet1!$D$8+N1415*[1]Sheet1!$E$8,IF(AND(D1415="S. californicus",G1415&gt;0),E1415*[1]Sheet1!$D$9+N1415*[1]Sheet1!$E$9,IF(D1415="S. maritimus",F1415*[1]Sheet1!$C$10+E1415*[1]Sheet1!$D$10+G1415*[1]Sheet1!$F$10+[1]Sheet1!$L$10,IF(D1415="S. americanus",F1415*[1]Sheet1!$C$6+E1415*[1]Sheet1!$D$6+[1]Sheet1!$L$6,IF(AND(OR(D1415="T. domingensis",D1415="T. latifolia"),E1415&gt;0),F1415*[1]Sheet1!$C$4+E1415*[1]Sheet1!$D$4+H1415*[1]Sheet1!$J$4+I1415*[1]Sheet1!$K$4+[1]Sheet1!$L$4,IF(AND(OR(D1415="T. domingensis",D1415="T. latifolia"),J1415&gt;0),J1415*[1]Sheet1!$G$5+K1415*[1]Sheet1!$H$5+L1415*[1]Sheet1!$I$5+[1]Sheet1!$L$5,0)))))))</f>
        <v>2.4020105070000004</v>
      </c>
    </row>
    <row r="1416" spans="1:15">
      <c r="A1416" s="2">
        <v>40738</v>
      </c>
      <c r="B1416" t="s">
        <v>43</v>
      </c>
      <c r="C1416">
        <v>22</v>
      </c>
      <c r="D1416" s="6" t="s">
        <v>29</v>
      </c>
      <c r="E1416">
        <v>158</v>
      </c>
      <c r="F1416">
        <v>0.84</v>
      </c>
      <c r="G1416">
        <v>1</v>
      </c>
      <c r="M1416" t="s">
        <v>45</v>
      </c>
      <c r="O1416">
        <f>IF(AND(OR(D1416="S. acutus",D1416="S. californicus",D1416="S. tabernaemontani"),G1416=0),E1416*[1]Sheet1!$D$7+[1]Sheet1!$L$7,IF(AND(OR(D1416="S. acutus",D1416="S. tabernaemontani"),G1416&gt;0),E1416*[1]Sheet1!$D$8+N1416*[1]Sheet1!$E$8,IF(AND(D1416="S. californicus",G1416&gt;0),E1416*[1]Sheet1!$D$9+N1416*[1]Sheet1!$E$9,IF(D1416="S. maritimus",F1416*[1]Sheet1!$C$10+E1416*[1]Sheet1!$D$10+G1416*[1]Sheet1!$F$10+[1]Sheet1!$L$10,IF(D1416="S. americanus",F1416*[1]Sheet1!$C$6+E1416*[1]Sheet1!$D$6+[1]Sheet1!$L$6,IF(AND(OR(D1416="T. domingensis",D1416="T. latifolia"),E1416&gt;0),F1416*[1]Sheet1!$C$4+E1416*[1]Sheet1!$D$4+H1416*[1]Sheet1!$J$4+I1416*[1]Sheet1!$K$4+[1]Sheet1!$L$4,IF(AND(OR(D1416="T. domingensis",D1416="T. latifolia"),J1416&gt;0),J1416*[1]Sheet1!$G$5+K1416*[1]Sheet1!$H$5+L1416*[1]Sheet1!$I$5+[1]Sheet1!$L$5,0)))))))</f>
        <v>3.163718075999999</v>
      </c>
    </row>
    <row r="1417" spans="1:15">
      <c r="A1417" s="2">
        <v>40738</v>
      </c>
      <c r="B1417" t="s">
        <v>43</v>
      </c>
      <c r="C1417">
        <v>22</v>
      </c>
      <c r="D1417" s="6" t="s">
        <v>29</v>
      </c>
      <c r="E1417">
        <v>159</v>
      </c>
      <c r="F1417">
        <v>0.7</v>
      </c>
      <c r="G1417">
        <v>0</v>
      </c>
      <c r="M1417" t="s">
        <v>45</v>
      </c>
      <c r="O1417">
        <f>IF(AND(OR(D1417="S. acutus",D1417="S. californicus",D1417="S. tabernaemontani"),G1417=0),E1417*[1]Sheet1!$D$7+[1]Sheet1!$L$7,IF(AND(OR(D1417="S. acutus",D1417="S. tabernaemontani"),G1417&gt;0),E1417*[1]Sheet1!$D$8+N1417*[1]Sheet1!$E$8,IF(AND(D1417="S. californicus",G1417&gt;0),E1417*[1]Sheet1!$D$9+N1417*[1]Sheet1!$E$9,IF(D1417="S. maritimus",F1417*[1]Sheet1!$C$10+E1417*[1]Sheet1!$D$10+G1417*[1]Sheet1!$F$10+[1]Sheet1!$L$10,IF(D1417="S. americanus",F1417*[1]Sheet1!$C$6+E1417*[1]Sheet1!$D$6+[1]Sheet1!$L$6,IF(AND(OR(D1417="T. domingensis",D1417="T. latifolia"),E1417&gt;0),F1417*[1]Sheet1!$C$4+E1417*[1]Sheet1!$D$4+H1417*[1]Sheet1!$J$4+I1417*[1]Sheet1!$K$4+[1]Sheet1!$L$4,IF(AND(OR(D1417="T. domingensis",D1417="T. latifolia"),J1417&gt;0),J1417*[1]Sheet1!$G$5+K1417*[1]Sheet1!$H$5+L1417*[1]Sheet1!$I$5+[1]Sheet1!$L$5,0)))))))</f>
        <v>2.6820475299999988</v>
      </c>
    </row>
    <row r="1418" spans="1:15">
      <c r="A1418" s="2">
        <v>40738</v>
      </c>
      <c r="B1418" t="s">
        <v>43</v>
      </c>
      <c r="C1418">
        <v>22</v>
      </c>
      <c r="D1418" s="6" t="s">
        <v>29</v>
      </c>
      <c r="E1418">
        <v>164</v>
      </c>
      <c r="F1418">
        <v>0.47</v>
      </c>
      <c r="G1418">
        <v>0</v>
      </c>
      <c r="M1418" t="s">
        <v>45</v>
      </c>
      <c r="O1418">
        <f>IF(AND(OR(D1418="S. acutus",D1418="S. californicus",D1418="S. tabernaemontani"),G1418=0),E1418*[1]Sheet1!$D$7+[1]Sheet1!$L$7,IF(AND(OR(D1418="S. acutus",D1418="S. tabernaemontani"),G1418&gt;0),E1418*[1]Sheet1!$D$8+N1418*[1]Sheet1!$E$8,IF(AND(D1418="S. californicus",G1418&gt;0),E1418*[1]Sheet1!$D$9+N1418*[1]Sheet1!$E$9,IF(D1418="S. maritimus",F1418*[1]Sheet1!$C$10+E1418*[1]Sheet1!$D$10+G1418*[1]Sheet1!$F$10+[1]Sheet1!$L$10,IF(D1418="S. americanus",F1418*[1]Sheet1!$C$6+E1418*[1]Sheet1!$D$6+[1]Sheet1!$L$6,IF(AND(OR(D1418="T. domingensis",D1418="T. latifolia"),E1418&gt;0),F1418*[1]Sheet1!$C$4+E1418*[1]Sheet1!$D$4+H1418*[1]Sheet1!$J$4+I1418*[1]Sheet1!$K$4+[1]Sheet1!$L$4,IF(AND(OR(D1418="T. domingensis",D1418="T. latifolia"),J1418&gt;0),J1418*[1]Sheet1!$G$5+K1418*[1]Sheet1!$H$5+L1418*[1]Sheet1!$I$5+[1]Sheet1!$L$5,0)))))))</f>
        <v>1.9433739829999994</v>
      </c>
    </row>
    <row r="1419" spans="1:15">
      <c r="A1419" s="2">
        <v>40738</v>
      </c>
      <c r="B1419" t="s">
        <v>43</v>
      </c>
      <c r="C1419">
        <v>22</v>
      </c>
      <c r="D1419" s="6" t="s">
        <v>29</v>
      </c>
      <c r="E1419">
        <v>164</v>
      </c>
      <c r="F1419">
        <v>0.79</v>
      </c>
      <c r="G1419">
        <v>1</v>
      </c>
      <c r="M1419" t="s">
        <v>45</v>
      </c>
      <c r="O1419">
        <f>IF(AND(OR(D1419="S. acutus",D1419="S. californicus",D1419="S. tabernaemontani"),G1419=0),E1419*[1]Sheet1!$D$7+[1]Sheet1!$L$7,IF(AND(OR(D1419="S. acutus",D1419="S. tabernaemontani"),G1419&gt;0),E1419*[1]Sheet1!$D$8+N1419*[1]Sheet1!$E$8,IF(AND(D1419="S. californicus",G1419&gt;0),E1419*[1]Sheet1!$D$9+N1419*[1]Sheet1!$E$9,IF(D1419="S. maritimus",F1419*[1]Sheet1!$C$10+E1419*[1]Sheet1!$D$10+G1419*[1]Sheet1!$F$10+[1]Sheet1!$L$10,IF(D1419="S. americanus",F1419*[1]Sheet1!$C$6+E1419*[1]Sheet1!$D$6+[1]Sheet1!$L$6,IF(AND(OR(D1419="T. domingensis",D1419="T. latifolia"),E1419&gt;0),F1419*[1]Sheet1!$C$4+E1419*[1]Sheet1!$D$4+H1419*[1]Sheet1!$J$4+I1419*[1]Sheet1!$K$4+[1]Sheet1!$L$4,IF(AND(OR(D1419="T. domingensis",D1419="T. latifolia"),J1419&gt;0),J1419*[1]Sheet1!$G$5+K1419*[1]Sheet1!$H$5+L1419*[1]Sheet1!$I$5+[1]Sheet1!$L$5,0)))))))</f>
        <v>3.0801768309999997</v>
      </c>
    </row>
    <row r="1420" spans="1:15">
      <c r="A1420" s="2">
        <v>40738</v>
      </c>
      <c r="B1420" t="s">
        <v>43</v>
      </c>
      <c r="C1420">
        <v>22</v>
      </c>
      <c r="D1420" s="6" t="s">
        <v>29</v>
      </c>
      <c r="E1420">
        <v>165</v>
      </c>
      <c r="F1420">
        <v>0.72</v>
      </c>
      <c r="G1420">
        <v>0</v>
      </c>
      <c r="M1420" t="s">
        <v>45</v>
      </c>
      <c r="O1420">
        <f>IF(AND(OR(D1420="S. acutus",D1420="S. californicus",D1420="S. tabernaemontani"),G1420=0),E1420*[1]Sheet1!$D$7+[1]Sheet1!$L$7,IF(AND(OR(D1420="S. acutus",D1420="S. tabernaemontani"),G1420&gt;0),E1420*[1]Sheet1!$D$8+N1420*[1]Sheet1!$E$8,IF(AND(D1420="S. californicus",G1420&gt;0),E1420*[1]Sheet1!$D$9+N1420*[1]Sheet1!$E$9,IF(D1420="S. maritimus",F1420*[1]Sheet1!$C$10+E1420*[1]Sheet1!$D$10+G1420*[1]Sheet1!$F$10+[1]Sheet1!$L$10,IF(D1420="S. americanus",F1420*[1]Sheet1!$C$6+E1420*[1]Sheet1!$D$6+[1]Sheet1!$L$6,IF(AND(OR(D1420="T. domingensis",D1420="T. latifolia"),E1420&gt;0),F1420*[1]Sheet1!$C$4+E1420*[1]Sheet1!$D$4+H1420*[1]Sheet1!$J$4+I1420*[1]Sheet1!$K$4+[1]Sheet1!$L$4,IF(AND(OR(D1420="T. domingensis",D1420="T. latifolia"),J1420&gt;0),J1420*[1]Sheet1!$G$5+K1420*[1]Sheet1!$H$5+L1420*[1]Sheet1!$I$5+[1]Sheet1!$L$5,0)))))))</f>
        <v>2.847181908</v>
      </c>
    </row>
    <row r="1421" spans="1:15">
      <c r="A1421" s="2">
        <v>40738</v>
      </c>
      <c r="B1421" t="s">
        <v>43</v>
      </c>
      <c r="C1421">
        <v>22</v>
      </c>
      <c r="D1421" s="6" t="s">
        <v>29</v>
      </c>
      <c r="E1421">
        <v>167</v>
      </c>
      <c r="F1421">
        <v>0.74</v>
      </c>
      <c r="G1421">
        <v>1</v>
      </c>
      <c r="M1421" t="s">
        <v>45</v>
      </c>
      <c r="O1421">
        <f>IF(AND(OR(D1421="S. acutus",D1421="S. californicus",D1421="S. tabernaemontani"),G1421=0),E1421*[1]Sheet1!$D$7+[1]Sheet1!$L$7,IF(AND(OR(D1421="S. acutus",D1421="S. tabernaemontani"),G1421&gt;0),E1421*[1]Sheet1!$D$8+N1421*[1]Sheet1!$E$8,IF(AND(D1421="S. californicus",G1421&gt;0),E1421*[1]Sheet1!$D$9+N1421*[1]Sheet1!$E$9,IF(D1421="S. maritimus",F1421*[1]Sheet1!$C$10+E1421*[1]Sheet1!$D$10+G1421*[1]Sheet1!$F$10+[1]Sheet1!$L$10,IF(D1421="S. americanus",F1421*[1]Sheet1!$C$6+E1421*[1]Sheet1!$D$6+[1]Sheet1!$L$6,IF(AND(OR(D1421="T. domingensis",D1421="T. latifolia"),E1421&gt;0),F1421*[1]Sheet1!$C$4+E1421*[1]Sheet1!$D$4+H1421*[1]Sheet1!$J$4+I1421*[1]Sheet1!$K$4+[1]Sheet1!$L$4,IF(AND(OR(D1421="T. domingensis",D1421="T. latifolia"),J1421&gt;0),J1421*[1]Sheet1!$G$5+K1421*[1]Sheet1!$H$5+L1421*[1]Sheet1!$I$5+[1]Sheet1!$L$5,0)))))))</f>
        <v>2.9495934859999999</v>
      </c>
    </row>
    <row r="1422" spans="1:15">
      <c r="A1422" s="2">
        <v>40738</v>
      </c>
      <c r="B1422" t="s">
        <v>43</v>
      </c>
      <c r="C1422">
        <v>22</v>
      </c>
      <c r="D1422" s="6" t="s">
        <v>29</v>
      </c>
      <c r="E1422">
        <v>168</v>
      </c>
      <c r="F1422">
        <v>0.68</v>
      </c>
      <c r="G1422">
        <v>0</v>
      </c>
      <c r="M1422" t="s">
        <v>45</v>
      </c>
      <c r="O1422">
        <f>IF(AND(OR(D1422="S. acutus",D1422="S. californicus",D1422="S. tabernaemontani"),G1422=0),E1422*[1]Sheet1!$D$7+[1]Sheet1!$L$7,IF(AND(OR(D1422="S. acutus",D1422="S. tabernaemontani"),G1422&gt;0),E1422*[1]Sheet1!$D$8+N1422*[1]Sheet1!$E$8,IF(AND(D1422="S. californicus",G1422&gt;0),E1422*[1]Sheet1!$D$9+N1422*[1]Sheet1!$E$9,IF(D1422="S. maritimus",F1422*[1]Sheet1!$C$10+E1422*[1]Sheet1!$D$10+G1422*[1]Sheet1!$F$10+[1]Sheet1!$L$10,IF(D1422="S. americanus",F1422*[1]Sheet1!$C$6+E1422*[1]Sheet1!$D$6+[1]Sheet1!$L$6,IF(AND(OR(D1422="T. domingensis",D1422="T. latifolia"),E1422&gt;0),F1422*[1]Sheet1!$C$4+E1422*[1]Sheet1!$D$4+H1422*[1]Sheet1!$J$4+I1422*[1]Sheet1!$K$4+[1]Sheet1!$L$4,IF(AND(OR(D1422="T. domingensis",D1422="T. latifolia"),J1422&gt;0),J1422*[1]Sheet1!$G$5+K1422*[1]Sheet1!$H$5+L1422*[1]Sheet1!$I$5+[1]Sheet1!$L$5,0)))))))</f>
        <v>2.7521236520000003</v>
      </c>
    </row>
    <row r="1423" spans="1:15">
      <c r="A1423" s="2">
        <v>40738</v>
      </c>
      <c r="B1423" t="s">
        <v>43</v>
      </c>
      <c r="C1423">
        <v>22</v>
      </c>
      <c r="D1423" s="6" t="s">
        <v>29</v>
      </c>
      <c r="E1423">
        <v>171</v>
      </c>
      <c r="F1423">
        <v>0.4</v>
      </c>
      <c r="G1423">
        <v>0</v>
      </c>
      <c r="M1423" t="s">
        <v>45</v>
      </c>
      <c r="O1423">
        <f>IF(AND(OR(D1423="S. acutus",D1423="S. californicus",D1423="S. tabernaemontani"),G1423=0),E1423*[1]Sheet1!$D$7+[1]Sheet1!$L$7,IF(AND(OR(D1423="S. acutus",D1423="S. tabernaemontani"),G1423&gt;0),E1423*[1]Sheet1!$D$8+N1423*[1]Sheet1!$E$8,IF(AND(D1423="S. californicus",G1423&gt;0),E1423*[1]Sheet1!$D$9+N1423*[1]Sheet1!$E$9,IF(D1423="S. maritimus",F1423*[1]Sheet1!$C$10+E1423*[1]Sheet1!$D$10+G1423*[1]Sheet1!$F$10+[1]Sheet1!$L$10,IF(D1423="S. americanus",F1423*[1]Sheet1!$C$6+E1423*[1]Sheet1!$D$6+[1]Sheet1!$L$6,IF(AND(OR(D1423="T. domingensis",D1423="T. latifolia"),E1423&gt;0),F1423*[1]Sheet1!$C$4+E1423*[1]Sheet1!$D$4+H1423*[1]Sheet1!$J$4+I1423*[1]Sheet1!$K$4+[1]Sheet1!$L$4,IF(AND(OR(D1423="T. domingensis",D1423="T. latifolia"),J1423&gt;0),J1423*[1]Sheet1!$G$5+K1423*[1]Sheet1!$H$5+L1423*[1]Sheet1!$I$5+[1]Sheet1!$L$5,0)))))))</f>
        <v>1.804463259999999</v>
      </c>
    </row>
    <row r="1424" spans="1:15">
      <c r="A1424" s="2">
        <v>40738</v>
      </c>
      <c r="B1424" t="s">
        <v>43</v>
      </c>
      <c r="C1424">
        <v>22</v>
      </c>
      <c r="D1424" s="6" t="s">
        <v>29</v>
      </c>
      <c r="E1424">
        <v>174</v>
      </c>
      <c r="F1424">
        <v>0.56000000000000005</v>
      </c>
      <c r="G1424">
        <v>0</v>
      </c>
      <c r="M1424" t="s">
        <v>45</v>
      </c>
      <c r="O1424">
        <f>IF(AND(OR(D1424="S. acutus",D1424="S. californicus",D1424="S. tabernaemontani"),G1424=0),E1424*[1]Sheet1!$D$7+[1]Sheet1!$L$7,IF(AND(OR(D1424="S. acutus",D1424="S. tabernaemontani"),G1424&gt;0),E1424*[1]Sheet1!$D$8+N1424*[1]Sheet1!$E$8,IF(AND(D1424="S. californicus",G1424&gt;0),E1424*[1]Sheet1!$D$9+N1424*[1]Sheet1!$E$9,IF(D1424="S. maritimus",F1424*[1]Sheet1!$C$10+E1424*[1]Sheet1!$D$10+G1424*[1]Sheet1!$F$10+[1]Sheet1!$L$10,IF(D1424="S. americanus",F1424*[1]Sheet1!$C$6+E1424*[1]Sheet1!$D$6+[1]Sheet1!$L$6,IF(AND(OR(D1424="T. domingensis",D1424="T. latifolia"),E1424&gt;0),F1424*[1]Sheet1!$C$4+E1424*[1]Sheet1!$D$4+H1424*[1]Sheet1!$J$4+I1424*[1]Sheet1!$K$4+[1]Sheet1!$L$4,IF(AND(OR(D1424="T. domingensis",D1424="T. latifolia"),J1424&gt;0),J1424*[1]Sheet1!$G$5+K1424*[1]Sheet1!$H$5+L1424*[1]Sheet1!$I$5+[1]Sheet1!$L$5,0)))))))</f>
        <v>2.4199067839999997</v>
      </c>
    </row>
    <row r="1425" spans="1:15">
      <c r="A1425" s="2">
        <v>40738</v>
      </c>
      <c r="B1425" t="s">
        <v>43</v>
      </c>
      <c r="C1425">
        <v>22</v>
      </c>
      <c r="D1425" s="6" t="s">
        <v>29</v>
      </c>
      <c r="E1425">
        <v>182</v>
      </c>
      <c r="F1425">
        <v>0.65</v>
      </c>
      <c r="G1425">
        <v>0</v>
      </c>
      <c r="M1425" t="s">
        <v>45</v>
      </c>
      <c r="O1425">
        <f>IF(AND(OR(D1425="S. acutus",D1425="S. californicus",D1425="S. tabernaemontani"),G1425=0),E1425*[1]Sheet1!$D$7+[1]Sheet1!$L$7,IF(AND(OR(D1425="S. acutus",D1425="S. tabernaemontani"),G1425&gt;0),E1425*[1]Sheet1!$D$8+N1425*[1]Sheet1!$E$8,IF(AND(D1425="S. californicus",G1425&gt;0),E1425*[1]Sheet1!$D$9+N1425*[1]Sheet1!$E$9,IF(D1425="S. maritimus",F1425*[1]Sheet1!$C$10+E1425*[1]Sheet1!$D$10+G1425*[1]Sheet1!$F$10+[1]Sheet1!$L$10,IF(D1425="S. americanus",F1425*[1]Sheet1!$C$6+E1425*[1]Sheet1!$D$6+[1]Sheet1!$L$6,IF(AND(OR(D1425="T. domingensis",D1425="T. latifolia"),E1425&gt;0),F1425*[1]Sheet1!$C$4+E1425*[1]Sheet1!$D$4+H1425*[1]Sheet1!$J$4+I1425*[1]Sheet1!$K$4+[1]Sheet1!$L$4,IF(AND(OR(D1425="T. domingensis",D1425="T. latifolia"),J1425&gt;0),J1425*[1]Sheet1!$G$5+K1425*[1]Sheet1!$H$5+L1425*[1]Sheet1!$I$5+[1]Sheet1!$L$5,0)))))))</f>
        <v>2.8650781849999993</v>
      </c>
    </row>
    <row r="1426" spans="1:15">
      <c r="A1426" s="2">
        <v>40738</v>
      </c>
      <c r="B1426" t="s">
        <v>43</v>
      </c>
      <c r="C1426">
        <v>22</v>
      </c>
      <c r="D1426" s="6" t="s">
        <v>29</v>
      </c>
      <c r="E1426">
        <v>183</v>
      </c>
      <c r="F1426">
        <v>0.74</v>
      </c>
      <c r="G1426">
        <v>0</v>
      </c>
      <c r="M1426" t="s">
        <v>45</v>
      </c>
      <c r="O1426">
        <f>IF(AND(OR(D1426="S. acutus",D1426="S. californicus",D1426="S. tabernaemontani"),G1426=0),E1426*[1]Sheet1!$D$7+[1]Sheet1!$L$7,IF(AND(OR(D1426="S. acutus",D1426="S. tabernaemontani"),G1426&gt;0),E1426*[1]Sheet1!$D$8+N1426*[1]Sheet1!$E$8,IF(AND(D1426="S. californicus",G1426&gt;0),E1426*[1]Sheet1!$D$9+N1426*[1]Sheet1!$E$9,IF(D1426="S. maritimus",F1426*[1]Sheet1!$C$10+E1426*[1]Sheet1!$D$10+G1426*[1]Sheet1!$F$10+[1]Sheet1!$L$10,IF(D1426="S. americanus",F1426*[1]Sheet1!$C$6+E1426*[1]Sheet1!$D$6+[1]Sheet1!$L$6,IF(AND(OR(D1426="T. domingensis",D1426="T. latifolia"),E1426&gt;0),F1426*[1]Sheet1!$C$4+E1426*[1]Sheet1!$D$4+H1426*[1]Sheet1!$J$4+I1426*[1]Sheet1!$K$4+[1]Sheet1!$L$4,IF(AND(OR(D1426="T. domingensis",D1426="T. latifolia"),J1426&gt;0),J1426*[1]Sheet1!$G$5+K1426*[1]Sheet1!$H$5+L1426*[1]Sheet1!$I$5+[1]Sheet1!$L$5,0)))))))</f>
        <v>3.2004846859999998</v>
      </c>
    </row>
    <row r="1427" spans="1:15">
      <c r="A1427" s="2">
        <v>40738</v>
      </c>
      <c r="B1427" t="s">
        <v>43</v>
      </c>
      <c r="C1427">
        <v>22</v>
      </c>
      <c r="D1427" s="6" t="s">
        <v>29</v>
      </c>
      <c r="E1427">
        <v>185</v>
      </c>
      <c r="F1427">
        <v>0.92</v>
      </c>
      <c r="G1427">
        <v>0</v>
      </c>
      <c r="M1427" t="s">
        <v>45</v>
      </c>
      <c r="O1427">
        <f>IF(AND(OR(D1427="S. acutus",D1427="S. californicus",D1427="S. tabernaemontani"),G1427=0),E1427*[1]Sheet1!$D$7+[1]Sheet1!$L$7,IF(AND(OR(D1427="S. acutus",D1427="S. tabernaemontani"),G1427&gt;0),E1427*[1]Sheet1!$D$8+N1427*[1]Sheet1!$E$8,IF(AND(D1427="S. californicus",G1427&gt;0),E1427*[1]Sheet1!$D$9+N1427*[1]Sheet1!$E$9,IF(D1427="S. maritimus",F1427*[1]Sheet1!$C$10+E1427*[1]Sheet1!$D$10+G1427*[1]Sheet1!$F$10+[1]Sheet1!$L$10,IF(D1427="S. americanus",F1427*[1]Sheet1!$C$6+E1427*[1]Sheet1!$D$6+[1]Sheet1!$L$6,IF(AND(OR(D1427="T. domingensis",D1427="T. latifolia"),E1427&gt;0),F1427*[1]Sheet1!$C$4+E1427*[1]Sheet1!$D$4+H1427*[1]Sheet1!$J$4+I1427*[1]Sheet1!$K$4+[1]Sheet1!$L$4,IF(AND(OR(D1427="T. domingensis",D1427="T. latifolia"),J1427&gt;0),J1427*[1]Sheet1!$G$5+K1427*[1]Sheet1!$H$5+L1427*[1]Sheet1!$I$5+[1]Sheet1!$L$5,0)))))))</f>
        <v>3.8712976879999998</v>
      </c>
    </row>
    <row r="1428" spans="1:15">
      <c r="A1428" s="2">
        <v>40738</v>
      </c>
      <c r="B1428" t="s">
        <v>43</v>
      </c>
      <c r="C1428">
        <v>22</v>
      </c>
      <c r="D1428" s="6" t="s">
        <v>29</v>
      </c>
      <c r="E1428">
        <v>186</v>
      </c>
      <c r="F1428">
        <v>0.56000000000000005</v>
      </c>
      <c r="G1428">
        <v>0</v>
      </c>
      <c r="M1428" t="s">
        <v>45</v>
      </c>
      <c r="O1428">
        <f>IF(AND(OR(D1428="S. acutus",D1428="S. californicus",D1428="S. tabernaemontani"),G1428=0),E1428*[1]Sheet1!$D$7+[1]Sheet1!$L$7,IF(AND(OR(D1428="S. acutus",D1428="S. tabernaemontani"),G1428&gt;0),E1428*[1]Sheet1!$D$8+N1428*[1]Sheet1!$E$8,IF(AND(D1428="S. californicus",G1428&gt;0),E1428*[1]Sheet1!$D$9+N1428*[1]Sheet1!$E$9,IF(D1428="S. maritimus",F1428*[1]Sheet1!$C$10+E1428*[1]Sheet1!$D$10+G1428*[1]Sheet1!$F$10+[1]Sheet1!$L$10,IF(D1428="S. americanus",F1428*[1]Sheet1!$C$6+E1428*[1]Sheet1!$D$6+[1]Sheet1!$L$6,IF(AND(OR(D1428="T. domingensis",D1428="T. latifolia"),E1428&gt;0),F1428*[1]Sheet1!$C$4+E1428*[1]Sheet1!$D$4+H1428*[1]Sheet1!$J$4+I1428*[1]Sheet1!$K$4+[1]Sheet1!$L$4,IF(AND(OR(D1428="T. domingensis",D1428="T. latifolia"),J1428&gt;0),J1428*[1]Sheet1!$G$5+K1428*[1]Sheet1!$H$5+L1428*[1]Sheet1!$I$5+[1]Sheet1!$L$5,0)))))))</f>
        <v>2.6080751839999992</v>
      </c>
    </row>
    <row r="1429" spans="1:15">
      <c r="A1429" s="2">
        <v>40738</v>
      </c>
      <c r="B1429" t="s">
        <v>43</v>
      </c>
      <c r="C1429">
        <v>22</v>
      </c>
      <c r="D1429" s="6" t="s">
        <v>29</v>
      </c>
      <c r="E1429">
        <v>186</v>
      </c>
      <c r="F1429">
        <v>0.71</v>
      </c>
      <c r="G1429">
        <v>0</v>
      </c>
      <c r="M1429" t="s">
        <v>45</v>
      </c>
      <c r="O1429">
        <f>IF(AND(OR(D1429="S. acutus",D1429="S. californicus",D1429="S. tabernaemontani"),G1429=0),E1429*[1]Sheet1!$D$7+[1]Sheet1!$L$7,IF(AND(OR(D1429="S. acutus",D1429="S. tabernaemontani"),G1429&gt;0),E1429*[1]Sheet1!$D$8+N1429*[1]Sheet1!$E$8,IF(AND(D1429="S. californicus",G1429&gt;0),E1429*[1]Sheet1!$D$9+N1429*[1]Sheet1!$E$9,IF(D1429="S. maritimus",F1429*[1]Sheet1!$C$10+E1429*[1]Sheet1!$D$10+G1429*[1]Sheet1!$F$10+[1]Sheet1!$L$10,IF(D1429="S. americanus",F1429*[1]Sheet1!$C$6+E1429*[1]Sheet1!$D$6+[1]Sheet1!$L$6,IF(AND(OR(D1429="T. domingensis",D1429="T. latifolia"),E1429&gt;0),F1429*[1]Sheet1!$C$4+E1429*[1]Sheet1!$D$4+H1429*[1]Sheet1!$J$4+I1429*[1]Sheet1!$K$4+[1]Sheet1!$L$4,IF(AND(OR(D1429="T. domingensis",D1429="T. latifolia"),J1429&gt;0),J1429*[1]Sheet1!$G$5+K1429*[1]Sheet1!$H$5+L1429*[1]Sheet1!$I$5+[1]Sheet1!$L$5,0)))))))</f>
        <v>3.1409515189999992</v>
      </c>
    </row>
    <row r="1430" spans="1:15">
      <c r="A1430" s="2">
        <v>40738</v>
      </c>
      <c r="B1430" t="s">
        <v>43</v>
      </c>
      <c r="C1430">
        <v>22</v>
      </c>
      <c r="D1430" s="6" t="s">
        <v>29</v>
      </c>
      <c r="E1430">
        <v>186</v>
      </c>
      <c r="F1430">
        <v>0.79</v>
      </c>
      <c r="G1430">
        <v>0</v>
      </c>
      <c r="M1430" t="s">
        <v>45</v>
      </c>
      <c r="O1430">
        <f>IF(AND(OR(D1430="S. acutus",D1430="S. californicus",D1430="S. tabernaemontani"),G1430=0),E1430*[1]Sheet1!$D$7+[1]Sheet1!$L$7,IF(AND(OR(D1430="S. acutus",D1430="S. tabernaemontani"),G1430&gt;0),E1430*[1]Sheet1!$D$8+N1430*[1]Sheet1!$E$8,IF(AND(D1430="S. californicus",G1430&gt;0),E1430*[1]Sheet1!$D$9+N1430*[1]Sheet1!$E$9,IF(D1430="S. maritimus",F1430*[1]Sheet1!$C$10+E1430*[1]Sheet1!$D$10+G1430*[1]Sheet1!$F$10+[1]Sheet1!$L$10,IF(D1430="S. americanus",F1430*[1]Sheet1!$C$6+E1430*[1]Sheet1!$D$6+[1]Sheet1!$L$6,IF(AND(OR(D1430="T. domingensis",D1430="T. latifolia"),E1430&gt;0),F1430*[1]Sheet1!$C$4+E1430*[1]Sheet1!$D$4+H1430*[1]Sheet1!$J$4+I1430*[1]Sheet1!$K$4+[1]Sheet1!$L$4,IF(AND(OR(D1430="T. domingensis",D1430="T. latifolia"),J1430&gt;0),J1430*[1]Sheet1!$G$5+K1430*[1]Sheet1!$H$5+L1430*[1]Sheet1!$I$5+[1]Sheet1!$L$5,0)))))))</f>
        <v>3.4251522309999989</v>
      </c>
    </row>
    <row r="1431" spans="1:15">
      <c r="A1431" s="2">
        <v>40738</v>
      </c>
      <c r="B1431" t="s">
        <v>43</v>
      </c>
      <c r="C1431">
        <v>22</v>
      </c>
      <c r="D1431" s="6" t="s">
        <v>29</v>
      </c>
      <c r="E1431">
        <v>186</v>
      </c>
      <c r="F1431">
        <v>0.8</v>
      </c>
      <c r="G1431">
        <v>0</v>
      </c>
      <c r="M1431" t="s">
        <v>45</v>
      </c>
      <c r="O1431">
        <f>IF(AND(OR(D1431="S. acutus",D1431="S. californicus",D1431="S. tabernaemontani"),G1431=0),E1431*[1]Sheet1!$D$7+[1]Sheet1!$L$7,IF(AND(OR(D1431="S. acutus",D1431="S. tabernaemontani"),G1431&gt;0),E1431*[1]Sheet1!$D$8+N1431*[1]Sheet1!$E$8,IF(AND(D1431="S. californicus",G1431&gt;0),E1431*[1]Sheet1!$D$9+N1431*[1]Sheet1!$E$9,IF(D1431="S. maritimus",F1431*[1]Sheet1!$C$10+E1431*[1]Sheet1!$D$10+G1431*[1]Sheet1!$F$10+[1]Sheet1!$L$10,IF(D1431="S. americanus",F1431*[1]Sheet1!$C$6+E1431*[1]Sheet1!$D$6+[1]Sheet1!$L$6,IF(AND(OR(D1431="T. domingensis",D1431="T. latifolia"),E1431&gt;0),F1431*[1]Sheet1!$C$4+E1431*[1]Sheet1!$D$4+H1431*[1]Sheet1!$J$4+I1431*[1]Sheet1!$K$4+[1]Sheet1!$L$4,IF(AND(OR(D1431="T. domingensis",D1431="T. latifolia"),J1431&gt;0),J1431*[1]Sheet1!$G$5+K1431*[1]Sheet1!$H$5+L1431*[1]Sheet1!$I$5+[1]Sheet1!$L$5,0)))))))</f>
        <v>3.4606773199999989</v>
      </c>
    </row>
    <row r="1432" spans="1:15">
      <c r="A1432" s="2">
        <v>40738</v>
      </c>
      <c r="B1432" t="s">
        <v>43</v>
      </c>
      <c r="C1432">
        <v>22</v>
      </c>
      <c r="D1432" s="6" t="s">
        <v>29</v>
      </c>
      <c r="E1432">
        <v>187</v>
      </c>
      <c r="F1432">
        <v>0.7</v>
      </c>
      <c r="G1432">
        <v>0</v>
      </c>
      <c r="M1432" t="s">
        <v>45</v>
      </c>
      <c r="O1432">
        <f>IF(AND(OR(D1432="S. acutus",D1432="S. californicus",D1432="S. tabernaemontani"),G1432=0),E1432*[1]Sheet1!$D$7+[1]Sheet1!$L$7,IF(AND(OR(D1432="S. acutus",D1432="S. tabernaemontani"),G1432&gt;0),E1432*[1]Sheet1!$D$8+N1432*[1]Sheet1!$E$8,IF(AND(D1432="S. californicus",G1432&gt;0),E1432*[1]Sheet1!$D$9+N1432*[1]Sheet1!$E$9,IF(D1432="S. maritimus",F1432*[1]Sheet1!$C$10+E1432*[1]Sheet1!$D$10+G1432*[1]Sheet1!$F$10+[1]Sheet1!$L$10,IF(D1432="S. americanus",F1432*[1]Sheet1!$C$6+E1432*[1]Sheet1!$D$6+[1]Sheet1!$L$6,IF(AND(OR(D1432="T. domingensis",D1432="T. latifolia"),E1432&gt;0),F1432*[1]Sheet1!$C$4+E1432*[1]Sheet1!$D$4+H1432*[1]Sheet1!$J$4+I1432*[1]Sheet1!$K$4+[1]Sheet1!$L$4,IF(AND(OR(D1432="T. domingensis",D1432="T. latifolia"),J1432&gt;0),J1432*[1]Sheet1!$G$5+K1432*[1]Sheet1!$H$5+L1432*[1]Sheet1!$I$5+[1]Sheet1!$L$5,0)))))))</f>
        <v>3.1211071299999991</v>
      </c>
    </row>
    <row r="1433" spans="1:15">
      <c r="A1433" s="2">
        <v>40738</v>
      </c>
      <c r="B1433" t="s">
        <v>43</v>
      </c>
      <c r="C1433">
        <v>22</v>
      </c>
      <c r="D1433" s="6" t="s">
        <v>29</v>
      </c>
      <c r="E1433">
        <v>187</v>
      </c>
      <c r="F1433">
        <v>0.86</v>
      </c>
      <c r="G1433">
        <v>0</v>
      </c>
      <c r="M1433" t="s">
        <v>45</v>
      </c>
      <c r="O1433">
        <f>IF(AND(OR(D1433="S. acutus",D1433="S. californicus",D1433="S. tabernaemontani"),G1433=0),E1433*[1]Sheet1!$D$7+[1]Sheet1!$L$7,IF(AND(OR(D1433="S. acutus",D1433="S. tabernaemontani"),G1433&gt;0),E1433*[1]Sheet1!$D$8+N1433*[1]Sheet1!$E$8,IF(AND(D1433="S. californicus",G1433&gt;0),E1433*[1]Sheet1!$D$9+N1433*[1]Sheet1!$E$9,IF(D1433="S. maritimus",F1433*[1]Sheet1!$C$10+E1433*[1]Sheet1!$D$10+G1433*[1]Sheet1!$F$10+[1]Sheet1!$L$10,IF(D1433="S. americanus",F1433*[1]Sheet1!$C$6+E1433*[1]Sheet1!$D$6+[1]Sheet1!$L$6,IF(AND(OR(D1433="T. domingensis",D1433="T. latifolia"),E1433&gt;0),F1433*[1]Sheet1!$C$4+E1433*[1]Sheet1!$D$4+H1433*[1]Sheet1!$J$4+I1433*[1]Sheet1!$K$4+[1]Sheet1!$L$4,IF(AND(OR(D1433="T. domingensis",D1433="T. latifolia"),J1433&gt;0),J1433*[1]Sheet1!$G$5+K1433*[1]Sheet1!$H$5+L1433*[1]Sheet1!$I$5+[1]Sheet1!$L$5,0)))))))</f>
        <v>3.6895085540000001</v>
      </c>
    </row>
    <row r="1434" spans="1:15">
      <c r="A1434" s="2">
        <v>40738</v>
      </c>
      <c r="B1434" t="s">
        <v>43</v>
      </c>
      <c r="C1434">
        <v>22</v>
      </c>
      <c r="D1434" s="6" t="s">
        <v>29</v>
      </c>
      <c r="E1434">
        <v>189</v>
      </c>
      <c r="F1434">
        <v>0.67</v>
      </c>
      <c r="G1434">
        <v>0</v>
      </c>
      <c r="M1434" t="s">
        <v>45</v>
      </c>
      <c r="O1434">
        <f>IF(AND(OR(D1434="S. acutus",D1434="S. californicus",D1434="S. tabernaemontani"),G1434=0),E1434*[1]Sheet1!$D$7+[1]Sheet1!$L$7,IF(AND(OR(D1434="S. acutus",D1434="S. tabernaemontani"),G1434&gt;0),E1434*[1]Sheet1!$D$8+N1434*[1]Sheet1!$E$8,IF(AND(D1434="S. californicus",G1434&gt;0),E1434*[1]Sheet1!$D$9+N1434*[1]Sheet1!$E$9,IF(D1434="S. maritimus",F1434*[1]Sheet1!$C$10+E1434*[1]Sheet1!$D$10+G1434*[1]Sheet1!$F$10+[1]Sheet1!$L$10,IF(D1434="S. americanus",F1434*[1]Sheet1!$C$6+E1434*[1]Sheet1!$D$6+[1]Sheet1!$L$6,IF(AND(OR(D1434="T. domingensis",D1434="T. latifolia"),E1434&gt;0),F1434*[1]Sheet1!$C$4+E1434*[1]Sheet1!$D$4+H1434*[1]Sheet1!$J$4+I1434*[1]Sheet1!$K$4+[1]Sheet1!$L$4,IF(AND(OR(D1434="T. domingensis",D1434="T. latifolia"),J1434&gt;0),J1434*[1]Sheet1!$G$5+K1434*[1]Sheet1!$H$5+L1434*[1]Sheet1!$I$5+[1]Sheet1!$L$5,0)))))))</f>
        <v>3.0458932629999995</v>
      </c>
    </row>
    <row r="1435" spans="1:15">
      <c r="A1435" s="2">
        <v>40738</v>
      </c>
      <c r="B1435" t="s">
        <v>43</v>
      </c>
      <c r="C1435">
        <v>22</v>
      </c>
      <c r="D1435" s="6" t="s">
        <v>29</v>
      </c>
      <c r="E1435">
        <v>192</v>
      </c>
      <c r="F1435">
        <v>0.75</v>
      </c>
      <c r="G1435">
        <v>0</v>
      </c>
      <c r="M1435" t="s">
        <v>45</v>
      </c>
      <c r="O1435">
        <f>IF(AND(OR(D1435="S. acutus",D1435="S. californicus",D1435="S. tabernaemontani"),G1435=0),E1435*[1]Sheet1!$D$7+[1]Sheet1!$L$7,IF(AND(OR(D1435="S. acutus",D1435="S. tabernaemontani"),G1435&gt;0),E1435*[1]Sheet1!$D$8+N1435*[1]Sheet1!$E$8,IF(AND(D1435="S. californicus",G1435&gt;0),E1435*[1]Sheet1!$D$9+N1435*[1]Sheet1!$E$9,IF(D1435="S. maritimus",F1435*[1]Sheet1!$C$10+E1435*[1]Sheet1!$D$10+G1435*[1]Sheet1!$F$10+[1]Sheet1!$L$10,IF(D1435="S. americanus",F1435*[1]Sheet1!$C$6+E1435*[1]Sheet1!$D$6+[1]Sheet1!$L$6,IF(AND(OR(D1435="T. domingensis",D1435="T. latifolia"),E1435&gt;0),F1435*[1]Sheet1!$C$4+E1435*[1]Sheet1!$D$4+H1435*[1]Sheet1!$J$4+I1435*[1]Sheet1!$K$4+[1]Sheet1!$L$4,IF(AND(OR(D1435="T. domingensis",D1435="T. latifolia"),J1435&gt;0),J1435*[1]Sheet1!$G$5+K1435*[1]Sheet1!$H$5+L1435*[1]Sheet1!$I$5+[1]Sheet1!$L$5,0)))))))</f>
        <v>3.3771360749999997</v>
      </c>
    </row>
    <row r="1436" spans="1:15">
      <c r="A1436" s="2">
        <v>40738</v>
      </c>
      <c r="B1436" t="s">
        <v>43</v>
      </c>
      <c r="C1436">
        <v>22</v>
      </c>
      <c r="D1436" s="6" t="s">
        <v>29</v>
      </c>
      <c r="E1436">
        <v>194</v>
      </c>
      <c r="F1436">
        <v>0.71</v>
      </c>
      <c r="G1436">
        <v>0</v>
      </c>
      <c r="M1436" t="s">
        <v>45</v>
      </c>
      <c r="O1436">
        <f>IF(AND(OR(D1436="S. acutus",D1436="S. californicus",D1436="S. tabernaemontani"),G1436=0),E1436*[1]Sheet1!$D$7+[1]Sheet1!$L$7,IF(AND(OR(D1436="S. acutus",D1436="S. tabernaemontani"),G1436&gt;0),E1436*[1]Sheet1!$D$8+N1436*[1]Sheet1!$E$8,IF(AND(D1436="S. californicus",G1436&gt;0),E1436*[1]Sheet1!$D$9+N1436*[1]Sheet1!$E$9,IF(D1436="S. maritimus",F1436*[1]Sheet1!$C$10+E1436*[1]Sheet1!$D$10+G1436*[1]Sheet1!$F$10+[1]Sheet1!$L$10,IF(D1436="S. americanus",F1436*[1]Sheet1!$C$6+E1436*[1]Sheet1!$D$6+[1]Sheet1!$L$6,IF(AND(OR(D1436="T. domingensis",D1436="T. latifolia"),E1436&gt;0),F1436*[1]Sheet1!$C$4+E1436*[1]Sheet1!$D$4+H1436*[1]Sheet1!$J$4+I1436*[1]Sheet1!$K$4+[1]Sheet1!$L$4,IF(AND(OR(D1436="T. domingensis",D1436="T. latifolia"),J1436&gt;0),J1436*[1]Sheet1!$G$5+K1436*[1]Sheet1!$H$5+L1436*[1]Sheet1!$I$5+[1]Sheet1!$L$5,0)))))))</f>
        <v>3.2663971189999992</v>
      </c>
    </row>
    <row r="1437" spans="1:15">
      <c r="A1437" s="2">
        <v>40738</v>
      </c>
      <c r="B1437" t="s">
        <v>43</v>
      </c>
      <c r="C1437">
        <v>22</v>
      </c>
      <c r="D1437" s="6" t="s">
        <v>29</v>
      </c>
      <c r="E1437">
        <v>198</v>
      </c>
      <c r="F1437">
        <v>0.74</v>
      </c>
      <c r="G1437">
        <v>1</v>
      </c>
      <c r="M1437" t="s">
        <v>45</v>
      </c>
      <c r="O1437">
        <f>IF(AND(OR(D1437="S. acutus",D1437="S. californicus",D1437="S. tabernaemontani"),G1437=0),E1437*[1]Sheet1!$D$7+[1]Sheet1!$L$7,IF(AND(OR(D1437="S. acutus",D1437="S. tabernaemontani"),G1437&gt;0),E1437*[1]Sheet1!$D$8+N1437*[1]Sheet1!$E$8,IF(AND(D1437="S. californicus",G1437&gt;0),E1437*[1]Sheet1!$D$9+N1437*[1]Sheet1!$E$9,IF(D1437="S. maritimus",F1437*[1]Sheet1!$C$10+E1437*[1]Sheet1!$D$10+G1437*[1]Sheet1!$F$10+[1]Sheet1!$L$10,IF(D1437="S. americanus",F1437*[1]Sheet1!$C$6+E1437*[1]Sheet1!$D$6+[1]Sheet1!$L$6,IF(AND(OR(D1437="T. domingensis",D1437="T. latifolia"),E1437&gt;0),F1437*[1]Sheet1!$C$4+E1437*[1]Sheet1!$D$4+H1437*[1]Sheet1!$J$4+I1437*[1]Sheet1!$K$4+[1]Sheet1!$L$4,IF(AND(OR(D1437="T. domingensis",D1437="T. latifolia"),J1437&gt;0),J1437*[1]Sheet1!$G$5+K1437*[1]Sheet1!$H$5+L1437*[1]Sheet1!$I$5+[1]Sheet1!$L$5,0)))))))</f>
        <v>3.4356951859999998</v>
      </c>
    </row>
    <row r="1438" spans="1:15">
      <c r="A1438" s="2">
        <v>40738</v>
      </c>
      <c r="B1438" t="s">
        <v>43</v>
      </c>
      <c r="C1438">
        <v>22</v>
      </c>
      <c r="D1438" s="6" t="s">
        <v>29</v>
      </c>
      <c r="E1438">
        <v>198</v>
      </c>
      <c r="F1438">
        <v>0.98</v>
      </c>
      <c r="G1438">
        <v>1</v>
      </c>
      <c r="M1438" t="s">
        <v>45</v>
      </c>
      <c r="O1438">
        <f>IF(AND(OR(D1438="S. acutus",D1438="S. californicus",D1438="S. tabernaemontani"),G1438=0),E1438*[1]Sheet1!$D$7+[1]Sheet1!$L$7,IF(AND(OR(D1438="S. acutus",D1438="S. tabernaemontani"),G1438&gt;0),E1438*[1]Sheet1!$D$8+N1438*[1]Sheet1!$E$8,IF(AND(D1438="S. californicus",G1438&gt;0),E1438*[1]Sheet1!$D$9+N1438*[1]Sheet1!$E$9,IF(D1438="S. maritimus",F1438*[1]Sheet1!$C$10+E1438*[1]Sheet1!$D$10+G1438*[1]Sheet1!$F$10+[1]Sheet1!$L$10,IF(D1438="S. americanus",F1438*[1]Sheet1!$C$6+E1438*[1]Sheet1!$D$6+[1]Sheet1!$L$6,IF(AND(OR(D1438="T. domingensis",D1438="T. latifolia"),E1438&gt;0),F1438*[1]Sheet1!$C$4+E1438*[1]Sheet1!$D$4+H1438*[1]Sheet1!$J$4+I1438*[1]Sheet1!$K$4+[1]Sheet1!$L$4,IF(AND(OR(D1438="T. domingensis",D1438="T. latifolia"),J1438&gt;0),J1438*[1]Sheet1!$G$5+K1438*[1]Sheet1!$H$5+L1438*[1]Sheet1!$I$5+[1]Sheet1!$L$5,0)))))))</f>
        <v>4.288297322</v>
      </c>
    </row>
    <row r="1439" spans="1:15">
      <c r="A1439" s="2">
        <v>40738</v>
      </c>
      <c r="B1439" t="s">
        <v>43</v>
      </c>
      <c r="C1439">
        <v>22</v>
      </c>
      <c r="D1439" s="6" t="s">
        <v>29</v>
      </c>
      <c r="E1439">
        <v>201</v>
      </c>
      <c r="F1439">
        <v>0.68</v>
      </c>
      <c r="G1439">
        <v>1</v>
      </c>
      <c r="M1439" t="s">
        <v>45</v>
      </c>
      <c r="O1439">
        <f>IF(AND(OR(D1439="S. acutus",D1439="S. californicus",D1439="S. tabernaemontani"),G1439=0),E1439*[1]Sheet1!$D$7+[1]Sheet1!$L$7,IF(AND(OR(D1439="S. acutus",D1439="S. tabernaemontani"),G1439&gt;0),E1439*[1]Sheet1!$D$8+N1439*[1]Sheet1!$E$8,IF(AND(D1439="S. californicus",G1439&gt;0),E1439*[1]Sheet1!$D$9+N1439*[1]Sheet1!$E$9,IF(D1439="S. maritimus",F1439*[1]Sheet1!$C$10+E1439*[1]Sheet1!$D$10+G1439*[1]Sheet1!$F$10+[1]Sheet1!$L$10,IF(D1439="S. americanus",F1439*[1]Sheet1!$C$6+E1439*[1]Sheet1!$D$6+[1]Sheet1!$L$6,IF(AND(OR(D1439="T. domingensis",D1439="T. latifolia"),E1439&gt;0),F1439*[1]Sheet1!$C$4+E1439*[1]Sheet1!$D$4+H1439*[1]Sheet1!$J$4+I1439*[1]Sheet1!$K$4+[1]Sheet1!$L$4,IF(AND(OR(D1439="T. domingensis",D1439="T. latifolia"),J1439&gt;0),J1439*[1]Sheet1!$G$5+K1439*[1]Sheet1!$H$5+L1439*[1]Sheet1!$I$5+[1]Sheet1!$L$5,0)))))))</f>
        <v>3.269586751999999</v>
      </c>
    </row>
    <row r="1440" spans="1:15">
      <c r="A1440" s="2">
        <v>40738</v>
      </c>
      <c r="B1440" t="s">
        <v>43</v>
      </c>
      <c r="C1440">
        <v>22</v>
      </c>
      <c r="D1440" s="6" t="s">
        <v>29</v>
      </c>
      <c r="E1440">
        <v>216</v>
      </c>
      <c r="F1440">
        <v>0.84</v>
      </c>
      <c r="G1440">
        <v>0</v>
      </c>
      <c r="M1440" t="s">
        <v>45</v>
      </c>
      <c r="O1440">
        <f>IF(AND(OR(D1440="S. acutus",D1440="S. californicus",D1440="S. tabernaemontani"),G1440=0),E1440*[1]Sheet1!$D$7+[1]Sheet1!$L$7,IF(AND(OR(D1440="S. acutus",D1440="S. tabernaemontani"),G1440&gt;0),E1440*[1]Sheet1!$D$8+N1440*[1]Sheet1!$E$8,IF(AND(D1440="S. californicus",G1440&gt;0),E1440*[1]Sheet1!$D$9+N1440*[1]Sheet1!$E$9,IF(D1440="S. maritimus",F1440*[1]Sheet1!$C$10+E1440*[1]Sheet1!$D$10+G1440*[1]Sheet1!$F$10+[1]Sheet1!$L$10,IF(D1440="S. americanus",F1440*[1]Sheet1!$C$6+E1440*[1]Sheet1!$D$6+[1]Sheet1!$L$6,IF(AND(OR(D1440="T. domingensis",D1440="T. latifolia"),E1440&gt;0),F1440*[1]Sheet1!$C$4+E1440*[1]Sheet1!$D$4+H1440*[1]Sheet1!$J$4+I1440*[1]Sheet1!$K$4+[1]Sheet1!$L$4,IF(AND(OR(D1440="T. domingensis",D1440="T. latifolia"),J1440&gt;0),J1440*[1]Sheet1!$G$5+K1440*[1]Sheet1!$H$5+L1440*[1]Sheet1!$I$5+[1]Sheet1!$L$5,0)))))))</f>
        <v>4.0731986759999987</v>
      </c>
    </row>
    <row r="1441" spans="1:15">
      <c r="A1441" s="2">
        <v>40738</v>
      </c>
      <c r="B1441" t="s">
        <v>43</v>
      </c>
      <c r="C1441">
        <v>22</v>
      </c>
      <c r="D1441" s="6" t="s">
        <v>29</v>
      </c>
      <c r="E1441">
        <v>248</v>
      </c>
      <c r="F1441">
        <v>0.75</v>
      </c>
      <c r="G1441">
        <v>1</v>
      </c>
      <c r="M1441" t="s">
        <v>45</v>
      </c>
      <c r="O1441">
        <f>IF(AND(OR(D1441="S. acutus",D1441="S. californicus",D1441="S. tabernaemontani"),G1441=0),E1441*[1]Sheet1!$D$7+[1]Sheet1!$L$7,IF(AND(OR(D1441="S. acutus",D1441="S. tabernaemontani"),G1441&gt;0),E1441*[1]Sheet1!$D$8+N1441*[1]Sheet1!$E$8,IF(AND(D1441="S. californicus",G1441&gt;0),E1441*[1]Sheet1!$D$9+N1441*[1]Sheet1!$E$9,IF(D1441="S. maritimus",F1441*[1]Sheet1!$C$10+E1441*[1]Sheet1!$D$10+G1441*[1]Sheet1!$F$10+[1]Sheet1!$L$10,IF(D1441="S. americanus",F1441*[1]Sheet1!$C$6+E1441*[1]Sheet1!$D$6+[1]Sheet1!$L$6,IF(AND(OR(D1441="T. domingensis",D1441="T. latifolia"),E1441&gt;0),F1441*[1]Sheet1!$C$4+E1441*[1]Sheet1!$D$4+H1441*[1]Sheet1!$J$4+I1441*[1]Sheet1!$K$4+[1]Sheet1!$L$4,IF(AND(OR(D1441="T. domingensis",D1441="T. latifolia"),J1441&gt;0),J1441*[1]Sheet1!$G$5+K1441*[1]Sheet1!$H$5+L1441*[1]Sheet1!$I$5+[1]Sheet1!$L$5,0)))))))</f>
        <v>4.2552552749999997</v>
      </c>
    </row>
    <row r="1442" spans="1:15">
      <c r="A1442" s="2">
        <v>40738</v>
      </c>
      <c r="B1442" t="s">
        <v>43</v>
      </c>
      <c r="C1442">
        <v>22</v>
      </c>
      <c r="D1442" s="6" t="s">
        <v>19</v>
      </c>
      <c r="E1442">
        <v>227</v>
      </c>
      <c r="F1442">
        <v>2.84</v>
      </c>
      <c r="H1442">
        <v>22</v>
      </c>
      <c r="I1442">
        <v>1.9</v>
      </c>
      <c r="M1442" t="s">
        <v>45</v>
      </c>
      <c r="O1442">
        <f>IF(AND(OR(D1442="S. acutus",D1442="S. californicus",D1442="S. tabernaemontani"),G1442=0),E1442*[1]Sheet1!$D$7+[1]Sheet1!$L$7,IF(AND(OR(D1442="S. acutus",D1442="S. tabernaemontani"),G1442&gt;0),E1442*[1]Sheet1!$D$8+N1442*[1]Sheet1!$E$8,IF(AND(D1442="S. californicus",G1442&gt;0),E1442*[1]Sheet1!$D$9+N1442*[1]Sheet1!$E$9,IF(D1442="S. maritimus",F1442*[1]Sheet1!$C$10+E1442*[1]Sheet1!$D$10+G1442*[1]Sheet1!$F$10+[1]Sheet1!$L$10,IF(D1442="S. americanus",F1442*[1]Sheet1!$C$6+E1442*[1]Sheet1!$D$6+[1]Sheet1!$L$6,IF(AND(OR(D1442="T. domingensis",D1442="T. latifolia"),E1442&gt;0),F1442*[1]Sheet1!$C$4+E1442*[1]Sheet1!$D$4+H1442*[1]Sheet1!$J$4+I1442*[1]Sheet1!$K$4+[1]Sheet1!$L$4,IF(AND(OR(D1442="T. domingensis",D1442="T. latifolia"),J1442&gt;0),J1442*[1]Sheet1!$G$5+K1442*[1]Sheet1!$H$5+L1442*[1]Sheet1!$I$5+[1]Sheet1!$L$5,0)))))))</f>
        <v>79.168735280000021</v>
      </c>
    </row>
    <row r="1443" spans="1:15">
      <c r="A1443" s="2">
        <v>40738</v>
      </c>
      <c r="B1443" t="s">
        <v>43</v>
      </c>
      <c r="C1443">
        <v>22</v>
      </c>
      <c r="D1443" s="6" t="s">
        <v>19</v>
      </c>
      <c r="E1443">
        <v>263</v>
      </c>
      <c r="F1443">
        <v>1.99</v>
      </c>
      <c r="H1443">
        <v>24</v>
      </c>
      <c r="I1443">
        <v>2.1</v>
      </c>
      <c r="M1443" t="s">
        <v>45</v>
      </c>
      <c r="O1443">
        <f>IF(AND(OR(D1443="S. acutus",D1443="S. californicus",D1443="S. tabernaemontani"),G1443=0),E1443*[1]Sheet1!$D$7+[1]Sheet1!$L$7,IF(AND(OR(D1443="S. acutus",D1443="S. tabernaemontani"),G1443&gt;0),E1443*[1]Sheet1!$D$8+N1443*[1]Sheet1!$E$8,IF(AND(D1443="S. californicus",G1443&gt;0),E1443*[1]Sheet1!$D$9+N1443*[1]Sheet1!$E$9,IF(D1443="S. maritimus",F1443*[1]Sheet1!$C$10+E1443*[1]Sheet1!$D$10+G1443*[1]Sheet1!$F$10+[1]Sheet1!$L$10,IF(D1443="S. americanus",F1443*[1]Sheet1!$C$6+E1443*[1]Sheet1!$D$6+[1]Sheet1!$L$6,IF(AND(OR(D1443="T. domingensis",D1443="T. latifolia"),E1443&gt;0),F1443*[1]Sheet1!$C$4+E1443*[1]Sheet1!$D$4+H1443*[1]Sheet1!$J$4+I1443*[1]Sheet1!$K$4+[1]Sheet1!$L$4,IF(AND(OR(D1443="T. domingensis",D1443="T. latifolia"),J1443&gt;0),J1443*[1]Sheet1!$G$5+K1443*[1]Sheet1!$H$5+L1443*[1]Sheet1!$I$5+[1]Sheet1!$L$5,0)))))))</f>
        <v>79.090568030000043</v>
      </c>
    </row>
    <row r="1444" spans="1:15">
      <c r="A1444" s="2">
        <v>40738</v>
      </c>
      <c r="B1444" t="s">
        <v>43</v>
      </c>
      <c r="C1444">
        <v>22</v>
      </c>
      <c r="D1444" s="6" t="s">
        <v>19</v>
      </c>
      <c r="F1444">
        <v>2.71</v>
      </c>
      <c r="J1444">
        <f>SUM(191,121,138,142)</f>
        <v>592</v>
      </c>
      <c r="K1444">
        <v>4</v>
      </c>
      <c r="L1444">
        <v>142</v>
      </c>
      <c r="M1444" t="s">
        <v>45</v>
      </c>
      <c r="O1444">
        <f>IF(AND(OR(D1444="S. acutus",D1444="S. californicus",D1444="S. tabernaemontani"),G1444=0),E1444*[1]Sheet1!$D$7+[1]Sheet1!$L$7,IF(AND(OR(D1444="S. acutus",D1444="S. tabernaemontani"),G1444&gt;0),E1444*[1]Sheet1!$D$8+N1444*[1]Sheet1!$E$8,IF(AND(D1444="S. californicus",G1444&gt;0),E1444*[1]Sheet1!$D$9+N1444*[1]Sheet1!$E$9,IF(D1444="S. maritimus",F1444*[1]Sheet1!$C$10+E1444*[1]Sheet1!$D$10+G1444*[1]Sheet1!$F$10+[1]Sheet1!$L$10,IF(D1444="S. americanus",F1444*[1]Sheet1!$C$6+E1444*[1]Sheet1!$D$6+[1]Sheet1!$L$6,IF(AND(OR(D1444="T. domingensis",D1444="T. latifolia"),E1444&gt;0),F1444*[1]Sheet1!$C$4+E1444*[1]Sheet1!$D$4+H1444*[1]Sheet1!$J$4+I1444*[1]Sheet1!$K$4+[1]Sheet1!$L$4,IF(AND(OR(D1444="T. domingensis",D1444="T. latifolia"),J1444&gt;0),J1444*[1]Sheet1!$G$5+K1444*[1]Sheet1!$H$5+L1444*[1]Sheet1!$I$5+[1]Sheet1!$L$5,0)))))))</f>
        <v>17.673742000000001</v>
      </c>
    </row>
    <row r="1445" spans="1:15">
      <c r="A1445" s="2">
        <v>40738</v>
      </c>
      <c r="B1445" t="s">
        <v>43</v>
      </c>
      <c r="C1445">
        <v>25</v>
      </c>
      <c r="D1445" s="6" t="s">
        <v>29</v>
      </c>
      <c r="E1445" s="6">
        <v>58</v>
      </c>
      <c r="F1445">
        <v>0.79</v>
      </c>
      <c r="G1445">
        <v>0</v>
      </c>
      <c r="M1445" t="s">
        <v>44</v>
      </c>
      <c r="O1445">
        <f>IF(AND(OR(D1445="S. acutus",D1445="S. californicus",D1445="S. tabernaemontani"),G1445=0),E1445*[1]Sheet1!$D$7+[1]Sheet1!$L$7,IF(AND(OR(D1445="S. acutus",D1445="S. tabernaemontani"),G1445&gt;0),E1445*[1]Sheet1!$D$8+N1445*[1]Sheet1!$E$8,IF(AND(D1445="S. californicus",G1445&gt;0),E1445*[1]Sheet1!$D$9+N1445*[1]Sheet1!$E$9,IF(D1445="S. maritimus",F1445*[1]Sheet1!$C$10+E1445*[1]Sheet1!$D$10+G1445*[1]Sheet1!$F$10+[1]Sheet1!$L$10,IF(D1445="S. americanus",F1445*[1]Sheet1!$C$6+E1445*[1]Sheet1!$D$6+[1]Sheet1!$L$6,IF(AND(OR(D1445="T. domingensis",D1445="T. latifolia"),E1445&gt;0),F1445*[1]Sheet1!$C$4+E1445*[1]Sheet1!$D$4+H1445*[1]Sheet1!$J$4+I1445*[1]Sheet1!$K$4+[1]Sheet1!$L$4,IF(AND(OR(D1445="T. domingensis",D1445="T. latifolia"),J1445&gt;0),J1445*[1]Sheet1!$G$5+K1445*[1]Sheet1!$H$5+L1445*[1]Sheet1!$I$5+[1]Sheet1!$L$5,0)))))))</f>
        <v>1.4180226309999999</v>
      </c>
    </row>
    <row r="1446" spans="1:15">
      <c r="A1446" s="2">
        <v>40738</v>
      </c>
      <c r="B1446" t="s">
        <v>43</v>
      </c>
      <c r="C1446">
        <v>25</v>
      </c>
      <c r="D1446" s="6" t="s">
        <v>29</v>
      </c>
      <c r="E1446" s="6">
        <v>60</v>
      </c>
      <c r="F1446">
        <v>0.95</v>
      </c>
      <c r="G1446">
        <v>0</v>
      </c>
      <c r="M1446" t="s">
        <v>44</v>
      </c>
      <c r="O1446">
        <f>IF(AND(OR(D1446="S. acutus",D1446="S. californicus",D1446="S. tabernaemontani"),G1446=0),E1446*[1]Sheet1!$D$7+[1]Sheet1!$L$7,IF(AND(OR(D1446="S. acutus",D1446="S. tabernaemontani"),G1446&gt;0),E1446*[1]Sheet1!$D$8+N1446*[1]Sheet1!$E$8,IF(AND(D1446="S. californicus",G1446&gt;0),E1446*[1]Sheet1!$D$9+N1446*[1]Sheet1!$E$9,IF(D1446="S. maritimus",F1446*[1]Sheet1!$C$10+E1446*[1]Sheet1!$D$10+G1446*[1]Sheet1!$F$10+[1]Sheet1!$L$10,IF(D1446="S. americanus",F1446*[1]Sheet1!$C$6+E1446*[1]Sheet1!$D$6+[1]Sheet1!$L$6,IF(AND(OR(D1446="T. domingensis",D1446="T. latifolia"),E1446&gt;0),F1446*[1]Sheet1!$C$4+E1446*[1]Sheet1!$D$4+H1446*[1]Sheet1!$J$4+I1446*[1]Sheet1!$K$4+[1]Sheet1!$L$4,IF(AND(OR(D1446="T. domingensis",D1446="T. latifolia"),J1446&gt;0),J1446*[1]Sheet1!$G$5+K1446*[1]Sheet1!$H$5+L1446*[1]Sheet1!$I$5+[1]Sheet1!$L$5,0)))))))</f>
        <v>2.017785454999999</v>
      </c>
    </row>
    <row r="1447" spans="1:15">
      <c r="A1447" s="2">
        <v>40738</v>
      </c>
      <c r="B1447" t="s">
        <v>43</v>
      </c>
      <c r="C1447">
        <v>25</v>
      </c>
      <c r="D1447" s="6" t="s">
        <v>29</v>
      </c>
      <c r="E1447" s="6">
        <v>78</v>
      </c>
      <c r="F1447">
        <v>1.02</v>
      </c>
      <c r="G1447">
        <v>0</v>
      </c>
      <c r="M1447" t="s">
        <v>44</v>
      </c>
      <c r="O1447">
        <f>IF(AND(OR(D1447="S. acutus",D1447="S. californicus",D1447="S. tabernaemontani"),G1447=0),E1447*[1]Sheet1!$D$7+[1]Sheet1!$L$7,IF(AND(OR(D1447="S. acutus",D1447="S. tabernaemontani"),G1447&gt;0),E1447*[1]Sheet1!$D$8+N1447*[1]Sheet1!$E$8,IF(AND(D1447="S. californicus",G1447&gt;0),E1447*[1]Sheet1!$D$9+N1447*[1]Sheet1!$E$9,IF(D1447="S. maritimus",F1447*[1]Sheet1!$C$10+E1447*[1]Sheet1!$D$10+G1447*[1]Sheet1!$F$10+[1]Sheet1!$L$10,IF(D1447="S. americanus",F1447*[1]Sheet1!$C$6+E1447*[1]Sheet1!$D$6+[1]Sheet1!$L$6,IF(AND(OR(D1447="T. domingensis",D1447="T. latifolia"),E1447&gt;0),F1447*[1]Sheet1!$C$4+E1447*[1]Sheet1!$D$4+H1447*[1]Sheet1!$J$4+I1447*[1]Sheet1!$K$4+[1]Sheet1!$L$4,IF(AND(OR(D1447="T. domingensis",D1447="T. latifolia"),J1447&gt;0),J1447*[1]Sheet1!$G$5+K1447*[1]Sheet1!$H$5+L1447*[1]Sheet1!$I$5+[1]Sheet1!$L$5,0)))))))</f>
        <v>2.5487136779999999</v>
      </c>
    </row>
    <row r="1448" spans="1:15">
      <c r="A1448" s="2">
        <v>40738</v>
      </c>
      <c r="B1448" t="s">
        <v>43</v>
      </c>
      <c r="C1448">
        <v>25</v>
      </c>
      <c r="D1448" s="6" t="s">
        <v>29</v>
      </c>
      <c r="E1448" s="6">
        <v>79</v>
      </c>
      <c r="F1448">
        <v>1.05</v>
      </c>
      <c r="G1448">
        <v>0</v>
      </c>
      <c r="M1448" t="s">
        <v>44</v>
      </c>
      <c r="O1448">
        <f>IF(AND(OR(D1448="S. acutus",D1448="S. californicus",D1448="S. tabernaemontani"),G1448=0),E1448*[1]Sheet1!$D$7+[1]Sheet1!$L$7,IF(AND(OR(D1448="S. acutus",D1448="S. tabernaemontani"),G1448&gt;0),E1448*[1]Sheet1!$D$8+N1448*[1]Sheet1!$E$8,IF(AND(D1448="S. californicus",G1448&gt;0),E1448*[1]Sheet1!$D$9+N1448*[1]Sheet1!$E$9,IF(D1448="S. maritimus",F1448*[1]Sheet1!$C$10+E1448*[1]Sheet1!$D$10+G1448*[1]Sheet1!$F$10+[1]Sheet1!$L$10,IF(D1448="S. americanus",F1448*[1]Sheet1!$C$6+E1448*[1]Sheet1!$D$6+[1]Sheet1!$L$6,IF(AND(OR(D1448="T. domingensis",D1448="T. latifolia"),E1448&gt;0),F1448*[1]Sheet1!$C$4+E1448*[1]Sheet1!$D$4+H1448*[1]Sheet1!$J$4+I1448*[1]Sheet1!$K$4+[1]Sheet1!$L$4,IF(AND(OR(D1448="T. domingensis",D1448="T. latifolia"),J1448&gt;0),J1448*[1]Sheet1!$G$5+K1448*[1]Sheet1!$H$5+L1448*[1]Sheet1!$I$5+[1]Sheet1!$L$5,0)))))))</f>
        <v>2.670969645</v>
      </c>
    </row>
    <row r="1449" spans="1:15">
      <c r="A1449" s="2">
        <v>40738</v>
      </c>
      <c r="B1449" t="s">
        <v>43</v>
      </c>
      <c r="C1449">
        <v>25</v>
      </c>
      <c r="D1449" s="6" t="s">
        <v>29</v>
      </c>
      <c r="E1449" s="6">
        <v>81</v>
      </c>
      <c r="F1449">
        <v>1.38</v>
      </c>
      <c r="G1449">
        <v>0</v>
      </c>
      <c r="M1449" t="s">
        <v>44</v>
      </c>
      <c r="O1449">
        <f>IF(AND(OR(D1449="S. acutus",D1449="S. californicus",D1449="S. tabernaemontani"),G1449=0),E1449*[1]Sheet1!$D$7+[1]Sheet1!$L$7,IF(AND(OR(D1449="S. acutus",D1449="S. tabernaemontani"),G1449&gt;0),E1449*[1]Sheet1!$D$8+N1449*[1]Sheet1!$E$8,IF(AND(D1449="S. californicus",G1449&gt;0),E1449*[1]Sheet1!$D$9+N1449*[1]Sheet1!$E$9,IF(D1449="S. maritimus",F1449*[1]Sheet1!$C$10+E1449*[1]Sheet1!$D$10+G1449*[1]Sheet1!$F$10+[1]Sheet1!$L$10,IF(D1449="S. americanus",F1449*[1]Sheet1!$C$6+E1449*[1]Sheet1!$D$6+[1]Sheet1!$L$6,IF(AND(OR(D1449="T. domingensis",D1449="T. latifolia"),E1449&gt;0),F1449*[1]Sheet1!$C$4+E1449*[1]Sheet1!$D$4+H1449*[1]Sheet1!$J$4+I1449*[1]Sheet1!$K$4+[1]Sheet1!$L$4,IF(AND(OR(D1449="T. domingensis",D1449="T. latifolia"),J1449&gt;0),J1449*[1]Sheet1!$G$5+K1449*[1]Sheet1!$H$5+L1449*[1]Sheet1!$I$5+[1]Sheet1!$L$5,0)))))))</f>
        <v>3.8746589819999993</v>
      </c>
    </row>
    <row r="1450" spans="1:15">
      <c r="A1450" s="2">
        <v>40738</v>
      </c>
      <c r="B1450" t="s">
        <v>43</v>
      </c>
      <c r="C1450">
        <v>25</v>
      </c>
      <c r="D1450" s="6" t="s">
        <v>29</v>
      </c>
      <c r="E1450" s="6">
        <v>97</v>
      </c>
      <c r="F1450">
        <v>0.75</v>
      </c>
      <c r="G1450">
        <v>0</v>
      </c>
      <c r="M1450" t="s">
        <v>44</v>
      </c>
      <c r="O1450">
        <f>IF(AND(OR(D1450="S. acutus",D1450="S. californicus",D1450="S. tabernaemontani"),G1450=0),E1450*[1]Sheet1!$D$7+[1]Sheet1!$L$7,IF(AND(OR(D1450="S. acutus",D1450="S. tabernaemontani"),G1450&gt;0),E1450*[1]Sheet1!$D$8+N1450*[1]Sheet1!$E$8,IF(AND(D1450="S. californicus",G1450&gt;0),E1450*[1]Sheet1!$D$9+N1450*[1]Sheet1!$E$9,IF(D1450="S. maritimus",F1450*[1]Sheet1!$C$10+E1450*[1]Sheet1!$D$10+G1450*[1]Sheet1!$F$10+[1]Sheet1!$L$10,IF(D1450="S. americanus",F1450*[1]Sheet1!$C$6+E1450*[1]Sheet1!$D$6+[1]Sheet1!$L$6,IF(AND(OR(D1450="T. domingensis",D1450="T. latifolia"),E1450&gt;0),F1450*[1]Sheet1!$C$4+E1450*[1]Sheet1!$D$4+H1450*[1]Sheet1!$J$4+I1450*[1]Sheet1!$K$4+[1]Sheet1!$L$4,IF(AND(OR(D1450="T. domingensis",D1450="T. latifolia"),J1450&gt;0),J1450*[1]Sheet1!$G$5+K1450*[1]Sheet1!$H$5+L1450*[1]Sheet1!$I$5+[1]Sheet1!$L$5,0)))))))</f>
        <v>1.8874695749999995</v>
      </c>
    </row>
    <row r="1451" spans="1:15">
      <c r="A1451" s="2">
        <v>40738</v>
      </c>
      <c r="B1451" t="s">
        <v>43</v>
      </c>
      <c r="C1451">
        <v>25</v>
      </c>
      <c r="D1451" s="6" t="s">
        <v>29</v>
      </c>
      <c r="E1451" s="6">
        <v>100</v>
      </c>
      <c r="F1451">
        <v>1.1299999999999999</v>
      </c>
      <c r="G1451">
        <v>0</v>
      </c>
      <c r="M1451" t="s">
        <v>44</v>
      </c>
      <c r="O1451">
        <f>IF(AND(OR(D1451="S. acutus",D1451="S. californicus",D1451="S. tabernaemontani"),G1451=0),E1451*[1]Sheet1!$D$7+[1]Sheet1!$L$7,IF(AND(OR(D1451="S. acutus",D1451="S. tabernaemontani"),G1451&gt;0),E1451*[1]Sheet1!$D$8+N1451*[1]Sheet1!$E$8,IF(AND(D1451="S. californicus",G1451&gt;0),E1451*[1]Sheet1!$D$9+N1451*[1]Sheet1!$E$9,IF(D1451="S. maritimus",F1451*[1]Sheet1!$C$10+E1451*[1]Sheet1!$D$10+G1451*[1]Sheet1!$F$10+[1]Sheet1!$L$10,IF(D1451="S. americanus",F1451*[1]Sheet1!$C$6+E1451*[1]Sheet1!$D$6+[1]Sheet1!$L$6,IF(AND(OR(D1451="T. domingensis",D1451="T. latifolia"),E1451&gt;0),F1451*[1]Sheet1!$C$4+E1451*[1]Sheet1!$D$4+H1451*[1]Sheet1!$J$4+I1451*[1]Sheet1!$K$4+[1]Sheet1!$L$4,IF(AND(OR(D1451="T. domingensis",D1451="T. latifolia"),J1451&gt;0),J1451*[1]Sheet1!$G$5+K1451*[1]Sheet1!$H$5+L1451*[1]Sheet1!$I$5+[1]Sheet1!$L$5,0)))))))</f>
        <v>3.2844650569999989</v>
      </c>
    </row>
    <row r="1452" spans="1:15">
      <c r="A1452" s="2">
        <v>40738</v>
      </c>
      <c r="B1452" t="s">
        <v>43</v>
      </c>
      <c r="C1452">
        <v>25</v>
      </c>
      <c r="D1452" s="6" t="s">
        <v>29</v>
      </c>
      <c r="E1452" s="6">
        <v>113</v>
      </c>
      <c r="F1452">
        <v>1.01</v>
      </c>
      <c r="G1452">
        <v>0</v>
      </c>
      <c r="M1452" t="s">
        <v>44</v>
      </c>
      <c r="O1452">
        <f>IF(AND(OR(D1452="S. acutus",D1452="S. californicus",D1452="S. tabernaemontani"),G1452=0),E1452*[1]Sheet1!$D$7+[1]Sheet1!$L$7,IF(AND(OR(D1452="S. acutus",D1452="S. tabernaemontani"),G1452&gt;0),E1452*[1]Sheet1!$D$8+N1452*[1]Sheet1!$E$8,IF(AND(D1452="S. californicus",G1452&gt;0),E1452*[1]Sheet1!$D$9+N1452*[1]Sheet1!$E$9,IF(D1452="S. maritimus",F1452*[1]Sheet1!$C$10+E1452*[1]Sheet1!$D$10+G1452*[1]Sheet1!$F$10+[1]Sheet1!$L$10,IF(D1452="S. americanus",F1452*[1]Sheet1!$C$6+E1452*[1]Sheet1!$D$6+[1]Sheet1!$L$6,IF(AND(OR(D1452="T. domingensis",D1452="T. latifolia"),E1452&gt;0),F1452*[1]Sheet1!$C$4+E1452*[1]Sheet1!$D$4+H1452*[1]Sheet1!$J$4+I1452*[1]Sheet1!$K$4+[1]Sheet1!$L$4,IF(AND(OR(D1452="T. domingensis",D1452="T. latifolia"),J1452&gt;0),J1452*[1]Sheet1!$G$5+K1452*[1]Sheet1!$H$5+L1452*[1]Sheet1!$I$5+[1]Sheet1!$L$5,0)))))))</f>
        <v>3.0620130889999992</v>
      </c>
    </row>
    <row r="1453" spans="1:15">
      <c r="A1453" s="2">
        <v>40738</v>
      </c>
      <c r="B1453" t="s">
        <v>43</v>
      </c>
      <c r="C1453">
        <v>25</v>
      </c>
      <c r="D1453" s="6" t="s">
        <v>29</v>
      </c>
      <c r="E1453" s="6">
        <v>116</v>
      </c>
      <c r="F1453">
        <v>0.54</v>
      </c>
      <c r="G1453">
        <v>1</v>
      </c>
      <c r="M1453" t="s">
        <v>44</v>
      </c>
      <c r="O1453">
        <f>IF(AND(OR(D1453="S. acutus",D1453="S. californicus",D1453="S. tabernaemontani"),G1453=0),E1453*[1]Sheet1!$D$7+[1]Sheet1!$L$7,IF(AND(OR(D1453="S. acutus",D1453="S. tabernaemontani"),G1453&gt;0),E1453*[1]Sheet1!$D$8+N1453*[1]Sheet1!$E$8,IF(AND(D1453="S. californicus",G1453&gt;0),E1453*[1]Sheet1!$D$9+N1453*[1]Sheet1!$E$9,IF(D1453="S. maritimus",F1453*[1]Sheet1!$C$10+E1453*[1]Sheet1!$D$10+G1453*[1]Sheet1!$F$10+[1]Sheet1!$L$10,IF(D1453="S. americanus",F1453*[1]Sheet1!$C$6+E1453*[1]Sheet1!$D$6+[1]Sheet1!$L$6,IF(AND(OR(D1453="T. domingensis",D1453="T. latifolia"),E1453&gt;0),F1453*[1]Sheet1!$C$4+E1453*[1]Sheet1!$D$4+H1453*[1]Sheet1!$J$4+I1453*[1]Sheet1!$K$4+[1]Sheet1!$L$4,IF(AND(OR(D1453="T. domingensis",D1453="T. latifolia"),J1453&gt;0),J1453*[1]Sheet1!$G$5+K1453*[1]Sheet1!$H$5+L1453*[1]Sheet1!$I$5+[1]Sheet1!$L$5,0)))))))</f>
        <v>1.4393760059999998</v>
      </c>
    </row>
    <row r="1454" spans="1:15">
      <c r="A1454" s="2">
        <v>40738</v>
      </c>
      <c r="B1454" t="s">
        <v>43</v>
      </c>
      <c r="C1454">
        <v>25</v>
      </c>
      <c r="D1454" s="6" t="s">
        <v>29</v>
      </c>
      <c r="E1454" s="6">
        <v>121</v>
      </c>
      <c r="F1454">
        <v>0.47</v>
      </c>
      <c r="G1454">
        <v>0</v>
      </c>
      <c r="M1454" t="s">
        <v>44</v>
      </c>
      <c r="O1454">
        <f>IF(AND(OR(D1454="S. acutus",D1454="S. californicus",D1454="S. tabernaemontani"),G1454=0),E1454*[1]Sheet1!$D$7+[1]Sheet1!$L$7,IF(AND(OR(D1454="S. acutus",D1454="S. tabernaemontani"),G1454&gt;0),E1454*[1]Sheet1!$D$8+N1454*[1]Sheet1!$E$8,IF(AND(D1454="S. californicus",G1454&gt;0),E1454*[1]Sheet1!$D$9+N1454*[1]Sheet1!$E$9,IF(D1454="S. maritimus",F1454*[1]Sheet1!$C$10+E1454*[1]Sheet1!$D$10+G1454*[1]Sheet1!$F$10+[1]Sheet1!$L$10,IF(D1454="S. americanus",F1454*[1]Sheet1!$C$6+E1454*[1]Sheet1!$D$6+[1]Sheet1!$L$6,IF(AND(OR(D1454="T. domingensis",D1454="T. latifolia"),E1454&gt;0),F1454*[1]Sheet1!$C$4+E1454*[1]Sheet1!$D$4+H1454*[1]Sheet1!$J$4+I1454*[1]Sheet1!$K$4+[1]Sheet1!$L$4,IF(AND(OR(D1454="T. domingensis",D1454="T. latifolia"),J1454&gt;0),J1454*[1]Sheet1!$G$5+K1454*[1]Sheet1!$H$5+L1454*[1]Sheet1!$I$5+[1]Sheet1!$L$5,0)))))))</f>
        <v>1.2691038829999992</v>
      </c>
    </row>
    <row r="1455" spans="1:15">
      <c r="A1455" s="2">
        <v>40738</v>
      </c>
      <c r="B1455" t="s">
        <v>43</v>
      </c>
      <c r="C1455">
        <v>25</v>
      </c>
      <c r="D1455" s="6" t="s">
        <v>29</v>
      </c>
      <c r="E1455" s="6">
        <v>122</v>
      </c>
      <c r="F1455">
        <v>0.59</v>
      </c>
      <c r="G1455">
        <v>0</v>
      </c>
      <c r="M1455" t="s">
        <v>44</v>
      </c>
      <c r="O1455">
        <f>IF(AND(OR(D1455="S. acutus",D1455="S. californicus",D1455="S. tabernaemontani"),G1455=0),E1455*[1]Sheet1!$D$7+[1]Sheet1!$L$7,IF(AND(OR(D1455="S. acutus",D1455="S. tabernaemontani"),G1455&gt;0),E1455*[1]Sheet1!$D$8+N1455*[1]Sheet1!$E$8,IF(AND(D1455="S. californicus",G1455&gt;0),E1455*[1]Sheet1!$D$9+N1455*[1]Sheet1!$E$9,IF(D1455="S. maritimus",F1455*[1]Sheet1!$C$10+E1455*[1]Sheet1!$D$10+G1455*[1]Sheet1!$F$10+[1]Sheet1!$L$10,IF(D1455="S. americanus",F1455*[1]Sheet1!$C$6+E1455*[1]Sheet1!$D$6+[1]Sheet1!$L$6,IF(AND(OR(D1455="T. domingensis",D1455="T. latifolia"),E1455&gt;0),F1455*[1]Sheet1!$C$4+E1455*[1]Sheet1!$D$4+H1455*[1]Sheet1!$J$4+I1455*[1]Sheet1!$K$4+[1]Sheet1!$L$4,IF(AND(OR(D1455="T. domingensis",D1455="T. latifolia"),J1455&gt;0),J1455*[1]Sheet1!$G$5+K1455*[1]Sheet1!$H$5+L1455*[1]Sheet1!$I$5+[1]Sheet1!$L$5,0)))))))</f>
        <v>1.7110856509999999</v>
      </c>
    </row>
    <row r="1456" spans="1:15">
      <c r="A1456" s="2">
        <v>40738</v>
      </c>
      <c r="B1456" t="s">
        <v>43</v>
      </c>
      <c r="C1456">
        <v>25</v>
      </c>
      <c r="D1456" s="6" t="s">
        <v>29</v>
      </c>
      <c r="E1456" s="6">
        <v>123</v>
      </c>
      <c r="F1456">
        <v>0.66</v>
      </c>
      <c r="G1456">
        <v>0</v>
      </c>
      <c r="M1456" t="s">
        <v>44</v>
      </c>
      <c r="O1456">
        <f>IF(AND(OR(D1456="S. acutus",D1456="S. californicus",D1456="S. tabernaemontani"),G1456=0),E1456*[1]Sheet1!$D$7+[1]Sheet1!$L$7,IF(AND(OR(D1456="S. acutus",D1456="S. tabernaemontani"),G1456&gt;0),E1456*[1]Sheet1!$D$8+N1456*[1]Sheet1!$E$8,IF(AND(D1456="S. californicus",G1456&gt;0),E1456*[1]Sheet1!$D$9+N1456*[1]Sheet1!$E$9,IF(D1456="S. maritimus",F1456*[1]Sheet1!$C$10+E1456*[1]Sheet1!$D$10+G1456*[1]Sheet1!$F$10+[1]Sheet1!$L$10,IF(D1456="S. americanus",F1456*[1]Sheet1!$C$6+E1456*[1]Sheet1!$D$6+[1]Sheet1!$L$6,IF(AND(OR(D1456="T. domingensis",D1456="T. latifolia"),E1456&gt;0),F1456*[1]Sheet1!$C$4+E1456*[1]Sheet1!$D$4+H1456*[1]Sheet1!$J$4+I1456*[1]Sheet1!$K$4+[1]Sheet1!$L$4,IF(AND(OR(D1456="T. domingensis",D1456="T. latifolia"),J1456&gt;0),J1456*[1]Sheet1!$G$5+K1456*[1]Sheet1!$H$5+L1456*[1]Sheet1!$I$5+[1]Sheet1!$L$5,0)))))))</f>
        <v>1.9754419739999993</v>
      </c>
    </row>
    <row r="1457" spans="1:15">
      <c r="A1457" s="2">
        <v>40738</v>
      </c>
      <c r="B1457" t="s">
        <v>43</v>
      </c>
      <c r="C1457">
        <v>25</v>
      </c>
      <c r="D1457" s="6" t="s">
        <v>29</v>
      </c>
      <c r="E1457" s="6">
        <v>124</v>
      </c>
      <c r="F1457">
        <v>0.45</v>
      </c>
      <c r="G1457">
        <v>0</v>
      </c>
      <c r="M1457" t="s">
        <v>44</v>
      </c>
      <c r="O1457">
        <f>IF(AND(OR(D1457="S. acutus",D1457="S. californicus",D1457="S. tabernaemontani"),G1457=0),E1457*[1]Sheet1!$D$7+[1]Sheet1!$L$7,IF(AND(OR(D1457="S. acutus",D1457="S. tabernaemontani"),G1457&gt;0),E1457*[1]Sheet1!$D$8+N1457*[1]Sheet1!$E$8,IF(AND(D1457="S. californicus",G1457&gt;0),E1457*[1]Sheet1!$D$9+N1457*[1]Sheet1!$E$9,IF(D1457="S. maritimus",F1457*[1]Sheet1!$C$10+E1457*[1]Sheet1!$D$10+G1457*[1]Sheet1!$F$10+[1]Sheet1!$L$10,IF(D1457="S. americanus",F1457*[1]Sheet1!$C$6+E1457*[1]Sheet1!$D$6+[1]Sheet1!$L$6,IF(AND(OR(D1457="T. domingensis",D1457="T. latifolia"),E1457&gt;0),F1457*[1]Sheet1!$C$4+E1457*[1]Sheet1!$D$4+H1457*[1]Sheet1!$J$4+I1457*[1]Sheet1!$K$4+[1]Sheet1!$L$4,IF(AND(OR(D1457="T. domingensis",D1457="T. latifolia"),J1457&gt;0),J1457*[1]Sheet1!$G$5+K1457*[1]Sheet1!$H$5+L1457*[1]Sheet1!$I$5+[1]Sheet1!$L$5,0)))))))</f>
        <v>1.2450958049999996</v>
      </c>
    </row>
    <row r="1458" spans="1:15">
      <c r="A1458" s="2">
        <v>40738</v>
      </c>
      <c r="B1458" t="s">
        <v>43</v>
      </c>
      <c r="C1458">
        <v>25</v>
      </c>
      <c r="D1458" s="6" t="s">
        <v>29</v>
      </c>
      <c r="E1458" s="6">
        <v>125</v>
      </c>
      <c r="F1458">
        <v>0.42</v>
      </c>
      <c r="G1458">
        <v>0</v>
      </c>
      <c r="M1458" t="s">
        <v>44</v>
      </c>
      <c r="O1458">
        <f>IF(AND(OR(D1458="S. acutus",D1458="S. californicus",D1458="S. tabernaemontani"),G1458=0),E1458*[1]Sheet1!$D$7+[1]Sheet1!$L$7,IF(AND(OR(D1458="S. acutus",D1458="S. tabernaemontani"),G1458&gt;0),E1458*[1]Sheet1!$D$8+N1458*[1]Sheet1!$E$8,IF(AND(D1458="S. californicus",G1458&gt;0),E1458*[1]Sheet1!$D$9+N1458*[1]Sheet1!$E$9,IF(D1458="S. maritimus",F1458*[1]Sheet1!$C$10+E1458*[1]Sheet1!$D$10+G1458*[1]Sheet1!$F$10+[1]Sheet1!$L$10,IF(D1458="S. americanus",F1458*[1]Sheet1!$C$6+E1458*[1]Sheet1!$D$6+[1]Sheet1!$L$6,IF(AND(OR(D1458="T. domingensis",D1458="T. latifolia"),E1458&gt;0),F1458*[1]Sheet1!$C$4+E1458*[1]Sheet1!$D$4+H1458*[1]Sheet1!$J$4+I1458*[1]Sheet1!$K$4+[1]Sheet1!$L$4,IF(AND(OR(D1458="T. domingensis",D1458="T. latifolia"),J1458&gt;0),J1458*[1]Sheet1!$G$5+K1458*[1]Sheet1!$H$5+L1458*[1]Sheet1!$I$5+[1]Sheet1!$L$5,0)))))))</f>
        <v>1.1542012379999993</v>
      </c>
    </row>
    <row r="1459" spans="1:15">
      <c r="A1459" s="2">
        <v>40738</v>
      </c>
      <c r="B1459" t="s">
        <v>43</v>
      </c>
      <c r="C1459">
        <v>25</v>
      </c>
      <c r="D1459" s="6" t="s">
        <v>29</v>
      </c>
      <c r="E1459" s="6">
        <v>125</v>
      </c>
      <c r="F1459">
        <v>0.55000000000000004</v>
      </c>
      <c r="G1459">
        <v>0</v>
      </c>
      <c r="M1459" t="s">
        <v>44</v>
      </c>
      <c r="O1459">
        <f>IF(AND(OR(D1459="S. acutus",D1459="S. californicus",D1459="S. tabernaemontani"),G1459=0),E1459*[1]Sheet1!$D$7+[1]Sheet1!$L$7,IF(AND(OR(D1459="S. acutus",D1459="S. tabernaemontani"),G1459&gt;0),E1459*[1]Sheet1!$D$8+N1459*[1]Sheet1!$E$8,IF(AND(D1459="S. californicus",G1459&gt;0),E1459*[1]Sheet1!$D$9+N1459*[1]Sheet1!$E$9,IF(D1459="S. maritimus",F1459*[1]Sheet1!$C$10+E1459*[1]Sheet1!$D$10+G1459*[1]Sheet1!$F$10+[1]Sheet1!$L$10,IF(D1459="S. americanus",F1459*[1]Sheet1!$C$6+E1459*[1]Sheet1!$D$6+[1]Sheet1!$L$6,IF(AND(OR(D1459="T. domingensis",D1459="T. latifolia"),E1459&gt;0),F1459*[1]Sheet1!$C$4+E1459*[1]Sheet1!$D$4+H1459*[1]Sheet1!$J$4+I1459*[1]Sheet1!$K$4+[1]Sheet1!$L$4,IF(AND(OR(D1459="T. domingensis",D1459="T. latifolia"),J1459&gt;0),J1459*[1]Sheet1!$G$5+K1459*[1]Sheet1!$H$5+L1459*[1]Sheet1!$I$5+[1]Sheet1!$L$5,0)))))))</f>
        <v>1.6160273949999997</v>
      </c>
    </row>
    <row r="1460" spans="1:15">
      <c r="A1460" s="2">
        <v>40738</v>
      </c>
      <c r="B1460" t="s">
        <v>43</v>
      </c>
      <c r="C1460">
        <v>25</v>
      </c>
      <c r="D1460" s="6" t="s">
        <v>29</v>
      </c>
      <c r="E1460" s="6">
        <v>126</v>
      </c>
      <c r="F1460">
        <v>0.28999999999999998</v>
      </c>
      <c r="G1460">
        <v>0</v>
      </c>
      <c r="M1460" t="s">
        <v>44</v>
      </c>
      <c r="O1460">
        <f>IF(AND(OR(D1460="S. acutus",D1460="S. californicus",D1460="S. tabernaemontani"),G1460=0),E1460*[1]Sheet1!$D$7+[1]Sheet1!$L$7,IF(AND(OR(D1460="S. acutus",D1460="S. tabernaemontani"),G1460&gt;0),E1460*[1]Sheet1!$D$8+N1460*[1]Sheet1!$E$8,IF(AND(D1460="S. californicus",G1460&gt;0),E1460*[1]Sheet1!$D$9+N1460*[1]Sheet1!$E$9,IF(D1460="S. maritimus",F1460*[1]Sheet1!$C$10+E1460*[1]Sheet1!$D$10+G1460*[1]Sheet1!$F$10+[1]Sheet1!$L$10,IF(D1460="S. americanus",F1460*[1]Sheet1!$C$6+E1460*[1]Sheet1!$D$6+[1]Sheet1!$L$6,IF(AND(OR(D1460="T. domingensis",D1460="T. latifolia"),E1460&gt;0),F1460*[1]Sheet1!$C$4+E1460*[1]Sheet1!$D$4+H1460*[1]Sheet1!$J$4+I1460*[1]Sheet1!$K$4+[1]Sheet1!$L$4,IF(AND(OR(D1460="T. domingensis",D1460="T. latifolia"),J1460&gt;0),J1460*[1]Sheet1!$G$5+K1460*[1]Sheet1!$H$5+L1460*[1]Sheet1!$I$5+[1]Sheet1!$L$5,0)))))))</f>
        <v>0.70805578099999966</v>
      </c>
    </row>
    <row r="1461" spans="1:15">
      <c r="A1461" s="2">
        <v>40738</v>
      </c>
      <c r="B1461" t="s">
        <v>43</v>
      </c>
      <c r="C1461">
        <v>25</v>
      </c>
      <c r="D1461" s="6" t="s">
        <v>29</v>
      </c>
      <c r="E1461" s="6">
        <v>127</v>
      </c>
      <c r="F1461">
        <v>0.39</v>
      </c>
      <c r="G1461">
        <v>0</v>
      </c>
      <c r="M1461" t="s">
        <v>44</v>
      </c>
      <c r="O1461">
        <f>IF(AND(OR(D1461="S. acutus",D1461="S. californicus",D1461="S. tabernaemontani"),G1461=0),E1461*[1]Sheet1!$D$7+[1]Sheet1!$L$7,IF(AND(OR(D1461="S. acutus",D1461="S. tabernaemontani"),G1461&gt;0),E1461*[1]Sheet1!$D$8+N1461*[1]Sheet1!$E$8,IF(AND(D1461="S. californicus",G1461&gt;0),E1461*[1]Sheet1!$D$9+N1461*[1]Sheet1!$E$9,IF(D1461="S. maritimus",F1461*[1]Sheet1!$C$10+E1461*[1]Sheet1!$D$10+G1461*[1]Sheet1!$F$10+[1]Sheet1!$L$10,IF(D1461="S. americanus",F1461*[1]Sheet1!$C$6+E1461*[1]Sheet1!$D$6+[1]Sheet1!$L$6,IF(AND(OR(D1461="T. domingensis",D1461="T. latifolia"),E1461&gt;0),F1461*[1]Sheet1!$C$4+E1461*[1]Sheet1!$D$4+H1461*[1]Sheet1!$J$4+I1461*[1]Sheet1!$K$4+[1]Sheet1!$L$4,IF(AND(OR(D1461="T. domingensis",D1461="T. latifolia"),J1461&gt;0),J1461*[1]Sheet1!$G$5+K1461*[1]Sheet1!$H$5+L1461*[1]Sheet1!$I$5+[1]Sheet1!$L$5,0)))))))</f>
        <v>1.0789873709999998</v>
      </c>
    </row>
    <row r="1462" spans="1:15">
      <c r="A1462" s="2">
        <v>40738</v>
      </c>
      <c r="B1462" t="s">
        <v>43</v>
      </c>
      <c r="C1462">
        <v>25</v>
      </c>
      <c r="D1462" s="6" t="s">
        <v>29</v>
      </c>
      <c r="E1462" s="6">
        <v>128</v>
      </c>
      <c r="F1462">
        <v>0.68</v>
      </c>
      <c r="G1462">
        <v>0</v>
      </c>
      <c r="M1462" t="s">
        <v>44</v>
      </c>
      <c r="O1462">
        <f>IF(AND(OR(D1462="S. acutus",D1462="S. californicus",D1462="S. tabernaemontani"),G1462=0),E1462*[1]Sheet1!$D$7+[1]Sheet1!$L$7,IF(AND(OR(D1462="S. acutus",D1462="S. tabernaemontani"),G1462&gt;0),E1462*[1]Sheet1!$D$8+N1462*[1]Sheet1!$E$8,IF(AND(D1462="S. californicus",G1462&gt;0),E1462*[1]Sheet1!$D$9+N1462*[1]Sheet1!$E$9,IF(D1462="S. maritimus",F1462*[1]Sheet1!$C$10+E1462*[1]Sheet1!$D$10+G1462*[1]Sheet1!$F$10+[1]Sheet1!$L$10,IF(D1462="S. americanus",F1462*[1]Sheet1!$C$6+E1462*[1]Sheet1!$D$6+[1]Sheet1!$L$6,IF(AND(OR(D1462="T. domingensis",D1462="T. latifolia"),E1462&gt;0),F1462*[1]Sheet1!$C$4+E1462*[1]Sheet1!$D$4+H1462*[1]Sheet1!$J$4+I1462*[1]Sheet1!$K$4+[1]Sheet1!$L$4,IF(AND(OR(D1462="T. domingensis",D1462="T. latifolia"),J1462&gt;0),J1462*[1]Sheet1!$G$5+K1462*[1]Sheet1!$H$5+L1462*[1]Sheet1!$I$5+[1]Sheet1!$L$5,0)))))))</f>
        <v>2.1248956519999997</v>
      </c>
    </row>
    <row r="1463" spans="1:15">
      <c r="A1463" s="2">
        <v>40738</v>
      </c>
      <c r="B1463" t="s">
        <v>43</v>
      </c>
      <c r="C1463">
        <v>25</v>
      </c>
      <c r="D1463" s="6" t="s">
        <v>29</v>
      </c>
      <c r="E1463" s="6">
        <v>133</v>
      </c>
      <c r="F1463">
        <v>0.64</v>
      </c>
      <c r="G1463">
        <v>0</v>
      </c>
      <c r="M1463" t="s">
        <v>44</v>
      </c>
      <c r="O1463">
        <f>IF(AND(OR(D1463="S. acutus",D1463="S. californicus",D1463="S. tabernaemontani"),G1463=0),E1463*[1]Sheet1!$D$7+[1]Sheet1!$L$7,IF(AND(OR(D1463="S. acutus",D1463="S. tabernaemontani"),G1463&gt;0),E1463*[1]Sheet1!$D$8+N1463*[1]Sheet1!$E$8,IF(AND(D1463="S. californicus",G1463&gt;0),E1463*[1]Sheet1!$D$9+N1463*[1]Sheet1!$E$9,IF(D1463="S. maritimus",F1463*[1]Sheet1!$C$10+E1463*[1]Sheet1!$D$10+G1463*[1]Sheet1!$F$10+[1]Sheet1!$L$10,IF(D1463="S. americanus",F1463*[1]Sheet1!$C$6+E1463*[1]Sheet1!$D$6+[1]Sheet1!$L$6,IF(AND(OR(D1463="T. domingensis",D1463="T. latifolia"),E1463&gt;0),F1463*[1]Sheet1!$C$4+E1463*[1]Sheet1!$D$4+H1463*[1]Sheet1!$J$4+I1463*[1]Sheet1!$K$4+[1]Sheet1!$L$4,IF(AND(OR(D1463="T. domingensis",D1463="T. latifolia"),J1463&gt;0),J1463*[1]Sheet1!$G$5+K1463*[1]Sheet1!$H$5+L1463*[1]Sheet1!$I$5+[1]Sheet1!$L$5,0)))))))</f>
        <v>2.0611987959999998</v>
      </c>
    </row>
    <row r="1464" spans="1:15">
      <c r="A1464" s="2">
        <v>40738</v>
      </c>
      <c r="B1464" t="s">
        <v>43</v>
      </c>
      <c r="C1464">
        <v>25</v>
      </c>
      <c r="D1464" s="6" t="s">
        <v>29</v>
      </c>
      <c r="E1464" s="6">
        <v>134</v>
      </c>
      <c r="F1464">
        <v>0.45</v>
      </c>
      <c r="G1464">
        <v>0</v>
      </c>
      <c r="M1464" t="s">
        <v>44</v>
      </c>
      <c r="O1464">
        <f>IF(AND(OR(D1464="S. acutus",D1464="S. californicus",D1464="S. tabernaemontani"),G1464=0),E1464*[1]Sheet1!$D$7+[1]Sheet1!$L$7,IF(AND(OR(D1464="S. acutus",D1464="S. tabernaemontani"),G1464&gt;0),E1464*[1]Sheet1!$D$8+N1464*[1]Sheet1!$E$8,IF(AND(D1464="S. californicus",G1464&gt;0),E1464*[1]Sheet1!$D$9+N1464*[1]Sheet1!$E$9,IF(D1464="S. maritimus",F1464*[1]Sheet1!$C$10+E1464*[1]Sheet1!$D$10+G1464*[1]Sheet1!$F$10+[1]Sheet1!$L$10,IF(D1464="S. americanus",F1464*[1]Sheet1!$C$6+E1464*[1]Sheet1!$D$6+[1]Sheet1!$L$6,IF(AND(OR(D1464="T. domingensis",D1464="T. latifolia"),E1464&gt;0),F1464*[1]Sheet1!$C$4+E1464*[1]Sheet1!$D$4+H1464*[1]Sheet1!$J$4+I1464*[1]Sheet1!$K$4+[1]Sheet1!$L$4,IF(AND(OR(D1464="T. domingensis",D1464="T. latifolia"),J1464&gt;0),J1464*[1]Sheet1!$G$5+K1464*[1]Sheet1!$H$5+L1464*[1]Sheet1!$I$5+[1]Sheet1!$L$5,0)))))))</f>
        <v>1.4019028050000002</v>
      </c>
    </row>
    <row r="1465" spans="1:15">
      <c r="A1465" s="2">
        <v>40738</v>
      </c>
      <c r="B1465" t="s">
        <v>43</v>
      </c>
      <c r="C1465">
        <v>25</v>
      </c>
      <c r="D1465" s="6" t="s">
        <v>29</v>
      </c>
      <c r="E1465" s="6">
        <v>135</v>
      </c>
      <c r="F1465">
        <v>0.5</v>
      </c>
      <c r="G1465">
        <v>0</v>
      </c>
      <c r="M1465" t="s">
        <v>44</v>
      </c>
      <c r="O1465">
        <f>IF(AND(OR(D1465="S. acutus",D1465="S. californicus",D1465="S. tabernaemontani"),G1465=0),E1465*[1]Sheet1!$D$7+[1]Sheet1!$L$7,IF(AND(OR(D1465="S. acutus",D1465="S. tabernaemontani"),G1465&gt;0),E1465*[1]Sheet1!$D$8+N1465*[1]Sheet1!$E$8,IF(AND(D1465="S. californicus",G1465&gt;0),E1465*[1]Sheet1!$D$9+N1465*[1]Sheet1!$E$9,IF(D1465="S. maritimus",F1465*[1]Sheet1!$C$10+E1465*[1]Sheet1!$D$10+G1465*[1]Sheet1!$F$10+[1]Sheet1!$L$10,IF(D1465="S. americanus",F1465*[1]Sheet1!$C$6+E1465*[1]Sheet1!$D$6+[1]Sheet1!$L$6,IF(AND(OR(D1465="T. domingensis",D1465="T. latifolia"),E1465&gt;0),F1465*[1]Sheet1!$C$4+E1465*[1]Sheet1!$D$4+H1465*[1]Sheet1!$J$4+I1465*[1]Sheet1!$K$4+[1]Sheet1!$L$4,IF(AND(OR(D1465="T. domingensis",D1465="T. latifolia"),J1465&gt;0),J1465*[1]Sheet1!$G$5+K1465*[1]Sheet1!$H$5+L1465*[1]Sheet1!$I$5+[1]Sheet1!$L$5,0)))))))</f>
        <v>1.5952089499999995</v>
      </c>
    </row>
    <row r="1466" spans="1:15">
      <c r="A1466" s="2">
        <v>40738</v>
      </c>
      <c r="B1466" t="s">
        <v>43</v>
      </c>
      <c r="C1466">
        <v>25</v>
      </c>
      <c r="D1466" s="6" t="s">
        <v>29</v>
      </c>
      <c r="E1466" s="6">
        <v>140</v>
      </c>
      <c r="F1466">
        <v>1.01</v>
      </c>
      <c r="G1466">
        <v>0</v>
      </c>
      <c r="M1466" t="s">
        <v>44</v>
      </c>
      <c r="O1466">
        <f>IF(AND(OR(D1466="S. acutus",D1466="S. californicus",D1466="S. tabernaemontani"),G1466=0),E1466*[1]Sheet1!$D$7+[1]Sheet1!$L$7,IF(AND(OR(D1466="S. acutus",D1466="S. tabernaemontani"),G1466&gt;0),E1466*[1]Sheet1!$D$8+N1466*[1]Sheet1!$E$8,IF(AND(D1466="S. californicus",G1466&gt;0),E1466*[1]Sheet1!$D$9+N1466*[1]Sheet1!$E$9,IF(D1466="S. maritimus",F1466*[1]Sheet1!$C$10+E1466*[1]Sheet1!$D$10+G1466*[1]Sheet1!$F$10+[1]Sheet1!$L$10,IF(D1466="S. americanus",F1466*[1]Sheet1!$C$6+E1466*[1]Sheet1!$D$6+[1]Sheet1!$L$6,IF(AND(OR(D1466="T. domingensis",D1466="T. latifolia"),E1466&gt;0),F1466*[1]Sheet1!$C$4+E1466*[1]Sheet1!$D$4+H1466*[1]Sheet1!$J$4+I1466*[1]Sheet1!$K$4+[1]Sheet1!$L$4,IF(AND(OR(D1466="T. domingensis",D1466="T. latifolia"),J1466&gt;0),J1466*[1]Sheet1!$G$5+K1466*[1]Sheet1!$H$5+L1466*[1]Sheet1!$I$5+[1]Sheet1!$L$5,0)))))))</f>
        <v>3.4853919889999996</v>
      </c>
    </row>
    <row r="1467" spans="1:15">
      <c r="A1467" s="2">
        <v>40738</v>
      </c>
      <c r="B1467" t="s">
        <v>43</v>
      </c>
      <c r="C1467">
        <v>25</v>
      </c>
      <c r="D1467" s="6" t="s">
        <v>29</v>
      </c>
      <c r="E1467" s="6">
        <v>141</v>
      </c>
      <c r="F1467">
        <v>0.57999999999999996</v>
      </c>
      <c r="G1467">
        <v>1</v>
      </c>
      <c r="M1467" t="s">
        <v>44</v>
      </c>
      <c r="O1467">
        <f>IF(AND(OR(D1467="S. acutus",D1467="S. californicus",D1467="S. tabernaemontani"),G1467=0),E1467*[1]Sheet1!$D$7+[1]Sheet1!$L$7,IF(AND(OR(D1467="S. acutus",D1467="S. tabernaemontani"),G1467&gt;0),E1467*[1]Sheet1!$D$8+N1467*[1]Sheet1!$E$8,IF(AND(D1467="S. californicus",G1467&gt;0),E1467*[1]Sheet1!$D$9+N1467*[1]Sheet1!$E$9,IF(D1467="S. maritimus",F1467*[1]Sheet1!$C$10+E1467*[1]Sheet1!$D$10+G1467*[1]Sheet1!$F$10+[1]Sheet1!$L$10,IF(D1467="S. americanus",F1467*[1]Sheet1!$C$6+E1467*[1]Sheet1!$D$6+[1]Sheet1!$L$6,IF(AND(OR(D1467="T. domingensis",D1467="T. latifolia"),E1467&gt;0),F1467*[1]Sheet1!$C$4+E1467*[1]Sheet1!$D$4+H1467*[1]Sheet1!$J$4+I1467*[1]Sheet1!$K$4+[1]Sheet1!$L$4,IF(AND(OR(D1467="T. domingensis",D1467="T. latifolia"),J1467&gt;0),J1467*[1]Sheet1!$G$5+K1467*[1]Sheet1!$H$5+L1467*[1]Sheet1!$I$5+[1]Sheet1!$L$5,0)))))))</f>
        <v>1.9734938619999993</v>
      </c>
    </row>
    <row r="1468" spans="1:15">
      <c r="A1468" s="2">
        <v>40738</v>
      </c>
      <c r="B1468" t="s">
        <v>43</v>
      </c>
      <c r="C1468">
        <v>25</v>
      </c>
      <c r="D1468" s="6" t="s">
        <v>29</v>
      </c>
      <c r="E1468" s="6">
        <v>144</v>
      </c>
      <c r="F1468">
        <v>0.57999999999999996</v>
      </c>
      <c r="G1468">
        <v>0</v>
      </c>
      <c r="M1468" t="s">
        <v>44</v>
      </c>
      <c r="O1468">
        <f>IF(AND(OR(D1468="S. acutus",D1468="S. californicus",D1468="S. tabernaemontani"),G1468=0),E1468*[1]Sheet1!$D$7+[1]Sheet1!$L$7,IF(AND(OR(D1468="S. acutus",D1468="S. tabernaemontani"),G1468&gt;0),E1468*[1]Sheet1!$D$8+N1468*[1]Sheet1!$E$8,IF(AND(D1468="S. californicus",G1468&gt;0),E1468*[1]Sheet1!$D$9+N1468*[1]Sheet1!$E$9,IF(D1468="S. maritimus",F1468*[1]Sheet1!$C$10+E1468*[1]Sheet1!$D$10+G1468*[1]Sheet1!$F$10+[1]Sheet1!$L$10,IF(D1468="S. americanus",F1468*[1]Sheet1!$C$6+E1468*[1]Sheet1!$D$6+[1]Sheet1!$L$6,IF(AND(OR(D1468="T. domingensis",D1468="T. latifolia"),E1468&gt;0),F1468*[1]Sheet1!$C$4+E1468*[1]Sheet1!$D$4+H1468*[1]Sheet1!$J$4+I1468*[1]Sheet1!$K$4+[1]Sheet1!$L$4,IF(AND(OR(D1468="T. domingensis",D1468="T. latifolia"),J1468&gt;0),J1468*[1]Sheet1!$G$5+K1468*[1]Sheet1!$H$5+L1468*[1]Sheet1!$I$5+[1]Sheet1!$L$5,0)))))))</f>
        <v>2.020535961999999</v>
      </c>
    </row>
    <row r="1469" spans="1:15">
      <c r="A1469" s="2">
        <v>40738</v>
      </c>
      <c r="B1469" t="s">
        <v>43</v>
      </c>
      <c r="C1469">
        <v>25</v>
      </c>
      <c r="D1469" s="6" t="s">
        <v>29</v>
      </c>
      <c r="E1469" s="6">
        <v>148</v>
      </c>
      <c r="F1469">
        <v>0.64</v>
      </c>
      <c r="G1469">
        <v>0</v>
      </c>
      <c r="M1469" t="s">
        <v>44</v>
      </c>
      <c r="O1469">
        <f>IF(AND(OR(D1469="S. acutus",D1469="S. californicus",D1469="S. tabernaemontani"),G1469=0),E1469*[1]Sheet1!$D$7+[1]Sheet1!$L$7,IF(AND(OR(D1469="S. acutus",D1469="S. tabernaemontani"),G1469&gt;0),E1469*[1]Sheet1!$D$8+N1469*[1]Sheet1!$E$8,IF(AND(D1469="S. californicus",G1469&gt;0),E1469*[1]Sheet1!$D$9+N1469*[1]Sheet1!$E$9,IF(D1469="S. maritimus",F1469*[1]Sheet1!$C$10+E1469*[1]Sheet1!$D$10+G1469*[1]Sheet1!$F$10+[1]Sheet1!$L$10,IF(D1469="S. americanus",F1469*[1]Sheet1!$C$6+E1469*[1]Sheet1!$D$6+[1]Sheet1!$L$6,IF(AND(OR(D1469="T. domingensis",D1469="T. latifolia"),E1469&gt;0),F1469*[1]Sheet1!$C$4+E1469*[1]Sheet1!$D$4+H1469*[1]Sheet1!$J$4+I1469*[1]Sheet1!$K$4+[1]Sheet1!$L$4,IF(AND(OR(D1469="T. domingensis",D1469="T. latifolia"),J1469&gt;0),J1469*[1]Sheet1!$G$5+K1469*[1]Sheet1!$H$5+L1469*[1]Sheet1!$I$5+[1]Sheet1!$L$5,0)))))))</f>
        <v>2.2964092959999998</v>
      </c>
    </row>
    <row r="1470" spans="1:15">
      <c r="A1470" s="2">
        <v>40738</v>
      </c>
      <c r="B1470" t="s">
        <v>43</v>
      </c>
      <c r="C1470">
        <v>25</v>
      </c>
      <c r="D1470" s="6" t="s">
        <v>29</v>
      </c>
      <c r="E1470" s="6">
        <v>149</v>
      </c>
      <c r="F1470">
        <v>0.31</v>
      </c>
      <c r="G1470">
        <v>0</v>
      </c>
      <c r="M1470" t="s">
        <v>44</v>
      </c>
      <c r="O1470">
        <f>IF(AND(OR(D1470="S. acutus",D1470="S. californicus",D1470="S. tabernaemontani"),G1470=0),E1470*[1]Sheet1!$D$7+[1]Sheet1!$L$7,IF(AND(OR(D1470="S. acutus",D1470="S. tabernaemontani"),G1470&gt;0),E1470*[1]Sheet1!$D$8+N1470*[1]Sheet1!$E$8,IF(AND(D1470="S. californicus",G1470&gt;0),E1470*[1]Sheet1!$D$9+N1470*[1]Sheet1!$E$9,IF(D1470="S. maritimus",F1470*[1]Sheet1!$C$10+E1470*[1]Sheet1!$D$10+G1470*[1]Sheet1!$F$10+[1]Sheet1!$L$10,IF(D1470="S. americanus",F1470*[1]Sheet1!$C$6+E1470*[1]Sheet1!$D$6+[1]Sheet1!$L$6,IF(AND(OR(D1470="T. domingensis",D1470="T. latifolia"),E1470&gt;0),F1470*[1]Sheet1!$C$4+E1470*[1]Sheet1!$D$4+H1470*[1]Sheet1!$J$4+I1470*[1]Sheet1!$K$4+[1]Sheet1!$L$4,IF(AND(OR(D1470="T. domingensis",D1470="T. latifolia"),J1470&gt;0),J1470*[1]Sheet1!$G$5+K1470*[1]Sheet1!$H$5+L1470*[1]Sheet1!$I$5+[1]Sheet1!$L$5,0)))))))</f>
        <v>1.1397620590000002</v>
      </c>
    </row>
    <row r="1471" spans="1:15">
      <c r="A1471" s="2">
        <v>40738</v>
      </c>
      <c r="B1471" t="s">
        <v>43</v>
      </c>
      <c r="C1471">
        <v>25</v>
      </c>
      <c r="D1471" s="6" t="s">
        <v>29</v>
      </c>
      <c r="E1471" s="6">
        <v>153</v>
      </c>
      <c r="F1471">
        <v>0.35</v>
      </c>
      <c r="G1471">
        <v>0</v>
      </c>
      <c r="M1471" t="s">
        <v>44</v>
      </c>
      <c r="O1471">
        <f>IF(AND(OR(D1471="S. acutus",D1471="S. californicus",D1471="S. tabernaemontani"),G1471=0),E1471*[1]Sheet1!$D$7+[1]Sheet1!$L$7,IF(AND(OR(D1471="S. acutus",D1471="S. tabernaemontani"),G1471&gt;0),E1471*[1]Sheet1!$D$8+N1471*[1]Sheet1!$E$8,IF(AND(D1471="S. californicus",G1471&gt;0),E1471*[1]Sheet1!$D$9+N1471*[1]Sheet1!$E$9,IF(D1471="S. maritimus",F1471*[1]Sheet1!$C$10+E1471*[1]Sheet1!$D$10+G1471*[1]Sheet1!$F$10+[1]Sheet1!$L$10,IF(D1471="S. americanus",F1471*[1]Sheet1!$C$6+E1471*[1]Sheet1!$D$6+[1]Sheet1!$L$6,IF(AND(OR(D1471="T. domingensis",D1471="T. latifolia"),E1471&gt;0),F1471*[1]Sheet1!$C$4+E1471*[1]Sheet1!$D$4+H1471*[1]Sheet1!$J$4+I1471*[1]Sheet1!$K$4+[1]Sheet1!$L$4,IF(AND(OR(D1471="T. domingensis",D1471="T. latifolia"),J1471&gt;0),J1471*[1]Sheet1!$G$5+K1471*[1]Sheet1!$H$5+L1471*[1]Sheet1!$I$5+[1]Sheet1!$L$5,0)))))))</f>
        <v>1.3445852149999999</v>
      </c>
    </row>
    <row r="1472" spans="1:15">
      <c r="A1472" s="2">
        <v>40738</v>
      </c>
      <c r="B1472" t="s">
        <v>43</v>
      </c>
      <c r="C1472">
        <v>25</v>
      </c>
      <c r="D1472" s="6" t="s">
        <v>29</v>
      </c>
      <c r="E1472" s="6">
        <v>156</v>
      </c>
      <c r="F1472">
        <v>0.61</v>
      </c>
      <c r="G1472">
        <v>0</v>
      </c>
      <c r="M1472" t="s">
        <v>44</v>
      </c>
      <c r="O1472">
        <f>IF(AND(OR(D1472="S. acutus",D1472="S. californicus",D1472="S. tabernaemontani"),G1472=0),E1472*[1]Sheet1!$D$7+[1]Sheet1!$L$7,IF(AND(OR(D1472="S. acutus",D1472="S. tabernaemontani"),G1472&gt;0),E1472*[1]Sheet1!$D$8+N1472*[1]Sheet1!$E$8,IF(AND(D1472="S. californicus",G1472&gt;0),E1472*[1]Sheet1!$D$9+N1472*[1]Sheet1!$E$9,IF(D1472="S. maritimus",F1472*[1]Sheet1!$C$10+E1472*[1]Sheet1!$D$10+G1472*[1]Sheet1!$F$10+[1]Sheet1!$L$10,IF(D1472="S. americanus",F1472*[1]Sheet1!$C$6+E1472*[1]Sheet1!$D$6+[1]Sheet1!$L$6,IF(AND(OR(D1472="T. domingensis",D1472="T. latifolia"),E1472&gt;0),F1472*[1]Sheet1!$C$4+E1472*[1]Sheet1!$D$4+H1472*[1]Sheet1!$J$4+I1472*[1]Sheet1!$K$4+[1]Sheet1!$L$4,IF(AND(OR(D1472="T. domingensis",D1472="T. latifolia"),J1472&gt;0),J1472*[1]Sheet1!$G$5+K1472*[1]Sheet1!$H$5+L1472*[1]Sheet1!$I$5+[1]Sheet1!$L$5,0)))))))</f>
        <v>2.3152796289999995</v>
      </c>
    </row>
    <row r="1473" spans="1:15">
      <c r="A1473" s="2">
        <v>40738</v>
      </c>
      <c r="B1473" t="s">
        <v>43</v>
      </c>
      <c r="C1473">
        <v>25</v>
      </c>
      <c r="D1473" s="6" t="s">
        <v>29</v>
      </c>
      <c r="E1473" s="6">
        <v>159</v>
      </c>
      <c r="F1473">
        <v>0.57999999999999996</v>
      </c>
      <c r="G1473">
        <v>0</v>
      </c>
      <c r="M1473" t="s">
        <v>44</v>
      </c>
      <c r="O1473">
        <f>IF(AND(OR(D1473="S. acutus",D1473="S. californicus",D1473="S. tabernaemontani"),G1473=0),E1473*[1]Sheet1!$D$7+[1]Sheet1!$L$7,IF(AND(OR(D1473="S. acutus",D1473="S. tabernaemontani"),G1473&gt;0),E1473*[1]Sheet1!$D$8+N1473*[1]Sheet1!$E$8,IF(AND(D1473="S. californicus",G1473&gt;0),E1473*[1]Sheet1!$D$9+N1473*[1]Sheet1!$E$9,IF(D1473="S. maritimus",F1473*[1]Sheet1!$C$10+E1473*[1]Sheet1!$D$10+G1473*[1]Sheet1!$F$10+[1]Sheet1!$L$10,IF(D1473="S. americanus",F1473*[1]Sheet1!$C$6+E1473*[1]Sheet1!$D$6+[1]Sheet1!$L$6,IF(AND(OR(D1473="T. domingensis",D1473="T. latifolia"),E1473&gt;0),F1473*[1]Sheet1!$C$4+E1473*[1]Sheet1!$D$4+H1473*[1]Sheet1!$J$4+I1473*[1]Sheet1!$K$4+[1]Sheet1!$L$4,IF(AND(OR(D1473="T. domingensis",D1473="T. latifolia"),J1473&gt;0),J1473*[1]Sheet1!$G$5+K1473*[1]Sheet1!$H$5+L1473*[1]Sheet1!$I$5+[1]Sheet1!$L$5,0)))))))</f>
        <v>2.2557464619999998</v>
      </c>
    </row>
    <row r="1474" spans="1:15">
      <c r="A1474" s="2">
        <v>40738</v>
      </c>
      <c r="B1474" t="s">
        <v>43</v>
      </c>
      <c r="C1474">
        <v>25</v>
      </c>
      <c r="D1474" s="6" t="s">
        <v>29</v>
      </c>
      <c r="E1474" s="6">
        <v>160</v>
      </c>
      <c r="F1474">
        <v>0.91</v>
      </c>
      <c r="G1474">
        <v>0</v>
      </c>
      <c r="M1474" t="s">
        <v>44</v>
      </c>
      <c r="O1474">
        <f>IF(AND(OR(D1474="S. acutus",D1474="S. californicus",D1474="S. tabernaemontani"),G1474=0),E1474*[1]Sheet1!$D$7+[1]Sheet1!$L$7,IF(AND(OR(D1474="S. acutus",D1474="S. tabernaemontani"),G1474&gt;0),E1474*[1]Sheet1!$D$8+N1474*[1]Sheet1!$E$8,IF(AND(D1474="S. californicus",G1474&gt;0),E1474*[1]Sheet1!$D$9+N1474*[1]Sheet1!$E$9,IF(D1474="S. maritimus",F1474*[1]Sheet1!$C$10+E1474*[1]Sheet1!$D$10+G1474*[1]Sheet1!$F$10+[1]Sheet1!$L$10,IF(D1474="S. americanus",F1474*[1]Sheet1!$C$6+E1474*[1]Sheet1!$D$6+[1]Sheet1!$L$6,IF(AND(OR(D1474="T. domingensis",D1474="T. latifolia"),E1474&gt;0),F1474*[1]Sheet1!$C$4+E1474*[1]Sheet1!$D$4+H1474*[1]Sheet1!$J$4+I1474*[1]Sheet1!$K$4+[1]Sheet1!$L$4,IF(AND(OR(D1474="T. domingensis",D1474="T. latifolia"),J1474&gt;0),J1474*[1]Sheet1!$G$5+K1474*[1]Sheet1!$H$5+L1474*[1]Sheet1!$I$5+[1]Sheet1!$L$5,0)))))))</f>
        <v>3.4437550989999992</v>
      </c>
    </row>
    <row r="1475" spans="1:15">
      <c r="A1475" s="2">
        <v>40738</v>
      </c>
      <c r="B1475" t="s">
        <v>43</v>
      </c>
      <c r="C1475">
        <v>25</v>
      </c>
      <c r="D1475" s="6" t="s">
        <v>29</v>
      </c>
      <c r="E1475" s="6">
        <v>161</v>
      </c>
      <c r="F1475">
        <v>0.54</v>
      </c>
      <c r="G1475">
        <v>1</v>
      </c>
      <c r="M1475" t="s">
        <v>44</v>
      </c>
      <c r="O1475">
        <f>IF(AND(OR(D1475="S. acutus",D1475="S. californicus",D1475="S. tabernaemontani"),G1475=0),E1475*[1]Sheet1!$D$7+[1]Sheet1!$L$7,IF(AND(OR(D1475="S. acutus",D1475="S. tabernaemontani"),G1475&gt;0),E1475*[1]Sheet1!$D$8+N1475*[1]Sheet1!$E$8,IF(AND(D1475="S. californicus",G1475&gt;0),E1475*[1]Sheet1!$D$9+N1475*[1]Sheet1!$E$9,IF(D1475="S. maritimus",F1475*[1]Sheet1!$C$10+E1475*[1]Sheet1!$D$10+G1475*[1]Sheet1!$F$10+[1]Sheet1!$L$10,IF(D1475="S. americanus",F1475*[1]Sheet1!$C$6+E1475*[1]Sheet1!$D$6+[1]Sheet1!$L$6,IF(AND(OR(D1475="T. domingensis",D1475="T. latifolia"),E1475&gt;0),F1475*[1]Sheet1!$C$4+E1475*[1]Sheet1!$D$4+H1475*[1]Sheet1!$J$4+I1475*[1]Sheet1!$K$4+[1]Sheet1!$L$4,IF(AND(OR(D1475="T. domingensis",D1475="T. latifolia"),J1475&gt;0),J1475*[1]Sheet1!$G$5+K1475*[1]Sheet1!$H$5+L1475*[1]Sheet1!$I$5+[1]Sheet1!$L$5,0)))))))</f>
        <v>2.1450075059999993</v>
      </c>
    </row>
    <row r="1476" spans="1:15">
      <c r="A1476" s="2">
        <v>40738</v>
      </c>
      <c r="B1476" t="s">
        <v>43</v>
      </c>
      <c r="C1476">
        <v>25</v>
      </c>
      <c r="D1476" s="6" t="s">
        <v>29</v>
      </c>
      <c r="E1476" s="6">
        <v>161</v>
      </c>
      <c r="F1476">
        <v>0.81</v>
      </c>
      <c r="G1476">
        <v>0</v>
      </c>
      <c r="M1476" t="s">
        <v>44</v>
      </c>
      <c r="O1476">
        <f>IF(AND(OR(D1476="S. acutus",D1476="S. californicus",D1476="S. tabernaemontani"),G1476=0),E1476*[1]Sheet1!$D$7+[1]Sheet1!$L$7,IF(AND(OR(D1476="S. acutus",D1476="S. tabernaemontani"),G1476&gt;0),E1476*[1]Sheet1!$D$8+N1476*[1]Sheet1!$E$8,IF(AND(D1476="S. californicus",G1476&gt;0),E1476*[1]Sheet1!$D$9+N1476*[1]Sheet1!$E$9,IF(D1476="S. maritimus",F1476*[1]Sheet1!$C$10+E1476*[1]Sheet1!$D$10+G1476*[1]Sheet1!$F$10+[1]Sheet1!$L$10,IF(D1476="S. americanus",F1476*[1]Sheet1!$C$6+E1476*[1]Sheet1!$D$6+[1]Sheet1!$L$6,IF(AND(OR(D1476="T. domingensis",D1476="T. latifolia"),E1476&gt;0),F1476*[1]Sheet1!$C$4+E1476*[1]Sheet1!$D$4+H1476*[1]Sheet1!$J$4+I1476*[1]Sheet1!$K$4+[1]Sheet1!$L$4,IF(AND(OR(D1476="T. domingensis",D1476="T. latifolia"),J1476&gt;0),J1476*[1]Sheet1!$G$5+K1476*[1]Sheet1!$H$5+L1476*[1]Sheet1!$I$5+[1]Sheet1!$L$5,0)))))))</f>
        <v>3.1041849089999993</v>
      </c>
    </row>
    <row r="1477" spans="1:15">
      <c r="A1477" s="2">
        <v>40738</v>
      </c>
      <c r="B1477" t="s">
        <v>43</v>
      </c>
      <c r="C1477">
        <v>25</v>
      </c>
      <c r="D1477" s="6" t="s">
        <v>29</v>
      </c>
      <c r="E1477" s="6">
        <v>166</v>
      </c>
      <c r="F1477">
        <v>0.69</v>
      </c>
      <c r="G1477">
        <v>0</v>
      </c>
      <c r="M1477" t="s">
        <v>44</v>
      </c>
      <c r="O1477">
        <f>IF(AND(OR(D1477="S. acutus",D1477="S. californicus",D1477="S. tabernaemontani"),G1477=0),E1477*[1]Sheet1!$D$7+[1]Sheet1!$L$7,IF(AND(OR(D1477="S. acutus",D1477="S. tabernaemontani"),G1477&gt;0),E1477*[1]Sheet1!$D$8+N1477*[1]Sheet1!$E$8,IF(AND(D1477="S. californicus",G1477&gt;0),E1477*[1]Sheet1!$D$9+N1477*[1]Sheet1!$E$9,IF(D1477="S. maritimus",F1477*[1]Sheet1!$C$10+E1477*[1]Sheet1!$D$10+G1477*[1]Sheet1!$F$10+[1]Sheet1!$L$10,IF(D1477="S. americanus",F1477*[1]Sheet1!$C$6+E1477*[1]Sheet1!$D$6+[1]Sheet1!$L$6,IF(AND(OR(D1477="T. domingensis",D1477="T. latifolia"),E1477&gt;0),F1477*[1]Sheet1!$C$4+E1477*[1]Sheet1!$D$4+H1477*[1]Sheet1!$J$4+I1477*[1]Sheet1!$K$4+[1]Sheet1!$L$4,IF(AND(OR(D1477="T. domingensis",D1477="T. latifolia"),J1477&gt;0),J1477*[1]Sheet1!$G$5+K1477*[1]Sheet1!$H$5+L1477*[1]Sheet1!$I$5+[1]Sheet1!$L$5,0)))))))</f>
        <v>2.7562873409999988</v>
      </c>
    </row>
    <row r="1478" spans="1:15">
      <c r="A1478" s="2">
        <v>40738</v>
      </c>
      <c r="B1478" t="s">
        <v>43</v>
      </c>
      <c r="C1478">
        <v>25</v>
      </c>
      <c r="D1478" s="6" t="s">
        <v>29</v>
      </c>
      <c r="E1478" s="6">
        <v>167</v>
      </c>
      <c r="F1478">
        <v>1.02</v>
      </c>
      <c r="G1478">
        <v>0</v>
      </c>
      <c r="M1478" t="s">
        <v>44</v>
      </c>
      <c r="O1478">
        <f>IF(AND(OR(D1478="S. acutus",D1478="S. californicus",D1478="S. tabernaemontani"),G1478=0),E1478*[1]Sheet1!$D$7+[1]Sheet1!$L$7,IF(AND(OR(D1478="S. acutus",D1478="S. tabernaemontani"),G1478&gt;0),E1478*[1]Sheet1!$D$8+N1478*[1]Sheet1!$E$8,IF(AND(D1478="S. californicus",G1478&gt;0),E1478*[1]Sheet1!$D$9+N1478*[1]Sheet1!$E$9,IF(D1478="S. maritimus",F1478*[1]Sheet1!$C$10+E1478*[1]Sheet1!$D$10+G1478*[1]Sheet1!$F$10+[1]Sheet1!$L$10,IF(D1478="S. americanus",F1478*[1]Sheet1!$C$6+E1478*[1]Sheet1!$D$6+[1]Sheet1!$L$6,IF(AND(OR(D1478="T. domingensis",D1478="T. latifolia"),E1478&gt;0),F1478*[1]Sheet1!$C$4+E1478*[1]Sheet1!$D$4+H1478*[1]Sheet1!$J$4+I1478*[1]Sheet1!$K$4+[1]Sheet1!$L$4,IF(AND(OR(D1478="T. domingensis",D1478="T. latifolia"),J1478&gt;0),J1478*[1]Sheet1!$G$5+K1478*[1]Sheet1!$H$5+L1478*[1]Sheet1!$I$5+[1]Sheet1!$L$5,0)))))))</f>
        <v>3.944295978</v>
      </c>
    </row>
    <row r="1479" spans="1:15">
      <c r="A1479" s="2">
        <v>40738</v>
      </c>
      <c r="B1479" t="s">
        <v>43</v>
      </c>
      <c r="C1479">
        <v>25</v>
      </c>
      <c r="D1479" s="6" t="s">
        <v>29</v>
      </c>
      <c r="E1479" s="6">
        <v>168</v>
      </c>
      <c r="F1479">
        <v>0.78</v>
      </c>
      <c r="G1479">
        <v>0</v>
      </c>
      <c r="M1479" t="s">
        <v>44</v>
      </c>
      <c r="O1479">
        <f>IF(AND(OR(D1479="S. acutus",D1479="S. californicus",D1479="S. tabernaemontani"),G1479=0),E1479*[1]Sheet1!$D$7+[1]Sheet1!$L$7,IF(AND(OR(D1479="S. acutus",D1479="S. tabernaemontani"),G1479&gt;0),E1479*[1]Sheet1!$D$8+N1479*[1]Sheet1!$E$8,IF(AND(D1479="S. californicus",G1479&gt;0),E1479*[1]Sheet1!$D$9+N1479*[1]Sheet1!$E$9,IF(D1479="S. maritimus",F1479*[1]Sheet1!$C$10+E1479*[1]Sheet1!$D$10+G1479*[1]Sheet1!$F$10+[1]Sheet1!$L$10,IF(D1479="S. americanus",F1479*[1]Sheet1!$C$6+E1479*[1]Sheet1!$D$6+[1]Sheet1!$L$6,IF(AND(OR(D1479="T. domingensis",D1479="T. latifolia"),E1479&gt;0),F1479*[1]Sheet1!$C$4+E1479*[1]Sheet1!$D$4+H1479*[1]Sheet1!$J$4+I1479*[1]Sheet1!$K$4+[1]Sheet1!$L$4,IF(AND(OR(D1479="T. domingensis",D1479="T. latifolia"),J1479&gt;0),J1479*[1]Sheet1!$G$5+K1479*[1]Sheet1!$H$5+L1479*[1]Sheet1!$I$5+[1]Sheet1!$L$5,0)))))))</f>
        <v>3.1073745420000001</v>
      </c>
    </row>
    <row r="1480" spans="1:15">
      <c r="A1480" s="2">
        <v>40738</v>
      </c>
      <c r="B1480" t="s">
        <v>43</v>
      </c>
      <c r="C1480">
        <v>25</v>
      </c>
      <c r="D1480" s="6" t="s">
        <v>29</v>
      </c>
      <c r="E1480" s="6">
        <v>168</v>
      </c>
      <c r="F1480">
        <v>1.2</v>
      </c>
      <c r="G1480">
        <v>0</v>
      </c>
      <c r="M1480" t="s">
        <v>44</v>
      </c>
      <c r="O1480">
        <f>IF(AND(OR(D1480="S. acutus",D1480="S. californicus",D1480="S. tabernaemontani"),G1480=0),E1480*[1]Sheet1!$D$7+[1]Sheet1!$L$7,IF(AND(OR(D1480="S. acutus",D1480="S. tabernaemontani"),G1480&gt;0),E1480*[1]Sheet1!$D$8+N1480*[1]Sheet1!$E$8,IF(AND(D1480="S. californicus",G1480&gt;0),E1480*[1]Sheet1!$D$9+N1480*[1]Sheet1!$E$9,IF(D1480="S. maritimus",F1480*[1]Sheet1!$C$10+E1480*[1]Sheet1!$D$10+G1480*[1]Sheet1!$F$10+[1]Sheet1!$L$10,IF(D1480="S. americanus",F1480*[1]Sheet1!$C$6+E1480*[1]Sheet1!$D$6+[1]Sheet1!$L$6,IF(AND(OR(D1480="T. domingensis",D1480="T. latifolia"),E1480&gt;0),F1480*[1]Sheet1!$C$4+E1480*[1]Sheet1!$D$4+H1480*[1]Sheet1!$J$4+I1480*[1]Sheet1!$K$4+[1]Sheet1!$L$4,IF(AND(OR(D1480="T. domingensis",D1480="T. latifolia"),J1480&gt;0),J1480*[1]Sheet1!$G$5+K1480*[1]Sheet1!$H$5+L1480*[1]Sheet1!$I$5+[1]Sheet1!$L$5,0)))))))</f>
        <v>4.5994282799999997</v>
      </c>
    </row>
    <row r="1481" spans="1:15">
      <c r="A1481" s="2">
        <v>40738</v>
      </c>
      <c r="B1481" t="s">
        <v>43</v>
      </c>
      <c r="C1481">
        <v>25</v>
      </c>
      <c r="D1481" s="6" t="s">
        <v>29</v>
      </c>
      <c r="E1481" s="6">
        <v>171</v>
      </c>
      <c r="F1481">
        <v>0.68</v>
      </c>
      <c r="G1481">
        <v>0</v>
      </c>
      <c r="M1481" t="s">
        <v>44</v>
      </c>
      <c r="O1481">
        <f>IF(AND(OR(D1481="S. acutus",D1481="S. californicus",D1481="S. tabernaemontani"),G1481=0),E1481*[1]Sheet1!$D$7+[1]Sheet1!$L$7,IF(AND(OR(D1481="S. acutus",D1481="S. tabernaemontani"),G1481&gt;0),E1481*[1]Sheet1!$D$8+N1481*[1]Sheet1!$E$8,IF(AND(D1481="S. californicus",G1481&gt;0),E1481*[1]Sheet1!$D$9+N1481*[1]Sheet1!$E$9,IF(D1481="S. maritimus",F1481*[1]Sheet1!$C$10+E1481*[1]Sheet1!$D$10+G1481*[1]Sheet1!$F$10+[1]Sheet1!$L$10,IF(D1481="S. americanus",F1481*[1]Sheet1!$C$6+E1481*[1]Sheet1!$D$6+[1]Sheet1!$L$6,IF(AND(OR(D1481="T. domingensis",D1481="T. latifolia"),E1481&gt;0),F1481*[1]Sheet1!$C$4+E1481*[1]Sheet1!$D$4+H1481*[1]Sheet1!$J$4+I1481*[1]Sheet1!$K$4+[1]Sheet1!$L$4,IF(AND(OR(D1481="T. domingensis",D1481="T. latifolia"),J1481&gt;0),J1481*[1]Sheet1!$G$5+K1481*[1]Sheet1!$H$5+L1481*[1]Sheet1!$I$5+[1]Sheet1!$L$5,0)))))))</f>
        <v>2.7991657519999991</v>
      </c>
    </row>
    <row r="1482" spans="1:15">
      <c r="A1482" s="2">
        <v>40738</v>
      </c>
      <c r="B1482" t="s">
        <v>43</v>
      </c>
      <c r="C1482">
        <v>25</v>
      </c>
      <c r="D1482" s="6" t="s">
        <v>29</v>
      </c>
      <c r="E1482" s="6">
        <v>176</v>
      </c>
      <c r="F1482">
        <v>0.61</v>
      </c>
      <c r="G1482">
        <v>0</v>
      </c>
      <c r="M1482" t="s">
        <v>44</v>
      </c>
      <c r="O1482">
        <f>IF(AND(OR(D1482="S. acutus",D1482="S. californicus",D1482="S. tabernaemontani"),G1482=0),E1482*[1]Sheet1!$D$7+[1]Sheet1!$L$7,IF(AND(OR(D1482="S. acutus",D1482="S. tabernaemontani"),G1482&gt;0),E1482*[1]Sheet1!$D$8+N1482*[1]Sheet1!$E$8,IF(AND(D1482="S. californicus",G1482&gt;0),E1482*[1]Sheet1!$D$9+N1482*[1]Sheet1!$E$9,IF(D1482="S. maritimus",F1482*[1]Sheet1!$C$10+E1482*[1]Sheet1!$D$10+G1482*[1]Sheet1!$F$10+[1]Sheet1!$L$10,IF(D1482="S. americanus",F1482*[1]Sheet1!$C$6+E1482*[1]Sheet1!$D$6+[1]Sheet1!$L$6,IF(AND(OR(D1482="T. domingensis",D1482="T. latifolia"),E1482&gt;0),F1482*[1]Sheet1!$C$4+E1482*[1]Sheet1!$D$4+H1482*[1]Sheet1!$J$4+I1482*[1]Sheet1!$K$4+[1]Sheet1!$L$4,IF(AND(OR(D1482="T. domingensis",D1482="T. latifolia"),J1482&gt;0),J1482*[1]Sheet1!$G$5+K1482*[1]Sheet1!$H$5+L1482*[1]Sheet1!$I$5+[1]Sheet1!$L$5,0)))))))</f>
        <v>2.6288936289999998</v>
      </c>
    </row>
    <row r="1483" spans="1:15">
      <c r="A1483" s="2">
        <v>40738</v>
      </c>
      <c r="B1483" t="s">
        <v>43</v>
      </c>
      <c r="C1483">
        <v>25</v>
      </c>
      <c r="D1483" s="6" t="s">
        <v>29</v>
      </c>
      <c r="E1483" s="6">
        <v>176</v>
      </c>
      <c r="F1483">
        <v>0.68</v>
      </c>
      <c r="G1483">
        <v>0</v>
      </c>
      <c r="M1483" t="s">
        <v>44</v>
      </c>
      <c r="O1483">
        <f>IF(AND(OR(D1483="S. acutus",D1483="S. californicus",D1483="S. tabernaemontani"),G1483=0),E1483*[1]Sheet1!$D$7+[1]Sheet1!$L$7,IF(AND(OR(D1483="S. acutus",D1483="S. tabernaemontani"),G1483&gt;0),E1483*[1]Sheet1!$D$8+N1483*[1]Sheet1!$E$8,IF(AND(D1483="S. californicus",G1483&gt;0),E1483*[1]Sheet1!$D$9+N1483*[1]Sheet1!$E$9,IF(D1483="S. maritimus",F1483*[1]Sheet1!$C$10+E1483*[1]Sheet1!$D$10+G1483*[1]Sheet1!$F$10+[1]Sheet1!$L$10,IF(D1483="S. americanus",F1483*[1]Sheet1!$C$6+E1483*[1]Sheet1!$D$6+[1]Sheet1!$L$6,IF(AND(OR(D1483="T. domingensis",D1483="T. latifolia"),E1483&gt;0),F1483*[1]Sheet1!$C$4+E1483*[1]Sheet1!$D$4+H1483*[1]Sheet1!$J$4+I1483*[1]Sheet1!$K$4+[1]Sheet1!$L$4,IF(AND(OR(D1483="T. domingensis",D1483="T. latifolia"),J1483&gt;0),J1483*[1]Sheet1!$G$5+K1483*[1]Sheet1!$H$5+L1483*[1]Sheet1!$I$5+[1]Sheet1!$L$5,0)))))))</f>
        <v>2.8775692519999994</v>
      </c>
    </row>
    <row r="1484" spans="1:15">
      <c r="A1484" s="2">
        <v>40738</v>
      </c>
      <c r="B1484" t="s">
        <v>43</v>
      </c>
      <c r="C1484">
        <v>25</v>
      </c>
      <c r="D1484" s="6" t="s">
        <v>29</v>
      </c>
      <c r="E1484" s="6">
        <v>184</v>
      </c>
      <c r="F1484">
        <v>0.72</v>
      </c>
      <c r="G1484">
        <v>0</v>
      </c>
      <c r="M1484" t="s">
        <v>44</v>
      </c>
      <c r="O1484">
        <f>IF(AND(OR(D1484="S. acutus",D1484="S. californicus",D1484="S. tabernaemontani"),G1484=0),E1484*[1]Sheet1!$D$7+[1]Sheet1!$L$7,IF(AND(OR(D1484="S. acutus",D1484="S. tabernaemontani"),G1484&gt;0),E1484*[1]Sheet1!$D$8+N1484*[1]Sheet1!$E$8,IF(AND(D1484="S. californicus",G1484&gt;0),E1484*[1]Sheet1!$D$9+N1484*[1]Sheet1!$E$9,IF(D1484="S. maritimus",F1484*[1]Sheet1!$C$10+E1484*[1]Sheet1!$D$10+G1484*[1]Sheet1!$F$10+[1]Sheet1!$L$10,IF(D1484="S. americanus",F1484*[1]Sheet1!$C$6+E1484*[1]Sheet1!$D$6+[1]Sheet1!$L$6,IF(AND(OR(D1484="T. domingensis",D1484="T. latifolia"),E1484&gt;0),F1484*[1]Sheet1!$C$4+E1484*[1]Sheet1!$D$4+H1484*[1]Sheet1!$J$4+I1484*[1]Sheet1!$K$4+[1]Sheet1!$L$4,IF(AND(OR(D1484="T. domingensis",D1484="T. latifolia"),J1484&gt;0),J1484*[1]Sheet1!$G$5+K1484*[1]Sheet1!$H$5+L1484*[1]Sheet1!$I$5+[1]Sheet1!$L$5,0)))))))</f>
        <v>3.1451152079999996</v>
      </c>
    </row>
    <row r="1485" spans="1:15">
      <c r="A1485" s="2">
        <v>40738</v>
      </c>
      <c r="B1485" t="s">
        <v>43</v>
      </c>
      <c r="C1485">
        <v>25</v>
      </c>
      <c r="D1485" s="6" t="s">
        <v>29</v>
      </c>
      <c r="E1485" s="6">
        <v>185</v>
      </c>
      <c r="F1485">
        <v>0.62</v>
      </c>
      <c r="G1485">
        <v>0</v>
      </c>
      <c r="M1485" t="s">
        <v>44</v>
      </c>
      <c r="O1485">
        <f>IF(AND(OR(D1485="S. acutus",D1485="S. californicus",D1485="S. tabernaemontani"),G1485=0),E1485*[1]Sheet1!$D$7+[1]Sheet1!$L$7,IF(AND(OR(D1485="S. acutus",D1485="S. tabernaemontani"),G1485&gt;0),E1485*[1]Sheet1!$D$8+N1485*[1]Sheet1!$E$8,IF(AND(D1485="S. californicus",G1485&gt;0),E1485*[1]Sheet1!$D$9+N1485*[1]Sheet1!$E$9,IF(D1485="S. maritimus",F1485*[1]Sheet1!$C$10+E1485*[1]Sheet1!$D$10+G1485*[1]Sheet1!$F$10+[1]Sheet1!$L$10,IF(D1485="S. americanus",F1485*[1]Sheet1!$C$6+E1485*[1]Sheet1!$D$6+[1]Sheet1!$L$6,IF(AND(OR(D1485="T. domingensis",D1485="T. latifolia"),E1485&gt;0),F1485*[1]Sheet1!$C$4+E1485*[1]Sheet1!$D$4+H1485*[1]Sheet1!$J$4+I1485*[1]Sheet1!$K$4+[1]Sheet1!$L$4,IF(AND(OR(D1485="T. domingensis",D1485="T. latifolia"),J1485&gt;0),J1485*[1]Sheet1!$G$5+K1485*[1]Sheet1!$H$5+L1485*[1]Sheet1!$I$5+[1]Sheet1!$L$5,0)))))))</f>
        <v>2.8055450179999997</v>
      </c>
    </row>
    <row r="1486" spans="1:15">
      <c r="A1486" s="2">
        <v>40738</v>
      </c>
      <c r="B1486" t="s">
        <v>43</v>
      </c>
      <c r="C1486">
        <v>25</v>
      </c>
      <c r="D1486" s="6" t="s">
        <v>29</v>
      </c>
      <c r="E1486" s="6">
        <v>187</v>
      </c>
      <c r="F1486">
        <v>0.57999999999999996</v>
      </c>
      <c r="G1486">
        <v>0</v>
      </c>
      <c r="M1486" t="s">
        <v>44</v>
      </c>
      <c r="O1486">
        <f>IF(AND(OR(D1486="S. acutus",D1486="S. californicus",D1486="S. tabernaemontani"),G1486=0),E1486*[1]Sheet1!$D$7+[1]Sheet1!$L$7,IF(AND(OR(D1486="S. acutus",D1486="S. tabernaemontani"),G1486&gt;0),E1486*[1]Sheet1!$D$8+N1486*[1]Sheet1!$E$8,IF(AND(D1486="S. californicus",G1486&gt;0),E1486*[1]Sheet1!$D$9+N1486*[1]Sheet1!$E$9,IF(D1486="S. maritimus",F1486*[1]Sheet1!$C$10+E1486*[1]Sheet1!$D$10+G1486*[1]Sheet1!$F$10+[1]Sheet1!$L$10,IF(D1486="S. americanus",F1486*[1]Sheet1!$C$6+E1486*[1]Sheet1!$D$6+[1]Sheet1!$L$6,IF(AND(OR(D1486="T. domingensis",D1486="T. latifolia"),E1486&gt;0),F1486*[1]Sheet1!$C$4+E1486*[1]Sheet1!$D$4+H1486*[1]Sheet1!$J$4+I1486*[1]Sheet1!$K$4+[1]Sheet1!$L$4,IF(AND(OR(D1486="T. domingensis",D1486="T. latifolia"),J1486&gt;0),J1486*[1]Sheet1!$G$5+K1486*[1]Sheet1!$H$5+L1486*[1]Sheet1!$I$5+[1]Sheet1!$L$5,0)))))))</f>
        <v>2.6948060620000001</v>
      </c>
    </row>
    <row r="1487" spans="1:15">
      <c r="A1487" s="2">
        <v>40738</v>
      </c>
      <c r="B1487" t="s">
        <v>43</v>
      </c>
      <c r="C1487">
        <v>25</v>
      </c>
      <c r="D1487" s="6" t="s">
        <v>29</v>
      </c>
      <c r="E1487" s="6">
        <v>194</v>
      </c>
      <c r="F1487">
        <v>0.57999999999999996</v>
      </c>
      <c r="G1487">
        <v>0</v>
      </c>
      <c r="M1487" t="s">
        <v>44</v>
      </c>
      <c r="O1487">
        <f>IF(AND(OR(D1487="S. acutus",D1487="S. californicus",D1487="S. tabernaemontani"),G1487=0),E1487*[1]Sheet1!$D$7+[1]Sheet1!$L$7,IF(AND(OR(D1487="S. acutus",D1487="S. tabernaemontani"),G1487&gt;0),E1487*[1]Sheet1!$D$8+N1487*[1]Sheet1!$E$8,IF(AND(D1487="S. californicus",G1487&gt;0),E1487*[1]Sheet1!$D$9+N1487*[1]Sheet1!$E$9,IF(D1487="S. maritimus",F1487*[1]Sheet1!$C$10+E1487*[1]Sheet1!$D$10+G1487*[1]Sheet1!$F$10+[1]Sheet1!$L$10,IF(D1487="S. americanus",F1487*[1]Sheet1!$C$6+E1487*[1]Sheet1!$D$6+[1]Sheet1!$L$6,IF(AND(OR(D1487="T. domingensis",D1487="T. latifolia"),E1487&gt;0),F1487*[1]Sheet1!$C$4+E1487*[1]Sheet1!$D$4+H1487*[1]Sheet1!$J$4+I1487*[1]Sheet1!$K$4+[1]Sheet1!$L$4,IF(AND(OR(D1487="T. domingensis",D1487="T. latifolia"),J1487&gt;0),J1487*[1]Sheet1!$G$5+K1487*[1]Sheet1!$H$5+L1487*[1]Sheet1!$I$5+[1]Sheet1!$L$5,0)))))))</f>
        <v>2.8045709620000001</v>
      </c>
    </row>
    <row r="1488" spans="1:15">
      <c r="A1488" s="2">
        <v>40738</v>
      </c>
      <c r="B1488" t="s">
        <v>43</v>
      </c>
      <c r="C1488">
        <v>25</v>
      </c>
      <c r="D1488" s="6" t="s">
        <v>29</v>
      </c>
      <c r="E1488" s="6">
        <v>198</v>
      </c>
      <c r="F1488">
        <v>0.73</v>
      </c>
      <c r="G1488">
        <v>0</v>
      </c>
      <c r="M1488" t="s">
        <v>44</v>
      </c>
      <c r="O1488">
        <f>IF(AND(OR(D1488="S. acutus",D1488="S. californicus",D1488="S. tabernaemontani"),G1488=0),E1488*[1]Sheet1!$D$7+[1]Sheet1!$L$7,IF(AND(OR(D1488="S. acutus",D1488="S. tabernaemontani"),G1488&gt;0),E1488*[1]Sheet1!$D$8+N1488*[1]Sheet1!$E$8,IF(AND(D1488="S. californicus",G1488&gt;0),E1488*[1]Sheet1!$D$9+N1488*[1]Sheet1!$E$9,IF(D1488="S. maritimus",F1488*[1]Sheet1!$C$10+E1488*[1]Sheet1!$D$10+G1488*[1]Sheet1!$F$10+[1]Sheet1!$L$10,IF(D1488="S. americanus",F1488*[1]Sheet1!$C$6+E1488*[1]Sheet1!$D$6+[1]Sheet1!$L$6,IF(AND(OR(D1488="T. domingensis",D1488="T. latifolia"),E1488&gt;0),F1488*[1]Sheet1!$C$4+E1488*[1]Sheet1!$D$4+H1488*[1]Sheet1!$J$4+I1488*[1]Sheet1!$K$4+[1]Sheet1!$L$4,IF(AND(OR(D1488="T. domingensis",D1488="T. latifolia"),J1488&gt;0),J1488*[1]Sheet1!$G$5+K1488*[1]Sheet1!$H$5+L1488*[1]Sheet1!$I$5+[1]Sheet1!$L$5,0)))))))</f>
        <v>3.4001700969999997</v>
      </c>
    </row>
    <row r="1489" spans="1:15">
      <c r="A1489" s="2">
        <v>40738</v>
      </c>
      <c r="B1489" t="s">
        <v>43</v>
      </c>
      <c r="C1489">
        <v>25</v>
      </c>
      <c r="D1489" s="6" t="s">
        <v>29</v>
      </c>
      <c r="E1489" s="6">
        <v>206</v>
      </c>
      <c r="F1489">
        <v>0.54</v>
      </c>
      <c r="G1489">
        <v>0</v>
      </c>
      <c r="M1489" t="s">
        <v>44</v>
      </c>
      <c r="O1489">
        <f>IF(AND(OR(D1489="S. acutus",D1489="S. californicus",D1489="S. tabernaemontani"),G1489=0),E1489*[1]Sheet1!$D$7+[1]Sheet1!$L$7,IF(AND(OR(D1489="S. acutus",D1489="S. tabernaemontani"),G1489&gt;0),E1489*[1]Sheet1!$D$8+N1489*[1]Sheet1!$E$8,IF(AND(D1489="S. californicus",G1489&gt;0),E1489*[1]Sheet1!$D$9+N1489*[1]Sheet1!$E$9,IF(D1489="S. maritimus",F1489*[1]Sheet1!$C$10+E1489*[1]Sheet1!$D$10+G1489*[1]Sheet1!$F$10+[1]Sheet1!$L$10,IF(D1489="S. americanus",F1489*[1]Sheet1!$C$6+E1489*[1]Sheet1!$D$6+[1]Sheet1!$L$6,IF(AND(OR(D1489="T. domingensis",D1489="T. latifolia"),E1489&gt;0),F1489*[1]Sheet1!$C$4+E1489*[1]Sheet1!$D$4+H1489*[1]Sheet1!$J$4+I1489*[1]Sheet1!$K$4+[1]Sheet1!$L$4,IF(AND(OR(D1489="T. domingensis",D1489="T. latifolia"),J1489&gt;0),J1489*[1]Sheet1!$G$5+K1489*[1]Sheet1!$H$5+L1489*[1]Sheet1!$I$5+[1]Sheet1!$L$5,0)))))))</f>
        <v>2.8506390060000002</v>
      </c>
    </row>
    <row r="1490" spans="1:15">
      <c r="A1490" s="2">
        <v>40738</v>
      </c>
      <c r="B1490" t="s">
        <v>43</v>
      </c>
      <c r="C1490">
        <v>25</v>
      </c>
      <c r="D1490" s="6" t="s">
        <v>29</v>
      </c>
      <c r="E1490" s="6">
        <v>206</v>
      </c>
      <c r="F1490">
        <v>0.86</v>
      </c>
      <c r="G1490">
        <v>0</v>
      </c>
      <c r="M1490" t="s">
        <v>44</v>
      </c>
      <c r="O1490">
        <f>IF(AND(OR(D1490="S. acutus",D1490="S. californicus",D1490="S. tabernaemontani"),G1490=0),E1490*[1]Sheet1!$D$7+[1]Sheet1!$L$7,IF(AND(OR(D1490="S. acutus",D1490="S. tabernaemontani"),G1490&gt;0),E1490*[1]Sheet1!$D$8+N1490*[1]Sheet1!$E$8,IF(AND(D1490="S. californicus",G1490&gt;0),E1490*[1]Sheet1!$D$9+N1490*[1]Sheet1!$E$9,IF(D1490="S. maritimus",F1490*[1]Sheet1!$C$10+E1490*[1]Sheet1!$D$10+G1490*[1]Sheet1!$F$10+[1]Sheet1!$L$10,IF(D1490="S. americanus",F1490*[1]Sheet1!$C$6+E1490*[1]Sheet1!$D$6+[1]Sheet1!$L$6,IF(AND(OR(D1490="T. domingensis",D1490="T. latifolia"),E1490&gt;0),F1490*[1]Sheet1!$C$4+E1490*[1]Sheet1!$D$4+H1490*[1]Sheet1!$J$4+I1490*[1]Sheet1!$K$4+[1]Sheet1!$L$4,IF(AND(OR(D1490="T. domingensis",D1490="T. latifolia"),J1490&gt;0),J1490*[1]Sheet1!$G$5+K1490*[1]Sheet1!$H$5+L1490*[1]Sheet1!$I$5+[1]Sheet1!$L$5,0)))))))</f>
        <v>3.9874418539999996</v>
      </c>
    </row>
    <row r="1491" spans="1:15">
      <c r="A1491" s="2">
        <v>40738</v>
      </c>
      <c r="B1491" t="s">
        <v>43</v>
      </c>
      <c r="C1491">
        <v>25</v>
      </c>
      <c r="D1491" s="6" t="s">
        <v>29</v>
      </c>
      <c r="E1491" s="6">
        <v>208</v>
      </c>
      <c r="F1491">
        <v>0.64</v>
      </c>
      <c r="G1491">
        <v>0</v>
      </c>
      <c r="M1491" t="s">
        <v>44</v>
      </c>
      <c r="O1491">
        <f>IF(AND(OR(D1491="S. acutus",D1491="S. californicus",D1491="S. tabernaemontani"),G1491=0),E1491*[1]Sheet1!$D$7+[1]Sheet1!$L$7,IF(AND(OR(D1491="S. acutus",D1491="S. tabernaemontani"),G1491&gt;0),E1491*[1]Sheet1!$D$8+N1491*[1]Sheet1!$E$8,IF(AND(D1491="S. californicus",G1491&gt;0),E1491*[1]Sheet1!$D$9+N1491*[1]Sheet1!$E$9,IF(D1491="S. maritimus",F1491*[1]Sheet1!$C$10+E1491*[1]Sheet1!$D$10+G1491*[1]Sheet1!$F$10+[1]Sheet1!$L$10,IF(D1491="S. americanus",F1491*[1]Sheet1!$C$6+E1491*[1]Sheet1!$D$6+[1]Sheet1!$L$6,IF(AND(OR(D1491="T. domingensis",D1491="T. latifolia"),E1491&gt;0),F1491*[1]Sheet1!$C$4+E1491*[1]Sheet1!$D$4+H1491*[1]Sheet1!$J$4+I1491*[1]Sheet1!$K$4+[1]Sheet1!$L$4,IF(AND(OR(D1491="T. domingensis",D1491="T. latifolia"),J1491&gt;0),J1491*[1]Sheet1!$G$5+K1491*[1]Sheet1!$H$5+L1491*[1]Sheet1!$I$5+[1]Sheet1!$L$5,0)))))))</f>
        <v>3.2372512959999997</v>
      </c>
    </row>
    <row r="1492" spans="1:15">
      <c r="A1492" s="2">
        <v>40738</v>
      </c>
      <c r="B1492" t="s">
        <v>43</v>
      </c>
      <c r="C1492">
        <v>25</v>
      </c>
      <c r="D1492" s="6" t="s">
        <v>29</v>
      </c>
      <c r="E1492" s="6">
        <v>210</v>
      </c>
      <c r="F1492">
        <v>0.74</v>
      </c>
      <c r="G1492">
        <v>0</v>
      </c>
      <c r="M1492" t="s">
        <v>44</v>
      </c>
      <c r="O1492">
        <f>IF(AND(OR(D1492="S. acutus",D1492="S. californicus",D1492="S. tabernaemontani"),G1492=0),E1492*[1]Sheet1!$D$7+[1]Sheet1!$L$7,IF(AND(OR(D1492="S. acutus",D1492="S. tabernaemontani"),G1492&gt;0),E1492*[1]Sheet1!$D$8+N1492*[1]Sheet1!$E$8,IF(AND(D1492="S. californicus",G1492&gt;0),E1492*[1]Sheet1!$D$9+N1492*[1]Sheet1!$E$9,IF(D1492="S. maritimus",F1492*[1]Sheet1!$C$10+E1492*[1]Sheet1!$D$10+G1492*[1]Sheet1!$F$10+[1]Sheet1!$L$10,IF(D1492="S. americanus",F1492*[1]Sheet1!$C$6+E1492*[1]Sheet1!$D$6+[1]Sheet1!$L$6,IF(AND(OR(D1492="T. domingensis",D1492="T. latifolia"),E1492&gt;0),F1492*[1]Sheet1!$C$4+E1492*[1]Sheet1!$D$4+H1492*[1]Sheet1!$J$4+I1492*[1]Sheet1!$K$4+[1]Sheet1!$L$4,IF(AND(OR(D1492="T. domingensis",D1492="T. latifolia"),J1492&gt;0),J1492*[1]Sheet1!$G$5+K1492*[1]Sheet1!$H$5+L1492*[1]Sheet1!$I$5+[1]Sheet1!$L$5,0)))))))</f>
        <v>3.6238635859999992</v>
      </c>
    </row>
    <row r="1493" spans="1:15">
      <c r="A1493" s="2">
        <v>40738</v>
      </c>
      <c r="B1493" t="s">
        <v>43</v>
      </c>
      <c r="C1493">
        <v>25</v>
      </c>
      <c r="D1493" s="6" t="s">
        <v>29</v>
      </c>
      <c r="E1493" s="6">
        <v>211</v>
      </c>
      <c r="F1493">
        <v>0.67</v>
      </c>
      <c r="G1493">
        <v>0</v>
      </c>
      <c r="M1493" t="s">
        <v>44</v>
      </c>
      <c r="O1493">
        <f>IF(AND(OR(D1493="S. acutus",D1493="S. californicus",D1493="S. tabernaemontani"),G1493=0),E1493*[1]Sheet1!$D$7+[1]Sheet1!$L$7,IF(AND(OR(D1493="S. acutus",D1493="S. tabernaemontani"),G1493&gt;0),E1493*[1]Sheet1!$D$8+N1493*[1]Sheet1!$E$8,IF(AND(D1493="S. californicus",G1493&gt;0),E1493*[1]Sheet1!$D$9+N1493*[1]Sheet1!$E$9,IF(D1493="S. maritimus",F1493*[1]Sheet1!$C$10+E1493*[1]Sheet1!$D$10+G1493*[1]Sheet1!$F$10+[1]Sheet1!$L$10,IF(D1493="S. americanus",F1493*[1]Sheet1!$C$6+E1493*[1]Sheet1!$D$6+[1]Sheet1!$L$6,IF(AND(OR(D1493="T. domingensis",D1493="T. latifolia"),E1493&gt;0),F1493*[1]Sheet1!$C$4+E1493*[1]Sheet1!$D$4+H1493*[1]Sheet1!$J$4+I1493*[1]Sheet1!$K$4+[1]Sheet1!$L$4,IF(AND(OR(D1493="T. domingensis",D1493="T. latifolia"),J1493&gt;0),J1493*[1]Sheet1!$G$5+K1493*[1]Sheet1!$H$5+L1493*[1]Sheet1!$I$5+[1]Sheet1!$L$5,0)))))))</f>
        <v>3.3908686629999996</v>
      </c>
    </row>
    <row r="1494" spans="1:15">
      <c r="A1494" s="2">
        <v>40738</v>
      </c>
      <c r="B1494" t="s">
        <v>43</v>
      </c>
      <c r="C1494">
        <v>25</v>
      </c>
      <c r="D1494" s="6" t="s">
        <v>29</v>
      </c>
      <c r="E1494" s="6">
        <v>215</v>
      </c>
      <c r="F1494">
        <v>0.63</v>
      </c>
      <c r="G1494">
        <v>1</v>
      </c>
      <c r="M1494" t="s">
        <v>44</v>
      </c>
      <c r="O1494">
        <f>IF(AND(OR(D1494="S. acutus",D1494="S. californicus",D1494="S. tabernaemontani"),G1494=0),E1494*[1]Sheet1!$D$7+[1]Sheet1!$L$7,IF(AND(OR(D1494="S. acutus",D1494="S. tabernaemontani"),G1494&gt;0),E1494*[1]Sheet1!$D$8+N1494*[1]Sheet1!$E$8,IF(AND(D1494="S. californicus",G1494&gt;0),E1494*[1]Sheet1!$D$9+N1494*[1]Sheet1!$E$9,IF(D1494="S. maritimus",F1494*[1]Sheet1!$C$10+E1494*[1]Sheet1!$D$10+G1494*[1]Sheet1!$F$10+[1]Sheet1!$L$10,IF(D1494="S. americanus",F1494*[1]Sheet1!$C$6+E1494*[1]Sheet1!$D$6+[1]Sheet1!$L$6,IF(AND(OR(D1494="T. domingensis",D1494="T. latifolia"),E1494&gt;0),F1494*[1]Sheet1!$C$4+E1494*[1]Sheet1!$D$4+H1494*[1]Sheet1!$J$4+I1494*[1]Sheet1!$K$4+[1]Sheet1!$L$4,IF(AND(OR(D1494="T. domingensis",D1494="T. latifolia"),J1494&gt;0),J1494*[1]Sheet1!$G$5+K1494*[1]Sheet1!$H$5+L1494*[1]Sheet1!$I$5+[1]Sheet1!$L$5,0)))))))</f>
        <v>3.3114911069999997</v>
      </c>
    </row>
    <row r="1495" spans="1:15">
      <c r="A1495" s="2">
        <v>40738</v>
      </c>
      <c r="B1495" t="s">
        <v>43</v>
      </c>
      <c r="C1495">
        <v>25</v>
      </c>
      <c r="D1495" s="6" t="s">
        <v>29</v>
      </c>
      <c r="E1495" s="6">
        <v>217</v>
      </c>
      <c r="F1495">
        <v>0.62</v>
      </c>
      <c r="G1495">
        <v>0</v>
      </c>
      <c r="M1495" t="s">
        <v>44</v>
      </c>
      <c r="O1495">
        <f>IF(AND(OR(D1495="S. acutus",D1495="S. californicus",D1495="S. tabernaemontani"),G1495=0),E1495*[1]Sheet1!$D$7+[1]Sheet1!$L$7,IF(AND(OR(D1495="S. acutus",D1495="S. tabernaemontani"),G1495&gt;0),E1495*[1]Sheet1!$D$8+N1495*[1]Sheet1!$E$8,IF(AND(D1495="S. californicus",G1495&gt;0),E1495*[1]Sheet1!$D$9+N1495*[1]Sheet1!$E$9,IF(D1495="S. maritimus",F1495*[1]Sheet1!$C$10+E1495*[1]Sheet1!$D$10+G1495*[1]Sheet1!$F$10+[1]Sheet1!$L$10,IF(D1495="S. americanus",F1495*[1]Sheet1!$C$6+E1495*[1]Sheet1!$D$6+[1]Sheet1!$L$6,IF(AND(OR(D1495="T. domingensis",D1495="T. latifolia"),E1495&gt;0),F1495*[1]Sheet1!$C$4+E1495*[1]Sheet1!$D$4+H1495*[1]Sheet1!$J$4+I1495*[1]Sheet1!$K$4+[1]Sheet1!$L$4,IF(AND(OR(D1495="T. domingensis",D1495="T. latifolia"),J1495&gt;0),J1495*[1]Sheet1!$G$5+K1495*[1]Sheet1!$H$5+L1495*[1]Sheet1!$I$5+[1]Sheet1!$L$5,0)))))))</f>
        <v>3.3073274180000003</v>
      </c>
    </row>
    <row r="1496" spans="1:15">
      <c r="A1496" s="2">
        <v>40738</v>
      </c>
      <c r="B1496" t="s">
        <v>43</v>
      </c>
      <c r="C1496">
        <v>25</v>
      </c>
      <c r="D1496" s="6" t="s">
        <v>29</v>
      </c>
      <c r="E1496" s="6">
        <v>218</v>
      </c>
      <c r="F1496">
        <v>0.57999999999999996</v>
      </c>
      <c r="G1496">
        <v>2</v>
      </c>
      <c r="M1496" t="s">
        <v>44</v>
      </c>
      <c r="O1496">
        <f>IF(AND(OR(D1496="S. acutus",D1496="S. californicus",D1496="S. tabernaemontani"),G1496=0),E1496*[1]Sheet1!$D$7+[1]Sheet1!$L$7,IF(AND(OR(D1496="S. acutus",D1496="S. tabernaemontani"),G1496&gt;0),E1496*[1]Sheet1!$D$8+N1496*[1]Sheet1!$E$8,IF(AND(D1496="S. californicus",G1496&gt;0),E1496*[1]Sheet1!$D$9+N1496*[1]Sheet1!$E$9,IF(D1496="S. maritimus",F1496*[1]Sheet1!$C$10+E1496*[1]Sheet1!$D$10+G1496*[1]Sheet1!$F$10+[1]Sheet1!$L$10,IF(D1496="S. americanus",F1496*[1]Sheet1!$C$6+E1496*[1]Sheet1!$D$6+[1]Sheet1!$L$6,IF(AND(OR(D1496="T. domingensis",D1496="T. latifolia"),E1496&gt;0),F1496*[1]Sheet1!$C$4+E1496*[1]Sheet1!$D$4+H1496*[1]Sheet1!$J$4+I1496*[1]Sheet1!$K$4+[1]Sheet1!$L$4,IF(AND(OR(D1496="T. domingensis",D1496="T. latifolia"),J1496&gt;0),J1496*[1]Sheet1!$G$5+K1496*[1]Sheet1!$H$5+L1496*[1]Sheet1!$I$5+[1]Sheet1!$L$5,0)))))))</f>
        <v>3.180907761999999</v>
      </c>
    </row>
    <row r="1497" spans="1:15">
      <c r="A1497" s="2">
        <v>40738</v>
      </c>
      <c r="B1497" t="s">
        <v>43</v>
      </c>
      <c r="C1497">
        <v>25</v>
      </c>
      <c r="D1497" s="6" t="s">
        <v>29</v>
      </c>
      <c r="E1497" s="6">
        <v>220</v>
      </c>
      <c r="F1497">
        <v>0.81</v>
      </c>
      <c r="G1497">
        <v>0</v>
      </c>
      <c r="M1497" t="s">
        <v>44</v>
      </c>
      <c r="O1497">
        <f>IF(AND(OR(D1497="S. acutus",D1497="S. californicus",D1497="S. tabernaemontani"),G1497=0),E1497*[1]Sheet1!$D$7+[1]Sheet1!$L$7,IF(AND(OR(D1497="S. acutus",D1497="S. tabernaemontani"),G1497&gt;0),E1497*[1]Sheet1!$D$8+N1497*[1]Sheet1!$E$8,IF(AND(D1497="S. californicus",G1497&gt;0),E1497*[1]Sheet1!$D$9+N1497*[1]Sheet1!$E$9,IF(D1497="S. maritimus",F1497*[1]Sheet1!$C$10+E1497*[1]Sheet1!$D$10+G1497*[1]Sheet1!$F$10+[1]Sheet1!$L$10,IF(D1497="S. americanus",F1497*[1]Sheet1!$C$6+E1497*[1]Sheet1!$D$6+[1]Sheet1!$L$6,IF(AND(OR(D1497="T. domingensis",D1497="T. latifolia"),E1497&gt;0),F1497*[1]Sheet1!$C$4+E1497*[1]Sheet1!$D$4+H1497*[1]Sheet1!$J$4+I1497*[1]Sheet1!$K$4+[1]Sheet1!$L$4,IF(AND(OR(D1497="T. domingensis",D1497="T. latifolia"),J1497&gt;0),J1497*[1]Sheet1!$G$5+K1497*[1]Sheet1!$H$5+L1497*[1]Sheet1!$I$5+[1]Sheet1!$L$5,0)))))))</f>
        <v>4.0293462089999998</v>
      </c>
    </row>
    <row r="1498" spans="1:15">
      <c r="A1498" s="2">
        <v>40738</v>
      </c>
      <c r="B1498" t="s">
        <v>43</v>
      </c>
      <c r="C1498">
        <v>25</v>
      </c>
      <c r="D1498" s="6" t="s">
        <v>29</v>
      </c>
      <c r="E1498" s="6">
        <v>221</v>
      </c>
      <c r="F1498">
        <v>0.79</v>
      </c>
      <c r="G1498">
        <v>0</v>
      </c>
      <c r="M1498" t="s">
        <v>44</v>
      </c>
      <c r="O1498">
        <f>IF(AND(OR(D1498="S. acutus",D1498="S. californicus",D1498="S. tabernaemontani"),G1498=0),E1498*[1]Sheet1!$D$7+[1]Sheet1!$L$7,IF(AND(OR(D1498="S. acutus",D1498="S. tabernaemontani"),G1498&gt;0),E1498*[1]Sheet1!$D$8+N1498*[1]Sheet1!$E$8,IF(AND(D1498="S. californicus",G1498&gt;0),E1498*[1]Sheet1!$D$9+N1498*[1]Sheet1!$E$9,IF(D1498="S. maritimus",F1498*[1]Sheet1!$C$10+E1498*[1]Sheet1!$D$10+G1498*[1]Sheet1!$F$10+[1]Sheet1!$L$10,IF(D1498="S. americanus",F1498*[1]Sheet1!$C$6+E1498*[1]Sheet1!$D$6+[1]Sheet1!$L$6,IF(AND(OR(D1498="T. domingensis",D1498="T. latifolia"),E1498&gt;0),F1498*[1]Sheet1!$C$4+E1498*[1]Sheet1!$D$4+H1498*[1]Sheet1!$J$4+I1498*[1]Sheet1!$K$4+[1]Sheet1!$L$4,IF(AND(OR(D1498="T. domingensis",D1498="T. latifolia"),J1498&gt;0),J1498*[1]Sheet1!$G$5+K1498*[1]Sheet1!$H$5+L1498*[1]Sheet1!$I$5+[1]Sheet1!$L$5,0)))))))</f>
        <v>3.9739767309999992</v>
      </c>
    </row>
    <row r="1499" spans="1:15">
      <c r="A1499" s="2">
        <v>40738</v>
      </c>
      <c r="B1499" t="s">
        <v>43</v>
      </c>
      <c r="C1499">
        <v>25</v>
      </c>
      <c r="D1499" s="6" t="s">
        <v>29</v>
      </c>
      <c r="E1499" s="6">
        <v>223</v>
      </c>
      <c r="F1499">
        <v>0.76</v>
      </c>
      <c r="G1499">
        <v>0</v>
      </c>
      <c r="M1499" t="s">
        <v>44</v>
      </c>
      <c r="O1499">
        <f>IF(AND(OR(D1499="S. acutus",D1499="S. californicus",D1499="S. tabernaemontani"),G1499=0),E1499*[1]Sheet1!$D$7+[1]Sheet1!$L$7,IF(AND(OR(D1499="S. acutus",D1499="S. tabernaemontani"),G1499&gt;0),E1499*[1]Sheet1!$D$8+N1499*[1]Sheet1!$E$8,IF(AND(D1499="S. californicus",G1499&gt;0),E1499*[1]Sheet1!$D$9+N1499*[1]Sheet1!$E$9,IF(D1499="S. maritimus",F1499*[1]Sheet1!$C$10+E1499*[1]Sheet1!$D$10+G1499*[1]Sheet1!$F$10+[1]Sheet1!$L$10,IF(D1499="S. americanus",F1499*[1]Sheet1!$C$6+E1499*[1]Sheet1!$D$6+[1]Sheet1!$L$6,IF(AND(OR(D1499="T. domingensis",D1499="T. latifolia"),E1499&gt;0),F1499*[1]Sheet1!$C$4+E1499*[1]Sheet1!$D$4+H1499*[1]Sheet1!$J$4+I1499*[1]Sheet1!$K$4+[1]Sheet1!$L$4,IF(AND(OR(D1499="T. domingensis",D1499="T. latifolia"),J1499&gt;0),J1499*[1]Sheet1!$G$5+K1499*[1]Sheet1!$H$5+L1499*[1]Sheet1!$I$5+[1]Sheet1!$L$5,0)))))))</f>
        <v>3.8987628639999996</v>
      </c>
    </row>
    <row r="1500" spans="1:15">
      <c r="A1500" s="2">
        <v>40738</v>
      </c>
      <c r="B1500" t="s">
        <v>43</v>
      </c>
      <c r="C1500">
        <v>25</v>
      </c>
      <c r="D1500" s="6" t="s">
        <v>29</v>
      </c>
      <c r="E1500" s="6">
        <v>230</v>
      </c>
      <c r="F1500">
        <v>0.69</v>
      </c>
      <c r="G1500">
        <v>0</v>
      </c>
      <c r="M1500" t="s">
        <v>44</v>
      </c>
      <c r="O1500">
        <f>IF(AND(OR(D1500="S. acutus",D1500="S. californicus",D1500="S. tabernaemontani"),G1500=0),E1500*[1]Sheet1!$D$7+[1]Sheet1!$L$7,IF(AND(OR(D1500="S. acutus",D1500="S. tabernaemontani"),G1500&gt;0),E1500*[1]Sheet1!$D$8+N1500*[1]Sheet1!$E$8,IF(AND(D1500="S. californicus",G1500&gt;0),E1500*[1]Sheet1!$D$9+N1500*[1]Sheet1!$E$9,IF(D1500="S. maritimus",F1500*[1]Sheet1!$C$10+E1500*[1]Sheet1!$D$10+G1500*[1]Sheet1!$F$10+[1]Sheet1!$L$10,IF(D1500="S. americanus",F1500*[1]Sheet1!$C$6+E1500*[1]Sheet1!$D$6+[1]Sheet1!$L$6,IF(AND(OR(D1500="T. domingensis",D1500="T. latifolia"),E1500&gt;0),F1500*[1]Sheet1!$C$4+E1500*[1]Sheet1!$D$4+H1500*[1]Sheet1!$J$4+I1500*[1]Sheet1!$K$4+[1]Sheet1!$L$4,IF(AND(OR(D1500="T. domingensis",D1500="T. latifolia"),J1500&gt;0),J1500*[1]Sheet1!$G$5+K1500*[1]Sheet1!$H$5+L1500*[1]Sheet1!$I$5+[1]Sheet1!$L$5,0)))))))</f>
        <v>3.7598521409999992</v>
      </c>
    </row>
    <row r="1501" spans="1:15">
      <c r="A1501" s="2">
        <v>40738</v>
      </c>
      <c r="B1501" t="s">
        <v>43</v>
      </c>
      <c r="C1501">
        <v>25</v>
      </c>
      <c r="D1501" s="6" t="s">
        <v>29</v>
      </c>
      <c r="E1501" s="6">
        <v>231</v>
      </c>
      <c r="F1501">
        <v>0.72</v>
      </c>
      <c r="G1501">
        <v>0</v>
      </c>
      <c r="M1501" t="s">
        <v>44</v>
      </c>
      <c r="O1501">
        <f>IF(AND(OR(D1501="S. acutus",D1501="S. californicus",D1501="S. tabernaemontani"),G1501=0),E1501*[1]Sheet1!$D$7+[1]Sheet1!$L$7,IF(AND(OR(D1501="S. acutus",D1501="S. tabernaemontani"),G1501&gt;0),E1501*[1]Sheet1!$D$8+N1501*[1]Sheet1!$E$8,IF(AND(D1501="S. californicus",G1501&gt;0),E1501*[1]Sheet1!$D$9+N1501*[1]Sheet1!$E$9,IF(D1501="S. maritimus",F1501*[1]Sheet1!$C$10+E1501*[1]Sheet1!$D$10+G1501*[1]Sheet1!$F$10+[1]Sheet1!$L$10,IF(D1501="S. americanus",F1501*[1]Sheet1!$C$6+E1501*[1]Sheet1!$D$6+[1]Sheet1!$L$6,IF(AND(OR(D1501="T. domingensis",D1501="T. latifolia"),E1501&gt;0),F1501*[1]Sheet1!$C$4+E1501*[1]Sheet1!$D$4+H1501*[1]Sheet1!$J$4+I1501*[1]Sheet1!$K$4+[1]Sheet1!$L$4,IF(AND(OR(D1501="T. domingensis",D1501="T. latifolia"),J1501&gt;0),J1501*[1]Sheet1!$G$5+K1501*[1]Sheet1!$H$5+L1501*[1]Sheet1!$I$5+[1]Sheet1!$L$5,0)))))))</f>
        <v>3.8821081079999993</v>
      </c>
    </row>
    <row r="1502" spans="1:15">
      <c r="A1502" s="2">
        <v>40738</v>
      </c>
      <c r="B1502" t="s">
        <v>43</v>
      </c>
      <c r="C1502">
        <v>25</v>
      </c>
      <c r="D1502" s="6" t="s">
        <v>29</v>
      </c>
      <c r="E1502" s="6">
        <v>231</v>
      </c>
      <c r="F1502">
        <v>0.75</v>
      </c>
      <c r="G1502">
        <v>0</v>
      </c>
      <c r="M1502" t="s">
        <v>44</v>
      </c>
      <c r="O1502">
        <f>IF(AND(OR(D1502="S. acutus",D1502="S. californicus",D1502="S. tabernaemontani"),G1502=0),E1502*[1]Sheet1!$D$7+[1]Sheet1!$L$7,IF(AND(OR(D1502="S. acutus",D1502="S. tabernaemontani"),G1502&gt;0),E1502*[1]Sheet1!$D$8+N1502*[1]Sheet1!$E$8,IF(AND(D1502="S. californicus",G1502&gt;0),E1502*[1]Sheet1!$D$9+N1502*[1]Sheet1!$E$9,IF(D1502="S. maritimus",F1502*[1]Sheet1!$C$10+E1502*[1]Sheet1!$D$10+G1502*[1]Sheet1!$F$10+[1]Sheet1!$L$10,IF(D1502="S. americanus",F1502*[1]Sheet1!$C$6+E1502*[1]Sheet1!$D$6+[1]Sheet1!$L$6,IF(AND(OR(D1502="T. domingensis",D1502="T. latifolia"),E1502&gt;0),F1502*[1]Sheet1!$C$4+E1502*[1]Sheet1!$D$4+H1502*[1]Sheet1!$J$4+I1502*[1]Sheet1!$K$4+[1]Sheet1!$L$4,IF(AND(OR(D1502="T. domingensis",D1502="T. latifolia"),J1502&gt;0),J1502*[1]Sheet1!$G$5+K1502*[1]Sheet1!$H$5+L1502*[1]Sheet1!$I$5+[1]Sheet1!$L$5,0)))))))</f>
        <v>3.9886833749999995</v>
      </c>
    </row>
    <row r="1503" spans="1:15">
      <c r="A1503" s="2">
        <v>40738</v>
      </c>
      <c r="B1503" t="s">
        <v>43</v>
      </c>
      <c r="C1503">
        <v>25</v>
      </c>
      <c r="D1503" s="6" t="s">
        <v>29</v>
      </c>
      <c r="E1503" s="6">
        <v>232</v>
      </c>
      <c r="F1503">
        <v>0.59</v>
      </c>
      <c r="G1503">
        <v>0</v>
      </c>
      <c r="M1503" t="s">
        <v>44</v>
      </c>
      <c r="O1503">
        <f>IF(AND(OR(D1503="S. acutus",D1503="S. californicus",D1503="S. tabernaemontani"),G1503=0),E1503*[1]Sheet1!$D$7+[1]Sheet1!$L$7,IF(AND(OR(D1503="S. acutus",D1503="S. tabernaemontani"),G1503&gt;0),E1503*[1]Sheet1!$D$8+N1503*[1]Sheet1!$E$8,IF(AND(D1503="S. californicus",G1503&gt;0),E1503*[1]Sheet1!$D$9+N1503*[1]Sheet1!$E$9,IF(D1503="S. maritimus",F1503*[1]Sheet1!$C$10+E1503*[1]Sheet1!$D$10+G1503*[1]Sheet1!$F$10+[1]Sheet1!$L$10,IF(D1503="S. americanus",F1503*[1]Sheet1!$C$6+E1503*[1]Sheet1!$D$6+[1]Sheet1!$L$6,IF(AND(OR(D1503="T. domingensis",D1503="T. latifolia"),E1503&gt;0),F1503*[1]Sheet1!$C$4+E1503*[1]Sheet1!$D$4+H1503*[1]Sheet1!$J$4+I1503*[1]Sheet1!$K$4+[1]Sheet1!$L$4,IF(AND(OR(D1503="T. domingensis",D1503="T. latifolia"),J1503&gt;0),J1503*[1]Sheet1!$G$5+K1503*[1]Sheet1!$H$5+L1503*[1]Sheet1!$I$5+[1]Sheet1!$L$5,0)))))))</f>
        <v>3.4359626509999992</v>
      </c>
    </row>
    <row r="1504" spans="1:15">
      <c r="A1504" s="2">
        <v>40738</v>
      </c>
      <c r="B1504" t="s">
        <v>43</v>
      </c>
      <c r="C1504">
        <v>25</v>
      </c>
      <c r="D1504" s="6" t="s">
        <v>29</v>
      </c>
      <c r="E1504" s="6">
        <v>234</v>
      </c>
      <c r="F1504">
        <v>0.67</v>
      </c>
      <c r="G1504">
        <v>1</v>
      </c>
      <c r="M1504" t="s">
        <v>44</v>
      </c>
      <c r="O1504">
        <f>IF(AND(OR(D1504="S. acutus",D1504="S. californicus",D1504="S. tabernaemontani"),G1504=0),E1504*[1]Sheet1!$D$7+[1]Sheet1!$L$7,IF(AND(OR(D1504="S. acutus",D1504="S. tabernaemontani"),G1504&gt;0),E1504*[1]Sheet1!$D$8+N1504*[1]Sheet1!$E$8,IF(AND(D1504="S. californicus",G1504&gt;0),E1504*[1]Sheet1!$D$9+N1504*[1]Sheet1!$E$9,IF(D1504="S. maritimus",F1504*[1]Sheet1!$C$10+E1504*[1]Sheet1!$D$10+G1504*[1]Sheet1!$F$10+[1]Sheet1!$L$10,IF(D1504="S. americanus",F1504*[1]Sheet1!$C$6+E1504*[1]Sheet1!$D$6+[1]Sheet1!$L$6,IF(AND(OR(D1504="T. domingensis",D1504="T. latifolia"),E1504&gt;0),F1504*[1]Sheet1!$C$4+E1504*[1]Sheet1!$D$4+H1504*[1]Sheet1!$J$4+I1504*[1]Sheet1!$K$4+[1]Sheet1!$L$4,IF(AND(OR(D1504="T. domingensis",D1504="T. latifolia"),J1504&gt;0),J1504*[1]Sheet1!$G$5+K1504*[1]Sheet1!$H$5+L1504*[1]Sheet1!$I$5+[1]Sheet1!$L$5,0)))))))</f>
        <v>3.7515247629999995</v>
      </c>
    </row>
    <row r="1505" spans="1:15">
      <c r="A1505" s="2">
        <v>40738</v>
      </c>
      <c r="B1505" t="s">
        <v>43</v>
      </c>
      <c r="C1505">
        <v>25</v>
      </c>
      <c r="D1505" s="6" t="s">
        <v>29</v>
      </c>
      <c r="E1505" s="6">
        <v>234</v>
      </c>
      <c r="F1505">
        <v>1.1200000000000001</v>
      </c>
      <c r="G1505">
        <v>0</v>
      </c>
      <c r="M1505" t="s">
        <v>44</v>
      </c>
      <c r="O1505">
        <f>IF(AND(OR(D1505="S. acutus",D1505="S. californicus",D1505="S. tabernaemontani"),G1505=0),E1505*[1]Sheet1!$D$7+[1]Sheet1!$L$7,IF(AND(OR(D1505="S. acutus",D1505="S. tabernaemontani"),G1505&gt;0),E1505*[1]Sheet1!$D$8+N1505*[1]Sheet1!$E$8,IF(AND(D1505="S. californicus",G1505&gt;0),E1505*[1]Sheet1!$D$9+N1505*[1]Sheet1!$E$9,IF(D1505="S. maritimus",F1505*[1]Sheet1!$C$10+E1505*[1]Sheet1!$D$10+G1505*[1]Sheet1!$F$10+[1]Sheet1!$L$10,IF(D1505="S. americanus",F1505*[1]Sheet1!$C$6+E1505*[1]Sheet1!$D$6+[1]Sheet1!$L$6,IF(AND(OR(D1505="T. domingensis",D1505="T. latifolia"),E1505&gt;0),F1505*[1]Sheet1!$C$4+E1505*[1]Sheet1!$D$4+H1505*[1]Sheet1!$J$4+I1505*[1]Sheet1!$K$4+[1]Sheet1!$L$4,IF(AND(OR(D1505="T. domingensis",D1505="T. latifolia"),J1505&gt;0),J1505*[1]Sheet1!$G$5+K1505*[1]Sheet1!$H$5+L1505*[1]Sheet1!$I$5+[1]Sheet1!$L$5,0)))))))</f>
        <v>5.3501537680000002</v>
      </c>
    </row>
    <row r="1506" spans="1:15">
      <c r="A1506" s="2">
        <v>40738</v>
      </c>
      <c r="B1506" t="s">
        <v>43</v>
      </c>
      <c r="C1506">
        <v>25</v>
      </c>
      <c r="D1506" s="6" t="s">
        <v>29</v>
      </c>
      <c r="E1506" s="6">
        <v>235</v>
      </c>
      <c r="F1506">
        <v>0.73</v>
      </c>
      <c r="G1506">
        <v>0</v>
      </c>
      <c r="M1506" t="s">
        <v>44</v>
      </c>
      <c r="O1506">
        <f>IF(AND(OR(D1506="S. acutus",D1506="S. californicus",D1506="S. tabernaemontani"),G1506=0),E1506*[1]Sheet1!$D$7+[1]Sheet1!$L$7,IF(AND(OR(D1506="S. acutus",D1506="S. tabernaemontani"),G1506&gt;0),E1506*[1]Sheet1!$D$8+N1506*[1]Sheet1!$E$8,IF(AND(D1506="S. californicus",G1506&gt;0),E1506*[1]Sheet1!$D$9+N1506*[1]Sheet1!$E$9,IF(D1506="S. maritimus",F1506*[1]Sheet1!$C$10+E1506*[1]Sheet1!$D$10+G1506*[1]Sheet1!$F$10+[1]Sheet1!$L$10,IF(D1506="S. americanus",F1506*[1]Sheet1!$C$6+E1506*[1]Sheet1!$D$6+[1]Sheet1!$L$6,IF(AND(OR(D1506="T. domingensis",D1506="T. latifolia"),E1506&gt;0),F1506*[1]Sheet1!$C$4+E1506*[1]Sheet1!$D$4+H1506*[1]Sheet1!$J$4+I1506*[1]Sheet1!$K$4+[1]Sheet1!$L$4,IF(AND(OR(D1506="T. domingensis",D1506="T. latifolia"),J1506&gt;0),J1506*[1]Sheet1!$G$5+K1506*[1]Sheet1!$H$5+L1506*[1]Sheet1!$I$5+[1]Sheet1!$L$5,0)))))))</f>
        <v>3.9803559969999989</v>
      </c>
    </row>
    <row r="1507" spans="1:15">
      <c r="A1507" s="2">
        <v>40738</v>
      </c>
      <c r="B1507" t="s">
        <v>43</v>
      </c>
      <c r="C1507">
        <v>25</v>
      </c>
      <c r="D1507" s="6" t="s">
        <v>29</v>
      </c>
      <c r="E1507" s="6">
        <v>242</v>
      </c>
      <c r="F1507">
        <v>0.75</v>
      </c>
      <c r="G1507">
        <v>1</v>
      </c>
      <c r="M1507" t="s">
        <v>44</v>
      </c>
      <c r="O1507">
        <f>IF(AND(OR(D1507="S. acutus",D1507="S. californicus",D1507="S. tabernaemontani"),G1507=0),E1507*[1]Sheet1!$D$7+[1]Sheet1!$L$7,IF(AND(OR(D1507="S. acutus",D1507="S. tabernaemontani"),G1507&gt;0),E1507*[1]Sheet1!$D$8+N1507*[1]Sheet1!$E$8,IF(AND(D1507="S. californicus",G1507&gt;0),E1507*[1]Sheet1!$D$9+N1507*[1]Sheet1!$E$9,IF(D1507="S. maritimus",F1507*[1]Sheet1!$C$10+E1507*[1]Sheet1!$D$10+G1507*[1]Sheet1!$F$10+[1]Sheet1!$L$10,IF(D1507="S. americanus",F1507*[1]Sheet1!$C$6+E1507*[1]Sheet1!$D$6+[1]Sheet1!$L$6,IF(AND(OR(D1507="T. domingensis",D1507="T. latifolia"),E1507&gt;0),F1507*[1]Sheet1!$C$4+E1507*[1]Sheet1!$D$4+H1507*[1]Sheet1!$J$4+I1507*[1]Sheet1!$K$4+[1]Sheet1!$L$4,IF(AND(OR(D1507="T. domingensis",D1507="T. latifolia"),J1507&gt;0),J1507*[1]Sheet1!$G$5+K1507*[1]Sheet1!$H$5+L1507*[1]Sheet1!$I$5+[1]Sheet1!$L$5,0)))))))</f>
        <v>4.1611710749999986</v>
      </c>
    </row>
    <row r="1508" spans="1:15">
      <c r="A1508" s="2">
        <v>40738</v>
      </c>
      <c r="B1508" t="s">
        <v>43</v>
      </c>
      <c r="C1508">
        <v>25</v>
      </c>
      <c r="D1508" s="6" t="s">
        <v>29</v>
      </c>
      <c r="E1508" s="6">
        <v>244</v>
      </c>
      <c r="F1508">
        <v>0.69</v>
      </c>
      <c r="G1508">
        <v>0</v>
      </c>
      <c r="M1508" t="s">
        <v>44</v>
      </c>
      <c r="O1508">
        <f>IF(AND(OR(D1508="S. acutus",D1508="S. californicus",D1508="S. tabernaemontani"),G1508=0),E1508*[1]Sheet1!$D$7+[1]Sheet1!$L$7,IF(AND(OR(D1508="S. acutus",D1508="S. tabernaemontani"),G1508&gt;0),E1508*[1]Sheet1!$D$8+N1508*[1]Sheet1!$E$8,IF(AND(D1508="S. californicus",G1508&gt;0),E1508*[1]Sheet1!$D$9+N1508*[1]Sheet1!$E$9,IF(D1508="S. maritimus",F1508*[1]Sheet1!$C$10+E1508*[1]Sheet1!$D$10+G1508*[1]Sheet1!$F$10+[1]Sheet1!$L$10,IF(D1508="S. americanus",F1508*[1]Sheet1!$C$6+E1508*[1]Sheet1!$D$6+[1]Sheet1!$L$6,IF(AND(OR(D1508="T. domingensis",D1508="T. latifolia"),E1508&gt;0),F1508*[1]Sheet1!$C$4+E1508*[1]Sheet1!$D$4+H1508*[1]Sheet1!$J$4+I1508*[1]Sheet1!$K$4+[1]Sheet1!$L$4,IF(AND(OR(D1508="T. domingensis",D1508="T. latifolia"),J1508&gt;0),J1508*[1]Sheet1!$G$5+K1508*[1]Sheet1!$H$5+L1508*[1]Sheet1!$I$5+[1]Sheet1!$L$5,0)))))))</f>
        <v>3.9793819409999993</v>
      </c>
    </row>
    <row r="1509" spans="1:15">
      <c r="A1509" s="2">
        <v>40738</v>
      </c>
      <c r="B1509" t="s">
        <v>43</v>
      </c>
      <c r="C1509">
        <v>25</v>
      </c>
      <c r="D1509" s="6" t="s">
        <v>29</v>
      </c>
      <c r="E1509" s="6">
        <v>245</v>
      </c>
      <c r="F1509">
        <v>0.69</v>
      </c>
      <c r="G1509">
        <v>0</v>
      </c>
      <c r="M1509" t="s">
        <v>44</v>
      </c>
      <c r="O1509">
        <f>IF(AND(OR(D1509="S. acutus",D1509="S. californicus",D1509="S. tabernaemontani"),G1509=0),E1509*[1]Sheet1!$D$7+[1]Sheet1!$L$7,IF(AND(OR(D1509="S. acutus",D1509="S. tabernaemontani"),G1509&gt;0),E1509*[1]Sheet1!$D$8+N1509*[1]Sheet1!$E$8,IF(AND(D1509="S. californicus",G1509&gt;0),E1509*[1]Sheet1!$D$9+N1509*[1]Sheet1!$E$9,IF(D1509="S. maritimus",F1509*[1]Sheet1!$C$10+E1509*[1]Sheet1!$D$10+G1509*[1]Sheet1!$F$10+[1]Sheet1!$L$10,IF(D1509="S. americanus",F1509*[1]Sheet1!$C$6+E1509*[1]Sheet1!$D$6+[1]Sheet1!$L$6,IF(AND(OR(D1509="T. domingensis",D1509="T. latifolia"),E1509&gt;0),F1509*[1]Sheet1!$C$4+E1509*[1]Sheet1!$D$4+H1509*[1]Sheet1!$J$4+I1509*[1]Sheet1!$K$4+[1]Sheet1!$L$4,IF(AND(OR(D1509="T. domingensis",D1509="T. latifolia"),J1509&gt;0),J1509*[1]Sheet1!$G$5+K1509*[1]Sheet1!$H$5+L1509*[1]Sheet1!$I$5+[1]Sheet1!$L$5,0)))))))</f>
        <v>3.9950626409999992</v>
      </c>
    </row>
    <row r="1510" spans="1:15">
      <c r="A1510" s="2">
        <v>40738</v>
      </c>
      <c r="B1510" t="s">
        <v>43</v>
      </c>
      <c r="C1510">
        <v>25</v>
      </c>
      <c r="D1510" s="6" t="s">
        <v>29</v>
      </c>
      <c r="E1510" s="6">
        <v>245</v>
      </c>
      <c r="F1510">
        <v>0.81</v>
      </c>
      <c r="G1510">
        <v>0</v>
      </c>
      <c r="M1510" t="s">
        <v>44</v>
      </c>
      <c r="O1510">
        <f>IF(AND(OR(D1510="S. acutus",D1510="S. californicus",D1510="S. tabernaemontani"),G1510=0),E1510*[1]Sheet1!$D$7+[1]Sheet1!$L$7,IF(AND(OR(D1510="S. acutus",D1510="S. tabernaemontani"),G1510&gt;0),E1510*[1]Sheet1!$D$8+N1510*[1]Sheet1!$E$8,IF(AND(D1510="S. californicus",G1510&gt;0),E1510*[1]Sheet1!$D$9+N1510*[1]Sheet1!$E$9,IF(D1510="S. maritimus",F1510*[1]Sheet1!$C$10+E1510*[1]Sheet1!$D$10+G1510*[1]Sheet1!$F$10+[1]Sheet1!$L$10,IF(D1510="S. americanus",F1510*[1]Sheet1!$C$6+E1510*[1]Sheet1!$D$6+[1]Sheet1!$L$6,IF(AND(OR(D1510="T. domingensis",D1510="T. latifolia"),E1510&gt;0),F1510*[1]Sheet1!$C$4+E1510*[1]Sheet1!$D$4+H1510*[1]Sheet1!$J$4+I1510*[1]Sheet1!$K$4+[1]Sheet1!$L$4,IF(AND(OR(D1510="T. domingensis",D1510="T. latifolia"),J1510&gt;0),J1510*[1]Sheet1!$G$5+K1510*[1]Sheet1!$H$5+L1510*[1]Sheet1!$I$5+[1]Sheet1!$L$5,0)))))))</f>
        <v>4.4213637089999995</v>
      </c>
    </row>
    <row r="1511" spans="1:15">
      <c r="A1511" s="2">
        <v>40738</v>
      </c>
      <c r="B1511" t="s">
        <v>43</v>
      </c>
      <c r="C1511">
        <v>25</v>
      </c>
      <c r="D1511" s="6" t="s">
        <v>29</v>
      </c>
      <c r="E1511" s="6">
        <v>247</v>
      </c>
      <c r="F1511">
        <v>0.86</v>
      </c>
      <c r="G1511">
        <v>0</v>
      </c>
      <c r="M1511" t="s">
        <v>44</v>
      </c>
      <c r="O1511">
        <f>IF(AND(OR(D1511="S. acutus",D1511="S. californicus",D1511="S. tabernaemontani"),G1511=0),E1511*[1]Sheet1!$D$7+[1]Sheet1!$L$7,IF(AND(OR(D1511="S. acutus",D1511="S. tabernaemontani"),G1511&gt;0),E1511*[1]Sheet1!$D$8+N1511*[1]Sheet1!$E$8,IF(AND(D1511="S. californicus",G1511&gt;0),E1511*[1]Sheet1!$D$9+N1511*[1]Sheet1!$E$9,IF(D1511="S. maritimus",F1511*[1]Sheet1!$C$10+E1511*[1]Sheet1!$D$10+G1511*[1]Sheet1!$F$10+[1]Sheet1!$L$10,IF(D1511="S. americanus",F1511*[1]Sheet1!$C$6+E1511*[1]Sheet1!$D$6+[1]Sheet1!$L$6,IF(AND(OR(D1511="T. domingensis",D1511="T. latifolia"),E1511&gt;0),F1511*[1]Sheet1!$C$4+E1511*[1]Sheet1!$D$4+H1511*[1]Sheet1!$J$4+I1511*[1]Sheet1!$K$4+[1]Sheet1!$L$4,IF(AND(OR(D1511="T. domingensis",D1511="T. latifolia"),J1511&gt;0),J1511*[1]Sheet1!$G$5+K1511*[1]Sheet1!$H$5+L1511*[1]Sheet1!$I$5+[1]Sheet1!$L$5,0)))))))</f>
        <v>4.6303505539999996</v>
      </c>
    </row>
    <row r="1512" spans="1:15">
      <c r="A1512" s="2">
        <v>40738</v>
      </c>
      <c r="B1512" t="s">
        <v>43</v>
      </c>
      <c r="C1512">
        <v>25</v>
      </c>
      <c r="D1512" s="6" t="s">
        <v>29</v>
      </c>
      <c r="E1512" s="6">
        <v>251</v>
      </c>
      <c r="F1512">
        <v>0.86</v>
      </c>
      <c r="G1512">
        <v>0</v>
      </c>
      <c r="M1512" t="s">
        <v>44</v>
      </c>
      <c r="O1512">
        <f>IF(AND(OR(D1512="S. acutus",D1512="S. californicus",D1512="S. tabernaemontani"),G1512=0),E1512*[1]Sheet1!$D$7+[1]Sheet1!$L$7,IF(AND(OR(D1512="S. acutus",D1512="S. tabernaemontani"),G1512&gt;0),E1512*[1]Sheet1!$D$8+N1512*[1]Sheet1!$E$8,IF(AND(D1512="S. californicus",G1512&gt;0),E1512*[1]Sheet1!$D$9+N1512*[1]Sheet1!$E$9,IF(D1512="S. maritimus",F1512*[1]Sheet1!$C$10+E1512*[1]Sheet1!$D$10+G1512*[1]Sheet1!$F$10+[1]Sheet1!$L$10,IF(D1512="S. americanus",F1512*[1]Sheet1!$C$6+E1512*[1]Sheet1!$D$6+[1]Sheet1!$L$6,IF(AND(OR(D1512="T. domingensis",D1512="T. latifolia"),E1512&gt;0),F1512*[1]Sheet1!$C$4+E1512*[1]Sheet1!$D$4+H1512*[1]Sheet1!$J$4+I1512*[1]Sheet1!$K$4+[1]Sheet1!$L$4,IF(AND(OR(D1512="T. domingensis",D1512="T. latifolia"),J1512&gt;0),J1512*[1]Sheet1!$G$5+K1512*[1]Sheet1!$H$5+L1512*[1]Sheet1!$I$5+[1]Sheet1!$L$5,0)))))))</f>
        <v>4.6930733539999991</v>
      </c>
    </row>
    <row r="1513" spans="1:15">
      <c r="A1513" s="2">
        <v>40738</v>
      </c>
      <c r="B1513" t="s">
        <v>43</v>
      </c>
      <c r="C1513">
        <v>25</v>
      </c>
      <c r="D1513" s="6" t="s">
        <v>29</v>
      </c>
      <c r="E1513" s="6">
        <v>254</v>
      </c>
      <c r="F1513">
        <v>0.98</v>
      </c>
      <c r="G1513">
        <v>0</v>
      </c>
      <c r="M1513" t="s">
        <v>44</v>
      </c>
      <c r="O1513">
        <f>IF(AND(OR(D1513="S. acutus",D1513="S. californicus",D1513="S. tabernaemontani"),G1513=0),E1513*[1]Sheet1!$D$7+[1]Sheet1!$L$7,IF(AND(OR(D1513="S. acutus",D1513="S. tabernaemontani"),G1513&gt;0),E1513*[1]Sheet1!$D$8+N1513*[1]Sheet1!$E$8,IF(AND(D1513="S. californicus",G1513&gt;0),E1513*[1]Sheet1!$D$9+N1513*[1]Sheet1!$E$9,IF(D1513="S. maritimus",F1513*[1]Sheet1!$C$10+E1513*[1]Sheet1!$D$10+G1513*[1]Sheet1!$F$10+[1]Sheet1!$L$10,IF(D1513="S. americanus",F1513*[1]Sheet1!$C$6+E1513*[1]Sheet1!$D$6+[1]Sheet1!$L$6,IF(AND(OR(D1513="T. domingensis",D1513="T. latifolia"),E1513&gt;0),F1513*[1]Sheet1!$C$4+E1513*[1]Sheet1!$D$4+H1513*[1]Sheet1!$J$4+I1513*[1]Sheet1!$K$4+[1]Sheet1!$L$4,IF(AND(OR(D1513="T. domingensis",D1513="T. latifolia"),J1513&gt;0),J1513*[1]Sheet1!$G$5+K1513*[1]Sheet1!$H$5+L1513*[1]Sheet1!$I$5+[1]Sheet1!$L$5,0)))))))</f>
        <v>5.1664165219999987</v>
      </c>
    </row>
    <row r="1514" spans="1:15">
      <c r="A1514" s="2">
        <v>40738</v>
      </c>
      <c r="B1514" t="s">
        <v>43</v>
      </c>
      <c r="C1514">
        <v>25</v>
      </c>
      <c r="D1514" s="6" t="s">
        <v>29</v>
      </c>
      <c r="E1514" s="6">
        <v>258</v>
      </c>
      <c r="F1514">
        <v>0.82</v>
      </c>
      <c r="G1514">
        <v>0</v>
      </c>
      <c r="M1514" t="s">
        <v>44</v>
      </c>
      <c r="O1514">
        <f>IF(AND(OR(D1514="S. acutus",D1514="S. californicus",D1514="S. tabernaemontani"),G1514=0),E1514*[1]Sheet1!$D$7+[1]Sheet1!$L$7,IF(AND(OR(D1514="S. acutus",D1514="S. tabernaemontani"),G1514&gt;0),E1514*[1]Sheet1!$D$8+N1514*[1]Sheet1!$E$8,IF(AND(D1514="S. californicus",G1514&gt;0),E1514*[1]Sheet1!$D$9+N1514*[1]Sheet1!$E$9,IF(D1514="S. maritimus",F1514*[1]Sheet1!$C$10+E1514*[1]Sheet1!$D$10+G1514*[1]Sheet1!$F$10+[1]Sheet1!$L$10,IF(D1514="S. americanus",F1514*[1]Sheet1!$C$6+E1514*[1]Sheet1!$D$6+[1]Sheet1!$L$6,IF(AND(OR(D1514="T. domingensis",D1514="T. latifolia"),E1514&gt;0),F1514*[1]Sheet1!$C$4+E1514*[1]Sheet1!$D$4+H1514*[1]Sheet1!$J$4+I1514*[1]Sheet1!$K$4+[1]Sheet1!$L$4,IF(AND(OR(D1514="T. domingensis",D1514="T. latifolia"),J1514&gt;0),J1514*[1]Sheet1!$G$5+K1514*[1]Sheet1!$H$5+L1514*[1]Sheet1!$I$5+[1]Sheet1!$L$5,0)))))))</f>
        <v>4.6607378979999989</v>
      </c>
    </row>
    <row r="1515" spans="1:15">
      <c r="A1515" s="2">
        <v>40738</v>
      </c>
      <c r="B1515" t="s">
        <v>43</v>
      </c>
      <c r="C1515">
        <v>25</v>
      </c>
      <c r="D1515" s="6" t="s">
        <v>29</v>
      </c>
      <c r="E1515" s="6">
        <v>259</v>
      </c>
      <c r="F1515">
        <v>0.81</v>
      </c>
      <c r="G1515">
        <v>0</v>
      </c>
      <c r="M1515" t="s">
        <v>44</v>
      </c>
      <c r="O1515">
        <f>IF(AND(OR(D1515="S. acutus",D1515="S. californicus",D1515="S. tabernaemontani"),G1515=0),E1515*[1]Sheet1!$D$7+[1]Sheet1!$L$7,IF(AND(OR(D1515="S. acutus",D1515="S. tabernaemontani"),G1515&gt;0),E1515*[1]Sheet1!$D$8+N1515*[1]Sheet1!$E$8,IF(AND(D1515="S. californicus",G1515&gt;0),E1515*[1]Sheet1!$D$9+N1515*[1]Sheet1!$E$9,IF(D1515="S. maritimus",F1515*[1]Sheet1!$C$10+E1515*[1]Sheet1!$D$10+G1515*[1]Sheet1!$F$10+[1]Sheet1!$L$10,IF(D1515="S. americanus",F1515*[1]Sheet1!$C$6+E1515*[1]Sheet1!$D$6+[1]Sheet1!$L$6,IF(AND(OR(D1515="T. domingensis",D1515="T. latifolia"),E1515&gt;0),F1515*[1]Sheet1!$C$4+E1515*[1]Sheet1!$D$4+H1515*[1]Sheet1!$J$4+I1515*[1]Sheet1!$K$4+[1]Sheet1!$L$4,IF(AND(OR(D1515="T. domingensis",D1515="T. latifolia"),J1515&gt;0),J1515*[1]Sheet1!$G$5+K1515*[1]Sheet1!$H$5+L1515*[1]Sheet1!$I$5+[1]Sheet1!$L$5,0)))))))</f>
        <v>4.6408935089999996</v>
      </c>
    </row>
    <row r="1516" spans="1:15">
      <c r="A1516" s="2">
        <v>40738</v>
      </c>
      <c r="B1516" t="s">
        <v>43</v>
      </c>
      <c r="C1516">
        <v>25</v>
      </c>
      <c r="D1516" s="6" t="s">
        <v>29</v>
      </c>
      <c r="E1516" s="6">
        <v>264</v>
      </c>
      <c r="F1516">
        <v>0.8</v>
      </c>
      <c r="G1516">
        <v>1</v>
      </c>
      <c r="M1516" t="s">
        <v>44</v>
      </c>
      <c r="O1516">
        <f>IF(AND(OR(D1516="S. acutus",D1516="S. californicus",D1516="S. tabernaemontani"),G1516=0),E1516*[1]Sheet1!$D$7+[1]Sheet1!$L$7,IF(AND(OR(D1516="S. acutus",D1516="S. tabernaemontani"),G1516&gt;0),E1516*[1]Sheet1!$D$8+N1516*[1]Sheet1!$E$8,IF(AND(D1516="S. californicus",G1516&gt;0),E1516*[1]Sheet1!$D$9+N1516*[1]Sheet1!$E$9,IF(D1516="S. maritimus",F1516*[1]Sheet1!$C$10+E1516*[1]Sheet1!$D$10+G1516*[1]Sheet1!$F$10+[1]Sheet1!$L$10,IF(D1516="S. americanus",F1516*[1]Sheet1!$C$6+E1516*[1]Sheet1!$D$6+[1]Sheet1!$L$6,IF(AND(OR(D1516="T. domingensis",D1516="T. latifolia"),E1516&gt;0),F1516*[1]Sheet1!$C$4+E1516*[1]Sheet1!$D$4+H1516*[1]Sheet1!$J$4+I1516*[1]Sheet1!$K$4+[1]Sheet1!$L$4,IF(AND(OR(D1516="T. domingensis",D1516="T. latifolia"),J1516&gt;0),J1516*[1]Sheet1!$G$5+K1516*[1]Sheet1!$H$5+L1516*[1]Sheet1!$I$5+[1]Sheet1!$L$5,0)))))))</f>
        <v>4.6837719199999999</v>
      </c>
    </row>
    <row r="1517" spans="1:15">
      <c r="A1517" s="2">
        <v>40738</v>
      </c>
      <c r="B1517" t="s">
        <v>43</v>
      </c>
      <c r="C1517">
        <v>25</v>
      </c>
      <c r="D1517" s="6" t="s">
        <v>29</v>
      </c>
      <c r="E1517" s="6">
        <v>264</v>
      </c>
      <c r="F1517">
        <v>0.84</v>
      </c>
      <c r="G1517">
        <v>0</v>
      </c>
      <c r="M1517" t="s">
        <v>44</v>
      </c>
      <c r="O1517">
        <f>IF(AND(OR(D1517="S. acutus",D1517="S. californicus",D1517="S. tabernaemontani"),G1517=0),E1517*[1]Sheet1!$D$7+[1]Sheet1!$L$7,IF(AND(OR(D1517="S. acutus",D1517="S. tabernaemontani"),G1517&gt;0),E1517*[1]Sheet1!$D$8+N1517*[1]Sheet1!$E$8,IF(AND(D1517="S. californicus",G1517&gt;0),E1517*[1]Sheet1!$D$9+N1517*[1]Sheet1!$E$9,IF(D1517="S. maritimus",F1517*[1]Sheet1!$C$10+E1517*[1]Sheet1!$D$10+G1517*[1]Sheet1!$F$10+[1]Sheet1!$L$10,IF(D1517="S. americanus",F1517*[1]Sheet1!$C$6+E1517*[1]Sheet1!$D$6+[1]Sheet1!$L$6,IF(AND(OR(D1517="T. domingensis",D1517="T. latifolia"),E1517&gt;0),F1517*[1]Sheet1!$C$4+E1517*[1]Sheet1!$D$4+H1517*[1]Sheet1!$J$4+I1517*[1]Sheet1!$K$4+[1]Sheet1!$L$4,IF(AND(OR(D1517="T. domingensis",D1517="T. latifolia"),J1517&gt;0),J1517*[1]Sheet1!$G$5+K1517*[1]Sheet1!$H$5+L1517*[1]Sheet1!$I$5+[1]Sheet1!$L$5,0)))))))</f>
        <v>4.8258722759999984</v>
      </c>
    </row>
    <row r="1518" spans="1:15">
      <c r="A1518" s="2">
        <v>40738</v>
      </c>
      <c r="B1518" t="s">
        <v>43</v>
      </c>
      <c r="C1518">
        <v>25</v>
      </c>
      <c r="D1518" s="6" t="s">
        <v>29</v>
      </c>
      <c r="E1518" s="6">
        <v>266</v>
      </c>
      <c r="F1518">
        <v>0.79</v>
      </c>
      <c r="G1518">
        <v>0</v>
      </c>
      <c r="M1518" t="s">
        <v>44</v>
      </c>
      <c r="O1518">
        <f>IF(AND(OR(D1518="S. acutus",D1518="S. californicus",D1518="S. tabernaemontani"),G1518=0),E1518*[1]Sheet1!$D$7+[1]Sheet1!$L$7,IF(AND(OR(D1518="S. acutus",D1518="S. tabernaemontani"),G1518&gt;0),E1518*[1]Sheet1!$D$8+N1518*[1]Sheet1!$E$8,IF(AND(D1518="S. californicus",G1518&gt;0),E1518*[1]Sheet1!$D$9+N1518*[1]Sheet1!$E$9,IF(D1518="S. maritimus",F1518*[1]Sheet1!$C$10+E1518*[1]Sheet1!$D$10+G1518*[1]Sheet1!$F$10+[1]Sheet1!$L$10,IF(D1518="S. americanus",F1518*[1]Sheet1!$C$6+E1518*[1]Sheet1!$D$6+[1]Sheet1!$L$6,IF(AND(OR(D1518="T. domingensis",D1518="T. latifolia"),E1518&gt;0),F1518*[1]Sheet1!$C$4+E1518*[1]Sheet1!$D$4+H1518*[1]Sheet1!$J$4+I1518*[1]Sheet1!$K$4+[1]Sheet1!$L$4,IF(AND(OR(D1518="T. domingensis",D1518="T. latifolia"),J1518&gt;0),J1518*[1]Sheet1!$G$5+K1518*[1]Sheet1!$H$5+L1518*[1]Sheet1!$I$5+[1]Sheet1!$L$5,0)))))))</f>
        <v>4.6796082309999996</v>
      </c>
    </row>
    <row r="1519" spans="1:15">
      <c r="A1519" s="2">
        <v>40738</v>
      </c>
      <c r="B1519" t="s">
        <v>43</v>
      </c>
      <c r="C1519">
        <v>25</v>
      </c>
      <c r="D1519" s="6" t="s">
        <v>29</v>
      </c>
      <c r="E1519" s="6">
        <v>272</v>
      </c>
      <c r="F1519">
        <v>0.69</v>
      </c>
      <c r="G1519">
        <v>0</v>
      </c>
      <c r="M1519" t="s">
        <v>44</v>
      </c>
      <c r="O1519">
        <f>IF(AND(OR(D1519="S. acutus",D1519="S. californicus",D1519="S. tabernaemontani"),G1519=0),E1519*[1]Sheet1!$D$7+[1]Sheet1!$L$7,IF(AND(OR(D1519="S. acutus",D1519="S. tabernaemontani"),G1519&gt;0),E1519*[1]Sheet1!$D$8+N1519*[1]Sheet1!$E$8,IF(AND(D1519="S. californicus",G1519&gt;0),E1519*[1]Sheet1!$D$9+N1519*[1]Sheet1!$E$9,IF(D1519="S. maritimus",F1519*[1]Sheet1!$C$10+E1519*[1]Sheet1!$D$10+G1519*[1]Sheet1!$F$10+[1]Sheet1!$L$10,IF(D1519="S. americanus",F1519*[1]Sheet1!$C$6+E1519*[1]Sheet1!$D$6+[1]Sheet1!$L$6,IF(AND(OR(D1519="T. domingensis",D1519="T. latifolia"),E1519&gt;0),F1519*[1]Sheet1!$C$4+E1519*[1]Sheet1!$D$4+H1519*[1]Sheet1!$J$4+I1519*[1]Sheet1!$K$4+[1]Sheet1!$L$4,IF(AND(OR(D1519="T. domingensis",D1519="T. latifolia"),J1519&gt;0),J1519*[1]Sheet1!$G$5+K1519*[1]Sheet1!$H$5+L1519*[1]Sheet1!$I$5+[1]Sheet1!$L$5,0)))))))</f>
        <v>4.4184415409999982</v>
      </c>
    </row>
    <row r="1520" spans="1:15">
      <c r="A1520" s="2">
        <v>40738</v>
      </c>
      <c r="B1520" t="s">
        <v>43</v>
      </c>
      <c r="C1520">
        <v>25</v>
      </c>
      <c r="D1520" s="6" t="s">
        <v>29</v>
      </c>
      <c r="E1520" s="6">
        <v>272</v>
      </c>
      <c r="F1520">
        <v>0.86</v>
      </c>
      <c r="G1520">
        <v>1</v>
      </c>
      <c r="M1520" t="s">
        <v>44</v>
      </c>
      <c r="O1520">
        <f>IF(AND(OR(D1520="S. acutus",D1520="S. californicus",D1520="S. tabernaemontani"),G1520=0),E1520*[1]Sheet1!$D$7+[1]Sheet1!$L$7,IF(AND(OR(D1520="S. acutus",D1520="S. tabernaemontani"),G1520&gt;0),E1520*[1]Sheet1!$D$8+N1520*[1]Sheet1!$E$8,IF(AND(D1520="S. californicus",G1520&gt;0),E1520*[1]Sheet1!$D$9+N1520*[1]Sheet1!$E$9,IF(D1520="S. maritimus",F1520*[1]Sheet1!$C$10+E1520*[1]Sheet1!$D$10+G1520*[1]Sheet1!$F$10+[1]Sheet1!$L$10,IF(D1520="S. americanus",F1520*[1]Sheet1!$C$6+E1520*[1]Sheet1!$D$6+[1]Sheet1!$L$6,IF(AND(OR(D1520="T. domingensis",D1520="T. latifolia"),E1520&gt;0),F1520*[1]Sheet1!$C$4+E1520*[1]Sheet1!$D$4+H1520*[1]Sheet1!$J$4+I1520*[1]Sheet1!$K$4+[1]Sheet1!$L$4,IF(AND(OR(D1520="T. domingensis",D1520="T. latifolia"),J1520&gt;0),J1520*[1]Sheet1!$G$5+K1520*[1]Sheet1!$H$5+L1520*[1]Sheet1!$I$5+[1]Sheet1!$L$5,0)))))))</f>
        <v>5.0223680539999993</v>
      </c>
    </row>
    <row r="1521" spans="1:15">
      <c r="A1521" s="2">
        <v>40738</v>
      </c>
      <c r="B1521" t="s">
        <v>43</v>
      </c>
      <c r="C1521">
        <v>25</v>
      </c>
      <c r="D1521" s="6" t="s">
        <v>29</v>
      </c>
      <c r="E1521" s="6">
        <v>277</v>
      </c>
      <c r="F1521">
        <v>0.81</v>
      </c>
      <c r="G1521">
        <v>0</v>
      </c>
      <c r="M1521" t="s">
        <v>44</v>
      </c>
      <c r="O1521">
        <f>IF(AND(OR(D1521="S. acutus",D1521="S. californicus",D1521="S. tabernaemontani"),G1521=0),E1521*[1]Sheet1!$D$7+[1]Sheet1!$L$7,IF(AND(OR(D1521="S. acutus",D1521="S. tabernaemontani"),G1521&gt;0),E1521*[1]Sheet1!$D$8+N1521*[1]Sheet1!$E$8,IF(AND(D1521="S. californicus",G1521&gt;0),E1521*[1]Sheet1!$D$9+N1521*[1]Sheet1!$E$9,IF(D1521="S. maritimus",F1521*[1]Sheet1!$C$10+E1521*[1]Sheet1!$D$10+G1521*[1]Sheet1!$F$10+[1]Sheet1!$L$10,IF(D1521="S. americanus",F1521*[1]Sheet1!$C$6+E1521*[1]Sheet1!$D$6+[1]Sheet1!$L$6,IF(AND(OR(D1521="T. domingensis",D1521="T. latifolia"),E1521&gt;0),F1521*[1]Sheet1!$C$4+E1521*[1]Sheet1!$D$4+H1521*[1]Sheet1!$J$4+I1521*[1]Sheet1!$K$4+[1]Sheet1!$L$4,IF(AND(OR(D1521="T. domingensis",D1521="T. latifolia"),J1521&gt;0),J1521*[1]Sheet1!$G$5+K1521*[1]Sheet1!$H$5+L1521*[1]Sheet1!$I$5+[1]Sheet1!$L$5,0)))))))</f>
        <v>4.9231461089999993</v>
      </c>
    </row>
    <row r="1522" spans="1:15">
      <c r="A1522" s="2">
        <v>40738</v>
      </c>
      <c r="B1522" t="s">
        <v>43</v>
      </c>
      <c r="C1522">
        <v>25</v>
      </c>
      <c r="D1522" s="6" t="s">
        <v>29</v>
      </c>
      <c r="E1522" s="6">
        <v>277</v>
      </c>
      <c r="F1522">
        <v>0.85</v>
      </c>
      <c r="G1522">
        <v>0</v>
      </c>
      <c r="M1522" t="s">
        <v>44</v>
      </c>
      <c r="O1522">
        <f>IF(AND(OR(D1522="S. acutus",D1522="S. californicus",D1522="S. tabernaemontani"),G1522=0),E1522*[1]Sheet1!$D$7+[1]Sheet1!$L$7,IF(AND(OR(D1522="S. acutus",D1522="S. tabernaemontani"),G1522&gt;0),E1522*[1]Sheet1!$D$8+N1522*[1]Sheet1!$E$8,IF(AND(D1522="S. californicus",G1522&gt;0),E1522*[1]Sheet1!$D$9+N1522*[1]Sheet1!$E$9,IF(D1522="S. maritimus",F1522*[1]Sheet1!$C$10+E1522*[1]Sheet1!$D$10+G1522*[1]Sheet1!$F$10+[1]Sheet1!$L$10,IF(D1522="S. americanus",F1522*[1]Sheet1!$C$6+E1522*[1]Sheet1!$D$6+[1]Sheet1!$L$6,IF(AND(OR(D1522="T. domingensis",D1522="T. latifolia"),E1522&gt;0),F1522*[1]Sheet1!$C$4+E1522*[1]Sheet1!$D$4+H1522*[1]Sheet1!$J$4+I1522*[1]Sheet1!$K$4+[1]Sheet1!$L$4,IF(AND(OR(D1522="T. domingensis",D1522="T. latifolia"),J1522&gt;0),J1522*[1]Sheet1!$G$5+K1522*[1]Sheet1!$H$5+L1522*[1]Sheet1!$I$5+[1]Sheet1!$L$5,0)))))))</f>
        <v>5.0652464649999995</v>
      </c>
    </row>
    <row r="1523" spans="1:15">
      <c r="A1523" s="2">
        <v>40738</v>
      </c>
      <c r="B1523" t="s">
        <v>43</v>
      </c>
      <c r="C1523">
        <v>25</v>
      </c>
      <c r="D1523" s="6" t="s">
        <v>29</v>
      </c>
      <c r="E1523" s="6">
        <v>281</v>
      </c>
      <c r="F1523">
        <v>0.91</v>
      </c>
      <c r="G1523">
        <v>0</v>
      </c>
      <c r="M1523" t="s">
        <v>44</v>
      </c>
      <c r="O1523">
        <f>IF(AND(OR(D1523="S. acutus",D1523="S. californicus",D1523="S. tabernaemontani"),G1523=0),E1523*[1]Sheet1!$D$7+[1]Sheet1!$L$7,IF(AND(OR(D1523="S. acutus",D1523="S. tabernaemontani"),G1523&gt;0),E1523*[1]Sheet1!$D$8+N1523*[1]Sheet1!$E$8,IF(AND(D1523="S. californicus",G1523&gt;0),E1523*[1]Sheet1!$D$9+N1523*[1]Sheet1!$E$9,IF(D1523="S. maritimus",F1523*[1]Sheet1!$C$10+E1523*[1]Sheet1!$D$10+G1523*[1]Sheet1!$F$10+[1]Sheet1!$L$10,IF(D1523="S. americanus",F1523*[1]Sheet1!$C$6+E1523*[1]Sheet1!$D$6+[1]Sheet1!$L$6,IF(AND(OR(D1523="T. domingensis",D1523="T. latifolia"),E1523&gt;0),F1523*[1]Sheet1!$C$4+E1523*[1]Sheet1!$D$4+H1523*[1]Sheet1!$J$4+I1523*[1]Sheet1!$K$4+[1]Sheet1!$L$4,IF(AND(OR(D1523="T. domingensis",D1523="T. latifolia"),J1523&gt;0),J1523*[1]Sheet1!$G$5+K1523*[1]Sheet1!$H$5+L1523*[1]Sheet1!$I$5+[1]Sheet1!$L$5,0)))))))</f>
        <v>5.3411197989999994</v>
      </c>
    </row>
    <row r="1524" spans="1:15">
      <c r="A1524" s="2">
        <v>40738</v>
      </c>
      <c r="B1524" t="s">
        <v>43</v>
      </c>
      <c r="C1524">
        <v>25</v>
      </c>
      <c r="D1524" s="6" t="s">
        <v>29</v>
      </c>
      <c r="E1524" s="6">
        <v>288</v>
      </c>
      <c r="F1524">
        <v>1.1399999999999999</v>
      </c>
      <c r="G1524">
        <v>0</v>
      </c>
      <c r="M1524" t="s">
        <v>44</v>
      </c>
      <c r="O1524">
        <f>IF(AND(OR(D1524="S. acutus",D1524="S. californicus",D1524="S. tabernaemontani"),G1524=0),E1524*[1]Sheet1!$D$7+[1]Sheet1!$L$7,IF(AND(OR(D1524="S. acutus",D1524="S. tabernaemontani"),G1524&gt;0),E1524*[1]Sheet1!$D$8+N1524*[1]Sheet1!$E$8,IF(AND(D1524="S. californicus",G1524&gt;0),E1524*[1]Sheet1!$D$9+N1524*[1]Sheet1!$E$9,IF(D1524="S. maritimus",F1524*[1]Sheet1!$C$10+E1524*[1]Sheet1!$D$10+G1524*[1]Sheet1!$F$10+[1]Sheet1!$L$10,IF(D1524="S. americanus",F1524*[1]Sheet1!$C$6+E1524*[1]Sheet1!$D$6+[1]Sheet1!$L$6,IF(AND(OR(D1524="T. domingensis",D1524="T. latifolia"),E1524&gt;0),F1524*[1]Sheet1!$C$4+E1524*[1]Sheet1!$D$4+H1524*[1]Sheet1!$J$4+I1524*[1]Sheet1!$K$4+[1]Sheet1!$L$4,IF(AND(OR(D1524="T. domingensis",D1524="T. latifolia"),J1524&gt;0),J1524*[1]Sheet1!$G$5+K1524*[1]Sheet1!$H$5+L1524*[1]Sheet1!$I$5+[1]Sheet1!$L$5,0)))))))</f>
        <v>6.2679617459999974</v>
      </c>
    </row>
    <row r="1525" spans="1:15">
      <c r="A1525" s="2">
        <v>40738</v>
      </c>
      <c r="B1525" t="s">
        <v>43</v>
      </c>
      <c r="C1525">
        <v>25</v>
      </c>
      <c r="D1525" s="6" t="s">
        <v>19</v>
      </c>
      <c r="E1525">
        <v>272</v>
      </c>
      <c r="F1525">
        <v>2.4500000000000002</v>
      </c>
      <c r="H1525">
        <v>20</v>
      </c>
      <c r="I1525">
        <v>1.7</v>
      </c>
      <c r="M1525" t="s">
        <v>44</v>
      </c>
      <c r="O1525">
        <f>IF(AND(OR(D1525="S. acutus",D1525="S. californicus",D1525="S. tabernaemontani"),G1525=0),E1525*[1]Sheet1!$D$7+[1]Sheet1!$L$7,IF(AND(OR(D1525="S. acutus",D1525="S. tabernaemontani"),G1525&gt;0),E1525*[1]Sheet1!$D$8+N1525*[1]Sheet1!$E$8,IF(AND(D1525="S. californicus",G1525&gt;0),E1525*[1]Sheet1!$D$9+N1525*[1]Sheet1!$E$9,IF(D1525="S. maritimus",F1525*[1]Sheet1!$C$10+E1525*[1]Sheet1!$D$10+G1525*[1]Sheet1!$F$10+[1]Sheet1!$L$10,IF(D1525="S. americanus",F1525*[1]Sheet1!$C$6+E1525*[1]Sheet1!$D$6+[1]Sheet1!$L$6,IF(AND(OR(D1525="T. domingensis",D1525="T. latifolia"),E1525&gt;0),F1525*[1]Sheet1!$C$4+E1525*[1]Sheet1!$D$4+H1525*[1]Sheet1!$J$4+I1525*[1]Sheet1!$K$4+[1]Sheet1!$L$4,IF(AND(OR(D1525="T. domingensis",D1525="T. latifolia"),J1525&gt;0),J1525*[1]Sheet1!$G$5+K1525*[1]Sheet1!$H$5+L1525*[1]Sheet1!$I$5+[1]Sheet1!$L$5,0)))))))</f>
        <v>79.975381650000003</v>
      </c>
    </row>
    <row r="1526" spans="1:15">
      <c r="A1526" s="2">
        <v>40738</v>
      </c>
      <c r="B1526" t="s">
        <v>43</v>
      </c>
      <c r="C1526">
        <v>25</v>
      </c>
      <c r="D1526" s="6" t="s">
        <v>19</v>
      </c>
      <c r="E1526">
        <v>278</v>
      </c>
      <c r="F1526">
        <v>2.21</v>
      </c>
      <c r="H1526">
        <v>18.5</v>
      </c>
      <c r="I1526">
        <v>1.8</v>
      </c>
      <c r="M1526" t="s">
        <v>44</v>
      </c>
      <c r="O1526">
        <f>IF(AND(OR(D1526="S. acutus",D1526="S. californicus",D1526="S. tabernaemontani"),G1526=0),E1526*[1]Sheet1!$D$7+[1]Sheet1!$L$7,IF(AND(OR(D1526="S. acutus",D1526="S. tabernaemontani"),G1526&gt;0),E1526*[1]Sheet1!$D$8+N1526*[1]Sheet1!$E$8,IF(AND(D1526="S. californicus",G1526&gt;0),E1526*[1]Sheet1!$D$9+N1526*[1]Sheet1!$E$9,IF(D1526="S. maritimus",F1526*[1]Sheet1!$C$10+E1526*[1]Sheet1!$D$10+G1526*[1]Sheet1!$F$10+[1]Sheet1!$L$10,IF(D1526="S. americanus",F1526*[1]Sheet1!$C$6+E1526*[1]Sheet1!$D$6+[1]Sheet1!$L$6,IF(AND(OR(D1526="T. domingensis",D1526="T. latifolia"),E1526&gt;0),F1526*[1]Sheet1!$C$4+E1526*[1]Sheet1!$D$4+H1526*[1]Sheet1!$J$4+I1526*[1]Sheet1!$K$4+[1]Sheet1!$L$4,IF(AND(OR(D1526="T. domingensis",D1526="T. latifolia"),J1526&gt;0),J1526*[1]Sheet1!$G$5+K1526*[1]Sheet1!$H$5+L1526*[1]Sheet1!$I$5+[1]Sheet1!$L$5,0)))))))</f>
        <v>77.527790270000025</v>
      </c>
    </row>
    <row r="1527" spans="1:15">
      <c r="A1527" s="2">
        <v>40738</v>
      </c>
      <c r="B1527" t="s">
        <v>43</v>
      </c>
      <c r="C1527">
        <v>25</v>
      </c>
      <c r="D1527" s="6" t="s">
        <v>19</v>
      </c>
      <c r="E1527">
        <v>278</v>
      </c>
      <c r="F1527">
        <v>2.37</v>
      </c>
      <c r="H1527">
        <v>27</v>
      </c>
      <c r="I1527">
        <v>1.9</v>
      </c>
      <c r="M1527" t="s">
        <v>44</v>
      </c>
      <c r="O1527">
        <f>IF(AND(OR(D1527="S. acutus",D1527="S. californicus",D1527="S. tabernaemontani"),G1527=0),E1527*[1]Sheet1!$D$7+[1]Sheet1!$L$7,IF(AND(OR(D1527="S. acutus",D1527="S. tabernaemontani"),G1527&gt;0),E1527*[1]Sheet1!$D$8+N1527*[1]Sheet1!$E$8,IF(AND(D1527="S. californicus",G1527&gt;0),E1527*[1]Sheet1!$D$9+N1527*[1]Sheet1!$E$9,IF(D1527="S. maritimus",F1527*[1]Sheet1!$C$10+E1527*[1]Sheet1!$D$10+G1527*[1]Sheet1!$F$10+[1]Sheet1!$L$10,IF(D1527="S. americanus",F1527*[1]Sheet1!$C$6+E1527*[1]Sheet1!$D$6+[1]Sheet1!$L$6,IF(AND(OR(D1527="T. domingensis",D1527="T. latifolia"),E1527&gt;0),F1527*[1]Sheet1!$C$4+E1527*[1]Sheet1!$D$4+H1527*[1]Sheet1!$J$4+I1527*[1]Sheet1!$K$4+[1]Sheet1!$L$4,IF(AND(OR(D1527="T. domingensis",D1527="T. latifolia"),J1527&gt;0),J1527*[1]Sheet1!$G$5+K1527*[1]Sheet1!$H$5+L1527*[1]Sheet1!$I$5+[1]Sheet1!$L$5,0)))))))</f>
        <v>90.264322489999984</v>
      </c>
    </row>
    <row r="1528" spans="1:15">
      <c r="A1528" s="2">
        <v>40738</v>
      </c>
      <c r="B1528" t="s">
        <v>43</v>
      </c>
      <c r="C1528">
        <v>25</v>
      </c>
      <c r="D1528" s="6" t="s">
        <v>19</v>
      </c>
      <c r="E1528" s="6">
        <v>281</v>
      </c>
      <c r="F1528">
        <v>2.5099999999999998</v>
      </c>
      <c r="H1528">
        <v>26</v>
      </c>
      <c r="I1528">
        <v>1.9</v>
      </c>
      <c r="M1528" t="s">
        <v>44</v>
      </c>
      <c r="O1528">
        <f>IF(AND(OR(D1528="S. acutus",D1528="S. californicus",D1528="S. tabernaemontani"),G1528=0),E1528*[1]Sheet1!$D$7+[1]Sheet1!$L$7,IF(AND(OR(D1528="S. acutus",D1528="S. tabernaemontani"),G1528&gt;0),E1528*[1]Sheet1!$D$8+N1528*[1]Sheet1!$E$8,IF(AND(D1528="S. californicus",G1528&gt;0),E1528*[1]Sheet1!$D$9+N1528*[1]Sheet1!$E$9,IF(D1528="S. maritimus",F1528*[1]Sheet1!$C$10+E1528*[1]Sheet1!$D$10+G1528*[1]Sheet1!$F$10+[1]Sheet1!$L$10,IF(D1528="S. americanus",F1528*[1]Sheet1!$C$6+E1528*[1]Sheet1!$D$6+[1]Sheet1!$L$6,IF(AND(OR(D1528="T. domingensis",D1528="T. latifolia"),E1528&gt;0),F1528*[1]Sheet1!$C$4+E1528*[1]Sheet1!$D$4+H1528*[1]Sheet1!$J$4+I1528*[1]Sheet1!$K$4+[1]Sheet1!$L$4,IF(AND(OR(D1528="T. domingensis",D1528="T. latifolia"),J1528&gt;0),J1528*[1]Sheet1!$G$5+K1528*[1]Sheet1!$H$5+L1528*[1]Sheet1!$I$5+[1]Sheet1!$L$5,0)))))))</f>
        <v>92.942575269999963</v>
      </c>
    </row>
    <row r="1529" spans="1:15">
      <c r="A1529" s="2">
        <v>40738</v>
      </c>
      <c r="B1529" t="s">
        <v>43</v>
      </c>
      <c r="C1529">
        <v>25</v>
      </c>
      <c r="D1529" s="6" t="s">
        <v>19</v>
      </c>
      <c r="E1529" s="6">
        <v>289</v>
      </c>
      <c r="F1529">
        <v>2.4</v>
      </c>
      <c r="H1529">
        <v>23</v>
      </c>
      <c r="I1529">
        <v>2.2000000000000002</v>
      </c>
      <c r="M1529" t="s">
        <v>44</v>
      </c>
      <c r="O1529">
        <f>IF(AND(OR(D1529="S. acutus",D1529="S. californicus",D1529="S. tabernaemontani"),G1529=0),E1529*[1]Sheet1!$D$7+[1]Sheet1!$L$7,IF(AND(OR(D1529="S. acutus",D1529="S. tabernaemontani"),G1529&gt;0),E1529*[1]Sheet1!$D$8+N1529*[1]Sheet1!$E$8,IF(AND(D1529="S. californicus",G1529&gt;0),E1529*[1]Sheet1!$D$9+N1529*[1]Sheet1!$E$9,IF(D1529="S. maritimus",F1529*[1]Sheet1!$C$10+E1529*[1]Sheet1!$D$10+G1529*[1]Sheet1!$F$10+[1]Sheet1!$L$10,IF(D1529="S. americanus",F1529*[1]Sheet1!$C$6+E1529*[1]Sheet1!$D$6+[1]Sheet1!$L$6,IF(AND(OR(D1529="T. domingensis",D1529="T. latifolia"),E1529&gt;0),F1529*[1]Sheet1!$C$4+E1529*[1]Sheet1!$D$4+H1529*[1]Sheet1!$J$4+I1529*[1]Sheet1!$K$4+[1]Sheet1!$L$4,IF(AND(OR(D1529="T. domingensis",D1529="T. latifolia"),J1529&gt;0),J1529*[1]Sheet1!$G$5+K1529*[1]Sheet1!$H$5+L1529*[1]Sheet1!$I$5+[1]Sheet1!$L$5,0)))))))</f>
        <v>95.706732799999997</v>
      </c>
    </row>
    <row r="1530" spans="1:15">
      <c r="A1530" s="2">
        <v>40738</v>
      </c>
      <c r="B1530" t="s">
        <v>43</v>
      </c>
      <c r="C1530">
        <v>25</v>
      </c>
      <c r="D1530" s="6" t="s">
        <v>19</v>
      </c>
      <c r="F1530">
        <v>0.71</v>
      </c>
      <c r="J1530">
        <f>SUM(157,190)</f>
        <v>347</v>
      </c>
      <c r="K1530">
        <v>2</v>
      </c>
      <c r="L1530">
        <v>190</v>
      </c>
      <c r="M1530" t="s">
        <v>44</v>
      </c>
      <c r="O1530">
        <f>IF(AND(OR(D1530="S. acutus",D1530="S. californicus",D1530="S. tabernaemontani"),G1530=0),E1530*[1]Sheet1!$D$7+[1]Sheet1!$L$7,IF(AND(OR(D1530="S. acutus",D1530="S. tabernaemontani"),G1530&gt;0),E1530*[1]Sheet1!$D$8+N1530*[1]Sheet1!$E$8,IF(AND(D1530="S. californicus",G1530&gt;0),E1530*[1]Sheet1!$D$9+N1530*[1]Sheet1!$E$9,IF(D1530="S. maritimus",F1530*[1]Sheet1!$C$10+E1530*[1]Sheet1!$D$10+G1530*[1]Sheet1!$F$10+[1]Sheet1!$L$10,IF(D1530="S. americanus",F1530*[1]Sheet1!$C$6+E1530*[1]Sheet1!$D$6+[1]Sheet1!$L$6,IF(AND(OR(D1530="T. domingensis",D1530="T. latifolia"),E1530&gt;0),F1530*[1]Sheet1!$C$4+E1530*[1]Sheet1!$D$4+H1530*[1]Sheet1!$J$4+I1530*[1]Sheet1!$K$4+[1]Sheet1!$L$4,IF(AND(OR(D1530="T. domingensis",D1530="T. latifolia"),J1530&gt;0),J1530*[1]Sheet1!$G$5+K1530*[1]Sheet1!$H$5+L1530*[1]Sheet1!$I$5+[1]Sheet1!$L$5,0)))))))</f>
        <v>-5.7112869999999916</v>
      </c>
    </row>
    <row r="1531" spans="1:15">
      <c r="A1531" s="2">
        <v>40738</v>
      </c>
      <c r="B1531" t="s">
        <v>43</v>
      </c>
      <c r="C1531">
        <v>25</v>
      </c>
      <c r="D1531" s="6" t="s">
        <v>19</v>
      </c>
      <c r="F1531">
        <v>2.54</v>
      </c>
      <c r="J1531">
        <f>SUM(207,236,265,291)</f>
        <v>999</v>
      </c>
      <c r="K1531">
        <v>4</v>
      </c>
      <c r="L1531">
        <v>291</v>
      </c>
      <c r="M1531" t="s">
        <v>44</v>
      </c>
      <c r="O1531">
        <f>IF(AND(OR(D1531="S. acutus",D1531="S. californicus",D1531="S. tabernaemontani"),G1531=0),E1531*[1]Sheet1!$D$7+[1]Sheet1!$L$7,IF(AND(OR(D1531="S. acutus",D1531="S. tabernaemontani"),G1531&gt;0),E1531*[1]Sheet1!$D$8+N1531*[1]Sheet1!$E$8,IF(AND(D1531="S. californicus",G1531&gt;0),E1531*[1]Sheet1!$D$9+N1531*[1]Sheet1!$E$9,IF(D1531="S. maritimus",F1531*[1]Sheet1!$C$10+E1531*[1]Sheet1!$D$10+G1531*[1]Sheet1!$F$10+[1]Sheet1!$L$10,IF(D1531="S. americanus",F1531*[1]Sheet1!$C$6+E1531*[1]Sheet1!$D$6+[1]Sheet1!$L$6,IF(AND(OR(D1531="T. domingensis",D1531="T. latifolia"),E1531&gt;0),F1531*[1]Sheet1!$C$4+E1531*[1]Sheet1!$D$4+H1531*[1]Sheet1!$J$4+I1531*[1]Sheet1!$K$4+[1]Sheet1!$L$4,IF(AND(OR(D1531="T. domingensis",D1531="T. latifolia"),J1531&gt;0),J1531*[1]Sheet1!$G$5+K1531*[1]Sheet1!$H$5+L1531*[1]Sheet1!$I$5+[1]Sheet1!$L$5,0)))))))</f>
        <v>10.946522000000009</v>
      </c>
    </row>
    <row r="1532" spans="1:15">
      <c r="A1532" s="2">
        <v>40738</v>
      </c>
      <c r="B1532" t="s">
        <v>43</v>
      </c>
      <c r="C1532">
        <v>25</v>
      </c>
      <c r="D1532" s="6" t="s">
        <v>19</v>
      </c>
      <c r="F1532">
        <v>1.86</v>
      </c>
      <c r="J1532">
        <f>SUM(111,196,197,229,236,244)</f>
        <v>1213</v>
      </c>
      <c r="K1532">
        <v>6</v>
      </c>
      <c r="L1532">
        <v>244</v>
      </c>
      <c r="M1532" t="s">
        <v>44</v>
      </c>
      <c r="O1532">
        <f>IF(AND(OR(D1532="S. acutus",D1532="S. californicus",D1532="S. tabernaemontani"),G1532=0),E1532*[1]Sheet1!$D$7+[1]Sheet1!$L$7,IF(AND(OR(D1532="S. acutus",D1532="S. tabernaemontani"),G1532&gt;0),E1532*[1]Sheet1!$D$8+N1532*[1]Sheet1!$E$8,IF(AND(D1532="S. californicus",G1532&gt;0),E1532*[1]Sheet1!$D$9+N1532*[1]Sheet1!$E$9,IF(D1532="S. maritimus",F1532*[1]Sheet1!$C$10+E1532*[1]Sheet1!$D$10+G1532*[1]Sheet1!$F$10+[1]Sheet1!$L$10,IF(D1532="S. americanus",F1532*[1]Sheet1!$C$6+E1532*[1]Sheet1!$D$6+[1]Sheet1!$L$6,IF(AND(OR(D1532="T. domingensis",D1532="T. latifolia"),E1532&gt;0),F1532*[1]Sheet1!$C$4+E1532*[1]Sheet1!$D$4+H1532*[1]Sheet1!$J$4+I1532*[1]Sheet1!$K$4+[1]Sheet1!$L$4,IF(AND(OR(D1532="T. domingensis",D1532="T. latifolia"),J1532&gt;0),J1532*[1]Sheet1!$G$5+K1532*[1]Sheet1!$H$5+L1532*[1]Sheet1!$I$5+[1]Sheet1!$L$5,0)))))))</f>
        <v>31.123901000000011</v>
      </c>
    </row>
    <row r="1533" spans="1:15">
      <c r="A1533" s="2">
        <v>40738</v>
      </c>
      <c r="B1533" t="s">
        <v>43</v>
      </c>
      <c r="C1533">
        <v>25</v>
      </c>
      <c r="D1533" s="6" t="s">
        <v>19</v>
      </c>
      <c r="F1533">
        <v>1.98</v>
      </c>
      <c r="J1533">
        <f>SUM(211,238,241,258,264)</f>
        <v>1212</v>
      </c>
      <c r="K1533">
        <v>5</v>
      </c>
      <c r="L1533">
        <v>264</v>
      </c>
      <c r="M1533" t="s">
        <v>44</v>
      </c>
      <c r="O1533">
        <f>IF(AND(OR(D1533="S. acutus",D1533="S. californicus",D1533="S. tabernaemontani"),G1533=0),E1533*[1]Sheet1!$D$7+[1]Sheet1!$L$7,IF(AND(OR(D1533="S. acutus",D1533="S. tabernaemontani"),G1533&gt;0),E1533*[1]Sheet1!$D$8+N1533*[1]Sheet1!$E$8,IF(AND(D1533="S. californicus",G1533&gt;0),E1533*[1]Sheet1!$D$9+N1533*[1]Sheet1!$E$9,IF(D1533="S. maritimus",F1533*[1]Sheet1!$C$10+E1533*[1]Sheet1!$D$10+G1533*[1]Sheet1!$F$10+[1]Sheet1!$L$10,IF(D1533="S. americanus",F1533*[1]Sheet1!$C$6+E1533*[1]Sheet1!$D$6+[1]Sheet1!$L$6,IF(AND(OR(D1533="T. domingensis",D1533="T. latifolia"),E1533&gt;0),F1533*[1]Sheet1!$C$4+E1533*[1]Sheet1!$D$4+H1533*[1]Sheet1!$J$4+I1533*[1]Sheet1!$K$4+[1]Sheet1!$L$4,IF(AND(OR(D1533="T. domingensis",D1533="T. latifolia"),J1533&gt;0),J1533*[1]Sheet1!$G$5+K1533*[1]Sheet1!$H$5+L1533*[1]Sheet1!$I$5+[1]Sheet1!$L$5,0)))))))</f>
        <v>32.027599000000002</v>
      </c>
    </row>
    <row r="1534" spans="1:15">
      <c r="A1534" s="2">
        <v>40738</v>
      </c>
      <c r="B1534" t="s">
        <v>43</v>
      </c>
      <c r="C1534">
        <v>29</v>
      </c>
      <c r="D1534" s="6" t="s">
        <v>19</v>
      </c>
      <c r="E1534" s="6">
        <v>265</v>
      </c>
      <c r="F1534">
        <v>2.67</v>
      </c>
      <c r="H1534">
        <v>29</v>
      </c>
      <c r="I1534">
        <v>2.7</v>
      </c>
      <c r="O1534">
        <f>IF(AND(OR(D1534="S. acutus",D1534="S. californicus",D1534="S. tabernaemontani"),G1534=0),E1534*[1]Sheet1!$D$7+[1]Sheet1!$L$7,IF(AND(OR(D1534="S. acutus",D1534="S. tabernaemontani"),G1534&gt;0),E1534*[1]Sheet1!$D$8+N1534*[1]Sheet1!$E$8,IF(AND(D1534="S. californicus",G1534&gt;0),E1534*[1]Sheet1!$D$9+N1534*[1]Sheet1!$E$9,IF(D1534="S. maritimus",F1534*[1]Sheet1!$C$10+E1534*[1]Sheet1!$D$10+G1534*[1]Sheet1!$F$10+[1]Sheet1!$L$10,IF(D1534="S. americanus",F1534*[1]Sheet1!$C$6+E1534*[1]Sheet1!$D$6+[1]Sheet1!$L$6,IF(AND(OR(D1534="T. domingensis",D1534="T. latifolia"),E1534&gt;0),F1534*[1]Sheet1!$C$4+E1534*[1]Sheet1!$D$4+H1534*[1]Sheet1!$J$4+I1534*[1]Sheet1!$K$4+[1]Sheet1!$L$4,IF(AND(OR(D1534="T. domingensis",D1534="T. latifolia"),J1534&gt;0),J1534*[1]Sheet1!$G$5+K1534*[1]Sheet1!$H$5+L1534*[1]Sheet1!$I$5+[1]Sheet1!$L$5,0)))))))</f>
        <v>107.93366379</v>
      </c>
    </row>
    <row r="1535" spans="1:15">
      <c r="A1535" s="2">
        <v>40738</v>
      </c>
      <c r="B1535" t="s">
        <v>43</v>
      </c>
      <c r="C1535">
        <v>29</v>
      </c>
      <c r="D1535" s="6" t="s">
        <v>19</v>
      </c>
      <c r="E1535" s="6">
        <v>269</v>
      </c>
      <c r="F1535">
        <v>3.05</v>
      </c>
      <c r="H1535">
        <v>33</v>
      </c>
      <c r="I1535">
        <v>2.4</v>
      </c>
      <c r="O1535">
        <f>IF(AND(OR(D1535="S. acutus",D1535="S. californicus",D1535="S. tabernaemontani"),G1535=0),E1535*[1]Sheet1!$D$7+[1]Sheet1!$L$7,IF(AND(OR(D1535="S. acutus",D1535="S. tabernaemontani"),G1535&gt;0),E1535*[1]Sheet1!$D$8+N1535*[1]Sheet1!$E$8,IF(AND(D1535="S. californicus",G1535&gt;0),E1535*[1]Sheet1!$D$9+N1535*[1]Sheet1!$E$9,IF(D1535="S. maritimus",F1535*[1]Sheet1!$C$10+E1535*[1]Sheet1!$D$10+G1535*[1]Sheet1!$F$10+[1]Sheet1!$L$10,IF(D1535="S. americanus",F1535*[1]Sheet1!$C$6+E1535*[1]Sheet1!$D$6+[1]Sheet1!$L$6,IF(AND(OR(D1535="T. domingensis",D1535="T. latifolia"),E1535&gt;0),F1535*[1]Sheet1!$C$4+E1535*[1]Sheet1!$D$4+H1535*[1]Sheet1!$J$4+I1535*[1]Sheet1!$K$4+[1]Sheet1!$L$4,IF(AND(OR(D1535="T. domingensis",D1535="T. latifolia"),J1535&gt;0),J1535*[1]Sheet1!$G$5+K1535*[1]Sheet1!$H$5+L1535*[1]Sheet1!$I$5+[1]Sheet1!$L$5,0)))))))</f>
        <v>114.94735345000001</v>
      </c>
    </row>
    <row r="1536" spans="1:15">
      <c r="A1536" s="2">
        <v>40738</v>
      </c>
      <c r="B1536" t="s">
        <v>43</v>
      </c>
      <c r="C1536">
        <v>29</v>
      </c>
      <c r="D1536" s="6" t="s">
        <v>19</v>
      </c>
      <c r="E1536" s="6">
        <v>280</v>
      </c>
      <c r="F1536">
        <v>2.48</v>
      </c>
      <c r="H1536">
        <v>32</v>
      </c>
      <c r="I1536">
        <v>2.4</v>
      </c>
      <c r="O1536">
        <f>IF(AND(OR(D1536="S. acutus",D1536="S. californicus",D1536="S. tabernaemontani"),G1536=0),E1536*[1]Sheet1!$D$7+[1]Sheet1!$L$7,IF(AND(OR(D1536="S. acutus",D1536="S. tabernaemontani"),G1536&gt;0),E1536*[1]Sheet1!$D$8+N1536*[1]Sheet1!$E$8,IF(AND(D1536="S. californicus",G1536&gt;0),E1536*[1]Sheet1!$D$9+N1536*[1]Sheet1!$E$9,IF(D1536="S. maritimus",F1536*[1]Sheet1!$C$10+E1536*[1]Sheet1!$D$10+G1536*[1]Sheet1!$F$10+[1]Sheet1!$L$10,IF(D1536="S. americanus",F1536*[1]Sheet1!$C$6+E1536*[1]Sheet1!$D$6+[1]Sheet1!$L$6,IF(AND(OR(D1536="T. domingensis",D1536="T. latifolia"),E1536&gt;0),F1536*[1]Sheet1!$C$4+E1536*[1]Sheet1!$D$4+H1536*[1]Sheet1!$J$4+I1536*[1]Sheet1!$K$4+[1]Sheet1!$L$4,IF(AND(OR(D1536="T. domingensis",D1536="T. latifolia"),J1536&gt;0),J1536*[1]Sheet1!$G$5+K1536*[1]Sheet1!$H$5+L1536*[1]Sheet1!$I$5+[1]Sheet1!$L$5,0)))))))</f>
        <v>106.37993775999999</v>
      </c>
    </row>
    <row r="1537" spans="1:16">
      <c r="A1537" s="2">
        <v>40738</v>
      </c>
      <c r="B1537" t="s">
        <v>43</v>
      </c>
      <c r="C1537">
        <v>29</v>
      </c>
      <c r="D1537" s="6" t="s">
        <v>19</v>
      </c>
      <c r="E1537" s="6">
        <v>301</v>
      </c>
      <c r="F1537">
        <v>2.0299999999999998</v>
      </c>
      <c r="H1537">
        <v>16</v>
      </c>
      <c r="I1537">
        <v>2.2000000000000002</v>
      </c>
      <c r="O1537">
        <f>IF(AND(OR(D1537="S. acutus",D1537="S. californicus",D1537="S. tabernaemontani"),G1537=0),E1537*[1]Sheet1!$D$7+[1]Sheet1!$L$7,IF(AND(OR(D1537="S. acutus",D1537="S. tabernaemontani"),G1537&gt;0),E1537*[1]Sheet1!$D$8+N1537*[1]Sheet1!$E$8,IF(AND(D1537="S. californicus",G1537&gt;0),E1537*[1]Sheet1!$D$9+N1537*[1]Sheet1!$E$9,IF(D1537="S. maritimus",F1537*[1]Sheet1!$C$10+E1537*[1]Sheet1!$D$10+G1537*[1]Sheet1!$F$10+[1]Sheet1!$L$10,IF(D1537="S. americanus",F1537*[1]Sheet1!$C$6+E1537*[1]Sheet1!$D$6+[1]Sheet1!$L$6,IF(AND(OR(D1537="T. domingensis",D1537="T. latifolia"),E1537&gt;0),F1537*[1]Sheet1!$C$4+E1537*[1]Sheet1!$D$4+H1537*[1]Sheet1!$J$4+I1537*[1]Sheet1!$K$4+[1]Sheet1!$L$4,IF(AND(OR(D1537="T. domingensis",D1537="T. latifolia"),J1537&gt;0),J1537*[1]Sheet1!$G$5+K1537*[1]Sheet1!$H$5+L1537*[1]Sheet1!$I$5+[1]Sheet1!$L$5,0)))))))</f>
        <v>85.71447151000001</v>
      </c>
    </row>
    <row r="1538" spans="1:16">
      <c r="A1538" s="2">
        <v>40738</v>
      </c>
      <c r="B1538" t="s">
        <v>43</v>
      </c>
      <c r="C1538">
        <v>29</v>
      </c>
      <c r="D1538" s="6" t="s">
        <v>19</v>
      </c>
      <c r="E1538" s="6">
        <v>305</v>
      </c>
      <c r="F1538">
        <v>2.4</v>
      </c>
      <c r="H1538">
        <v>24</v>
      </c>
      <c r="I1538">
        <v>1.8</v>
      </c>
      <c r="O1538">
        <f>IF(AND(OR(D1538="S. acutus",D1538="S. californicus",D1538="S. tabernaemontani"),G1538=0),E1538*[1]Sheet1!$D$7+[1]Sheet1!$L$7,IF(AND(OR(D1538="S. acutus",D1538="S. tabernaemontani"),G1538&gt;0),E1538*[1]Sheet1!$D$8+N1538*[1]Sheet1!$E$8,IF(AND(D1538="S. californicus",G1538&gt;0),E1538*[1]Sheet1!$D$9+N1538*[1]Sheet1!$E$9,IF(D1538="S. maritimus",F1538*[1]Sheet1!$C$10+E1538*[1]Sheet1!$D$10+G1538*[1]Sheet1!$F$10+[1]Sheet1!$L$10,IF(D1538="S. americanus",F1538*[1]Sheet1!$C$6+E1538*[1]Sheet1!$D$6+[1]Sheet1!$L$6,IF(AND(OR(D1538="T. domingensis",D1538="T. latifolia"),E1538&gt;0),F1538*[1]Sheet1!$C$4+E1538*[1]Sheet1!$D$4+H1538*[1]Sheet1!$J$4+I1538*[1]Sheet1!$K$4+[1]Sheet1!$L$4,IF(AND(OR(D1538="T. domingensis",D1538="T. latifolia"),J1538&gt;0),J1538*[1]Sheet1!$G$5+K1538*[1]Sheet1!$H$5+L1538*[1]Sheet1!$I$5+[1]Sheet1!$L$5,0)))))))</f>
        <v>94.508859000000001</v>
      </c>
    </row>
    <row r="1539" spans="1:16">
      <c r="A1539" s="2">
        <v>40738</v>
      </c>
      <c r="B1539" t="s">
        <v>43</v>
      </c>
      <c r="C1539">
        <v>29</v>
      </c>
      <c r="D1539" s="6" t="s">
        <v>19</v>
      </c>
      <c r="E1539" s="6">
        <v>310</v>
      </c>
      <c r="F1539">
        <v>1.87</v>
      </c>
      <c r="H1539">
        <v>22</v>
      </c>
      <c r="I1539">
        <v>2.2999999999999998</v>
      </c>
      <c r="O1539">
        <f>IF(AND(OR(D1539="S. acutus",D1539="S. californicus",D1539="S. tabernaemontani"),G1539=0),E1539*[1]Sheet1!$D$7+[1]Sheet1!$L$7,IF(AND(OR(D1539="S. acutus",D1539="S. tabernaemontani"),G1539&gt;0),E1539*[1]Sheet1!$D$8+N1539*[1]Sheet1!$E$8,IF(AND(D1539="S. californicus",G1539&gt;0),E1539*[1]Sheet1!$D$9+N1539*[1]Sheet1!$E$9,IF(D1539="S. maritimus",F1539*[1]Sheet1!$C$10+E1539*[1]Sheet1!$D$10+G1539*[1]Sheet1!$F$10+[1]Sheet1!$L$10,IF(D1539="S. americanus",F1539*[1]Sheet1!$C$6+E1539*[1]Sheet1!$D$6+[1]Sheet1!$L$6,IF(AND(OR(D1539="T. domingensis",D1539="T. latifolia"),E1539&gt;0),F1539*[1]Sheet1!$C$4+E1539*[1]Sheet1!$D$4+H1539*[1]Sheet1!$J$4+I1539*[1]Sheet1!$K$4+[1]Sheet1!$L$4,IF(AND(OR(D1539="T. domingensis",D1539="T. latifolia"),J1539&gt;0),J1539*[1]Sheet1!$G$5+K1539*[1]Sheet1!$H$5+L1539*[1]Sheet1!$I$5+[1]Sheet1!$L$5,0)))))))</f>
        <v>92.696240590000002</v>
      </c>
    </row>
    <row r="1540" spans="1:16">
      <c r="A1540" s="2">
        <v>40738</v>
      </c>
      <c r="B1540" t="s">
        <v>43</v>
      </c>
      <c r="C1540">
        <v>29</v>
      </c>
      <c r="D1540" s="6" t="s">
        <v>19</v>
      </c>
      <c r="E1540" s="6">
        <v>339</v>
      </c>
      <c r="F1540">
        <v>2.52</v>
      </c>
      <c r="H1540">
        <v>27</v>
      </c>
      <c r="I1540">
        <v>2.5</v>
      </c>
      <c r="O1540">
        <f>IF(AND(OR(D1540="S. acutus",D1540="S. californicus",D1540="S. tabernaemontani"),G1540=0),E1540*[1]Sheet1!$D$7+[1]Sheet1!$L$7,IF(AND(OR(D1540="S. acutus",D1540="S. tabernaemontani"),G1540&gt;0),E1540*[1]Sheet1!$D$8+N1540*[1]Sheet1!$E$8,IF(AND(D1540="S. californicus",G1540&gt;0),E1540*[1]Sheet1!$D$9+N1540*[1]Sheet1!$E$9,IF(D1540="S. maritimus",F1540*[1]Sheet1!$C$10+E1540*[1]Sheet1!$D$10+G1540*[1]Sheet1!$F$10+[1]Sheet1!$L$10,IF(D1540="S. americanus",F1540*[1]Sheet1!$C$6+E1540*[1]Sheet1!$D$6+[1]Sheet1!$L$6,IF(AND(OR(D1540="T. domingensis",D1540="T. latifolia"),E1540&gt;0),F1540*[1]Sheet1!$C$4+E1540*[1]Sheet1!$D$4+H1540*[1]Sheet1!$J$4+I1540*[1]Sheet1!$K$4+[1]Sheet1!$L$4,IF(AND(OR(D1540="T. domingensis",D1540="T. latifolia"),J1540&gt;0),J1540*[1]Sheet1!$G$5+K1540*[1]Sheet1!$H$5+L1540*[1]Sheet1!$I$5+[1]Sheet1!$L$5,0)))))))</f>
        <v>122.17607604</v>
      </c>
    </row>
    <row r="1541" spans="1:16">
      <c r="A1541" s="2">
        <v>40738</v>
      </c>
      <c r="B1541" t="s">
        <v>43</v>
      </c>
      <c r="C1541">
        <v>29</v>
      </c>
      <c r="D1541" s="6" t="s">
        <v>19</v>
      </c>
      <c r="E1541" s="6"/>
      <c r="F1541">
        <v>1.45</v>
      </c>
      <c r="J1541">
        <f>SUM(245,255,264,293)</f>
        <v>1057</v>
      </c>
      <c r="K1541">
        <v>4</v>
      </c>
      <c r="L1541">
        <v>293</v>
      </c>
      <c r="O1541">
        <f>IF(AND(OR(D1541="S. acutus",D1541="S. californicus",D1541="S. tabernaemontani"),G1541=0),E1541*[1]Sheet1!$D$7+[1]Sheet1!$L$7,IF(AND(OR(D1541="S. acutus",D1541="S. tabernaemontani"),G1541&gt;0),E1541*[1]Sheet1!$D$8+N1541*[1]Sheet1!$E$8,IF(AND(D1541="S. californicus",G1541&gt;0),E1541*[1]Sheet1!$D$9+N1541*[1]Sheet1!$E$9,IF(D1541="S. maritimus",F1541*[1]Sheet1!$C$10+E1541*[1]Sheet1!$D$10+G1541*[1]Sheet1!$F$10+[1]Sheet1!$L$10,IF(D1541="S. americanus",F1541*[1]Sheet1!$C$6+E1541*[1]Sheet1!$D$6+[1]Sheet1!$L$6,IF(AND(OR(D1541="T. domingensis",D1541="T. latifolia"),E1541&gt;0),F1541*[1]Sheet1!$C$4+E1541*[1]Sheet1!$D$4+H1541*[1]Sheet1!$J$4+I1541*[1]Sheet1!$K$4+[1]Sheet1!$L$4,IF(AND(OR(D1541="T. domingensis",D1541="T. latifolia"),J1541&gt;0),J1541*[1]Sheet1!$G$5+K1541*[1]Sheet1!$H$5+L1541*[1]Sheet1!$I$5+[1]Sheet1!$L$5,0)))))))</f>
        <v>15.781822000000012</v>
      </c>
    </row>
    <row r="1542" spans="1:16">
      <c r="A1542" s="11">
        <v>40745</v>
      </c>
      <c r="B1542" s="9" t="s">
        <v>47</v>
      </c>
      <c r="C1542" s="9">
        <v>5</v>
      </c>
      <c r="D1542" s="12" t="s">
        <v>16</v>
      </c>
      <c r="E1542" s="9">
        <v>340</v>
      </c>
      <c r="F1542" s="9">
        <v>2.69</v>
      </c>
      <c r="G1542" s="9" t="s">
        <v>35</v>
      </c>
      <c r="H1542" s="9"/>
      <c r="I1542" s="9"/>
      <c r="J1542" s="9"/>
      <c r="K1542" s="9"/>
      <c r="L1542" s="9"/>
      <c r="M1542" s="9"/>
      <c r="N1542" s="9">
        <f>((1/3)*(3.14159)*((F1542/2)^2)*E1542)</f>
        <v>644.09768297166659</v>
      </c>
      <c r="O1542" s="9"/>
      <c r="P1542" s="9"/>
    </row>
    <row r="1543" spans="1:16">
      <c r="A1543" s="11">
        <v>40732</v>
      </c>
      <c r="B1543" s="9" t="s">
        <v>33</v>
      </c>
      <c r="C1543" s="9">
        <v>35</v>
      </c>
      <c r="D1543" s="12" t="s">
        <v>19</v>
      </c>
      <c r="E1543" s="9">
        <v>136</v>
      </c>
      <c r="F1543" s="9">
        <v>2.59</v>
      </c>
      <c r="G1543" s="9"/>
      <c r="H1543" s="9">
        <v>6</v>
      </c>
      <c r="I1543" s="9">
        <v>0.6</v>
      </c>
      <c r="J1543" s="9"/>
      <c r="K1543" s="9"/>
      <c r="L1543" s="9"/>
      <c r="M1543" s="9"/>
      <c r="N1543" s="9"/>
      <c r="O1543" s="9"/>
      <c r="P1543" s="9"/>
    </row>
    <row r="1544" spans="1:16">
      <c r="A1544" s="11">
        <v>40738</v>
      </c>
      <c r="B1544" s="9" t="s">
        <v>43</v>
      </c>
      <c r="C1544" s="9">
        <v>10</v>
      </c>
      <c r="D1544" s="12" t="s">
        <v>19</v>
      </c>
      <c r="E1544" s="12">
        <v>217</v>
      </c>
      <c r="F1544" s="9">
        <v>2.77</v>
      </c>
      <c r="G1544" s="9"/>
      <c r="H1544" s="9"/>
      <c r="I1544" s="9"/>
      <c r="J1544" s="9"/>
      <c r="K1544" s="9"/>
      <c r="L1544" s="9"/>
      <c r="M1544" s="9"/>
      <c r="N1544" s="9"/>
      <c r="O1544" s="9"/>
      <c r="P1544" s="9"/>
    </row>
  </sheetData>
  <sortState ref="A4:O1541">
    <sortCondition ref="B4:B1541"/>
    <sortCondition ref="C4:C1541"/>
    <sortCondition ref="D4:D1541"/>
  </sortState>
  <mergeCells count="2">
    <mergeCell ref="A1:O1"/>
    <mergeCell ref="A2:O2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3"/>
  <sheetViews>
    <sheetView topLeftCell="B1" zoomScale="90" zoomScaleNormal="90" zoomScalePageLayoutView="90" workbookViewId="0">
      <selection activeCell="R50" sqref="R50"/>
    </sheetView>
  </sheetViews>
  <sheetFormatPr baseColWidth="10" defaultColWidth="11" defaultRowHeight="15" x14ac:dyDescent="0"/>
  <cols>
    <col min="1" max="1" width="8.33203125" style="19" bestFit="1" customWidth="1"/>
    <col min="2" max="2" width="8.1640625" style="19" bestFit="1" customWidth="1"/>
    <col min="3" max="3" width="10" customWidth="1"/>
    <col min="4" max="4" width="11.6640625" style="21" customWidth="1"/>
    <col min="5" max="5" width="12" style="19" customWidth="1"/>
    <col min="6" max="6" width="12.1640625" customWidth="1"/>
    <col min="7" max="7" width="11.33203125" customWidth="1"/>
    <col min="8" max="8" width="12.5" style="19" customWidth="1"/>
    <col min="9" max="9" width="12.1640625" customWidth="1"/>
    <col min="10" max="10" width="11.33203125" customWidth="1"/>
    <col min="11" max="11" width="12.5" style="19" customWidth="1"/>
    <col min="12" max="12" width="11" customWidth="1"/>
    <col min="13" max="13" width="11.6640625" customWidth="1"/>
    <col min="14" max="14" width="13" style="19" customWidth="1"/>
    <col min="15" max="15" width="11" customWidth="1"/>
    <col min="16" max="16" width="11.6640625" customWidth="1"/>
    <col min="17" max="17" width="11.6640625" style="19" bestFit="1" customWidth="1"/>
    <col min="18" max="18" width="11" customWidth="1"/>
    <col min="19" max="19" width="11.33203125" customWidth="1"/>
    <col min="20" max="20" width="12.83203125" style="19" customWidth="1"/>
    <col min="21" max="21" width="13" customWidth="1"/>
    <col min="22" max="22" width="11.33203125" customWidth="1"/>
    <col min="23" max="23" width="13.6640625" style="19" customWidth="1"/>
    <col min="24" max="24" width="8.5" style="19" customWidth="1"/>
    <col min="25" max="27" width="11" style="19"/>
  </cols>
  <sheetData>
    <row r="1" spans="1:36" ht="20" thickBot="1">
      <c r="A1" s="51" t="s">
        <v>74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42"/>
      <c r="AA1" s="42"/>
    </row>
    <row r="2" spans="1:36" s="1" customFormat="1" ht="62" customHeight="1" thickTop="1">
      <c r="A2" s="18" t="s">
        <v>67</v>
      </c>
      <c r="B2" s="18" t="s">
        <v>7</v>
      </c>
      <c r="C2" s="1" t="s">
        <v>77</v>
      </c>
      <c r="D2" s="20" t="s">
        <v>84</v>
      </c>
      <c r="E2" s="18" t="s">
        <v>76</v>
      </c>
      <c r="F2" s="1" t="s">
        <v>68</v>
      </c>
      <c r="G2" s="1" t="s">
        <v>84</v>
      </c>
      <c r="H2" s="18" t="s">
        <v>78</v>
      </c>
      <c r="I2" s="1" t="s">
        <v>69</v>
      </c>
      <c r="J2" s="1" t="s">
        <v>84</v>
      </c>
      <c r="K2" s="18" t="s">
        <v>79</v>
      </c>
      <c r="L2" s="1" t="s">
        <v>70</v>
      </c>
      <c r="M2" s="41" t="s">
        <v>84</v>
      </c>
      <c r="N2" s="18" t="s">
        <v>80</v>
      </c>
      <c r="O2" s="1" t="s">
        <v>71</v>
      </c>
      <c r="P2" s="1" t="s">
        <v>84</v>
      </c>
      <c r="Q2" s="18" t="s">
        <v>81</v>
      </c>
      <c r="R2" s="1" t="s">
        <v>72</v>
      </c>
      <c r="S2" s="41" t="s">
        <v>84</v>
      </c>
      <c r="T2" s="18" t="s">
        <v>82</v>
      </c>
      <c r="U2" s="1" t="s">
        <v>73</v>
      </c>
      <c r="V2" s="1" t="s">
        <v>84</v>
      </c>
      <c r="W2" s="18" t="s">
        <v>83</v>
      </c>
      <c r="X2" s="18" t="s">
        <v>75</v>
      </c>
      <c r="Y2" s="18" t="s">
        <v>99</v>
      </c>
      <c r="Z2" s="18" t="s">
        <v>120</v>
      </c>
      <c r="AA2" s="18" t="s">
        <v>121</v>
      </c>
      <c r="AB2" s="18" t="s">
        <v>114</v>
      </c>
      <c r="AC2" s="18" t="s">
        <v>115</v>
      </c>
      <c r="AD2" s="18" t="s">
        <v>116</v>
      </c>
      <c r="AE2" s="18" t="s">
        <v>117</v>
      </c>
      <c r="AF2" s="18" t="s">
        <v>119</v>
      </c>
      <c r="AH2" s="43" t="s">
        <v>110</v>
      </c>
      <c r="AI2" s="43" t="s">
        <v>111</v>
      </c>
      <c r="AJ2" s="43" t="s">
        <v>112</v>
      </c>
    </row>
    <row r="3" spans="1:36">
      <c r="A3" s="22" t="s">
        <v>36</v>
      </c>
      <c r="B3" s="23">
        <v>6</v>
      </c>
      <c r="C3" s="24">
        <f>SUM('Plant Measurements'!O4:O18)</f>
        <v>172.96711994257194</v>
      </c>
      <c r="D3" s="25">
        <v>0</v>
      </c>
      <c r="E3" s="23">
        <f>C3*4</f>
        <v>691.86847977028776</v>
      </c>
      <c r="F3" s="24"/>
      <c r="G3" s="26"/>
      <c r="H3" s="23"/>
      <c r="I3" s="24"/>
      <c r="J3" s="26"/>
      <c r="K3" s="23"/>
      <c r="L3" s="24"/>
      <c r="M3" s="26"/>
      <c r="N3" s="23"/>
      <c r="O3" s="24"/>
      <c r="P3" s="26"/>
      <c r="Q3" s="23"/>
      <c r="R3" s="24">
        <f>SUM('Plant Measurements'!O19:O24)</f>
        <v>494.65980160999993</v>
      </c>
      <c r="S3" s="26">
        <v>0</v>
      </c>
      <c r="T3" s="23">
        <f>R3*4</f>
        <v>1978.6392064399997</v>
      </c>
      <c r="U3" s="24"/>
      <c r="V3" s="26"/>
      <c r="W3" s="23"/>
      <c r="X3" s="23">
        <f>SUM(W3,T3,Q3,N3,K3,H3,E3)</f>
        <v>2670.5076862102874</v>
      </c>
      <c r="Y3" s="27">
        <f>AVERAGE(X3:X7)</f>
        <v>3324.9700445524736</v>
      </c>
      <c r="Z3" s="48">
        <f>Q3+E3</f>
        <v>691.86847977028776</v>
      </c>
      <c r="AA3" s="48">
        <f>T3+W3</f>
        <v>1978.6392064399997</v>
      </c>
      <c r="AB3">
        <f>(E3+Q3)/X3</f>
        <v>0.25907750924773298</v>
      </c>
      <c r="AC3">
        <f>H3/X3</f>
        <v>0</v>
      </c>
      <c r="AD3">
        <f>K3/X3</f>
        <v>0</v>
      </c>
      <c r="AE3">
        <f>(T3+W3)/X3</f>
        <v>0.74092249075226702</v>
      </c>
      <c r="AF3">
        <f>N3/X3</f>
        <v>0</v>
      </c>
      <c r="AH3">
        <f>210336.2801/10</f>
        <v>21033.62801</v>
      </c>
      <c r="AI3">
        <f>AH3/5</f>
        <v>4206.7256020000004</v>
      </c>
      <c r="AJ3">
        <f>(AI3*X3)/1000</f>
        <v>11234.093053918599</v>
      </c>
    </row>
    <row r="4" spans="1:36">
      <c r="A4" s="28" t="s">
        <v>36</v>
      </c>
      <c r="B4" s="29">
        <v>8</v>
      </c>
      <c r="C4" s="16">
        <f>SUM('Plant Measurements'!O25:O50)</f>
        <v>338.43665361143206</v>
      </c>
      <c r="D4" s="30">
        <v>0</v>
      </c>
      <c r="E4" s="29">
        <f t="shared" ref="E4:E8" si="0">C4*4</f>
        <v>1353.7466144457283</v>
      </c>
      <c r="F4" s="16"/>
      <c r="G4" s="17"/>
      <c r="H4" s="29"/>
      <c r="I4" s="16"/>
      <c r="J4" s="17"/>
      <c r="K4" s="29"/>
      <c r="L4" s="16"/>
      <c r="M4" s="17"/>
      <c r="N4" s="29"/>
      <c r="O4" s="16">
        <f>SUM('Plant Measurements'!O51)</f>
        <v>11.667177814310318</v>
      </c>
      <c r="P4" s="17">
        <v>0</v>
      </c>
      <c r="Q4" s="29">
        <f>O4*4</f>
        <v>46.66871125724127</v>
      </c>
      <c r="R4" s="16">
        <f>SUM('Plant Measurements'!O52:O57)</f>
        <v>457.93499098000001</v>
      </c>
      <c r="S4" s="17">
        <v>0</v>
      </c>
      <c r="T4" s="29">
        <f t="shared" ref="T4:T5" si="1">R4*4</f>
        <v>1831.73996392</v>
      </c>
      <c r="U4" s="16"/>
      <c r="V4" s="17"/>
      <c r="W4" s="29"/>
      <c r="X4" s="29">
        <f t="shared" ref="X4:X52" si="2">SUM(W4,T4,Q4,N4,K4,H4,E4)</f>
        <v>3232.1552896229696</v>
      </c>
      <c r="Y4" s="31"/>
      <c r="Z4" s="48">
        <f t="shared" ref="Z4:Z52" si="3">Q4+E4</f>
        <v>1400.4153257029695</v>
      </c>
      <c r="AA4" s="48">
        <f t="shared" ref="AA4:AA52" si="4">T4+W4</f>
        <v>1831.73996392</v>
      </c>
      <c r="AB4">
        <f t="shared" ref="AB4:AB52" si="5">(E4+Q4)/X4</f>
        <v>0.43327600322889431</v>
      </c>
      <c r="AC4">
        <f t="shared" ref="AC4:AC52" si="6">H4/X4</f>
        <v>0</v>
      </c>
      <c r="AD4">
        <f t="shared" ref="AD4:AD52" si="7">K4/X4</f>
        <v>0</v>
      </c>
      <c r="AE4">
        <f t="shared" ref="AE4:AE52" si="8">(T4+W4)/X4</f>
        <v>0.56672399677110574</v>
      </c>
      <c r="AF4">
        <f t="shared" ref="AF4:AF52" si="9">N4/X4</f>
        <v>0</v>
      </c>
      <c r="AH4">
        <f t="shared" ref="AH4:AH52" si="10">210336.2801/10</f>
        <v>21033.62801</v>
      </c>
      <c r="AI4">
        <f t="shared" ref="AI4:AI52" si="11">AH4/5</f>
        <v>4206.7256020000004</v>
      </c>
      <c r="AJ4">
        <f t="shared" ref="AJ4:AJ52" si="12">(AI4*X4)/1000</f>
        <v>13596.790406496671</v>
      </c>
    </row>
    <row r="5" spans="1:36">
      <c r="A5" s="28" t="s">
        <v>36</v>
      </c>
      <c r="B5" s="29">
        <v>19</v>
      </c>
      <c r="C5" s="16">
        <f>SUM('Plant Measurements'!O58:O65)</f>
        <v>113.43035634227783</v>
      </c>
      <c r="D5" s="30">
        <v>0</v>
      </c>
      <c r="E5" s="29">
        <f t="shared" si="0"/>
        <v>453.72142536911133</v>
      </c>
      <c r="F5" s="16"/>
      <c r="G5" s="17"/>
      <c r="H5" s="29"/>
      <c r="I5" s="16"/>
      <c r="J5" s="17"/>
      <c r="K5" s="29"/>
      <c r="L5" s="16"/>
      <c r="M5" s="17"/>
      <c r="N5" s="29"/>
      <c r="O5" s="16"/>
      <c r="P5" s="17"/>
      <c r="Q5" s="29">
        <f t="shared" ref="Q5:Q8" si="13">O5*4</f>
        <v>0</v>
      </c>
      <c r="R5" s="16">
        <f>SUM('Plant Measurements'!O66:O72)</f>
        <v>489.43211345000009</v>
      </c>
      <c r="S5" s="17">
        <v>0</v>
      </c>
      <c r="T5" s="29">
        <f t="shared" si="1"/>
        <v>1957.7284538000004</v>
      </c>
      <c r="U5" s="16"/>
      <c r="V5" s="17"/>
      <c r="W5" s="29"/>
      <c r="X5" s="29">
        <f t="shared" si="2"/>
        <v>2411.4498791691117</v>
      </c>
      <c r="Y5" s="31"/>
      <c r="Z5" s="48">
        <f t="shared" si="3"/>
        <v>453.72142536911133</v>
      </c>
      <c r="AA5" s="48">
        <f t="shared" si="4"/>
        <v>1957.7284538000004</v>
      </c>
      <c r="AB5">
        <f t="shared" si="5"/>
        <v>0.18815295697766915</v>
      </c>
      <c r="AC5">
        <f t="shared" si="6"/>
        <v>0</v>
      </c>
      <c r="AD5">
        <f t="shared" si="7"/>
        <v>0</v>
      </c>
      <c r="AE5">
        <f t="shared" si="8"/>
        <v>0.81184704302233091</v>
      </c>
      <c r="AF5">
        <f t="shared" si="9"/>
        <v>0</v>
      </c>
      <c r="AH5">
        <f t="shared" si="10"/>
        <v>21033.62801</v>
      </c>
      <c r="AI5">
        <f t="shared" si="11"/>
        <v>4206.7256020000004</v>
      </c>
      <c r="AJ5">
        <f t="shared" si="12"/>
        <v>10144.30794464051</v>
      </c>
    </row>
    <row r="6" spans="1:36">
      <c r="A6" s="28" t="s">
        <v>36</v>
      </c>
      <c r="B6" s="29">
        <v>28</v>
      </c>
      <c r="C6" s="16"/>
      <c r="D6" s="30"/>
      <c r="E6" s="29">
        <f>C6*4</f>
        <v>0</v>
      </c>
      <c r="F6" s="16"/>
      <c r="G6" s="17"/>
      <c r="H6" s="29"/>
      <c r="I6" s="16"/>
      <c r="J6" s="17"/>
      <c r="K6" s="29"/>
      <c r="L6" s="16"/>
      <c r="M6" s="17"/>
      <c r="N6" s="29"/>
      <c r="O6" s="16"/>
      <c r="P6" s="17"/>
      <c r="Q6" s="29">
        <f t="shared" si="13"/>
        <v>0</v>
      </c>
      <c r="R6" s="16">
        <f>SUM('Plant Measurements'!O73:O84)</f>
        <v>681.25195279000013</v>
      </c>
      <c r="S6" s="17">
        <v>0</v>
      </c>
      <c r="T6" s="29">
        <f t="shared" ref="T6:T13" si="14">R6*4</f>
        <v>2725.0078111600005</v>
      </c>
      <c r="U6" s="16"/>
      <c r="V6" s="17"/>
      <c r="W6" s="29"/>
      <c r="X6" s="29">
        <f t="shared" si="2"/>
        <v>2725.0078111600005</v>
      </c>
      <c r="Y6" s="31"/>
      <c r="Z6" s="48">
        <f t="shared" si="3"/>
        <v>0</v>
      </c>
      <c r="AA6" s="48">
        <f t="shared" si="4"/>
        <v>2725.0078111600005</v>
      </c>
      <c r="AB6">
        <f t="shared" si="5"/>
        <v>0</v>
      </c>
      <c r="AC6">
        <f t="shared" si="6"/>
        <v>0</v>
      </c>
      <c r="AD6">
        <f t="shared" si="7"/>
        <v>0</v>
      </c>
      <c r="AE6">
        <f t="shared" si="8"/>
        <v>1</v>
      </c>
      <c r="AF6">
        <f t="shared" si="9"/>
        <v>0</v>
      </c>
      <c r="AH6">
        <f t="shared" si="10"/>
        <v>21033.62801</v>
      </c>
      <c r="AI6">
        <f t="shared" si="11"/>
        <v>4206.7256020000004</v>
      </c>
      <c r="AJ6">
        <f t="shared" si="12"/>
        <v>11463.360124856757</v>
      </c>
    </row>
    <row r="7" spans="1:36">
      <c r="A7" s="32" t="s">
        <v>36</v>
      </c>
      <c r="B7" s="33">
        <v>40</v>
      </c>
      <c r="C7" s="34"/>
      <c r="D7" s="35"/>
      <c r="E7" s="33">
        <f t="shared" si="0"/>
        <v>0</v>
      </c>
      <c r="F7" s="34"/>
      <c r="G7" s="36"/>
      <c r="H7" s="33"/>
      <c r="I7" s="34"/>
      <c r="J7" s="36"/>
      <c r="K7" s="33"/>
      <c r="L7" s="34"/>
      <c r="M7" s="36"/>
      <c r="N7" s="33"/>
      <c r="O7" s="34"/>
      <c r="P7" s="36"/>
      <c r="Q7" s="33">
        <f t="shared" si="13"/>
        <v>0</v>
      </c>
      <c r="R7" s="34">
        <f>SUM('Plant Measurements'!O85:O99)</f>
        <v>1396.4323891499998</v>
      </c>
      <c r="S7" s="36">
        <v>0</v>
      </c>
      <c r="T7" s="33">
        <f t="shared" si="14"/>
        <v>5585.7295565999993</v>
      </c>
      <c r="U7" s="34"/>
      <c r="V7" s="36"/>
      <c r="W7" s="33"/>
      <c r="X7" s="33">
        <f t="shared" si="2"/>
        <v>5585.7295565999993</v>
      </c>
      <c r="Y7" s="37"/>
      <c r="Z7" s="48">
        <f t="shared" si="3"/>
        <v>0</v>
      </c>
      <c r="AA7" s="48">
        <f t="shared" si="4"/>
        <v>5585.7295565999993</v>
      </c>
      <c r="AB7">
        <f t="shared" si="5"/>
        <v>0</v>
      </c>
      <c r="AC7">
        <f t="shared" si="6"/>
        <v>0</v>
      </c>
      <c r="AD7">
        <f t="shared" si="7"/>
        <v>0</v>
      </c>
      <c r="AE7">
        <f t="shared" si="8"/>
        <v>1</v>
      </c>
      <c r="AF7">
        <f t="shared" si="9"/>
        <v>0</v>
      </c>
      <c r="AH7">
        <f t="shared" si="10"/>
        <v>21033.62801</v>
      </c>
      <c r="AI7">
        <f t="shared" si="11"/>
        <v>4206.7256020000004</v>
      </c>
      <c r="AJ7">
        <f t="shared" si="12"/>
        <v>23497.631531597326</v>
      </c>
    </row>
    <row r="8" spans="1:36">
      <c r="A8" s="22" t="s">
        <v>30</v>
      </c>
      <c r="B8" s="23">
        <v>5</v>
      </c>
      <c r="C8" s="24">
        <f>SUM('Plant Measurements'!O100:O124)</f>
        <v>376.77903037853508</v>
      </c>
      <c r="D8" s="25">
        <v>0</v>
      </c>
      <c r="E8" s="23">
        <f t="shared" si="0"/>
        <v>1507.1161215141403</v>
      </c>
      <c r="F8" s="24"/>
      <c r="G8" s="26"/>
      <c r="H8" s="23"/>
      <c r="I8" s="24"/>
      <c r="J8" s="26"/>
      <c r="K8" s="23"/>
      <c r="L8" s="24"/>
      <c r="M8" s="26"/>
      <c r="N8" s="23"/>
      <c r="O8" s="24">
        <f>SUM('Plant Measurements'!O125:O130)</f>
        <v>121.8201395241916</v>
      </c>
      <c r="P8" s="26">
        <v>0</v>
      </c>
      <c r="Q8" s="23">
        <f t="shared" si="13"/>
        <v>487.28055809676641</v>
      </c>
      <c r="R8" s="24">
        <f>SUM('Plant Measurements'!O131:O140)</f>
        <v>470.04707750000006</v>
      </c>
      <c r="S8" s="26">
        <v>0</v>
      </c>
      <c r="T8" s="23">
        <f t="shared" si="14"/>
        <v>1880.1883100000002</v>
      </c>
      <c r="U8" s="24"/>
      <c r="V8" s="26"/>
      <c r="W8" s="23"/>
      <c r="X8" s="23">
        <f t="shared" si="2"/>
        <v>3874.5849896109066</v>
      </c>
      <c r="Y8" s="27">
        <f>AVERAGE(X8:X12)</f>
        <v>3909.1920953124186</v>
      </c>
      <c r="Z8" s="48">
        <f t="shared" si="3"/>
        <v>1994.3966796109066</v>
      </c>
      <c r="AA8" s="48">
        <f t="shared" si="4"/>
        <v>1880.1883100000002</v>
      </c>
      <c r="AB8">
        <f t="shared" si="5"/>
        <v>0.51473814226777037</v>
      </c>
      <c r="AC8">
        <f t="shared" si="6"/>
        <v>0</v>
      </c>
      <c r="AD8">
        <f t="shared" si="7"/>
        <v>0</v>
      </c>
      <c r="AE8">
        <f t="shared" si="8"/>
        <v>0.48526185773222963</v>
      </c>
      <c r="AF8">
        <f t="shared" si="9"/>
        <v>0</v>
      </c>
      <c r="AH8">
        <f t="shared" si="10"/>
        <v>21033.62801</v>
      </c>
      <c r="AI8">
        <f t="shared" si="11"/>
        <v>4206.7256020000004</v>
      </c>
      <c r="AJ8">
        <f t="shared" si="12"/>
        <v>16299.315872921108</v>
      </c>
    </row>
    <row r="9" spans="1:36">
      <c r="A9" s="28" t="s">
        <v>30</v>
      </c>
      <c r="B9" s="29">
        <v>16</v>
      </c>
      <c r="C9" s="16"/>
      <c r="D9" s="30"/>
      <c r="E9" s="29"/>
      <c r="F9" s="16">
        <f>('Plant Measurements'!O141)</f>
        <v>3.0311866190000001</v>
      </c>
      <c r="G9" s="17">
        <v>0</v>
      </c>
      <c r="H9" s="29">
        <f>F9*4</f>
        <v>12.124746476</v>
      </c>
      <c r="I9" s="16"/>
      <c r="J9" s="17"/>
      <c r="K9" s="29"/>
      <c r="L9" s="16"/>
      <c r="M9" s="17"/>
      <c r="N9" s="29"/>
      <c r="O9" s="16"/>
      <c r="P9" s="17"/>
      <c r="Q9" s="29"/>
      <c r="R9" s="16">
        <f>SUM('Plant Measurements'!O142:O154)</f>
        <v>1359.8479697900002</v>
      </c>
      <c r="S9" s="17">
        <v>0</v>
      </c>
      <c r="T9" s="29">
        <f t="shared" si="14"/>
        <v>5439.3918791600008</v>
      </c>
      <c r="U9" s="16"/>
      <c r="V9" s="17"/>
      <c r="W9" s="29"/>
      <c r="X9" s="29">
        <f>SUM(W9,T9,Q9,N9,K9,H9,E9)</f>
        <v>5451.5166256360008</v>
      </c>
      <c r="Y9" s="31"/>
      <c r="Z9" s="48">
        <f t="shared" si="3"/>
        <v>0</v>
      </c>
      <c r="AA9" s="48">
        <f t="shared" si="4"/>
        <v>5439.3918791600008</v>
      </c>
      <c r="AB9">
        <f t="shared" si="5"/>
        <v>0</v>
      </c>
      <c r="AC9">
        <f t="shared" si="6"/>
        <v>2.2241052001901337E-3</v>
      </c>
      <c r="AD9">
        <f t="shared" si="7"/>
        <v>0</v>
      </c>
      <c r="AE9">
        <f t="shared" si="8"/>
        <v>0.99777589479980988</v>
      </c>
      <c r="AF9">
        <f t="shared" si="9"/>
        <v>0</v>
      </c>
      <c r="AH9">
        <f t="shared" si="10"/>
        <v>21033.62801</v>
      </c>
      <c r="AI9">
        <f t="shared" si="11"/>
        <v>4206.7256020000004</v>
      </c>
      <c r="AJ9">
        <f t="shared" si="12"/>
        <v>22933.034558791616</v>
      </c>
    </row>
    <row r="10" spans="1:36">
      <c r="A10" s="28" t="s">
        <v>30</v>
      </c>
      <c r="B10" s="29">
        <v>17</v>
      </c>
      <c r="C10" s="16"/>
      <c r="D10" s="30"/>
      <c r="E10" s="29"/>
      <c r="F10" s="16">
        <f>SUM('Plant Measurements'!O155:O179)</f>
        <v>45.001585097999993</v>
      </c>
      <c r="G10" s="17">
        <v>0</v>
      </c>
      <c r="H10" s="29">
        <f>F10*4</f>
        <v>180.00634039199997</v>
      </c>
      <c r="I10" s="16"/>
      <c r="J10" s="17"/>
      <c r="K10" s="29"/>
      <c r="L10" s="16">
        <f>('Plant Measurements'!O180)</f>
        <v>1.4697219260000003</v>
      </c>
      <c r="M10" s="17">
        <v>0</v>
      </c>
      <c r="N10" s="29">
        <f>L10*4</f>
        <v>5.8788877040000012</v>
      </c>
      <c r="O10" s="16"/>
      <c r="P10" s="17"/>
      <c r="Q10" s="29"/>
      <c r="R10" s="16">
        <f>SUM('Plant Measurements'!O181:O189)</f>
        <v>746.79922129000022</v>
      </c>
      <c r="S10" s="17">
        <v>0</v>
      </c>
      <c r="T10" s="29">
        <f t="shared" si="14"/>
        <v>2987.1968851600009</v>
      </c>
      <c r="U10" s="16"/>
      <c r="V10" s="17"/>
      <c r="W10" s="29"/>
      <c r="X10" s="29">
        <f t="shared" si="2"/>
        <v>3173.0821132560009</v>
      </c>
      <c r="Y10" s="31"/>
      <c r="Z10" s="48">
        <f t="shared" si="3"/>
        <v>0</v>
      </c>
      <c r="AA10" s="48">
        <f t="shared" si="4"/>
        <v>2987.1968851600009</v>
      </c>
      <c r="AB10">
        <f t="shared" si="5"/>
        <v>0</v>
      </c>
      <c r="AC10">
        <f t="shared" si="6"/>
        <v>5.6729178119909955E-2</v>
      </c>
      <c r="AD10">
        <f t="shared" si="7"/>
        <v>0</v>
      </c>
      <c r="AE10">
        <f t="shared" si="8"/>
        <v>0.94141808454327791</v>
      </c>
      <c r="AF10">
        <f t="shared" si="9"/>
        <v>1.8527373368120899E-3</v>
      </c>
      <c r="AH10">
        <f t="shared" si="10"/>
        <v>21033.62801</v>
      </c>
      <c r="AI10">
        <f t="shared" si="11"/>
        <v>4206.7256020000004</v>
      </c>
      <c r="AJ10">
        <f t="shared" si="12"/>
        <v>13348.285763082284</v>
      </c>
    </row>
    <row r="11" spans="1:36">
      <c r="A11" s="28" t="s">
        <v>30</v>
      </c>
      <c r="B11" s="29">
        <v>18</v>
      </c>
      <c r="C11" s="16"/>
      <c r="D11" s="30"/>
      <c r="E11" s="29"/>
      <c r="F11" s="16">
        <f>SUM('Plant Measurements'!O190:O218)</f>
        <v>59.77232193599999</v>
      </c>
      <c r="G11" s="17" t="s">
        <v>85</v>
      </c>
      <c r="H11" s="29">
        <f>(F11+(F11*0.9655))*4</f>
        <v>469.92999506083197</v>
      </c>
      <c r="I11" s="16"/>
      <c r="J11" s="17"/>
      <c r="K11" s="29"/>
      <c r="L11" s="16"/>
      <c r="M11" s="17"/>
      <c r="N11" s="29"/>
      <c r="O11" s="16"/>
      <c r="P11" s="17"/>
      <c r="Q11" s="29"/>
      <c r="R11" s="16">
        <f>SUM('Plant Measurements'!O219:O227)</f>
        <v>599.75698268000008</v>
      </c>
      <c r="S11" s="17">
        <v>0</v>
      </c>
      <c r="T11" s="29">
        <f t="shared" si="14"/>
        <v>2399.0279307200003</v>
      </c>
      <c r="U11" s="16"/>
      <c r="V11" s="17"/>
      <c r="W11" s="29"/>
      <c r="X11" s="29">
        <f t="shared" si="2"/>
        <v>2868.9579257808323</v>
      </c>
      <c r="Y11" s="31"/>
      <c r="Z11" s="48">
        <f t="shared" si="3"/>
        <v>0</v>
      </c>
      <c r="AA11" s="48">
        <f t="shared" si="4"/>
        <v>2399.0279307200003</v>
      </c>
      <c r="AB11">
        <f t="shared" si="5"/>
        <v>0</v>
      </c>
      <c r="AC11">
        <f t="shared" si="6"/>
        <v>0.16379814804461906</v>
      </c>
      <c r="AD11">
        <f t="shared" si="7"/>
        <v>0</v>
      </c>
      <c r="AE11">
        <f t="shared" si="8"/>
        <v>0.83620185195538099</v>
      </c>
      <c r="AF11">
        <f t="shared" si="9"/>
        <v>0</v>
      </c>
      <c r="AH11">
        <f t="shared" si="10"/>
        <v>21033.62801</v>
      </c>
      <c r="AI11">
        <f t="shared" si="11"/>
        <v>4206.7256020000004</v>
      </c>
      <c r="AJ11">
        <f t="shared" si="12"/>
        <v>12068.918757443043</v>
      </c>
    </row>
    <row r="12" spans="1:36">
      <c r="A12" s="32" t="s">
        <v>30</v>
      </c>
      <c r="B12" s="33">
        <v>30</v>
      </c>
      <c r="C12" s="34">
        <f>SUM('Plant Measurements'!O228:O243)</f>
        <v>223.16831812358777</v>
      </c>
      <c r="D12" s="35">
        <v>0</v>
      </c>
      <c r="E12" s="33">
        <f>C12*4</f>
        <v>892.67327249435107</v>
      </c>
      <c r="F12" s="34">
        <f>SUM('Plant Measurements'!O244:O283)</f>
        <v>85.773465797999989</v>
      </c>
      <c r="G12" s="36" t="s">
        <v>86</v>
      </c>
      <c r="H12" s="33">
        <f>(F12+(F12*(40/40)))*4</f>
        <v>686.18772638399992</v>
      </c>
      <c r="I12" s="34"/>
      <c r="J12" s="36"/>
      <c r="K12" s="33"/>
      <c r="L12" s="34"/>
      <c r="M12" s="36"/>
      <c r="N12" s="33"/>
      <c r="O12" s="34"/>
      <c r="P12" s="36"/>
      <c r="Q12" s="33"/>
      <c r="R12" s="34">
        <f>SUM('Plant Measurements'!O284:O289)</f>
        <v>649.73945585000001</v>
      </c>
      <c r="S12" s="36">
        <v>0</v>
      </c>
      <c r="T12" s="33">
        <f t="shared" si="14"/>
        <v>2598.9578234000001</v>
      </c>
      <c r="U12" s="34"/>
      <c r="V12" s="36"/>
      <c r="W12" s="33"/>
      <c r="X12" s="33">
        <f t="shared" si="2"/>
        <v>4177.818822278351</v>
      </c>
      <c r="Y12" s="37"/>
      <c r="Z12" s="48">
        <f t="shared" si="3"/>
        <v>892.67327249435107</v>
      </c>
      <c r="AA12" s="48">
        <f t="shared" si="4"/>
        <v>2598.9578234000001</v>
      </c>
      <c r="AB12">
        <f t="shared" si="5"/>
        <v>0.2136696947541484</v>
      </c>
      <c r="AC12">
        <f t="shared" si="6"/>
        <v>0.164245448540009</v>
      </c>
      <c r="AD12">
        <f t="shared" si="7"/>
        <v>0</v>
      </c>
      <c r="AE12">
        <f t="shared" si="8"/>
        <v>0.62208485670584257</v>
      </c>
      <c r="AF12">
        <f t="shared" si="9"/>
        <v>0</v>
      </c>
      <c r="AH12">
        <f t="shared" si="10"/>
        <v>21033.62801</v>
      </c>
      <c r="AI12">
        <f t="shared" si="11"/>
        <v>4206.7256020000004</v>
      </c>
      <c r="AJ12">
        <f t="shared" si="12"/>
        <v>17574.937400195831</v>
      </c>
    </row>
    <row r="13" spans="1:36">
      <c r="A13" s="22" t="s">
        <v>47</v>
      </c>
      <c r="B13" s="23">
        <v>4</v>
      </c>
      <c r="C13" s="24">
        <f>('Plant Measurements'!O290)</f>
        <v>15.39152983004352</v>
      </c>
      <c r="D13" s="25">
        <v>0</v>
      </c>
      <c r="E13" s="23">
        <f>C13*4</f>
        <v>61.566119320174082</v>
      </c>
      <c r="F13" s="24"/>
      <c r="G13" s="26"/>
      <c r="H13" s="23"/>
      <c r="I13" s="24"/>
      <c r="J13" s="26"/>
      <c r="K13" s="23"/>
      <c r="L13" s="24"/>
      <c r="M13" s="26"/>
      <c r="N13" s="23"/>
      <c r="O13" s="24">
        <f>SUM('Plant Measurements'!O291:O328)</f>
        <v>629.10761898748069</v>
      </c>
      <c r="P13" s="26">
        <v>0</v>
      </c>
      <c r="Q13" s="23">
        <f>O13*4</f>
        <v>2516.4304759499228</v>
      </c>
      <c r="R13" s="24">
        <f>SUM('Plant Measurements'!O329:O333)</f>
        <v>555.19198949999998</v>
      </c>
      <c r="S13" s="26">
        <v>0</v>
      </c>
      <c r="T13" s="23">
        <f t="shared" si="14"/>
        <v>2220.7679579999999</v>
      </c>
      <c r="U13" s="24"/>
      <c r="V13" s="26"/>
      <c r="W13" s="23"/>
      <c r="X13" s="23">
        <f t="shared" si="2"/>
        <v>4798.7645532700972</v>
      </c>
      <c r="Y13" s="27">
        <f>AVERAGE(X13:X17)</f>
        <v>3205.5586629658701</v>
      </c>
      <c r="Z13" s="48">
        <f t="shared" si="3"/>
        <v>2577.9965952700968</v>
      </c>
      <c r="AA13" s="48">
        <f t="shared" si="4"/>
        <v>2220.7679579999999</v>
      </c>
      <c r="AB13">
        <f t="shared" si="5"/>
        <v>0.53722089647289162</v>
      </c>
      <c r="AC13">
        <f t="shared" si="6"/>
        <v>0</v>
      </c>
      <c r="AD13">
        <f t="shared" si="7"/>
        <v>0</v>
      </c>
      <c r="AE13">
        <f t="shared" si="8"/>
        <v>0.46277910352710833</v>
      </c>
      <c r="AF13">
        <f t="shared" si="9"/>
        <v>0</v>
      </c>
      <c r="AH13">
        <f t="shared" si="10"/>
        <v>21033.62801</v>
      </c>
      <c r="AI13">
        <f t="shared" si="11"/>
        <v>4206.7256020000004</v>
      </c>
      <c r="AJ13">
        <f t="shared" si="12"/>
        <v>20187.085704211415</v>
      </c>
    </row>
    <row r="14" spans="1:36">
      <c r="A14" s="28" t="s">
        <v>47</v>
      </c>
      <c r="B14" s="29">
        <v>5</v>
      </c>
      <c r="C14" s="16"/>
      <c r="D14" s="30"/>
      <c r="E14" s="29"/>
      <c r="F14" s="16"/>
      <c r="G14" s="17"/>
      <c r="H14" s="29"/>
      <c r="I14" s="16">
        <f>SUM('Plant Measurements'!O334:O336)</f>
        <v>38.153596294245773</v>
      </c>
      <c r="J14" s="17">
        <v>0</v>
      </c>
      <c r="K14" s="29">
        <f>I14*4</f>
        <v>152.61438517698309</v>
      </c>
      <c r="L14" s="16"/>
      <c r="M14" s="17"/>
      <c r="N14" s="29"/>
      <c r="O14" s="16">
        <f>SUM('Plant Measurements'!O337:O374)</f>
        <v>655.90386160344758</v>
      </c>
      <c r="P14" s="17">
        <v>0</v>
      </c>
      <c r="Q14" s="29">
        <f>O14*4</f>
        <v>2623.6154464137903</v>
      </c>
      <c r="R14" s="16"/>
      <c r="S14" s="17"/>
      <c r="T14" s="29"/>
      <c r="U14" s="16">
        <f>('Plant Measurements'!O375)</f>
        <v>78.161595239999997</v>
      </c>
      <c r="V14" s="17">
        <v>0</v>
      </c>
      <c r="W14" s="29">
        <f>U14*4</f>
        <v>312.64638095999999</v>
      </c>
      <c r="X14" s="29">
        <f t="shared" si="2"/>
        <v>3088.8762125507733</v>
      </c>
      <c r="Y14" s="31"/>
      <c r="Z14" s="48">
        <f t="shared" si="3"/>
        <v>2623.6154464137903</v>
      </c>
      <c r="AA14" s="48">
        <f t="shared" si="4"/>
        <v>312.64638095999999</v>
      </c>
      <c r="AB14">
        <f t="shared" si="5"/>
        <v>0.84937539282198238</v>
      </c>
      <c r="AC14">
        <f t="shared" si="6"/>
        <v>0</v>
      </c>
      <c r="AD14">
        <f t="shared" si="7"/>
        <v>4.9407737531493745E-2</v>
      </c>
      <c r="AE14">
        <f t="shared" si="8"/>
        <v>0.10121686964652388</v>
      </c>
      <c r="AF14">
        <f t="shared" si="9"/>
        <v>0</v>
      </c>
      <c r="AH14">
        <f t="shared" si="10"/>
        <v>21033.62801</v>
      </c>
      <c r="AI14">
        <f t="shared" si="11"/>
        <v>4206.7256020000004</v>
      </c>
      <c r="AJ14">
        <f t="shared" si="12"/>
        <v>12994.054644746133</v>
      </c>
    </row>
    <row r="15" spans="1:36">
      <c r="A15" s="28" t="s">
        <v>47</v>
      </c>
      <c r="B15" s="29">
        <v>19</v>
      </c>
      <c r="C15" s="16"/>
      <c r="D15" s="30"/>
      <c r="E15" s="29"/>
      <c r="F15" s="16">
        <f>SUM('Plant Measurements'!O376:O402)</f>
        <v>93.611825252999978</v>
      </c>
      <c r="G15" s="17">
        <v>0</v>
      </c>
      <c r="H15" s="29">
        <f>F15*4</f>
        <v>374.44730101199991</v>
      </c>
      <c r="I15" s="16"/>
      <c r="J15" s="17"/>
      <c r="K15" s="29"/>
      <c r="L15" s="16"/>
      <c r="M15" s="17"/>
      <c r="N15" s="29"/>
      <c r="O15" s="16"/>
      <c r="P15" s="17"/>
      <c r="Q15" s="29"/>
      <c r="R15" s="16"/>
      <c r="S15" s="17"/>
      <c r="T15" s="29"/>
      <c r="U15" s="16">
        <f>SUM('Plant Measurements'!O403:O408)</f>
        <v>613.77557174000003</v>
      </c>
      <c r="V15" s="17">
        <v>0</v>
      </c>
      <c r="W15" s="29">
        <f>U15*4</f>
        <v>2455.1022869600001</v>
      </c>
      <c r="X15" s="29">
        <f t="shared" si="2"/>
        <v>2829.5495879720002</v>
      </c>
      <c r="Y15" s="31"/>
      <c r="Z15" s="48">
        <f t="shared" si="3"/>
        <v>0</v>
      </c>
      <c r="AA15" s="48">
        <f t="shared" si="4"/>
        <v>2455.1022869600001</v>
      </c>
      <c r="AB15">
        <f t="shared" si="5"/>
        <v>0</v>
      </c>
      <c r="AC15">
        <f t="shared" si="6"/>
        <v>0.13233459579705562</v>
      </c>
      <c r="AD15">
        <f t="shared" si="7"/>
        <v>0</v>
      </c>
      <c r="AE15">
        <f t="shared" si="8"/>
        <v>0.86766540420294436</v>
      </c>
      <c r="AF15">
        <f t="shared" si="9"/>
        <v>0</v>
      </c>
      <c r="AH15">
        <f t="shared" si="10"/>
        <v>21033.62801</v>
      </c>
      <c r="AI15">
        <f t="shared" si="11"/>
        <v>4206.7256020000004</v>
      </c>
      <c r="AJ15">
        <f t="shared" si="12"/>
        <v>11903.138693850366</v>
      </c>
    </row>
    <row r="16" spans="1:36">
      <c r="A16" s="28" t="s">
        <v>47</v>
      </c>
      <c r="B16" s="29">
        <v>55</v>
      </c>
      <c r="C16" s="16">
        <f>SUM('Plant Measurements'!O408:O411)</f>
        <v>92.667305000000027</v>
      </c>
      <c r="D16" s="30">
        <v>0</v>
      </c>
      <c r="E16" s="29">
        <f>C16*4</f>
        <v>370.66922000000011</v>
      </c>
      <c r="F16" s="16"/>
      <c r="G16" s="17"/>
      <c r="H16" s="29"/>
      <c r="I16" s="16"/>
      <c r="J16" s="17"/>
      <c r="K16" s="29"/>
      <c r="L16" s="16"/>
      <c r="M16" s="17"/>
      <c r="N16" s="29"/>
      <c r="O16" s="16">
        <f>('Plant Measurements'!O412)</f>
        <v>7.9515072591200404</v>
      </c>
      <c r="P16" s="17">
        <v>0</v>
      </c>
      <c r="Q16" s="29">
        <f>O16*4</f>
        <v>31.806029036480162</v>
      </c>
      <c r="R16" s="16">
        <f>SUM('Plant Measurements'!O415:O416)</f>
        <v>138.33251600000003</v>
      </c>
      <c r="S16" s="17">
        <v>0</v>
      </c>
      <c r="T16" s="29">
        <f>R16*4</f>
        <v>553.33006400000011</v>
      </c>
      <c r="U16" s="16">
        <f>SUM('Plant Measurements'!O413:O414)</f>
        <v>20.828033000000012</v>
      </c>
      <c r="V16" s="17">
        <v>0</v>
      </c>
      <c r="W16" s="29">
        <f>U16*4</f>
        <v>83.312132000000048</v>
      </c>
      <c r="X16" s="29">
        <f t="shared" si="2"/>
        <v>1039.1174450364804</v>
      </c>
      <c r="Y16" s="31"/>
      <c r="Z16" s="48">
        <f t="shared" si="3"/>
        <v>402.47524903648025</v>
      </c>
      <c r="AA16" s="48">
        <f t="shared" si="4"/>
        <v>636.64219600000013</v>
      </c>
      <c r="AB16">
        <f t="shared" si="5"/>
        <v>0.38732411909642278</v>
      </c>
      <c r="AC16">
        <f t="shared" si="6"/>
        <v>0</v>
      </c>
      <c r="AD16">
        <f t="shared" si="7"/>
        <v>0</v>
      </c>
      <c r="AE16">
        <f t="shared" si="8"/>
        <v>0.61267588090357727</v>
      </c>
      <c r="AF16">
        <f t="shared" si="9"/>
        <v>0</v>
      </c>
      <c r="AH16">
        <f t="shared" si="10"/>
        <v>21033.62801</v>
      </c>
      <c r="AI16">
        <f t="shared" si="11"/>
        <v>4206.7256020000004</v>
      </c>
      <c r="AJ16">
        <f t="shared" si="12"/>
        <v>4371.2819595197907</v>
      </c>
    </row>
    <row r="17" spans="1:36">
      <c r="A17" s="32" t="s">
        <v>47</v>
      </c>
      <c r="B17" s="33">
        <v>58</v>
      </c>
      <c r="C17" s="34"/>
      <c r="D17" s="35"/>
      <c r="E17" s="33"/>
      <c r="F17" s="34"/>
      <c r="G17" s="36"/>
      <c r="H17" s="33"/>
      <c r="I17" s="34"/>
      <c r="J17" s="36"/>
      <c r="K17" s="33"/>
      <c r="L17" s="34"/>
      <c r="M17" s="36"/>
      <c r="N17" s="33"/>
      <c r="O17" s="34"/>
      <c r="P17" s="36"/>
      <c r="Q17" s="33"/>
      <c r="R17" s="34">
        <f>SUM('Plant Measurements'!O417:O427)</f>
        <v>1067.8713790000002</v>
      </c>
      <c r="S17" s="36">
        <v>0</v>
      </c>
      <c r="T17" s="33">
        <f>R17*4</f>
        <v>4271.4855160000006</v>
      </c>
      <c r="U17" s="34"/>
      <c r="V17" s="36"/>
      <c r="W17" s="33"/>
      <c r="X17" s="33">
        <f t="shared" si="2"/>
        <v>4271.4855160000006</v>
      </c>
      <c r="Y17" s="37"/>
      <c r="Z17" s="48">
        <f t="shared" si="3"/>
        <v>0</v>
      </c>
      <c r="AA17" s="48">
        <f t="shared" si="4"/>
        <v>4271.4855160000006</v>
      </c>
      <c r="AB17">
        <f t="shared" si="5"/>
        <v>0</v>
      </c>
      <c r="AC17">
        <f t="shared" si="6"/>
        <v>0</v>
      </c>
      <c r="AD17">
        <f t="shared" si="7"/>
        <v>0</v>
      </c>
      <c r="AE17">
        <f t="shared" si="8"/>
        <v>1</v>
      </c>
      <c r="AF17">
        <f t="shared" si="9"/>
        <v>0</v>
      </c>
      <c r="AH17">
        <f t="shared" si="10"/>
        <v>21033.62801</v>
      </c>
      <c r="AI17">
        <f t="shared" si="11"/>
        <v>4206.7256020000004</v>
      </c>
      <c r="AJ17">
        <f t="shared" si="12"/>
        <v>17968.967478729384</v>
      </c>
    </row>
    <row r="18" spans="1:36">
      <c r="A18" s="22" t="s">
        <v>37</v>
      </c>
      <c r="B18" s="23">
        <v>11</v>
      </c>
      <c r="C18" s="24"/>
      <c r="D18" s="25"/>
      <c r="E18" s="23"/>
      <c r="F18" s="24"/>
      <c r="G18" s="26"/>
      <c r="H18" s="23"/>
      <c r="I18" s="24"/>
      <c r="J18" s="26"/>
      <c r="K18" s="23"/>
      <c r="L18" s="24"/>
      <c r="M18" s="26"/>
      <c r="N18" s="23"/>
      <c r="O18" s="24">
        <f>SUM('Plant Measurements'!O428:O458)</f>
        <v>481.99635357985585</v>
      </c>
      <c r="P18" s="26">
        <v>0</v>
      </c>
      <c r="Q18" s="23">
        <f>O18*4</f>
        <v>1927.9854143194234</v>
      </c>
      <c r="R18" s="24">
        <f>('Plant Measurements'!O459)</f>
        <v>82.157111850000007</v>
      </c>
      <c r="S18" s="26">
        <v>0</v>
      </c>
      <c r="T18" s="23">
        <f>R18*4</f>
        <v>328.62844740000003</v>
      </c>
      <c r="U18" s="24"/>
      <c r="V18" s="26"/>
      <c r="W18" s="23"/>
      <c r="X18" s="23">
        <f t="shared" si="2"/>
        <v>2256.6138617194233</v>
      </c>
      <c r="Y18" s="27">
        <f>AVERAGE(X18:X22)</f>
        <v>1944.417517819234</v>
      </c>
      <c r="Z18" s="48">
        <f t="shared" si="3"/>
        <v>1927.9854143194234</v>
      </c>
      <c r="AA18" s="48">
        <f t="shared" si="4"/>
        <v>328.62844740000003</v>
      </c>
      <c r="AB18">
        <f t="shared" si="5"/>
        <v>0.85437098788819721</v>
      </c>
      <c r="AC18">
        <f t="shared" si="6"/>
        <v>0</v>
      </c>
      <c r="AD18">
        <f t="shared" si="7"/>
        <v>0</v>
      </c>
      <c r="AE18">
        <f t="shared" si="8"/>
        <v>0.14562901211180282</v>
      </c>
      <c r="AF18">
        <f t="shared" si="9"/>
        <v>0</v>
      </c>
      <c r="AH18">
        <f t="shared" si="10"/>
        <v>21033.62801</v>
      </c>
      <c r="AI18">
        <f t="shared" si="11"/>
        <v>4206.7256020000004</v>
      </c>
      <c r="AJ18">
        <f t="shared" si="12"/>
        <v>9492.9553059231857</v>
      </c>
    </row>
    <row r="19" spans="1:36">
      <c r="A19" s="28" t="s">
        <v>37</v>
      </c>
      <c r="B19" s="29">
        <v>15</v>
      </c>
      <c r="C19" s="16"/>
      <c r="D19" s="30"/>
      <c r="E19" s="29"/>
      <c r="F19" s="16">
        <f>SUM('Plant Measurements'!O460:O519)</f>
        <v>99.67417722899998</v>
      </c>
      <c r="G19" s="17" t="s">
        <v>87</v>
      </c>
      <c r="H19" s="29">
        <f>(F19+(F19*(55/60)))*4</f>
        <v>764.16869208899982</v>
      </c>
      <c r="I19" s="16"/>
      <c r="J19" s="17"/>
      <c r="K19" s="29"/>
      <c r="L19" s="16"/>
      <c r="M19" s="17"/>
      <c r="N19" s="29"/>
      <c r="O19" s="16"/>
      <c r="P19" s="17"/>
      <c r="Q19" s="29"/>
      <c r="R19" s="16"/>
      <c r="S19" s="17"/>
      <c r="T19" s="29"/>
      <c r="U19" s="16"/>
      <c r="V19" s="17"/>
      <c r="W19" s="29"/>
      <c r="X19" s="29">
        <f t="shared" si="2"/>
        <v>764.16869208899982</v>
      </c>
      <c r="Y19" s="31"/>
      <c r="Z19" s="48">
        <f t="shared" si="3"/>
        <v>0</v>
      </c>
      <c r="AA19" s="48">
        <f t="shared" si="4"/>
        <v>0</v>
      </c>
      <c r="AB19">
        <f t="shared" si="5"/>
        <v>0</v>
      </c>
      <c r="AC19">
        <f t="shared" si="6"/>
        <v>1</v>
      </c>
      <c r="AD19">
        <f t="shared" si="7"/>
        <v>0</v>
      </c>
      <c r="AE19">
        <f t="shared" si="8"/>
        <v>0</v>
      </c>
      <c r="AF19">
        <f t="shared" si="9"/>
        <v>0</v>
      </c>
      <c r="AH19">
        <f t="shared" si="10"/>
        <v>21033.62801</v>
      </c>
      <c r="AI19">
        <f t="shared" si="11"/>
        <v>4206.7256020000004</v>
      </c>
      <c r="AJ19">
        <f t="shared" si="12"/>
        <v>3214.6480012576508</v>
      </c>
    </row>
    <row r="20" spans="1:36">
      <c r="A20" s="28" t="s">
        <v>37</v>
      </c>
      <c r="B20" s="29">
        <v>18</v>
      </c>
      <c r="C20" s="16"/>
      <c r="D20" s="30"/>
      <c r="E20" s="29"/>
      <c r="F20" s="16">
        <f>SUM('Plant Measurements'!O520:O556)</f>
        <v>72.146139725000012</v>
      </c>
      <c r="G20" s="17" t="s">
        <v>88</v>
      </c>
      <c r="H20" s="29">
        <f>(F20+(F20*(37/37)))*4</f>
        <v>577.16911780000009</v>
      </c>
      <c r="I20" s="16"/>
      <c r="J20" s="17"/>
      <c r="K20" s="29"/>
      <c r="L20" s="16"/>
      <c r="M20" s="17"/>
      <c r="N20" s="29"/>
      <c r="O20" s="16"/>
      <c r="P20" s="17"/>
      <c r="Q20" s="29"/>
      <c r="R20" s="16">
        <f>SUM('Plant Measurements'!O557:O563)</f>
        <v>457.34647492000005</v>
      </c>
      <c r="S20" s="17">
        <v>0</v>
      </c>
      <c r="T20" s="29">
        <f>R20*4</f>
        <v>1829.3858996800002</v>
      </c>
      <c r="U20" s="16"/>
      <c r="V20" s="17"/>
      <c r="W20" s="29"/>
      <c r="X20" s="29">
        <f t="shared" si="2"/>
        <v>2406.5550174800001</v>
      </c>
      <c r="Y20" s="31"/>
      <c r="Z20" s="48">
        <f t="shared" si="3"/>
        <v>0</v>
      </c>
      <c r="AA20" s="48">
        <f t="shared" si="4"/>
        <v>1829.3858996800002</v>
      </c>
      <c r="AB20">
        <f t="shared" si="5"/>
        <v>0</v>
      </c>
      <c r="AC20">
        <f t="shared" si="6"/>
        <v>0.23983208927605443</v>
      </c>
      <c r="AD20">
        <f t="shared" si="7"/>
        <v>0</v>
      </c>
      <c r="AE20">
        <f t="shared" si="8"/>
        <v>0.76016791072394563</v>
      </c>
      <c r="AF20">
        <f t="shared" si="9"/>
        <v>0</v>
      </c>
      <c r="AH20">
        <f t="shared" si="10"/>
        <v>21033.62801</v>
      </c>
      <c r="AI20">
        <f t="shared" si="11"/>
        <v>4206.7256020000004</v>
      </c>
      <c r="AJ20">
        <f t="shared" si="12"/>
        <v>10123.716604654675</v>
      </c>
    </row>
    <row r="21" spans="1:36">
      <c r="A21" s="28" t="s">
        <v>37</v>
      </c>
      <c r="B21" s="29">
        <v>32</v>
      </c>
      <c r="C21" s="16"/>
      <c r="D21" s="30"/>
      <c r="E21" s="29"/>
      <c r="F21" s="16">
        <f>SUM('Plant Measurements'!O564:O596)</f>
        <v>66.963053121999991</v>
      </c>
      <c r="G21" s="17" t="s">
        <v>89</v>
      </c>
      <c r="H21" s="29">
        <f>(F21+(F21*(33/33)))*4</f>
        <v>535.70442497599993</v>
      </c>
      <c r="I21" s="16"/>
      <c r="J21" s="17"/>
      <c r="K21" s="29"/>
      <c r="L21" s="16"/>
      <c r="M21" s="17"/>
      <c r="N21" s="29"/>
      <c r="O21" s="16"/>
      <c r="P21" s="17"/>
      <c r="Q21" s="29"/>
      <c r="R21" s="16">
        <f>SUM('Plant Measurements'!O597:O600)</f>
        <v>716.54587126000001</v>
      </c>
      <c r="S21" s="17">
        <v>0</v>
      </c>
      <c r="T21" s="29">
        <f>R21*4</f>
        <v>2866.1834850400001</v>
      </c>
      <c r="U21" s="16"/>
      <c r="V21" s="17"/>
      <c r="W21" s="29"/>
      <c r="X21" s="29">
        <f t="shared" si="2"/>
        <v>3401.8879100160002</v>
      </c>
      <c r="Y21" s="31"/>
      <c r="Z21" s="48">
        <f t="shared" si="3"/>
        <v>0</v>
      </c>
      <c r="AA21" s="48">
        <f t="shared" si="4"/>
        <v>2866.1834850400001</v>
      </c>
      <c r="AB21">
        <f t="shared" si="5"/>
        <v>0</v>
      </c>
      <c r="AC21">
        <f t="shared" si="6"/>
        <v>0.15747268550464391</v>
      </c>
      <c r="AD21">
        <f t="shared" si="7"/>
        <v>0</v>
      </c>
      <c r="AE21">
        <f t="shared" si="8"/>
        <v>0.84252731449535601</v>
      </c>
      <c r="AF21">
        <f t="shared" si="9"/>
        <v>0</v>
      </c>
      <c r="AH21">
        <f t="shared" si="10"/>
        <v>21033.62801</v>
      </c>
      <c r="AI21">
        <f t="shared" si="11"/>
        <v>4206.7256020000004</v>
      </c>
      <c r="AJ21">
        <f t="shared" si="12"/>
        <v>14310.808966198581</v>
      </c>
    </row>
    <row r="22" spans="1:36">
      <c r="A22" s="32" t="s">
        <v>37</v>
      </c>
      <c r="B22" s="33">
        <v>47</v>
      </c>
      <c r="C22" s="34">
        <f>SUM('Plant Measurements'!O601:O617)</f>
        <v>223.21552694793678</v>
      </c>
      <c r="D22" s="35">
        <v>0</v>
      </c>
      <c r="E22" s="33">
        <f>C22*4</f>
        <v>892.86210779174712</v>
      </c>
      <c r="F22" s="34"/>
      <c r="G22" s="36"/>
      <c r="H22" s="33"/>
      <c r="I22" s="34"/>
      <c r="J22" s="36"/>
      <c r="K22" s="33"/>
      <c r="L22" s="34"/>
      <c r="M22" s="36"/>
      <c r="N22" s="33"/>
      <c r="O22" s="34"/>
      <c r="P22" s="36"/>
      <c r="Q22" s="33"/>
      <c r="R22" s="34"/>
      <c r="S22" s="36"/>
      <c r="T22" s="33"/>
      <c r="U22" s="34"/>
      <c r="V22" s="36"/>
      <c r="W22" s="33"/>
      <c r="X22" s="33">
        <f t="shared" si="2"/>
        <v>892.86210779174712</v>
      </c>
      <c r="Y22" s="37"/>
      <c r="Z22" s="48">
        <f t="shared" si="3"/>
        <v>892.86210779174712</v>
      </c>
      <c r="AA22" s="48">
        <f t="shared" si="4"/>
        <v>0</v>
      </c>
      <c r="AB22">
        <f t="shared" si="5"/>
        <v>1</v>
      </c>
      <c r="AC22">
        <f t="shared" si="6"/>
        <v>0</v>
      </c>
      <c r="AD22">
        <f t="shared" si="7"/>
        <v>0</v>
      </c>
      <c r="AE22">
        <f t="shared" si="8"/>
        <v>0</v>
      </c>
      <c r="AF22">
        <f t="shared" si="9"/>
        <v>0</v>
      </c>
      <c r="AH22">
        <f t="shared" si="10"/>
        <v>21033.62801</v>
      </c>
      <c r="AI22">
        <f t="shared" si="11"/>
        <v>4206.7256020000004</v>
      </c>
      <c r="AJ22">
        <f t="shared" si="12"/>
        <v>3756.0258879032267</v>
      </c>
    </row>
    <row r="23" spans="1:36">
      <c r="A23" s="22" t="s">
        <v>33</v>
      </c>
      <c r="B23" s="23">
        <v>12</v>
      </c>
      <c r="C23" s="24">
        <f>SUM('Plant Measurements'!O618:O652)</f>
        <v>394.87654433292499</v>
      </c>
      <c r="D23" s="25">
        <v>0</v>
      </c>
      <c r="E23" s="23">
        <f>C23*4</f>
        <v>1579.5061773317</v>
      </c>
      <c r="F23" s="24"/>
      <c r="G23" s="26"/>
      <c r="H23" s="23"/>
      <c r="I23" s="24"/>
      <c r="J23" s="26"/>
      <c r="K23" s="23"/>
      <c r="L23" s="24">
        <f>('Plant Measurements'!O653)</f>
        <v>0.48247511600000004</v>
      </c>
      <c r="M23" s="26">
        <v>0</v>
      </c>
      <c r="N23" s="23">
        <f>L23*4</f>
        <v>1.9299004640000001</v>
      </c>
      <c r="O23" s="24"/>
      <c r="P23" s="26"/>
      <c r="Q23" s="23"/>
      <c r="R23" s="24">
        <f>SUM('Plant Measurements'!O654:O665)</f>
        <v>487.5629345100001</v>
      </c>
      <c r="S23" s="26">
        <v>0</v>
      </c>
      <c r="T23" s="23">
        <f>R23*4</f>
        <v>1950.2517380400004</v>
      </c>
      <c r="U23" s="24"/>
      <c r="V23" s="26"/>
      <c r="W23" s="23"/>
      <c r="X23" s="23">
        <f t="shared" si="2"/>
        <v>3531.6878158357003</v>
      </c>
      <c r="Y23" s="27">
        <f>AVERAGE(X23:X27)</f>
        <v>2200.2672109448486</v>
      </c>
      <c r="Z23" s="48">
        <f t="shared" si="3"/>
        <v>1579.5061773317</v>
      </c>
      <c r="AA23" s="48">
        <f t="shared" si="4"/>
        <v>1950.2517380400004</v>
      </c>
      <c r="AB23">
        <f t="shared" si="5"/>
        <v>0.44723833467085278</v>
      </c>
      <c r="AC23">
        <f t="shared" si="6"/>
        <v>0</v>
      </c>
      <c r="AD23">
        <f t="shared" si="7"/>
        <v>0</v>
      </c>
      <c r="AE23">
        <f t="shared" si="8"/>
        <v>0.55221521259475026</v>
      </c>
      <c r="AF23">
        <f t="shared" si="9"/>
        <v>5.4645273439700372E-4</v>
      </c>
      <c r="AH23">
        <f t="shared" si="10"/>
        <v>21033.62801</v>
      </c>
      <c r="AI23">
        <f t="shared" si="11"/>
        <v>4206.7256020000004</v>
      </c>
      <c r="AJ23">
        <f t="shared" si="12"/>
        <v>14856.841553147504</v>
      </c>
    </row>
    <row r="24" spans="1:36">
      <c r="A24" s="28" t="s">
        <v>33</v>
      </c>
      <c r="B24" s="29">
        <v>14</v>
      </c>
      <c r="C24" s="16"/>
      <c r="D24" s="30"/>
      <c r="E24" s="29"/>
      <c r="F24" s="16"/>
      <c r="G24" s="17"/>
      <c r="H24" s="29"/>
      <c r="I24" s="16"/>
      <c r="J24" s="17"/>
      <c r="K24" s="29"/>
      <c r="L24" s="16"/>
      <c r="M24" s="17"/>
      <c r="N24" s="29"/>
      <c r="O24" s="16"/>
      <c r="P24" s="17"/>
      <c r="Q24" s="29"/>
      <c r="R24" s="16">
        <f>SUM('Plant Measurements'!O666:O672)</f>
        <v>375.69951241000001</v>
      </c>
      <c r="S24" s="17">
        <v>0</v>
      </c>
      <c r="T24" s="29">
        <f>R24*4</f>
        <v>1502.79804964</v>
      </c>
      <c r="U24" s="16"/>
      <c r="V24" s="17"/>
      <c r="W24" s="29"/>
      <c r="X24" s="29">
        <f t="shared" si="2"/>
        <v>1502.79804964</v>
      </c>
      <c r="Y24" s="31"/>
      <c r="Z24" s="48">
        <f t="shared" si="3"/>
        <v>0</v>
      </c>
      <c r="AA24" s="48">
        <f t="shared" si="4"/>
        <v>1502.79804964</v>
      </c>
      <c r="AB24">
        <f t="shared" si="5"/>
        <v>0</v>
      </c>
      <c r="AC24">
        <f t="shared" si="6"/>
        <v>0</v>
      </c>
      <c r="AD24">
        <f t="shared" si="7"/>
        <v>0</v>
      </c>
      <c r="AE24">
        <f t="shared" si="8"/>
        <v>1</v>
      </c>
      <c r="AF24">
        <f t="shared" si="9"/>
        <v>0</v>
      </c>
      <c r="AH24">
        <f t="shared" si="10"/>
        <v>21033.62801</v>
      </c>
      <c r="AI24">
        <f t="shared" si="11"/>
        <v>4206.7256020000004</v>
      </c>
      <c r="AJ24">
        <f t="shared" si="12"/>
        <v>6321.8590300562555</v>
      </c>
    </row>
    <row r="25" spans="1:36">
      <c r="A25" s="28" t="s">
        <v>33</v>
      </c>
      <c r="B25" s="29">
        <v>28</v>
      </c>
      <c r="C25" s="16"/>
      <c r="D25" s="30"/>
      <c r="E25" s="29"/>
      <c r="F25" s="16">
        <f>SUM('Plant Measurements'!O673:O681)</f>
        <v>26.061501141999994</v>
      </c>
      <c r="G25" s="17">
        <v>0</v>
      </c>
      <c r="H25" s="29">
        <f>F25*4</f>
        <v>104.24600456799998</v>
      </c>
      <c r="I25" s="16"/>
      <c r="J25" s="17"/>
      <c r="K25" s="29"/>
      <c r="L25" s="16"/>
      <c r="M25" s="17"/>
      <c r="N25" s="29"/>
      <c r="O25" s="16"/>
      <c r="P25" s="17"/>
      <c r="Q25" s="29"/>
      <c r="R25" s="16">
        <f>SUM('Plant Measurements'!O682:O692)</f>
        <v>829.0781995100001</v>
      </c>
      <c r="S25" s="17">
        <v>0</v>
      </c>
      <c r="T25" s="29">
        <f>R25*4</f>
        <v>3316.3127980400004</v>
      </c>
      <c r="U25" s="16"/>
      <c r="V25" s="17"/>
      <c r="W25" s="29"/>
      <c r="X25" s="29">
        <f t="shared" si="2"/>
        <v>3420.5588026080004</v>
      </c>
      <c r="Y25" s="31"/>
      <c r="Z25" s="48">
        <f t="shared" si="3"/>
        <v>0</v>
      </c>
      <c r="AA25" s="48">
        <f t="shared" si="4"/>
        <v>3316.3127980400004</v>
      </c>
      <c r="AB25">
        <f t="shared" si="5"/>
        <v>0</v>
      </c>
      <c r="AC25">
        <f t="shared" si="6"/>
        <v>3.0476308282879904E-2</v>
      </c>
      <c r="AD25">
        <f t="shared" si="7"/>
        <v>0</v>
      </c>
      <c r="AE25">
        <f t="shared" si="8"/>
        <v>0.96952369171712005</v>
      </c>
      <c r="AF25">
        <f t="shared" si="9"/>
        <v>0</v>
      </c>
      <c r="AH25">
        <f t="shared" si="10"/>
        <v>21033.62801</v>
      </c>
      <c r="AI25">
        <f t="shared" si="11"/>
        <v>4206.7256020000004</v>
      </c>
      <c r="AJ25">
        <f t="shared" si="12"/>
        <v>14389.35228807754</v>
      </c>
    </row>
    <row r="26" spans="1:36">
      <c r="A26" s="28" t="s">
        <v>33</v>
      </c>
      <c r="B26" s="29">
        <v>33</v>
      </c>
      <c r="C26" s="16"/>
      <c r="D26" s="30"/>
      <c r="E26" s="29"/>
      <c r="F26" s="16">
        <f>SUM('Plant Measurements'!O693:O751)</f>
        <v>77.868625857999973</v>
      </c>
      <c r="G26" s="17" t="s">
        <v>90</v>
      </c>
      <c r="H26" s="29">
        <f>(F26+(F26*(57/59)))*4</f>
        <v>612.39054912054212</v>
      </c>
      <c r="I26" s="16"/>
      <c r="J26" s="17"/>
      <c r="K26" s="29"/>
      <c r="L26" s="16"/>
      <c r="M26" s="17"/>
      <c r="N26" s="29"/>
      <c r="O26" s="16"/>
      <c r="P26" s="17"/>
      <c r="Q26" s="29"/>
      <c r="R26" s="16">
        <f>SUM('Plant Measurements'!O752:O757)</f>
        <v>402.8496009700001</v>
      </c>
      <c r="S26" s="17">
        <v>0</v>
      </c>
      <c r="T26" s="29">
        <f>R26*4</f>
        <v>1611.3984038800004</v>
      </c>
      <c r="U26" s="16"/>
      <c r="V26" s="17"/>
      <c r="W26" s="29"/>
      <c r="X26" s="29">
        <f t="shared" si="2"/>
        <v>2223.7889530005423</v>
      </c>
      <c r="Y26" s="31"/>
      <c r="Z26" s="48">
        <f t="shared" si="3"/>
        <v>0</v>
      </c>
      <c r="AA26" s="48">
        <f t="shared" si="4"/>
        <v>1611.3984038800004</v>
      </c>
      <c r="AB26">
        <f t="shared" si="5"/>
        <v>0</v>
      </c>
      <c r="AC26">
        <f t="shared" si="6"/>
        <v>0.27538159513484767</v>
      </c>
      <c r="AD26">
        <f t="shared" si="7"/>
        <v>0</v>
      </c>
      <c r="AE26">
        <f t="shared" si="8"/>
        <v>0.72461840486515239</v>
      </c>
      <c r="AF26">
        <f t="shared" si="9"/>
        <v>0</v>
      </c>
      <c r="AH26">
        <f t="shared" si="10"/>
        <v>21033.62801</v>
      </c>
      <c r="AI26">
        <f t="shared" si="11"/>
        <v>4206.7256020000004</v>
      </c>
      <c r="AJ26">
        <f t="shared" si="12"/>
        <v>9354.8699220321578</v>
      </c>
    </row>
    <row r="27" spans="1:36">
      <c r="A27" s="32" t="s">
        <v>33</v>
      </c>
      <c r="B27" s="33">
        <v>35</v>
      </c>
      <c r="C27" s="34">
        <f>('Plant Measurements'!O758)</f>
        <v>4.8034729999999994</v>
      </c>
      <c r="D27" s="35">
        <v>0</v>
      </c>
      <c r="E27" s="33">
        <f>C27*4</f>
        <v>19.213891999999998</v>
      </c>
      <c r="F27" s="34">
        <f>SUM('Plant Measurements'!O759:O789)</f>
        <v>75.822135409999987</v>
      </c>
      <c r="G27" s="36">
        <v>0</v>
      </c>
      <c r="H27" s="33">
        <f>F27*4</f>
        <v>303.28854163999995</v>
      </c>
      <c r="I27" s="34"/>
      <c r="J27" s="36"/>
      <c r="K27" s="33"/>
      <c r="L27" s="34"/>
      <c r="M27" s="36"/>
      <c r="N27" s="33"/>
      <c r="O27" s="34"/>
      <c r="P27" s="36"/>
      <c r="Q27" s="33"/>
      <c r="R27" s="34"/>
      <c r="S27" s="36"/>
      <c r="T27" s="33"/>
      <c r="U27" s="34"/>
      <c r="V27" s="36"/>
      <c r="W27" s="33"/>
      <c r="X27" s="33">
        <f t="shared" si="2"/>
        <v>322.50243363999994</v>
      </c>
      <c r="Y27" s="37"/>
      <c r="Z27" s="48">
        <f t="shared" si="3"/>
        <v>19.213891999999998</v>
      </c>
      <c r="AA27" s="48">
        <f t="shared" si="4"/>
        <v>0</v>
      </c>
      <c r="AB27">
        <f t="shared" si="5"/>
        <v>5.9577510107870706E-2</v>
      </c>
      <c r="AC27">
        <f t="shared" si="6"/>
        <v>0.94042248989212929</v>
      </c>
      <c r="AD27">
        <f t="shared" si="7"/>
        <v>0</v>
      </c>
      <c r="AE27">
        <f t="shared" si="8"/>
        <v>0</v>
      </c>
      <c r="AF27">
        <f t="shared" si="9"/>
        <v>0</v>
      </c>
      <c r="AH27">
        <f t="shared" si="10"/>
        <v>21033.62801</v>
      </c>
      <c r="AI27">
        <f t="shared" si="11"/>
        <v>4206.7256020000004</v>
      </c>
      <c r="AJ27">
        <f t="shared" si="12"/>
        <v>1356.6792443006939</v>
      </c>
    </row>
    <row r="28" spans="1:36">
      <c r="A28" s="22" t="s">
        <v>28</v>
      </c>
      <c r="B28" s="23">
        <v>2</v>
      </c>
      <c r="C28" s="24"/>
      <c r="D28" s="25"/>
      <c r="E28" s="23"/>
      <c r="F28" s="24"/>
      <c r="G28" s="26"/>
      <c r="H28" s="23"/>
      <c r="I28" s="24"/>
      <c r="J28" s="26"/>
      <c r="K28" s="23"/>
      <c r="L28" s="24"/>
      <c r="M28" s="26"/>
      <c r="N28" s="23"/>
      <c r="O28" s="24"/>
      <c r="P28" s="26"/>
      <c r="Q28" s="23"/>
      <c r="R28" s="24">
        <f>SUM('Plant Measurements'!O790:O798)</f>
        <v>503.86785804000004</v>
      </c>
      <c r="S28" s="26">
        <v>0</v>
      </c>
      <c r="T28" s="23">
        <f>R28*4</f>
        <v>2015.4714321600002</v>
      </c>
      <c r="U28" s="24"/>
      <c r="V28" s="26"/>
      <c r="W28" s="23"/>
      <c r="X28" s="23">
        <f t="shared" si="2"/>
        <v>2015.4714321600002</v>
      </c>
      <c r="Y28" s="27">
        <f>AVERAGE(X28:X32)</f>
        <v>2602.2269038750042</v>
      </c>
      <c r="Z28" s="48">
        <f t="shared" si="3"/>
        <v>0</v>
      </c>
      <c r="AA28" s="48">
        <f t="shared" si="4"/>
        <v>2015.4714321600002</v>
      </c>
      <c r="AB28">
        <f t="shared" si="5"/>
        <v>0</v>
      </c>
      <c r="AC28">
        <f t="shared" si="6"/>
        <v>0</v>
      </c>
      <c r="AD28">
        <f t="shared" si="7"/>
        <v>0</v>
      </c>
      <c r="AE28">
        <f t="shared" si="8"/>
        <v>1</v>
      </c>
      <c r="AF28">
        <f t="shared" si="9"/>
        <v>0</v>
      </c>
      <c r="AH28">
        <f t="shared" si="10"/>
        <v>21033.62801</v>
      </c>
      <c r="AI28">
        <f t="shared" si="11"/>
        <v>4206.7256020000004</v>
      </c>
      <c r="AJ28">
        <f t="shared" si="12"/>
        <v>8478.5352737670801</v>
      </c>
    </row>
    <row r="29" spans="1:36">
      <c r="A29" s="28" t="s">
        <v>28</v>
      </c>
      <c r="B29" s="29">
        <v>19</v>
      </c>
      <c r="C29" s="16">
        <f>SUM('Plant Measurements'!O799:O803)</f>
        <v>77.345356128647637</v>
      </c>
      <c r="D29" s="30">
        <v>0</v>
      </c>
      <c r="E29" s="29">
        <f>C29*4</f>
        <v>309.38142451459055</v>
      </c>
      <c r="F29" s="16"/>
      <c r="G29" s="17"/>
      <c r="H29" s="29"/>
      <c r="I29" s="16"/>
      <c r="J29" s="17"/>
      <c r="K29" s="29"/>
      <c r="L29" s="16"/>
      <c r="M29" s="17"/>
      <c r="N29" s="29"/>
      <c r="O29" s="16">
        <f>SUM('Plant Measurements'!O804:O813)</f>
        <v>110.74181940866261</v>
      </c>
      <c r="P29" s="17">
        <v>0</v>
      </c>
      <c r="Q29" s="29">
        <f>O29*4</f>
        <v>442.96727763465043</v>
      </c>
      <c r="R29" s="16">
        <f>SUM('Plant Measurements'!O814:O829)</f>
        <v>961.55851422000001</v>
      </c>
      <c r="S29" s="17">
        <v>0</v>
      </c>
      <c r="T29" s="29">
        <f>R29*4</f>
        <v>3846.23405688</v>
      </c>
      <c r="U29" s="16"/>
      <c r="V29" s="17"/>
      <c r="W29" s="29"/>
      <c r="X29" s="29">
        <f t="shared" si="2"/>
        <v>4598.5827590292411</v>
      </c>
      <c r="Y29" s="31"/>
      <c r="Z29" s="48">
        <f t="shared" si="3"/>
        <v>752.34870214924103</v>
      </c>
      <c r="AA29" s="48">
        <f t="shared" si="4"/>
        <v>3846.23405688</v>
      </c>
      <c r="AB29">
        <f t="shared" si="5"/>
        <v>0.1636044715455032</v>
      </c>
      <c r="AC29">
        <f t="shared" si="6"/>
        <v>0</v>
      </c>
      <c r="AD29">
        <f t="shared" si="7"/>
        <v>0</v>
      </c>
      <c r="AE29">
        <f t="shared" si="8"/>
        <v>0.83639552845449683</v>
      </c>
      <c r="AF29">
        <f t="shared" si="9"/>
        <v>0</v>
      </c>
      <c r="AH29">
        <f t="shared" si="10"/>
        <v>21033.62801</v>
      </c>
      <c r="AI29">
        <f t="shared" si="11"/>
        <v>4206.7256020000004</v>
      </c>
      <c r="AJ29">
        <f t="shared" si="12"/>
        <v>19344.975825324105</v>
      </c>
    </row>
    <row r="30" spans="1:36">
      <c r="A30" s="28" t="s">
        <v>28</v>
      </c>
      <c r="B30" s="29">
        <v>20</v>
      </c>
      <c r="C30" s="16"/>
      <c r="D30" s="30"/>
      <c r="E30" s="29"/>
      <c r="F30" s="16"/>
      <c r="G30" s="17"/>
      <c r="H30" s="29"/>
      <c r="I30" s="16"/>
      <c r="J30" s="17"/>
      <c r="K30" s="29"/>
      <c r="L30" s="16">
        <f>SUM('Plant Measurements'!O830:O833)</f>
        <v>9.0265577770000007</v>
      </c>
      <c r="M30" s="17">
        <v>0</v>
      </c>
      <c r="N30" s="29">
        <f>L30*4</f>
        <v>36.106231108000003</v>
      </c>
      <c r="O30" s="16">
        <f>SUM('Plant Measurements'!O834:O848)</f>
        <v>220.08412004381248</v>
      </c>
      <c r="P30" s="17">
        <v>0</v>
      </c>
      <c r="Q30" s="29">
        <f>O30*4</f>
        <v>880.3364801752499</v>
      </c>
      <c r="R30" s="16">
        <f>SUM('Plant Measurements'!O849:O853)</f>
        <v>234.88066403000005</v>
      </c>
      <c r="S30" s="17">
        <v>0</v>
      </c>
      <c r="T30" s="29">
        <f>R30*4</f>
        <v>939.52265612000019</v>
      </c>
      <c r="U30" s="16"/>
      <c r="V30" s="17"/>
      <c r="W30" s="29"/>
      <c r="X30" s="29">
        <f t="shared" si="2"/>
        <v>1855.9653674032502</v>
      </c>
      <c r="Y30" s="31"/>
      <c r="Z30" s="48">
        <f t="shared" si="3"/>
        <v>880.3364801752499</v>
      </c>
      <c r="AA30" s="48">
        <f t="shared" si="4"/>
        <v>939.52265612000019</v>
      </c>
      <c r="AB30">
        <f t="shared" si="5"/>
        <v>0.47432807510140196</v>
      </c>
      <c r="AC30">
        <f t="shared" si="6"/>
        <v>0</v>
      </c>
      <c r="AD30">
        <f t="shared" si="7"/>
        <v>0</v>
      </c>
      <c r="AE30">
        <f t="shared" si="8"/>
        <v>0.50621777357544184</v>
      </c>
      <c r="AF30">
        <f t="shared" si="9"/>
        <v>1.9454151323156189E-2</v>
      </c>
      <c r="AH30">
        <f t="shared" si="10"/>
        <v>21033.62801</v>
      </c>
      <c r="AI30">
        <f t="shared" si="11"/>
        <v>4206.7256020000004</v>
      </c>
      <c r="AJ30">
        <f t="shared" si="12"/>
        <v>7807.5370274805891</v>
      </c>
    </row>
    <row r="31" spans="1:36">
      <c r="A31" s="28" t="s">
        <v>28</v>
      </c>
      <c r="B31" s="29">
        <v>23</v>
      </c>
      <c r="C31" s="16"/>
      <c r="D31" s="30"/>
      <c r="E31" s="29"/>
      <c r="F31" s="16"/>
      <c r="G31" s="17"/>
      <c r="H31" s="29"/>
      <c r="I31" s="16"/>
      <c r="J31" s="17"/>
      <c r="K31" s="29"/>
      <c r="L31" s="16"/>
      <c r="M31" s="17"/>
      <c r="N31" s="29"/>
      <c r="O31" s="16">
        <f>SUM('Plant Measurements'!O854:O878)</f>
        <v>404.40442796263181</v>
      </c>
      <c r="P31" s="17">
        <v>0</v>
      </c>
      <c r="Q31" s="29">
        <f>O31*4</f>
        <v>1617.6177118505273</v>
      </c>
      <c r="R31" s="16">
        <f>SUM('Plant Measurements'!O879:O883)</f>
        <v>511.36486241</v>
      </c>
      <c r="S31" s="17">
        <v>0</v>
      </c>
      <c r="T31" s="29">
        <f>R31*4</f>
        <v>2045.45944964</v>
      </c>
      <c r="U31" s="16"/>
      <c r="V31" s="17"/>
      <c r="W31" s="29"/>
      <c r="X31" s="29">
        <f t="shared" si="2"/>
        <v>3663.077161490527</v>
      </c>
      <c r="Y31" s="31"/>
      <c r="Z31" s="48">
        <f t="shared" si="3"/>
        <v>1617.6177118505273</v>
      </c>
      <c r="AA31" s="48">
        <f t="shared" si="4"/>
        <v>2045.45944964</v>
      </c>
      <c r="AB31">
        <f t="shared" si="5"/>
        <v>0.44160077457727082</v>
      </c>
      <c r="AC31">
        <f t="shared" si="6"/>
        <v>0</v>
      </c>
      <c r="AD31">
        <f t="shared" si="7"/>
        <v>0</v>
      </c>
      <c r="AE31">
        <f t="shared" si="8"/>
        <v>0.55839922542272924</v>
      </c>
      <c r="AF31">
        <f t="shared" si="9"/>
        <v>0</v>
      </c>
      <c r="AH31">
        <f t="shared" si="10"/>
        <v>21033.62801</v>
      </c>
      <c r="AI31">
        <f t="shared" si="11"/>
        <v>4206.7256020000004</v>
      </c>
      <c r="AJ31">
        <f t="shared" si="12"/>
        <v>15409.56047734369</v>
      </c>
    </row>
    <row r="32" spans="1:36">
      <c r="A32" s="32" t="s">
        <v>28</v>
      </c>
      <c r="B32" s="33">
        <v>28</v>
      </c>
      <c r="C32" s="34"/>
      <c r="D32" s="35"/>
      <c r="E32" s="33"/>
      <c r="F32" s="34">
        <f>SUM('Plant Measurements'!O884:O927)</f>
        <v>86.12783096299998</v>
      </c>
      <c r="G32" s="36">
        <v>0</v>
      </c>
      <c r="H32" s="33">
        <f>F32*4</f>
        <v>344.51132385199992</v>
      </c>
      <c r="I32" s="34"/>
      <c r="J32" s="36"/>
      <c r="K32" s="33"/>
      <c r="L32" s="34"/>
      <c r="M32" s="36"/>
      <c r="N32" s="33"/>
      <c r="O32" s="34"/>
      <c r="P32" s="36"/>
      <c r="Q32" s="33"/>
      <c r="R32" s="34">
        <f>SUM('Plant Measurements'!O928:O930)</f>
        <v>133.38161886000003</v>
      </c>
      <c r="S32" s="36">
        <v>0</v>
      </c>
      <c r="T32" s="33">
        <f>R32*4</f>
        <v>533.52647544000013</v>
      </c>
      <c r="U32" s="34"/>
      <c r="V32" s="36"/>
      <c r="W32" s="33"/>
      <c r="X32" s="33">
        <f t="shared" si="2"/>
        <v>878.03779929200005</v>
      </c>
      <c r="Y32" s="37"/>
      <c r="Z32" s="48">
        <f t="shared" si="3"/>
        <v>0</v>
      </c>
      <c r="AA32" s="48">
        <f t="shared" si="4"/>
        <v>533.52647544000013</v>
      </c>
      <c r="AB32">
        <f t="shared" si="5"/>
        <v>0</v>
      </c>
      <c r="AC32">
        <f t="shared" si="6"/>
        <v>0.39236502589045064</v>
      </c>
      <c r="AD32">
        <f t="shared" si="7"/>
        <v>0</v>
      </c>
      <c r="AE32">
        <f t="shared" si="8"/>
        <v>0.60763497410954936</v>
      </c>
      <c r="AF32">
        <f t="shared" si="9"/>
        <v>0</v>
      </c>
      <c r="AH32">
        <f t="shared" si="10"/>
        <v>21033.62801</v>
      </c>
      <c r="AI32">
        <f t="shared" si="11"/>
        <v>4206.7256020000004</v>
      </c>
      <c r="AJ32">
        <f t="shared" si="12"/>
        <v>3693.6640898053943</v>
      </c>
    </row>
    <row r="33" spans="1:36">
      <c r="A33" s="22" t="s">
        <v>22</v>
      </c>
      <c r="B33" s="23">
        <v>13</v>
      </c>
      <c r="C33" s="24">
        <f>SUM('Plant Measurements'!O931:O932)</f>
        <v>20.317702476503147</v>
      </c>
      <c r="D33" s="38">
        <v>1.5</v>
      </c>
      <c r="E33" s="23">
        <f>(C33+(C33*(3/2)))*4</f>
        <v>203.17702476503149</v>
      </c>
      <c r="F33" s="24"/>
      <c r="G33" s="26"/>
      <c r="H33" s="23"/>
      <c r="I33" s="24"/>
      <c r="J33" s="26"/>
      <c r="K33" s="23"/>
      <c r="L33" s="24"/>
      <c r="M33" s="26"/>
      <c r="N33" s="23"/>
      <c r="O33" s="24">
        <f>SUM('Plant Measurements'!O933:O954)</f>
        <v>223.98717042732969</v>
      </c>
      <c r="P33" s="26" t="s">
        <v>91</v>
      </c>
      <c r="Q33" s="23">
        <f>(O33+(O33*(30/22)))*4</f>
        <v>2117.6968840402078</v>
      </c>
      <c r="R33" s="24"/>
      <c r="S33" s="26"/>
      <c r="T33" s="23"/>
      <c r="U33" s="24"/>
      <c r="V33" s="26"/>
      <c r="W33" s="23"/>
      <c r="X33" s="23">
        <f t="shared" si="2"/>
        <v>2320.8739088052394</v>
      </c>
      <c r="Y33" s="27">
        <f>AVERAGE(X33:X37)</f>
        <v>1743.3782086334413</v>
      </c>
      <c r="Z33" s="48">
        <f t="shared" si="3"/>
        <v>2320.8739088052394</v>
      </c>
      <c r="AA33" s="48">
        <f t="shared" si="4"/>
        <v>0</v>
      </c>
      <c r="AB33">
        <f t="shared" si="5"/>
        <v>1</v>
      </c>
      <c r="AC33">
        <f t="shared" si="6"/>
        <v>0</v>
      </c>
      <c r="AD33">
        <f t="shared" si="7"/>
        <v>0</v>
      </c>
      <c r="AE33">
        <f t="shared" si="8"/>
        <v>0</v>
      </c>
      <c r="AF33">
        <f t="shared" si="9"/>
        <v>0</v>
      </c>
      <c r="AH33">
        <f t="shared" si="10"/>
        <v>21033.62801</v>
      </c>
      <c r="AI33">
        <f t="shared" si="11"/>
        <v>4206.7256020000004</v>
      </c>
      <c r="AJ33">
        <f t="shared" si="12"/>
        <v>9763.2796911848145</v>
      </c>
    </row>
    <row r="34" spans="1:36">
      <c r="A34" s="28" t="s">
        <v>22</v>
      </c>
      <c r="B34" s="29">
        <v>17</v>
      </c>
      <c r="C34" s="16"/>
      <c r="D34" s="30"/>
      <c r="E34" s="29"/>
      <c r="F34" s="16"/>
      <c r="G34" s="17"/>
      <c r="H34" s="29"/>
      <c r="I34" s="16"/>
      <c r="J34" s="17"/>
      <c r="K34" s="29"/>
      <c r="L34" s="16">
        <f>SUM('Plant Measurements'!O955:O975)</f>
        <v>52.189696241999997</v>
      </c>
      <c r="M34" s="17">
        <v>0</v>
      </c>
      <c r="N34" s="29">
        <f>L34*4</f>
        <v>208.75878496799999</v>
      </c>
      <c r="O34" s="16"/>
      <c r="P34" s="17"/>
      <c r="Q34" s="29"/>
      <c r="R34" s="16"/>
      <c r="S34" s="17"/>
      <c r="T34" s="29"/>
      <c r="U34" s="16"/>
      <c r="V34" s="17"/>
      <c r="W34" s="29"/>
      <c r="X34" s="29">
        <f t="shared" si="2"/>
        <v>208.75878496799999</v>
      </c>
      <c r="Y34" s="31"/>
      <c r="Z34" s="48">
        <f t="shared" si="3"/>
        <v>0</v>
      </c>
      <c r="AA34" s="48">
        <f t="shared" si="4"/>
        <v>0</v>
      </c>
      <c r="AB34">
        <f t="shared" si="5"/>
        <v>0</v>
      </c>
      <c r="AC34">
        <f t="shared" si="6"/>
        <v>0</v>
      </c>
      <c r="AD34">
        <f t="shared" si="7"/>
        <v>0</v>
      </c>
      <c r="AE34">
        <f t="shared" si="8"/>
        <v>0</v>
      </c>
      <c r="AF34">
        <f t="shared" si="9"/>
        <v>1</v>
      </c>
      <c r="AH34">
        <f t="shared" si="10"/>
        <v>21033.62801</v>
      </c>
      <c r="AI34">
        <f t="shared" si="11"/>
        <v>4206.7256020000004</v>
      </c>
      <c r="AJ34">
        <f t="shared" si="12"/>
        <v>878.19092536729841</v>
      </c>
    </row>
    <row r="35" spans="1:36">
      <c r="A35" s="28" t="s">
        <v>22</v>
      </c>
      <c r="B35" s="29">
        <v>27</v>
      </c>
      <c r="C35" s="16"/>
      <c r="D35" s="30"/>
      <c r="E35" s="29"/>
      <c r="F35" s="16"/>
      <c r="G35" s="17"/>
      <c r="H35" s="29"/>
      <c r="I35" s="16"/>
      <c r="J35" s="17"/>
      <c r="K35" s="29"/>
      <c r="L35" s="16"/>
      <c r="M35" s="17"/>
      <c r="N35" s="29"/>
      <c r="O35" s="16"/>
      <c r="P35" s="17"/>
      <c r="Q35" s="29"/>
      <c r="R35" s="16">
        <f>SUM('Plant Measurements'!O981:O983)</f>
        <v>130.73356532000003</v>
      </c>
      <c r="S35" s="17">
        <v>0</v>
      </c>
      <c r="T35" s="29">
        <f>R35*4</f>
        <v>522.9342612800001</v>
      </c>
      <c r="U35" s="16">
        <f>SUM('Plant Measurements'!O976:O980)</f>
        <v>575.38181929000007</v>
      </c>
      <c r="V35" s="17">
        <v>0</v>
      </c>
      <c r="W35" s="29">
        <f>U35*4</f>
        <v>2301.5272771600003</v>
      </c>
      <c r="X35" s="29">
        <f t="shared" si="2"/>
        <v>2824.4615384400004</v>
      </c>
      <c r="Y35" s="31"/>
      <c r="Z35" s="48">
        <f t="shared" si="3"/>
        <v>0</v>
      </c>
      <c r="AA35" s="48">
        <f t="shared" si="4"/>
        <v>2824.4615384400004</v>
      </c>
      <c r="AB35">
        <f t="shared" si="5"/>
        <v>0</v>
      </c>
      <c r="AC35">
        <f t="shared" si="6"/>
        <v>0</v>
      </c>
      <c r="AD35">
        <f t="shared" si="7"/>
        <v>0</v>
      </c>
      <c r="AE35">
        <f t="shared" si="8"/>
        <v>1</v>
      </c>
      <c r="AF35">
        <f t="shared" si="9"/>
        <v>0</v>
      </c>
      <c r="AH35">
        <f t="shared" si="10"/>
        <v>21033.62801</v>
      </c>
      <c r="AI35">
        <f t="shared" si="11"/>
        <v>4206.7256020000004</v>
      </c>
      <c r="AJ35">
        <f t="shared" si="12"/>
        <v>11881.734665619857</v>
      </c>
    </row>
    <row r="36" spans="1:36">
      <c r="A36" s="28" t="s">
        <v>22</v>
      </c>
      <c r="B36" s="29">
        <v>33</v>
      </c>
      <c r="C36" s="16"/>
      <c r="D36" s="30"/>
      <c r="E36" s="29"/>
      <c r="F36" s="16"/>
      <c r="G36" s="17"/>
      <c r="H36" s="29"/>
      <c r="I36" s="16"/>
      <c r="J36" s="17"/>
      <c r="K36" s="29"/>
      <c r="L36" s="16"/>
      <c r="M36" s="17"/>
      <c r="N36" s="29"/>
      <c r="O36" s="16"/>
      <c r="P36" s="17"/>
      <c r="Q36" s="29"/>
      <c r="R36" s="16">
        <f>SUM('Plant Measurements'!O987:O990)</f>
        <v>520.49268845999995</v>
      </c>
      <c r="S36" s="17">
        <v>0</v>
      </c>
      <c r="T36" s="29">
        <f>R36*4</f>
        <v>2081.9707538399998</v>
      </c>
      <c r="U36" s="16">
        <f>SUM('Plant Measurements'!O984:O986)</f>
        <v>66.274821000000003</v>
      </c>
      <c r="V36" s="17">
        <v>0</v>
      </c>
      <c r="W36" s="29">
        <f>U36*4</f>
        <v>265.09928400000001</v>
      </c>
      <c r="X36" s="29">
        <f t="shared" si="2"/>
        <v>2347.0700378399997</v>
      </c>
      <c r="Y36" s="31"/>
      <c r="Z36" s="48">
        <f t="shared" si="3"/>
        <v>0</v>
      </c>
      <c r="AA36" s="48">
        <f t="shared" si="4"/>
        <v>2347.0700378399997</v>
      </c>
      <c r="AB36">
        <f t="shared" si="5"/>
        <v>0</v>
      </c>
      <c r="AC36">
        <f t="shared" si="6"/>
        <v>0</v>
      </c>
      <c r="AD36">
        <f t="shared" si="7"/>
        <v>0</v>
      </c>
      <c r="AE36">
        <f t="shared" si="8"/>
        <v>1</v>
      </c>
      <c r="AF36">
        <f t="shared" si="9"/>
        <v>0</v>
      </c>
      <c r="AH36">
        <f t="shared" si="10"/>
        <v>21033.62801</v>
      </c>
      <c r="AI36">
        <f t="shared" si="11"/>
        <v>4206.7256020000004</v>
      </c>
      <c r="AJ36">
        <f t="shared" si="12"/>
        <v>9873.4796178686356</v>
      </c>
    </row>
    <row r="37" spans="1:36">
      <c r="A37" s="32" t="s">
        <v>22</v>
      </c>
      <c r="B37" s="33">
        <v>58</v>
      </c>
      <c r="C37" s="34">
        <f>SUM('Plant Measurements'!O991:O1023)</f>
        <v>253.93169327849185</v>
      </c>
      <c r="D37" s="35">
        <v>0</v>
      </c>
      <c r="E37" s="33">
        <f>C37*4</f>
        <v>1015.7267731139674</v>
      </c>
      <c r="F37" s="34"/>
      <c r="G37" s="36"/>
      <c r="H37" s="33"/>
      <c r="I37" s="34"/>
      <c r="J37" s="36"/>
      <c r="K37" s="33"/>
      <c r="L37" s="34"/>
      <c r="M37" s="36"/>
      <c r="N37" s="33"/>
      <c r="O37" s="34"/>
      <c r="P37" s="36"/>
      <c r="Q37" s="33"/>
      <c r="R37" s="34"/>
      <c r="S37" s="36"/>
      <c r="T37" s="33"/>
      <c r="U37" s="34"/>
      <c r="V37" s="36"/>
      <c r="W37" s="33"/>
      <c r="X37" s="33">
        <f t="shared" si="2"/>
        <v>1015.7267731139674</v>
      </c>
      <c r="Y37" s="37"/>
      <c r="Z37" s="48">
        <f t="shared" si="3"/>
        <v>1015.7267731139674</v>
      </c>
      <c r="AA37" s="48">
        <f t="shared" si="4"/>
        <v>0</v>
      </c>
      <c r="AB37">
        <f t="shared" si="5"/>
        <v>1</v>
      </c>
      <c r="AC37">
        <f t="shared" si="6"/>
        <v>0</v>
      </c>
      <c r="AD37">
        <f t="shared" si="7"/>
        <v>0</v>
      </c>
      <c r="AE37">
        <f t="shared" si="8"/>
        <v>0</v>
      </c>
      <c r="AF37">
        <f t="shared" si="9"/>
        <v>0</v>
      </c>
      <c r="AH37">
        <f t="shared" si="10"/>
        <v>21033.62801</v>
      </c>
      <c r="AI37">
        <f t="shared" si="11"/>
        <v>4206.7256020000004</v>
      </c>
      <c r="AJ37">
        <f t="shared" si="12"/>
        <v>4272.8838210953727</v>
      </c>
    </row>
    <row r="38" spans="1:36">
      <c r="A38" s="22" t="s">
        <v>40</v>
      </c>
      <c r="B38" s="23">
        <v>9</v>
      </c>
      <c r="C38" s="24">
        <f>SUM('Plant Measurements'!O1024:O1028)</f>
        <v>93.303502078310643</v>
      </c>
      <c r="D38" s="25">
        <v>0</v>
      </c>
      <c r="E38" s="23">
        <f>C38*4</f>
        <v>373.21400831324257</v>
      </c>
      <c r="F38" s="24"/>
      <c r="G38" s="26"/>
      <c r="H38" s="23"/>
      <c r="I38" s="24">
        <f>SUM('Plant Measurements'!O1029:O1030)</f>
        <v>39.708200683263655</v>
      </c>
      <c r="J38" s="26">
        <v>0</v>
      </c>
      <c r="K38" s="23">
        <f>I38*4</f>
        <v>158.83280273305462</v>
      </c>
      <c r="L38" s="24"/>
      <c r="M38" s="26"/>
      <c r="N38" s="23"/>
      <c r="O38" s="24">
        <f>SUM('Plant Measurements'!O1031:O1054)</f>
        <v>367.92039355956177</v>
      </c>
      <c r="P38" s="26">
        <v>0</v>
      </c>
      <c r="Q38" s="23">
        <f>O38*4</f>
        <v>1471.6815742382471</v>
      </c>
      <c r="R38" s="24">
        <f>SUM('Plant Measurements'!O1055:O1059)</f>
        <v>339.48464634000004</v>
      </c>
      <c r="S38" s="26">
        <v>0</v>
      </c>
      <c r="T38" s="23">
        <f>R38*4</f>
        <v>1357.9385853600002</v>
      </c>
      <c r="U38" s="24"/>
      <c r="V38" s="26"/>
      <c r="W38" s="23"/>
      <c r="X38" s="23">
        <f t="shared" si="2"/>
        <v>3361.6669706445446</v>
      </c>
      <c r="Y38" s="27">
        <f>AVERAGE(X38:X42)</f>
        <v>3840.3987212615916</v>
      </c>
      <c r="Z38" s="48">
        <f t="shared" si="3"/>
        <v>1844.8955825514897</v>
      </c>
      <c r="AA38" s="48">
        <f t="shared" si="4"/>
        <v>1357.9385853600002</v>
      </c>
      <c r="AB38">
        <f t="shared" si="5"/>
        <v>0.54880379248208555</v>
      </c>
      <c r="AC38">
        <f t="shared" si="6"/>
        <v>0</v>
      </c>
      <c r="AD38">
        <f t="shared" si="7"/>
        <v>4.7248226585217344E-2</v>
      </c>
      <c r="AE38">
        <f t="shared" si="8"/>
        <v>0.40394798093269713</v>
      </c>
      <c r="AF38">
        <f t="shared" si="9"/>
        <v>0</v>
      </c>
      <c r="AH38">
        <f t="shared" si="10"/>
        <v>21033.62801</v>
      </c>
      <c r="AI38">
        <f t="shared" si="11"/>
        <v>4206.7256020000004</v>
      </c>
      <c r="AJ38">
        <f t="shared" si="12"/>
        <v>14141.61051080819</v>
      </c>
    </row>
    <row r="39" spans="1:36">
      <c r="A39" s="28" t="s">
        <v>40</v>
      </c>
      <c r="B39" s="29">
        <v>15</v>
      </c>
      <c r="C39" s="16">
        <f>('Plant Measurements'!O1060)</f>
        <v>11.567266994003095</v>
      </c>
      <c r="D39" s="30">
        <v>0</v>
      </c>
      <c r="E39" s="29">
        <f>C39*4</f>
        <v>46.26906797601238</v>
      </c>
      <c r="F39" s="16"/>
      <c r="G39" s="17"/>
      <c r="H39" s="29"/>
      <c r="I39" s="16"/>
      <c r="J39" s="17"/>
      <c r="K39" s="29"/>
      <c r="L39" s="16"/>
      <c r="M39" s="17"/>
      <c r="N39" s="29"/>
      <c r="O39" s="16">
        <f>SUM('Plant Measurements'!O1061:O1102)</f>
        <v>437.31073262062301</v>
      </c>
      <c r="P39" s="17">
        <v>0</v>
      </c>
      <c r="Q39" s="29">
        <f>O39*4</f>
        <v>1749.2429304824921</v>
      </c>
      <c r="R39" s="16">
        <f>SUM('Plant Measurements'!O1103:O1109)</f>
        <v>459.2293009</v>
      </c>
      <c r="S39" s="17">
        <v>0</v>
      </c>
      <c r="T39" s="29">
        <f>R39*4</f>
        <v>1836.9172036</v>
      </c>
      <c r="U39" s="16"/>
      <c r="V39" s="17"/>
      <c r="W39" s="29"/>
      <c r="X39" s="29">
        <f t="shared" si="2"/>
        <v>3632.4292020585044</v>
      </c>
      <c r="Y39" s="31"/>
      <c r="Z39" s="48">
        <f t="shared" si="3"/>
        <v>1795.5119984585044</v>
      </c>
      <c r="AA39" s="48">
        <f t="shared" si="4"/>
        <v>1836.9172036</v>
      </c>
      <c r="AB39">
        <f t="shared" si="5"/>
        <v>0.49430061773564216</v>
      </c>
      <c r="AC39">
        <f t="shared" si="6"/>
        <v>0</v>
      </c>
      <c r="AD39">
        <f t="shared" si="7"/>
        <v>0</v>
      </c>
      <c r="AE39">
        <f t="shared" si="8"/>
        <v>0.50569938226435784</v>
      </c>
      <c r="AF39">
        <f t="shared" si="9"/>
        <v>0</v>
      </c>
      <c r="AH39">
        <f t="shared" si="10"/>
        <v>21033.62801</v>
      </c>
      <c r="AI39">
        <f t="shared" si="11"/>
        <v>4206.7256020000004</v>
      </c>
      <c r="AJ39">
        <f t="shared" si="12"/>
        <v>15280.632921751943</v>
      </c>
    </row>
    <row r="40" spans="1:36">
      <c r="A40" s="28" t="s">
        <v>40</v>
      </c>
      <c r="B40" s="29">
        <v>18</v>
      </c>
      <c r="C40" s="16"/>
      <c r="D40" s="30"/>
      <c r="E40" s="29"/>
      <c r="F40" s="16"/>
      <c r="G40" s="17"/>
      <c r="H40" s="29"/>
      <c r="I40" s="16"/>
      <c r="J40" s="17"/>
      <c r="K40" s="29"/>
      <c r="L40" s="16"/>
      <c r="M40" s="17"/>
      <c r="N40" s="29"/>
      <c r="O40" s="16">
        <f>SUM('Plant Measurements'!O1110:O1128)</f>
        <v>182.8095094392454</v>
      </c>
      <c r="P40" s="17">
        <v>0</v>
      </c>
      <c r="Q40" s="29">
        <f>O40*4</f>
        <v>731.23803775698161</v>
      </c>
      <c r="R40" s="16">
        <f>SUM('Plant Measurements'!O1132:O1142)</f>
        <v>535.70969413</v>
      </c>
      <c r="S40" s="17">
        <v>0</v>
      </c>
      <c r="T40" s="29">
        <f>R40*4</f>
        <v>2142.83877652</v>
      </c>
      <c r="U40" s="16">
        <f>SUM('Plant Measurements'!O1129:O1131)</f>
        <v>144.14245783999999</v>
      </c>
      <c r="V40" s="17">
        <v>0</v>
      </c>
      <c r="W40" s="29">
        <f>U40*4</f>
        <v>576.56983135999997</v>
      </c>
      <c r="X40" s="29">
        <f t="shared" si="2"/>
        <v>3450.6466456369817</v>
      </c>
      <c r="Y40" s="31"/>
      <c r="Z40" s="48">
        <f t="shared" si="3"/>
        <v>731.23803775698161</v>
      </c>
      <c r="AA40" s="48">
        <f t="shared" si="4"/>
        <v>2719.4086078800001</v>
      </c>
      <c r="AB40">
        <f t="shared" si="5"/>
        <v>0.2119133347604755</v>
      </c>
      <c r="AC40">
        <f t="shared" si="6"/>
        <v>0</v>
      </c>
      <c r="AD40">
        <f t="shared" si="7"/>
        <v>0</v>
      </c>
      <c r="AE40">
        <f t="shared" si="8"/>
        <v>0.78808666523952453</v>
      </c>
      <c r="AF40">
        <f t="shared" si="9"/>
        <v>0</v>
      </c>
      <c r="AH40">
        <f t="shared" si="10"/>
        <v>21033.62801</v>
      </c>
      <c r="AI40">
        <f t="shared" si="11"/>
        <v>4206.7256020000004</v>
      </c>
      <c r="AJ40">
        <f t="shared" si="12"/>
        <v>14515.923587656514</v>
      </c>
    </row>
    <row r="41" spans="1:36">
      <c r="A41" s="28" t="s">
        <v>40</v>
      </c>
      <c r="B41" s="29">
        <v>26</v>
      </c>
      <c r="C41" s="16">
        <f>('Plant Measurements'!O1143)</f>
        <v>18.163412873934522</v>
      </c>
      <c r="D41" s="30">
        <v>0</v>
      </c>
      <c r="E41" s="29">
        <f>C41*4</f>
        <v>72.653651495738089</v>
      </c>
      <c r="F41" s="16"/>
      <c r="G41" s="17"/>
      <c r="H41" s="29"/>
      <c r="I41" s="16"/>
      <c r="J41" s="17"/>
      <c r="K41" s="29"/>
      <c r="L41" s="16"/>
      <c r="M41" s="17"/>
      <c r="N41" s="29"/>
      <c r="O41" s="16">
        <f>SUM('Plant Measurements'!O1144:O1162)</f>
        <v>257.13157005843277</v>
      </c>
      <c r="P41" s="17">
        <v>0</v>
      </c>
      <c r="Q41" s="29">
        <f>O41*4</f>
        <v>1028.5262802337311</v>
      </c>
      <c r="R41" s="16">
        <f>SUM('Plant Measurements'!O1164:O1173)</f>
        <v>692.28715453000007</v>
      </c>
      <c r="S41" s="17">
        <v>0</v>
      </c>
      <c r="T41" s="29">
        <f>R41*4</f>
        <v>2769.1486181200003</v>
      </c>
      <c r="U41" s="16">
        <f>('Plant Measurements'!O1163)</f>
        <v>86.284827460000002</v>
      </c>
      <c r="V41" s="17">
        <v>0</v>
      </c>
      <c r="W41" s="29">
        <f>U41*4</f>
        <v>345.13930984000001</v>
      </c>
      <c r="X41" s="29">
        <f t="shared" si="2"/>
        <v>4215.4678596894692</v>
      </c>
      <c r="Y41" s="31"/>
      <c r="Z41" s="48">
        <f t="shared" si="3"/>
        <v>1101.1799317294692</v>
      </c>
      <c r="AA41" s="48">
        <f t="shared" si="4"/>
        <v>3114.2879279600002</v>
      </c>
      <c r="AB41">
        <f t="shared" si="5"/>
        <v>0.26122365734525782</v>
      </c>
      <c r="AC41">
        <f t="shared" si="6"/>
        <v>0</v>
      </c>
      <c r="AD41">
        <f t="shared" si="7"/>
        <v>0</v>
      </c>
      <c r="AE41">
        <f t="shared" si="8"/>
        <v>0.73877634265474224</v>
      </c>
      <c r="AF41">
        <f t="shared" si="9"/>
        <v>0</v>
      </c>
      <c r="AH41">
        <f t="shared" si="10"/>
        <v>21033.62801</v>
      </c>
      <c r="AI41">
        <f t="shared" si="11"/>
        <v>4206.7256020000004</v>
      </c>
      <c r="AJ41">
        <f t="shared" si="12"/>
        <v>17733.316569763836</v>
      </c>
    </row>
    <row r="42" spans="1:36">
      <c r="A42" s="32" t="s">
        <v>40</v>
      </c>
      <c r="B42" s="33">
        <v>27</v>
      </c>
      <c r="C42" s="34"/>
      <c r="D42" s="35"/>
      <c r="E42" s="33"/>
      <c r="F42" s="34"/>
      <c r="G42" s="36"/>
      <c r="H42" s="33"/>
      <c r="I42" s="34"/>
      <c r="J42" s="36"/>
      <c r="K42" s="33"/>
      <c r="L42" s="34"/>
      <c r="M42" s="36"/>
      <c r="N42" s="33"/>
      <c r="O42" s="34">
        <f>SUM('Plant Measurements'!O1174:O1184)</f>
        <v>118.07272575961433</v>
      </c>
      <c r="P42" s="36">
        <v>0</v>
      </c>
      <c r="Q42" s="33">
        <f>O42*4</f>
        <v>472.29090303845732</v>
      </c>
      <c r="R42" s="34">
        <f>SUM('Plant Measurements'!O1185:O1199)</f>
        <v>1017.3730063100001</v>
      </c>
      <c r="S42" s="36">
        <v>0</v>
      </c>
      <c r="T42" s="33">
        <f>R42*4</f>
        <v>4069.4920252400002</v>
      </c>
      <c r="U42" s="34"/>
      <c r="V42" s="36"/>
      <c r="W42" s="33"/>
      <c r="X42" s="33">
        <f t="shared" si="2"/>
        <v>4541.7829282784578</v>
      </c>
      <c r="Y42" s="37"/>
      <c r="Z42" s="48">
        <f t="shared" si="3"/>
        <v>472.29090303845732</v>
      </c>
      <c r="AA42" s="48">
        <f t="shared" si="4"/>
        <v>4069.4920252400002</v>
      </c>
      <c r="AB42">
        <f t="shared" si="5"/>
        <v>0.10398799557280405</v>
      </c>
      <c r="AC42">
        <f t="shared" si="6"/>
        <v>0</v>
      </c>
      <c r="AD42">
        <f t="shared" si="7"/>
        <v>0</v>
      </c>
      <c r="AE42">
        <f t="shared" si="8"/>
        <v>0.89601200442719586</v>
      </c>
      <c r="AF42">
        <f t="shared" si="9"/>
        <v>0</v>
      </c>
      <c r="AH42">
        <f t="shared" si="10"/>
        <v>21033.62801</v>
      </c>
      <c r="AI42">
        <f t="shared" si="11"/>
        <v>4206.7256020000004</v>
      </c>
      <c r="AJ42">
        <f t="shared" si="12"/>
        <v>19106.034523115519</v>
      </c>
    </row>
    <row r="43" spans="1:36">
      <c r="A43" s="22" t="s">
        <v>11</v>
      </c>
      <c r="B43" s="23">
        <v>9</v>
      </c>
      <c r="C43" s="24">
        <f>SUM('Plant Measurements'!O1200:O1207)</f>
        <v>108.70275464283525</v>
      </c>
      <c r="D43" s="39" t="s">
        <v>92</v>
      </c>
      <c r="E43" s="23">
        <f>(C43+(C43*(8/8)))*4</f>
        <v>869.62203714268196</v>
      </c>
      <c r="F43" s="24"/>
      <c r="G43" s="26"/>
      <c r="H43" s="23"/>
      <c r="I43" s="24"/>
      <c r="J43" s="26"/>
      <c r="K43" s="23"/>
      <c r="L43" s="24"/>
      <c r="M43" s="26"/>
      <c r="N43" s="23"/>
      <c r="O43" s="24">
        <f>SUM('Plant Measurements'!O1208:O1210)</f>
        <v>46.61537079918449</v>
      </c>
      <c r="P43" s="26" t="s">
        <v>93</v>
      </c>
      <c r="Q43" s="23">
        <f>(O43+(O43*(3/3)))*4</f>
        <v>372.92296639347592</v>
      </c>
      <c r="R43" s="24"/>
      <c r="S43" s="26"/>
      <c r="T43" s="23"/>
      <c r="U43" s="24">
        <f>SUM('Plant Measurements'!O1211:O1218)</f>
        <v>829.59428303999994</v>
      </c>
      <c r="V43" s="25" t="s">
        <v>94</v>
      </c>
      <c r="W43" s="23">
        <f>(U43+(U43*(5/8)))*4</f>
        <v>5392.3628397599996</v>
      </c>
      <c r="X43" s="23">
        <f t="shared" si="2"/>
        <v>6634.9078432961569</v>
      </c>
      <c r="Y43" s="27">
        <f>AVERAGE(X43:X47)</f>
        <v>3710.8521306704033</v>
      </c>
      <c r="Z43" s="48">
        <f t="shared" si="3"/>
        <v>1242.5450035361578</v>
      </c>
      <c r="AA43" s="48">
        <f t="shared" si="4"/>
        <v>5392.3628397599996</v>
      </c>
      <c r="AB43">
        <f t="shared" si="5"/>
        <v>0.18727389029097255</v>
      </c>
      <c r="AC43">
        <f t="shared" si="6"/>
        <v>0</v>
      </c>
      <c r="AD43">
        <f t="shared" si="7"/>
        <v>0</v>
      </c>
      <c r="AE43">
        <f t="shared" si="8"/>
        <v>0.81272610970902748</v>
      </c>
      <c r="AF43">
        <f t="shared" si="9"/>
        <v>0</v>
      </c>
      <c r="AH43">
        <f t="shared" si="10"/>
        <v>21033.62801</v>
      </c>
      <c r="AI43">
        <f t="shared" si="11"/>
        <v>4206.7256020000004</v>
      </c>
      <c r="AJ43">
        <f t="shared" si="12"/>
        <v>27911.236691304548</v>
      </c>
    </row>
    <row r="44" spans="1:36">
      <c r="A44" s="28" t="s">
        <v>11</v>
      </c>
      <c r="B44" s="29">
        <v>16</v>
      </c>
      <c r="C44" s="16"/>
      <c r="D44" s="30"/>
      <c r="E44" s="29"/>
      <c r="F44" s="16"/>
      <c r="G44" s="17"/>
      <c r="H44" s="29"/>
      <c r="I44" s="16"/>
      <c r="J44" s="17"/>
      <c r="K44" s="29"/>
      <c r="L44" s="16"/>
      <c r="M44" s="17"/>
      <c r="N44" s="29"/>
      <c r="O44" s="16"/>
      <c r="P44" s="17"/>
      <c r="Q44" s="29"/>
      <c r="R44" s="16">
        <f>SUM('Plant Measurements'!O1224:O1226)</f>
        <v>224.16303419999997</v>
      </c>
      <c r="S44" s="17">
        <v>0</v>
      </c>
      <c r="T44" s="29">
        <f>R44*4</f>
        <v>896.65213679999988</v>
      </c>
      <c r="U44" s="16">
        <f>SUM('Plant Measurements'!O1219:O1223)</f>
        <v>438.73380678000001</v>
      </c>
      <c r="V44" s="17">
        <v>0</v>
      </c>
      <c r="W44" s="29">
        <f>U44*4</f>
        <v>1754.93522712</v>
      </c>
      <c r="X44" s="29">
        <f t="shared" si="2"/>
        <v>2651.5873639199999</v>
      </c>
      <c r="Y44" s="31"/>
      <c r="Z44" s="48">
        <f t="shared" si="3"/>
        <v>0</v>
      </c>
      <c r="AA44" s="48">
        <f t="shared" si="4"/>
        <v>2651.5873639199999</v>
      </c>
      <c r="AB44">
        <f t="shared" si="5"/>
        <v>0</v>
      </c>
      <c r="AC44">
        <f t="shared" si="6"/>
        <v>0</v>
      </c>
      <c r="AD44">
        <f t="shared" si="7"/>
        <v>0</v>
      </c>
      <c r="AE44">
        <f t="shared" si="8"/>
        <v>1</v>
      </c>
      <c r="AF44">
        <f t="shared" si="9"/>
        <v>0</v>
      </c>
      <c r="AH44">
        <f t="shared" si="10"/>
        <v>21033.62801</v>
      </c>
      <c r="AI44">
        <f t="shared" si="11"/>
        <v>4206.7256020000004</v>
      </c>
      <c r="AJ44">
        <f t="shared" si="12"/>
        <v>11154.500449741956</v>
      </c>
    </row>
    <row r="45" spans="1:36">
      <c r="A45" s="28" t="s">
        <v>11</v>
      </c>
      <c r="B45" s="29">
        <v>35</v>
      </c>
      <c r="C45" s="16">
        <f>SUM('Plant Measurements'!O1227:O1228)</f>
        <v>21.314481000000001</v>
      </c>
      <c r="D45" s="30">
        <v>0</v>
      </c>
      <c r="E45" s="29">
        <f>C45*4</f>
        <v>85.257924000000003</v>
      </c>
      <c r="F45" s="16"/>
      <c r="G45" s="17"/>
      <c r="H45" s="29"/>
      <c r="I45" s="16"/>
      <c r="J45" s="17"/>
      <c r="K45" s="29"/>
      <c r="L45" s="16"/>
      <c r="M45" s="17"/>
      <c r="N45" s="29"/>
      <c r="O45" s="16"/>
      <c r="P45" s="17"/>
      <c r="Q45" s="29"/>
      <c r="R45" s="16"/>
      <c r="S45" s="17"/>
      <c r="T45" s="29"/>
      <c r="U45" s="16">
        <f>SUM('Plant Measurements'!O1229:O1236)</f>
        <v>1005.1490256200002</v>
      </c>
      <c r="V45" s="17">
        <v>0</v>
      </c>
      <c r="W45" s="29">
        <f>U45*4</f>
        <v>4020.5961024800008</v>
      </c>
      <c r="X45" s="29">
        <f t="shared" si="2"/>
        <v>4105.8540264800013</v>
      </c>
      <c r="Y45" s="31"/>
      <c r="Z45" s="48">
        <f t="shared" si="3"/>
        <v>85.257924000000003</v>
      </c>
      <c r="AA45" s="48">
        <f t="shared" si="4"/>
        <v>4020.5961024800008</v>
      </c>
      <c r="AB45">
        <f t="shared" si="5"/>
        <v>2.0764967154249431E-2</v>
      </c>
      <c r="AC45">
        <f t="shared" si="6"/>
        <v>0</v>
      </c>
      <c r="AD45">
        <f t="shared" si="7"/>
        <v>0</v>
      </c>
      <c r="AE45">
        <f t="shared" si="8"/>
        <v>0.97923503284575042</v>
      </c>
      <c r="AF45">
        <f t="shared" si="9"/>
        <v>0</v>
      </c>
      <c r="AH45">
        <f t="shared" si="10"/>
        <v>21033.62801</v>
      </c>
      <c r="AI45">
        <f t="shared" si="11"/>
        <v>4206.7256020000004</v>
      </c>
      <c r="AJ45">
        <f t="shared" si="12"/>
        <v>17272.201251268209</v>
      </c>
    </row>
    <row r="46" spans="1:36">
      <c r="A46" s="28" t="s">
        <v>11</v>
      </c>
      <c r="B46" s="29">
        <v>37</v>
      </c>
      <c r="C46" s="16"/>
      <c r="D46" s="30"/>
      <c r="E46" s="29"/>
      <c r="F46" s="16"/>
      <c r="G46" s="17"/>
      <c r="H46" s="29"/>
      <c r="I46" s="16"/>
      <c r="J46" s="17"/>
      <c r="K46" s="29"/>
      <c r="L46" s="16"/>
      <c r="M46" s="17"/>
      <c r="N46" s="29"/>
      <c r="O46" s="16"/>
      <c r="P46" s="17"/>
      <c r="Q46" s="29"/>
      <c r="R46" s="16"/>
      <c r="S46" s="17"/>
      <c r="T46" s="29"/>
      <c r="U46" s="16">
        <f>SUM('Plant Measurements'!O1237:O1243)</f>
        <v>455.46347250000008</v>
      </c>
      <c r="V46" s="17" t="s">
        <v>95</v>
      </c>
      <c r="W46" s="29">
        <f>(U46+(U46*(4/7)))*4</f>
        <v>2862.9132557142862</v>
      </c>
      <c r="X46" s="29">
        <f t="shared" si="2"/>
        <v>2862.9132557142862</v>
      </c>
      <c r="Y46" s="31"/>
      <c r="Z46" s="48">
        <f t="shared" si="3"/>
        <v>0</v>
      </c>
      <c r="AA46" s="48">
        <f t="shared" si="4"/>
        <v>2862.9132557142862</v>
      </c>
      <c r="AB46">
        <f t="shared" si="5"/>
        <v>0</v>
      </c>
      <c r="AC46">
        <f t="shared" si="6"/>
        <v>0</v>
      </c>
      <c r="AD46">
        <f t="shared" si="7"/>
        <v>0</v>
      </c>
      <c r="AE46">
        <f t="shared" si="8"/>
        <v>1</v>
      </c>
      <c r="AF46">
        <f t="shared" si="9"/>
        <v>0</v>
      </c>
      <c r="AH46">
        <f t="shared" si="10"/>
        <v>21033.62801</v>
      </c>
      <c r="AI46">
        <f t="shared" si="11"/>
        <v>4206.7256020000004</v>
      </c>
      <c r="AJ46">
        <f t="shared" si="12"/>
        <v>12043.490489118463</v>
      </c>
    </row>
    <row r="47" spans="1:36">
      <c r="A47" s="32" t="s">
        <v>11</v>
      </c>
      <c r="B47" s="33">
        <v>43</v>
      </c>
      <c r="C47" s="34">
        <f>SUM('Plant Measurements'!O1244:O1256)</f>
        <v>137.25314437511551</v>
      </c>
      <c r="D47" s="35">
        <v>0</v>
      </c>
      <c r="E47" s="33">
        <f>C47*4</f>
        <v>549.01257750046204</v>
      </c>
      <c r="F47" s="34"/>
      <c r="G47" s="36"/>
      <c r="H47" s="33"/>
      <c r="I47" s="34"/>
      <c r="J47" s="36"/>
      <c r="K47" s="33"/>
      <c r="L47" s="34"/>
      <c r="M47" s="36"/>
      <c r="N47" s="33"/>
      <c r="O47" s="34">
        <f>SUM('Plant Measurements'!O1257:O1258)</f>
        <v>32.521273560277372</v>
      </c>
      <c r="P47" s="36">
        <v>0</v>
      </c>
      <c r="Q47" s="33">
        <f>O47*4</f>
        <v>130.08509424110949</v>
      </c>
      <c r="R47" s="34"/>
      <c r="S47" s="36"/>
      <c r="T47" s="33"/>
      <c r="U47" s="34">
        <f>SUM('Plant Measurements'!O1259:O1263)</f>
        <v>404.97512304999998</v>
      </c>
      <c r="V47" s="36">
        <v>0</v>
      </c>
      <c r="W47" s="33">
        <f>U47*4</f>
        <v>1619.9004921999999</v>
      </c>
      <c r="X47" s="33">
        <f t="shared" si="2"/>
        <v>2298.9981639415714</v>
      </c>
      <c r="Y47" s="37"/>
      <c r="Z47" s="48">
        <f t="shared" si="3"/>
        <v>679.0976717415715</v>
      </c>
      <c r="AA47" s="48">
        <f t="shared" si="4"/>
        <v>1619.9004921999999</v>
      </c>
      <c r="AB47">
        <f t="shared" si="5"/>
        <v>0.29538852287610207</v>
      </c>
      <c r="AC47">
        <f t="shared" si="6"/>
        <v>0</v>
      </c>
      <c r="AD47">
        <f t="shared" si="7"/>
        <v>0</v>
      </c>
      <c r="AE47">
        <f t="shared" si="8"/>
        <v>0.70461147712389793</v>
      </c>
      <c r="AF47">
        <f t="shared" si="9"/>
        <v>0</v>
      </c>
      <c r="AH47">
        <f t="shared" si="10"/>
        <v>21033.62801</v>
      </c>
      <c r="AI47">
        <f t="shared" si="11"/>
        <v>4206.7256020000004</v>
      </c>
      <c r="AJ47">
        <f t="shared" si="12"/>
        <v>9671.2544352040022</v>
      </c>
    </row>
    <row r="48" spans="1:36">
      <c r="A48" s="22" t="s">
        <v>43</v>
      </c>
      <c r="B48" s="23">
        <v>10</v>
      </c>
      <c r="C48" s="24"/>
      <c r="D48" s="25"/>
      <c r="E48" s="23"/>
      <c r="F48" s="24"/>
      <c r="G48" s="26"/>
      <c r="H48" s="23"/>
      <c r="I48" s="24">
        <f>SUM('Plant Measurements'!O1264:O1274)</f>
        <v>114.97709238066162</v>
      </c>
      <c r="J48" s="26">
        <v>0</v>
      </c>
      <c r="K48" s="23">
        <f>I48*4</f>
        <v>459.90836952264647</v>
      </c>
      <c r="L48" s="24"/>
      <c r="M48" s="26"/>
      <c r="N48" s="23"/>
      <c r="O48" s="24"/>
      <c r="P48" s="26"/>
      <c r="Q48" s="23"/>
      <c r="R48" s="24">
        <f>SUM('Plant Measurements'!O1275:O1283)</f>
        <v>758.7733121</v>
      </c>
      <c r="S48" s="26">
        <v>0</v>
      </c>
      <c r="T48" s="23">
        <f>R48*4</f>
        <v>3035.0932484</v>
      </c>
      <c r="U48" s="24"/>
      <c r="V48" s="26"/>
      <c r="W48" s="23"/>
      <c r="X48" s="23">
        <f t="shared" si="2"/>
        <v>3495.0016179226463</v>
      </c>
      <c r="Y48" s="27">
        <f>AVERAGE(X48:X52)</f>
        <v>2858.9681292117771</v>
      </c>
      <c r="Z48" s="48">
        <f t="shared" si="3"/>
        <v>0</v>
      </c>
      <c r="AA48" s="48">
        <f t="shared" si="4"/>
        <v>3035.0932484</v>
      </c>
      <c r="AB48">
        <f t="shared" si="5"/>
        <v>0</v>
      </c>
      <c r="AC48">
        <f t="shared" si="6"/>
        <v>0</v>
      </c>
      <c r="AD48">
        <f t="shared" si="7"/>
        <v>0.13159031662938286</v>
      </c>
      <c r="AE48">
        <f t="shared" si="8"/>
        <v>0.86840968337061719</v>
      </c>
      <c r="AF48">
        <f t="shared" si="9"/>
        <v>0</v>
      </c>
      <c r="AH48">
        <f t="shared" si="10"/>
        <v>21033.62801</v>
      </c>
      <c r="AI48">
        <f t="shared" si="11"/>
        <v>4206.7256020000004</v>
      </c>
      <c r="AJ48">
        <f t="shared" si="12"/>
        <v>14702.51278514662</v>
      </c>
    </row>
    <row r="49" spans="1:36">
      <c r="A49" s="28" t="s">
        <v>43</v>
      </c>
      <c r="B49" s="29">
        <v>20</v>
      </c>
      <c r="C49" s="16"/>
      <c r="D49" s="30"/>
      <c r="E49" s="29"/>
      <c r="F49" s="16">
        <f>SUM('Plant Measurements'!O1284:O1374)</f>
        <v>223.70206594499996</v>
      </c>
      <c r="G49" s="17" t="s">
        <v>96</v>
      </c>
      <c r="H49" s="29">
        <f>(F49+(F49*(86/91)))*4</f>
        <v>1740.4512383413185</v>
      </c>
      <c r="I49" s="16"/>
      <c r="J49" s="17"/>
      <c r="K49" s="29"/>
      <c r="L49" s="16"/>
      <c r="M49" s="17"/>
      <c r="N49" s="29"/>
      <c r="O49" s="16"/>
      <c r="P49" s="17"/>
      <c r="Q49" s="29"/>
      <c r="R49" s="16">
        <f>('Plant Measurements'!O1375)</f>
        <v>30.971679000000016</v>
      </c>
      <c r="S49" s="17">
        <v>0</v>
      </c>
      <c r="T49" s="29">
        <f>R49*4</f>
        <v>123.88671600000006</v>
      </c>
      <c r="U49" s="16"/>
      <c r="V49" s="17"/>
      <c r="W49" s="29"/>
      <c r="X49" s="29">
        <f t="shared" si="2"/>
        <v>1864.3379543413184</v>
      </c>
      <c r="Y49" s="31"/>
      <c r="Z49" s="48">
        <f t="shared" si="3"/>
        <v>0</v>
      </c>
      <c r="AA49" s="48">
        <f t="shared" si="4"/>
        <v>123.88671600000006</v>
      </c>
      <c r="AB49">
        <f t="shared" si="5"/>
        <v>0</v>
      </c>
      <c r="AC49">
        <f t="shared" si="6"/>
        <v>0.93354921745195607</v>
      </c>
      <c r="AD49">
        <f t="shared" si="7"/>
        <v>0</v>
      </c>
      <c r="AE49">
        <f t="shared" si="8"/>
        <v>6.6450782548043957E-2</v>
      </c>
      <c r="AF49">
        <f t="shared" si="9"/>
        <v>0</v>
      </c>
      <c r="AH49">
        <f t="shared" si="10"/>
        <v>21033.62801</v>
      </c>
      <c r="AI49">
        <f t="shared" si="11"/>
        <v>4206.7256020000004</v>
      </c>
      <c r="AJ49">
        <f t="shared" si="12"/>
        <v>7842.7582033079325</v>
      </c>
    </row>
    <row r="50" spans="1:36">
      <c r="A50" s="28" t="s">
        <v>43</v>
      </c>
      <c r="B50" s="29">
        <v>22</v>
      </c>
      <c r="C50" s="16"/>
      <c r="D50" s="30"/>
      <c r="E50" s="29"/>
      <c r="F50" s="16">
        <f>SUM('Plant Measurements'!O1376:O1441)</f>
        <v>145.35240642299999</v>
      </c>
      <c r="G50" s="17" t="s">
        <v>97</v>
      </c>
      <c r="H50" s="29">
        <f>(F50+(F50*(68/66)))*4</f>
        <v>1180.4377248898181</v>
      </c>
      <c r="I50" s="16"/>
      <c r="J50" s="17"/>
      <c r="K50" s="29"/>
      <c r="L50" s="16"/>
      <c r="M50" s="17"/>
      <c r="N50" s="29"/>
      <c r="O50" s="16"/>
      <c r="P50" s="17"/>
      <c r="Q50" s="29"/>
      <c r="R50" s="16">
        <f>SUM('Plant Measurements'!O1442:O1444)</f>
        <v>175.93304531000007</v>
      </c>
      <c r="S50" s="17">
        <v>0</v>
      </c>
      <c r="T50" s="29">
        <f>R50*4</f>
        <v>703.73218124000027</v>
      </c>
      <c r="U50" s="16"/>
      <c r="V50" s="17"/>
      <c r="W50" s="29"/>
      <c r="X50" s="29">
        <f t="shared" si="2"/>
        <v>1884.1699061298184</v>
      </c>
      <c r="Y50" s="31"/>
      <c r="Z50" s="48">
        <f t="shared" si="3"/>
        <v>0</v>
      </c>
      <c r="AA50" s="48">
        <f t="shared" si="4"/>
        <v>703.73218124000027</v>
      </c>
      <c r="AB50">
        <f t="shared" si="5"/>
        <v>0</v>
      </c>
      <c r="AC50">
        <f t="shared" si="6"/>
        <v>0.62650280160481797</v>
      </c>
      <c r="AD50">
        <f t="shared" si="7"/>
        <v>0</v>
      </c>
      <c r="AE50">
        <f t="shared" si="8"/>
        <v>0.37349719839518203</v>
      </c>
      <c r="AF50">
        <f t="shared" si="9"/>
        <v>0</v>
      </c>
      <c r="AH50">
        <f t="shared" si="10"/>
        <v>21033.62801</v>
      </c>
      <c r="AI50">
        <f t="shared" si="11"/>
        <v>4206.7256020000004</v>
      </c>
      <c r="AJ50">
        <f t="shared" si="12"/>
        <v>7926.1857826342439</v>
      </c>
    </row>
    <row r="51" spans="1:36">
      <c r="A51" s="28" t="s">
        <v>43</v>
      </c>
      <c r="B51" s="29">
        <v>25</v>
      </c>
      <c r="C51" s="16"/>
      <c r="D51" s="30"/>
      <c r="E51" s="29"/>
      <c r="F51" s="16">
        <f>SUM('Plant Measurements'!O1445:O1524)</f>
        <v>255.74855817099993</v>
      </c>
      <c r="G51" s="17" t="s">
        <v>98</v>
      </c>
      <c r="H51" s="29">
        <f>(F51+(F51*(82/80)))*4</f>
        <v>2071.5633211850995</v>
      </c>
      <c r="I51" s="16"/>
      <c r="J51" s="17"/>
      <c r="K51" s="29"/>
      <c r="L51" s="16"/>
      <c r="M51" s="17"/>
      <c r="N51" s="29"/>
      <c r="O51" s="16"/>
      <c r="P51" s="17"/>
      <c r="Q51" s="29"/>
      <c r="R51" s="16">
        <f>SUM('Plant Measurements'!O1525:O1533)</f>
        <v>504.80353747999999</v>
      </c>
      <c r="S51" s="17">
        <v>0</v>
      </c>
      <c r="T51" s="29">
        <f>R51*4</f>
        <v>2019.21414992</v>
      </c>
      <c r="U51" s="16"/>
      <c r="V51" s="17"/>
      <c r="W51" s="29"/>
      <c r="X51" s="29">
        <f t="shared" si="2"/>
        <v>4090.7774711050997</v>
      </c>
      <c r="Y51" s="31"/>
      <c r="Z51" s="48">
        <f t="shared" si="3"/>
        <v>0</v>
      </c>
      <c r="AA51" s="48">
        <f t="shared" si="4"/>
        <v>2019.21414992</v>
      </c>
      <c r="AB51">
        <f t="shared" si="5"/>
        <v>0</v>
      </c>
      <c r="AC51">
        <f t="shared" si="6"/>
        <v>0.50639843790512484</v>
      </c>
      <c r="AD51">
        <f t="shared" si="7"/>
        <v>0</v>
      </c>
      <c r="AE51">
        <f t="shared" si="8"/>
        <v>0.4936015620948751</v>
      </c>
      <c r="AF51">
        <f t="shared" si="9"/>
        <v>0</v>
      </c>
      <c r="AH51">
        <f t="shared" si="10"/>
        <v>21033.62801</v>
      </c>
      <c r="AI51">
        <f t="shared" si="11"/>
        <v>4206.7256020000004</v>
      </c>
      <c r="AJ51">
        <f t="shared" si="12"/>
        <v>17208.778319782639</v>
      </c>
    </row>
    <row r="52" spans="1:36">
      <c r="A52" s="32" t="s">
        <v>43</v>
      </c>
      <c r="B52" s="33">
        <v>29</v>
      </c>
      <c r="C52" s="34"/>
      <c r="D52" s="35"/>
      <c r="E52" s="33"/>
      <c r="F52" s="34"/>
      <c r="G52" s="36"/>
      <c r="H52" s="33"/>
      <c r="I52" s="34"/>
      <c r="J52" s="36"/>
      <c r="K52" s="33"/>
      <c r="L52" s="34"/>
      <c r="M52" s="36"/>
      <c r="N52" s="33"/>
      <c r="O52" s="34"/>
      <c r="P52" s="36"/>
      <c r="Q52" s="33"/>
      <c r="R52" s="34">
        <f>SUM('Plant Measurements'!O1534:O1541)</f>
        <v>740.13842413999998</v>
      </c>
      <c r="S52" s="36">
        <v>0</v>
      </c>
      <c r="T52" s="33">
        <f>4*R52</f>
        <v>2960.5536965599999</v>
      </c>
      <c r="U52" s="34"/>
      <c r="V52" s="36"/>
      <c r="W52" s="33"/>
      <c r="X52" s="33">
        <f t="shared" si="2"/>
        <v>2960.5536965599999</v>
      </c>
      <c r="Y52" s="37"/>
      <c r="Z52" s="48">
        <f t="shared" si="3"/>
        <v>0</v>
      </c>
      <c r="AA52" s="48">
        <f t="shared" si="4"/>
        <v>2960.5536965599999</v>
      </c>
      <c r="AB52">
        <f t="shared" si="5"/>
        <v>0</v>
      </c>
      <c r="AC52">
        <f t="shared" si="6"/>
        <v>0</v>
      </c>
      <c r="AD52">
        <f t="shared" si="7"/>
        <v>0</v>
      </c>
      <c r="AE52">
        <f t="shared" si="8"/>
        <v>1</v>
      </c>
      <c r="AF52">
        <f t="shared" si="9"/>
        <v>0</v>
      </c>
      <c r="AH52">
        <f t="shared" si="10"/>
        <v>21033.62801</v>
      </c>
      <c r="AI52">
        <f t="shared" si="11"/>
        <v>4206.7256020000004</v>
      </c>
      <c r="AJ52">
        <f t="shared" si="12"/>
        <v>12454.237031414694</v>
      </c>
    </row>
    <row r="53" spans="1:36">
      <c r="A53" s="45"/>
      <c r="B53" s="45"/>
      <c r="C53" s="46"/>
      <c r="D53" s="47"/>
      <c r="E53" s="45"/>
      <c r="F53" s="46"/>
      <c r="G53" s="46"/>
      <c r="H53" s="45"/>
      <c r="I53" s="46"/>
      <c r="J53" s="46"/>
      <c r="K53" s="45"/>
      <c r="L53" s="46"/>
      <c r="M53" s="46"/>
      <c r="N53" s="45"/>
      <c r="O53" s="46"/>
      <c r="P53" s="46"/>
      <c r="Q53" s="45"/>
      <c r="R53" s="46"/>
      <c r="S53" s="46"/>
      <c r="T53" s="45"/>
      <c r="U53" s="46"/>
      <c r="V53" s="46"/>
      <c r="W53" s="45"/>
      <c r="X53" s="45"/>
      <c r="Y53" s="45" t="s">
        <v>118</v>
      </c>
      <c r="Z53" s="45"/>
      <c r="AA53" s="45"/>
      <c r="AB53">
        <f>AVERAGE(AB3:AB52)</f>
        <v>0.218944232939524</v>
      </c>
      <c r="AC53">
        <f t="shared" ref="AC53:AF53" si="15">AVERAGE(AC3:AC52)</f>
        <v>0.11243464253289374</v>
      </c>
      <c r="AD53">
        <f t="shared" si="15"/>
        <v>4.5649256149218791E-3</v>
      </c>
      <c r="AE53">
        <f t="shared" si="15"/>
        <v>0.64361913208477306</v>
      </c>
      <c r="AF53">
        <f t="shared" si="15"/>
        <v>2.0437066827887308E-2</v>
      </c>
      <c r="AI53" t="s">
        <v>113</v>
      </c>
      <c r="AJ53">
        <f>SUM(AJ3:AJ52)</f>
        <v>617131.47566542833</v>
      </c>
    </row>
    <row r="54" spans="1:36">
      <c r="A54" s="45"/>
      <c r="B54" s="45"/>
      <c r="C54" s="46"/>
      <c r="D54" s="47"/>
      <c r="E54" s="45"/>
      <c r="F54" s="46"/>
      <c r="G54" s="46"/>
      <c r="H54" s="45"/>
      <c r="I54" s="46"/>
      <c r="J54" s="46"/>
      <c r="K54" s="45"/>
      <c r="L54" s="46"/>
      <c r="M54" s="46"/>
      <c r="N54" s="45"/>
      <c r="O54" s="46"/>
      <c r="P54" s="46"/>
      <c r="Q54" s="45"/>
      <c r="R54" s="46"/>
      <c r="S54" s="46"/>
      <c r="T54" s="45"/>
      <c r="U54" s="46"/>
      <c r="V54" s="46"/>
      <c r="W54" s="45"/>
      <c r="X54" s="45"/>
      <c r="Y54" s="45"/>
      <c r="Z54" s="45"/>
      <c r="AA54" s="45"/>
    </row>
    <row r="55" spans="1:36">
      <c r="A55" s="45"/>
      <c r="B55" s="45"/>
      <c r="C55" s="46"/>
      <c r="D55" s="47"/>
      <c r="E55" s="45"/>
      <c r="F55" s="46"/>
      <c r="G55" s="46"/>
      <c r="H55" s="45"/>
      <c r="I55" s="46"/>
      <c r="J55" s="46"/>
      <c r="K55" s="45"/>
      <c r="L55" s="46"/>
      <c r="M55" s="46"/>
      <c r="N55" s="45"/>
      <c r="O55" s="46"/>
      <c r="P55" s="46"/>
      <c r="Q55" s="45"/>
      <c r="R55" s="46"/>
      <c r="S55" s="46"/>
      <c r="T55" s="45"/>
      <c r="U55" s="46"/>
      <c r="V55" s="46"/>
      <c r="W55" s="45"/>
      <c r="X55" s="45"/>
      <c r="Y55" s="45"/>
      <c r="Z55" s="45"/>
      <c r="AA55" s="45"/>
    </row>
    <row r="56" spans="1:36">
      <c r="A56" s="45"/>
      <c r="B56" s="45"/>
      <c r="C56" s="46"/>
      <c r="D56" s="47"/>
      <c r="E56" s="45"/>
      <c r="F56" s="46"/>
      <c r="G56" s="46"/>
      <c r="H56" s="45"/>
      <c r="I56" s="46"/>
      <c r="J56" s="46"/>
      <c r="K56" s="45"/>
      <c r="L56" s="46"/>
      <c r="M56" s="46"/>
      <c r="N56" s="45"/>
      <c r="O56" s="46"/>
      <c r="P56" s="46"/>
      <c r="Q56" s="45"/>
      <c r="R56" s="46"/>
      <c r="S56" s="46"/>
      <c r="T56" s="45"/>
      <c r="U56" s="46"/>
      <c r="V56" s="46"/>
      <c r="W56" s="45"/>
      <c r="X56" s="45"/>
      <c r="Y56" s="45"/>
      <c r="Z56" s="45"/>
      <c r="AA56" s="45"/>
    </row>
    <row r="57" spans="1:36">
      <c r="A57" s="45"/>
      <c r="B57" s="45"/>
      <c r="C57" s="46"/>
      <c r="D57" s="47"/>
      <c r="E57" s="45"/>
      <c r="F57" s="46"/>
      <c r="G57" s="46"/>
      <c r="H57" s="45"/>
      <c r="I57" s="46"/>
      <c r="J57" s="46"/>
      <c r="K57" s="45"/>
      <c r="L57" s="46"/>
      <c r="M57" s="46"/>
      <c r="N57" s="45"/>
      <c r="O57" s="46"/>
      <c r="P57" s="46"/>
      <c r="Q57" s="45"/>
      <c r="R57" s="46"/>
      <c r="S57" s="46"/>
      <c r="T57" s="45"/>
      <c r="U57" s="46"/>
      <c r="V57" s="46"/>
      <c r="W57" s="45"/>
      <c r="X57" s="45"/>
      <c r="Y57" s="45"/>
      <c r="Z57" s="45"/>
      <c r="AA57" s="45"/>
    </row>
    <row r="58" spans="1:36">
      <c r="A58" s="45"/>
      <c r="B58" s="45"/>
      <c r="C58" s="46"/>
      <c r="D58" s="47"/>
      <c r="E58" s="45"/>
      <c r="F58" s="46"/>
      <c r="G58" s="46"/>
      <c r="H58" s="45"/>
      <c r="I58" s="46"/>
      <c r="J58" s="46"/>
      <c r="K58" s="45"/>
      <c r="L58" s="46"/>
      <c r="M58" s="46"/>
      <c r="N58" s="45"/>
      <c r="O58" s="46"/>
      <c r="P58" s="46"/>
      <c r="Q58" s="45"/>
      <c r="R58" s="46"/>
      <c r="S58" s="46"/>
      <c r="T58" s="45"/>
      <c r="U58" s="46"/>
      <c r="V58" s="46"/>
      <c r="W58" s="45"/>
      <c r="X58" s="45"/>
      <c r="Y58" s="45"/>
      <c r="Z58" s="45"/>
      <c r="AA58" s="45"/>
    </row>
    <row r="59" spans="1:36">
      <c r="A59" s="45"/>
      <c r="B59" s="45"/>
      <c r="C59" s="46"/>
      <c r="D59" s="47"/>
      <c r="E59" s="45"/>
      <c r="F59" s="46"/>
      <c r="G59" s="46"/>
      <c r="H59" s="45"/>
      <c r="I59" s="46"/>
      <c r="J59" s="46"/>
      <c r="K59" s="45"/>
      <c r="L59" s="46"/>
      <c r="M59" s="46"/>
      <c r="N59" s="45"/>
      <c r="O59" s="46"/>
      <c r="P59" s="46"/>
      <c r="Q59" s="45"/>
      <c r="R59" s="46"/>
      <c r="S59" s="46"/>
      <c r="T59" s="45"/>
      <c r="U59" s="46"/>
      <c r="V59" s="46"/>
      <c r="W59" s="45"/>
      <c r="X59" s="45"/>
      <c r="Y59" s="45"/>
      <c r="Z59" s="45"/>
      <c r="AA59" s="45"/>
    </row>
    <row r="60" spans="1:36">
      <c r="A60" s="45"/>
      <c r="B60" s="45"/>
      <c r="C60" s="46"/>
      <c r="D60" s="47"/>
      <c r="E60" s="45"/>
      <c r="F60" s="46"/>
      <c r="G60" s="46"/>
      <c r="H60" s="45"/>
      <c r="I60" s="46"/>
      <c r="J60" s="46"/>
      <c r="K60" s="45"/>
      <c r="L60" s="46"/>
      <c r="M60" s="46"/>
      <c r="N60" s="45"/>
      <c r="O60" s="46"/>
      <c r="P60" s="46"/>
      <c r="Q60" s="45"/>
      <c r="R60" s="46"/>
      <c r="S60" s="46"/>
      <c r="T60" s="45"/>
      <c r="U60" s="46"/>
      <c r="V60" s="46"/>
      <c r="W60" s="45"/>
      <c r="X60" s="45"/>
      <c r="Y60" s="45"/>
      <c r="Z60" s="45"/>
      <c r="AA60" s="45"/>
    </row>
    <row r="61" spans="1:36">
      <c r="A61" s="45"/>
      <c r="B61" s="45"/>
      <c r="C61" s="46"/>
      <c r="D61" s="47"/>
      <c r="E61" s="45"/>
      <c r="F61" s="46"/>
      <c r="G61" s="46"/>
      <c r="H61" s="45"/>
      <c r="I61" s="46"/>
      <c r="J61" s="46"/>
      <c r="K61" s="45"/>
      <c r="L61" s="46"/>
      <c r="M61" s="46"/>
      <c r="N61" s="45"/>
      <c r="O61" s="46"/>
      <c r="P61" s="46"/>
      <c r="Q61" s="45"/>
      <c r="R61" s="46"/>
      <c r="S61" s="46"/>
      <c r="T61" s="45"/>
      <c r="U61" s="46"/>
      <c r="V61" s="46"/>
      <c r="W61" s="45"/>
      <c r="X61" s="45"/>
      <c r="Y61" s="45"/>
      <c r="Z61" s="45"/>
      <c r="AA61" s="45"/>
    </row>
    <row r="62" spans="1:36">
      <c r="A62" s="45"/>
      <c r="B62" s="45"/>
      <c r="C62" s="46"/>
      <c r="D62" s="47"/>
      <c r="E62" s="45"/>
      <c r="F62" s="46"/>
      <c r="G62" s="46"/>
      <c r="H62" s="45"/>
      <c r="I62" s="46"/>
      <c r="J62" s="46"/>
      <c r="K62" s="45"/>
      <c r="L62" s="46"/>
      <c r="M62" s="46"/>
      <c r="N62" s="45"/>
      <c r="O62" s="46"/>
      <c r="P62" s="46"/>
      <c r="Q62" s="45"/>
      <c r="R62" s="46"/>
      <c r="S62" s="46"/>
      <c r="T62" s="45"/>
      <c r="U62" s="46"/>
      <c r="V62" s="46"/>
      <c r="W62" s="45"/>
      <c r="X62" s="45"/>
      <c r="Y62" s="45"/>
      <c r="Z62" s="45"/>
      <c r="AA62" s="45"/>
    </row>
    <row r="63" spans="1:36">
      <c r="A63" s="45"/>
      <c r="B63" s="45"/>
      <c r="C63" s="46"/>
      <c r="D63" s="47"/>
      <c r="E63" s="45"/>
      <c r="F63" s="46"/>
      <c r="G63" s="46"/>
      <c r="H63" s="45"/>
      <c r="I63" s="46"/>
      <c r="J63" s="46"/>
      <c r="K63" s="45"/>
      <c r="L63" s="46"/>
      <c r="M63" s="46"/>
      <c r="N63" s="45"/>
      <c r="O63" s="46"/>
      <c r="P63" s="46"/>
      <c r="Q63" s="45"/>
      <c r="R63" s="46"/>
      <c r="S63" s="46"/>
      <c r="T63" s="45"/>
      <c r="U63" s="46"/>
      <c r="V63" s="46"/>
      <c r="W63" s="45"/>
      <c r="X63" s="45"/>
      <c r="Y63" s="45"/>
      <c r="Z63" s="45"/>
      <c r="AA63" s="45"/>
    </row>
    <row r="64" spans="1:36">
      <c r="A64" s="45"/>
      <c r="B64" s="45"/>
      <c r="C64" s="46"/>
      <c r="D64" s="47"/>
      <c r="E64" s="45"/>
      <c r="F64" s="46"/>
      <c r="G64" s="46"/>
      <c r="H64" s="45"/>
      <c r="I64" s="46"/>
      <c r="J64" s="46"/>
      <c r="K64" s="45"/>
      <c r="L64" s="46"/>
      <c r="M64" s="46"/>
      <c r="N64" s="45"/>
      <c r="O64" s="46"/>
      <c r="P64" s="46"/>
      <c r="Q64" s="45"/>
      <c r="R64" s="46"/>
      <c r="S64" s="46"/>
      <c r="T64" s="45"/>
      <c r="U64" s="46"/>
      <c r="V64" s="46"/>
      <c r="W64" s="45"/>
      <c r="X64" s="45"/>
      <c r="Y64" s="45"/>
      <c r="Z64" s="45"/>
      <c r="AA64" s="45"/>
    </row>
    <row r="65" spans="1:27">
      <c r="A65" s="45"/>
      <c r="B65" s="45"/>
      <c r="C65" s="46"/>
      <c r="D65" s="47"/>
      <c r="E65" s="45"/>
      <c r="F65" s="46"/>
      <c r="G65" s="46"/>
      <c r="H65" s="45"/>
      <c r="I65" s="46"/>
      <c r="J65" s="46"/>
      <c r="K65" s="45"/>
      <c r="L65" s="46"/>
      <c r="M65" s="46"/>
      <c r="N65" s="45"/>
      <c r="O65" s="46"/>
      <c r="P65" s="46"/>
      <c r="Q65" s="45"/>
      <c r="R65" s="46"/>
      <c r="S65" s="46"/>
      <c r="T65" s="45"/>
      <c r="U65" s="46"/>
      <c r="V65" s="46"/>
      <c r="W65" s="45"/>
      <c r="X65" s="45"/>
      <c r="Y65" s="45"/>
      <c r="Z65" s="45"/>
      <c r="AA65" s="45"/>
    </row>
    <row r="66" spans="1:27">
      <c r="A66" s="45"/>
      <c r="B66" s="45"/>
      <c r="C66" s="46"/>
      <c r="D66" s="47"/>
      <c r="E66" s="45"/>
      <c r="F66" s="46"/>
      <c r="G66" s="46"/>
      <c r="H66" s="45"/>
      <c r="I66" s="46"/>
      <c r="J66" s="46"/>
      <c r="K66" s="45"/>
      <c r="L66" s="46"/>
      <c r="M66" s="46"/>
      <c r="N66" s="45"/>
      <c r="O66" s="46"/>
      <c r="P66" s="46"/>
      <c r="Q66" s="45"/>
      <c r="R66" s="46"/>
      <c r="S66" s="46"/>
      <c r="T66" s="45"/>
      <c r="U66" s="46"/>
      <c r="V66" s="46"/>
      <c r="W66" s="45"/>
      <c r="X66" s="45"/>
      <c r="Y66" s="45"/>
      <c r="Z66" s="45"/>
      <c r="AA66" s="45"/>
    </row>
    <row r="67" spans="1:27">
      <c r="A67" s="45"/>
      <c r="B67" s="45"/>
      <c r="C67" s="46"/>
      <c r="D67" s="47"/>
      <c r="E67" s="45"/>
      <c r="F67" s="46"/>
      <c r="G67" s="46"/>
      <c r="H67" s="45"/>
      <c r="I67" s="46"/>
      <c r="J67" s="46"/>
      <c r="K67" s="45"/>
      <c r="L67" s="46"/>
      <c r="M67" s="46"/>
      <c r="N67" s="45"/>
      <c r="O67" s="46"/>
      <c r="P67" s="46"/>
      <c r="Q67" s="45"/>
      <c r="R67" s="46"/>
      <c r="S67" s="46"/>
      <c r="T67" s="45"/>
      <c r="U67" s="46"/>
      <c r="V67" s="46"/>
      <c r="W67" s="45"/>
      <c r="X67" s="45"/>
      <c r="Y67" s="45"/>
      <c r="Z67" s="45"/>
      <c r="AA67" s="45"/>
    </row>
    <row r="68" spans="1:27">
      <c r="A68" s="45"/>
      <c r="B68" s="45"/>
      <c r="C68" s="46"/>
      <c r="D68" s="47"/>
      <c r="E68" s="45"/>
      <c r="F68" s="46"/>
      <c r="G68" s="46"/>
      <c r="H68" s="45"/>
      <c r="I68" s="46"/>
      <c r="J68" s="46"/>
      <c r="K68" s="45"/>
      <c r="L68" s="46"/>
      <c r="M68" s="46"/>
      <c r="N68" s="45"/>
      <c r="O68" s="46"/>
      <c r="P68" s="46"/>
      <c r="Q68" s="45"/>
      <c r="R68" s="46"/>
      <c r="S68" s="46"/>
      <c r="T68" s="45"/>
      <c r="U68" s="46"/>
      <c r="V68" s="46"/>
      <c r="W68" s="45"/>
      <c r="X68" s="45"/>
      <c r="Y68" s="45"/>
      <c r="Z68" s="45"/>
      <c r="AA68" s="45"/>
    </row>
    <row r="69" spans="1:27">
      <c r="A69" s="45"/>
      <c r="B69" s="45"/>
      <c r="C69" s="46"/>
      <c r="D69" s="47"/>
      <c r="E69" s="45"/>
      <c r="F69" s="46"/>
      <c r="G69" s="46"/>
      <c r="H69" s="45"/>
      <c r="I69" s="46"/>
      <c r="J69" s="46"/>
      <c r="K69" s="45"/>
      <c r="L69" s="46"/>
      <c r="M69" s="46"/>
      <c r="N69" s="45"/>
      <c r="O69" s="46"/>
      <c r="P69" s="46"/>
      <c r="Q69" s="45"/>
      <c r="R69" s="46"/>
      <c r="S69" s="46"/>
      <c r="T69" s="45"/>
      <c r="U69" s="46"/>
      <c r="V69" s="46"/>
      <c r="W69" s="45"/>
      <c r="X69" s="45"/>
      <c r="Y69" s="45"/>
      <c r="Z69" s="45"/>
      <c r="AA69" s="45"/>
    </row>
    <row r="70" spans="1:27">
      <c r="A70" s="45"/>
      <c r="B70" s="45"/>
      <c r="C70" s="46"/>
      <c r="D70" s="47"/>
      <c r="E70" s="45"/>
      <c r="F70" s="46"/>
      <c r="G70" s="46"/>
      <c r="H70" s="45"/>
      <c r="I70" s="46"/>
      <c r="J70" s="46"/>
      <c r="K70" s="45"/>
      <c r="L70" s="46"/>
      <c r="M70" s="46"/>
      <c r="N70" s="45"/>
      <c r="O70" s="46"/>
      <c r="P70" s="46"/>
      <c r="Q70" s="45"/>
      <c r="R70" s="46"/>
      <c r="S70" s="46"/>
      <c r="T70" s="45"/>
      <c r="U70" s="46"/>
      <c r="V70" s="46"/>
      <c r="W70" s="45"/>
      <c r="X70" s="45"/>
      <c r="Y70" s="45"/>
      <c r="Z70" s="45"/>
      <c r="AA70" s="45"/>
    </row>
    <row r="71" spans="1:27">
      <c r="A71" s="45"/>
      <c r="B71" s="45"/>
      <c r="C71" s="46"/>
      <c r="D71" s="47"/>
      <c r="E71" s="45"/>
      <c r="F71" s="46"/>
      <c r="G71" s="46"/>
      <c r="H71" s="45"/>
      <c r="I71" s="46"/>
      <c r="J71" s="46"/>
      <c r="K71" s="45"/>
      <c r="L71" s="46"/>
      <c r="M71" s="46"/>
      <c r="N71" s="45"/>
      <c r="O71" s="46"/>
      <c r="P71" s="46"/>
      <c r="Q71" s="45"/>
      <c r="R71" s="46"/>
      <c r="S71" s="46"/>
      <c r="T71" s="45"/>
      <c r="U71" s="46"/>
      <c r="V71" s="46"/>
      <c r="W71" s="45"/>
      <c r="X71" s="45"/>
      <c r="Y71" s="45"/>
      <c r="Z71" s="45"/>
      <c r="AA71" s="45"/>
    </row>
    <row r="72" spans="1:27">
      <c r="A72" s="45"/>
      <c r="B72" s="45"/>
      <c r="C72" s="46"/>
      <c r="D72" s="47"/>
      <c r="E72" s="45"/>
      <c r="F72" s="46"/>
      <c r="G72" s="46"/>
      <c r="H72" s="45"/>
      <c r="I72" s="46"/>
      <c r="J72" s="46"/>
      <c r="K72" s="45"/>
      <c r="L72" s="46"/>
      <c r="M72" s="46"/>
      <c r="N72" s="45"/>
      <c r="O72" s="46"/>
      <c r="P72" s="46"/>
      <c r="Q72" s="45"/>
      <c r="R72" s="46"/>
      <c r="S72" s="46"/>
      <c r="T72" s="45"/>
      <c r="U72" s="46"/>
      <c r="V72" s="46"/>
      <c r="W72" s="45"/>
      <c r="X72" s="45"/>
      <c r="Y72" s="45"/>
      <c r="Z72" s="45"/>
      <c r="AA72" s="45"/>
    </row>
    <row r="73" spans="1:27">
      <c r="A73" s="45"/>
      <c r="B73" s="45"/>
      <c r="C73" s="46"/>
      <c r="D73" s="47"/>
      <c r="E73" s="45"/>
      <c r="F73" s="46"/>
      <c r="G73" s="46"/>
      <c r="H73" s="45"/>
      <c r="I73" s="46"/>
      <c r="J73" s="46"/>
      <c r="K73" s="45"/>
      <c r="L73" s="46"/>
      <c r="M73" s="46"/>
      <c r="N73" s="45"/>
      <c r="O73" s="46"/>
      <c r="P73" s="46"/>
      <c r="Q73" s="45"/>
      <c r="R73" s="46"/>
      <c r="S73" s="46"/>
      <c r="T73" s="45"/>
      <c r="U73" s="46"/>
      <c r="V73" s="46"/>
      <c r="W73" s="45"/>
      <c r="X73" s="45"/>
      <c r="Y73" s="45"/>
      <c r="Z73" s="45"/>
      <c r="AA73" s="45"/>
    </row>
    <row r="74" spans="1:27">
      <c r="A74" s="45"/>
      <c r="B74" s="45"/>
      <c r="C74" s="46"/>
      <c r="D74" s="47"/>
      <c r="E74" s="45"/>
      <c r="F74" s="46"/>
      <c r="G74" s="46"/>
      <c r="H74" s="45"/>
      <c r="I74" s="46"/>
      <c r="J74" s="46"/>
      <c r="K74" s="45"/>
      <c r="L74" s="46"/>
      <c r="M74" s="46"/>
      <c r="N74" s="45"/>
      <c r="O74" s="46"/>
      <c r="P74" s="46"/>
      <c r="Q74" s="45"/>
      <c r="R74" s="46"/>
      <c r="S74" s="46"/>
      <c r="T74" s="45"/>
      <c r="U74" s="46"/>
      <c r="V74" s="46"/>
      <c r="W74" s="45"/>
      <c r="X74" s="45"/>
      <c r="Y74" s="45"/>
      <c r="Z74" s="45"/>
      <c r="AA74" s="45"/>
    </row>
    <row r="75" spans="1:27">
      <c r="A75" s="45"/>
      <c r="B75" s="45"/>
      <c r="C75" s="46"/>
      <c r="D75" s="47"/>
      <c r="E75" s="45"/>
      <c r="F75" s="46"/>
      <c r="G75" s="46"/>
      <c r="H75" s="45"/>
      <c r="I75" s="46"/>
      <c r="J75" s="46"/>
      <c r="K75" s="45"/>
      <c r="L75" s="46"/>
      <c r="M75" s="46"/>
      <c r="N75" s="45"/>
      <c r="O75" s="46"/>
      <c r="P75" s="46"/>
      <c r="Q75" s="45"/>
      <c r="R75" s="46"/>
      <c r="S75" s="46"/>
      <c r="T75" s="45"/>
      <c r="U75" s="46"/>
      <c r="V75" s="46"/>
      <c r="W75" s="45"/>
      <c r="X75" s="45"/>
      <c r="Y75" s="45"/>
      <c r="Z75" s="45"/>
      <c r="AA75" s="45"/>
    </row>
    <row r="76" spans="1:27">
      <c r="A76" s="45"/>
      <c r="B76" s="45"/>
      <c r="C76" s="46"/>
      <c r="D76" s="47"/>
      <c r="E76" s="45"/>
      <c r="F76" s="46"/>
      <c r="G76" s="46"/>
      <c r="H76" s="45"/>
      <c r="I76" s="46"/>
      <c r="J76" s="46"/>
      <c r="K76" s="45"/>
      <c r="L76" s="46"/>
      <c r="M76" s="46"/>
      <c r="N76" s="45"/>
      <c r="O76" s="46"/>
      <c r="P76" s="46"/>
      <c r="Q76" s="45"/>
      <c r="R76" s="46"/>
      <c r="S76" s="46"/>
      <c r="T76" s="45"/>
      <c r="U76" s="46"/>
      <c r="V76" s="46"/>
      <c r="W76" s="45"/>
      <c r="X76" s="45"/>
      <c r="Y76" s="45"/>
      <c r="Z76" s="45"/>
      <c r="AA76" s="45"/>
    </row>
    <row r="77" spans="1:27">
      <c r="A77" s="45"/>
      <c r="B77" s="45"/>
      <c r="C77" s="46"/>
      <c r="D77" s="47"/>
      <c r="E77" s="45"/>
      <c r="F77" s="46"/>
      <c r="G77" s="46"/>
      <c r="H77" s="45"/>
      <c r="I77" s="46"/>
      <c r="J77" s="46"/>
      <c r="K77" s="45"/>
      <c r="L77" s="46"/>
      <c r="M77" s="46"/>
      <c r="N77" s="45"/>
      <c r="O77" s="46"/>
      <c r="P77" s="46"/>
      <c r="Q77" s="45"/>
      <c r="R77" s="46"/>
      <c r="S77" s="46"/>
      <c r="T77" s="45"/>
      <c r="U77" s="46"/>
      <c r="V77" s="46"/>
      <c r="W77" s="45"/>
      <c r="X77" s="45"/>
      <c r="Y77" s="45"/>
      <c r="Z77" s="45"/>
      <c r="AA77" s="45"/>
    </row>
    <row r="78" spans="1:27">
      <c r="A78" s="45"/>
      <c r="B78" s="45"/>
      <c r="C78" s="46"/>
      <c r="D78" s="47"/>
      <c r="E78" s="45"/>
      <c r="F78" s="46"/>
      <c r="G78" s="46"/>
      <c r="H78" s="45"/>
      <c r="I78" s="46"/>
      <c r="J78" s="46"/>
      <c r="K78" s="45"/>
      <c r="L78" s="46"/>
      <c r="M78" s="46"/>
      <c r="N78" s="45"/>
      <c r="O78" s="46"/>
      <c r="P78" s="46"/>
      <c r="Q78" s="45"/>
      <c r="R78" s="46"/>
      <c r="S78" s="46"/>
      <c r="T78" s="45"/>
      <c r="U78" s="46"/>
      <c r="V78" s="46"/>
      <c r="W78" s="45"/>
      <c r="X78" s="45"/>
      <c r="Y78" s="45"/>
      <c r="Z78" s="45"/>
      <c r="AA78" s="45"/>
    </row>
    <row r="79" spans="1:27">
      <c r="A79" s="45"/>
      <c r="B79" s="45"/>
      <c r="C79" s="46"/>
      <c r="D79" s="47"/>
      <c r="E79" s="45"/>
      <c r="F79" s="46"/>
      <c r="G79" s="46"/>
      <c r="H79" s="45"/>
      <c r="I79" s="46"/>
      <c r="J79" s="46"/>
      <c r="K79" s="45"/>
      <c r="L79" s="46"/>
      <c r="M79" s="46"/>
      <c r="N79" s="45"/>
      <c r="O79" s="46"/>
      <c r="P79" s="46"/>
      <c r="Q79" s="45"/>
      <c r="R79" s="46"/>
      <c r="S79" s="46"/>
      <c r="T79" s="45"/>
      <c r="U79" s="46"/>
      <c r="V79" s="46"/>
      <c r="W79" s="45"/>
      <c r="X79" s="45"/>
      <c r="Y79" s="45"/>
      <c r="Z79" s="45"/>
      <c r="AA79" s="45"/>
    </row>
    <row r="80" spans="1:27">
      <c r="A80" s="45"/>
      <c r="B80" s="45"/>
      <c r="C80" s="46"/>
      <c r="D80" s="47"/>
      <c r="E80" s="45"/>
      <c r="F80" s="46"/>
      <c r="G80" s="46"/>
      <c r="H80" s="45"/>
      <c r="I80" s="46"/>
      <c r="J80" s="46"/>
      <c r="K80" s="45"/>
      <c r="L80" s="46"/>
      <c r="M80" s="46"/>
      <c r="N80" s="45"/>
      <c r="O80" s="46"/>
      <c r="P80" s="46"/>
      <c r="Q80" s="45"/>
      <c r="R80" s="46"/>
      <c r="S80" s="46"/>
      <c r="T80" s="45"/>
      <c r="U80" s="46"/>
      <c r="V80" s="46"/>
      <c r="W80" s="45"/>
      <c r="X80" s="45"/>
      <c r="Y80" s="45"/>
      <c r="Z80" s="45"/>
      <c r="AA80" s="45"/>
    </row>
    <row r="81" spans="1:27">
      <c r="A81" s="45"/>
      <c r="B81" s="45"/>
      <c r="C81" s="46"/>
      <c r="D81" s="47"/>
      <c r="E81" s="45"/>
      <c r="F81" s="46"/>
      <c r="G81" s="46"/>
      <c r="H81" s="45"/>
      <c r="I81" s="46"/>
      <c r="J81" s="46"/>
      <c r="K81" s="45"/>
      <c r="L81" s="46"/>
      <c r="M81" s="46"/>
      <c r="N81" s="45"/>
      <c r="O81" s="46"/>
      <c r="P81" s="46"/>
      <c r="Q81" s="45"/>
      <c r="R81" s="46"/>
      <c r="S81" s="46"/>
      <c r="T81" s="45"/>
      <c r="U81" s="46"/>
      <c r="V81" s="46"/>
      <c r="W81" s="45"/>
      <c r="X81" s="45"/>
      <c r="Y81" s="45"/>
      <c r="Z81" s="45"/>
      <c r="AA81" s="45"/>
    </row>
    <row r="82" spans="1:27">
      <c r="A82" s="45"/>
      <c r="B82" s="45"/>
      <c r="C82" s="46"/>
      <c r="D82" s="47"/>
      <c r="E82" s="45"/>
      <c r="F82" s="46"/>
      <c r="G82" s="46"/>
      <c r="H82" s="45"/>
      <c r="I82" s="46"/>
      <c r="J82" s="46"/>
      <c r="K82" s="45"/>
      <c r="L82" s="46"/>
      <c r="M82" s="46"/>
      <c r="N82" s="45"/>
      <c r="O82" s="46"/>
      <c r="P82" s="46"/>
      <c r="Q82" s="45"/>
      <c r="R82" s="46"/>
      <c r="S82" s="46"/>
      <c r="T82" s="45"/>
      <c r="U82" s="46"/>
      <c r="V82" s="46"/>
      <c r="W82" s="45"/>
      <c r="X82" s="45"/>
      <c r="Y82" s="45"/>
      <c r="Z82" s="45"/>
      <c r="AA82" s="45"/>
    </row>
    <row r="83" spans="1:27">
      <c r="A83" s="45"/>
      <c r="B83" s="45"/>
      <c r="C83" s="46"/>
      <c r="D83" s="47"/>
      <c r="E83" s="45"/>
      <c r="F83" s="46"/>
      <c r="G83" s="46"/>
      <c r="H83" s="45"/>
      <c r="I83" s="46"/>
      <c r="J83" s="46"/>
      <c r="K83" s="45"/>
      <c r="L83" s="46"/>
      <c r="M83" s="46"/>
      <c r="N83" s="45"/>
      <c r="O83" s="46"/>
      <c r="P83" s="46"/>
      <c r="Q83" s="45"/>
      <c r="R83" s="46"/>
      <c r="S83" s="46"/>
      <c r="T83" s="45"/>
      <c r="U83" s="46"/>
      <c r="V83" s="46"/>
      <c r="W83" s="45"/>
      <c r="X83" s="45"/>
      <c r="Y83" s="45"/>
      <c r="Z83" s="45"/>
      <c r="AA83" s="45"/>
    </row>
    <row r="84" spans="1:27">
      <c r="A84" s="45"/>
      <c r="B84" s="45"/>
      <c r="C84" s="46"/>
      <c r="D84" s="47"/>
      <c r="E84" s="45"/>
      <c r="F84" s="46"/>
      <c r="G84" s="46"/>
      <c r="H84" s="45"/>
      <c r="I84" s="46"/>
      <c r="J84" s="46"/>
      <c r="K84" s="45"/>
      <c r="L84" s="46"/>
      <c r="M84" s="46"/>
      <c r="N84" s="45"/>
      <c r="O84" s="46"/>
      <c r="P84" s="46"/>
      <c r="Q84" s="45"/>
      <c r="R84" s="46"/>
      <c r="S84" s="46"/>
      <c r="T84" s="45"/>
      <c r="U84" s="46"/>
      <c r="V84" s="46"/>
      <c r="W84" s="45"/>
      <c r="X84" s="45"/>
      <c r="Y84" s="45"/>
      <c r="Z84" s="45"/>
      <c r="AA84" s="45"/>
    </row>
    <row r="85" spans="1:27">
      <c r="A85" s="45"/>
      <c r="B85" s="45"/>
      <c r="C85" s="46"/>
      <c r="D85" s="47"/>
      <c r="E85" s="45"/>
      <c r="F85" s="46"/>
      <c r="G85" s="46"/>
      <c r="H85" s="45"/>
      <c r="I85" s="46"/>
      <c r="J85" s="46"/>
      <c r="K85" s="45"/>
      <c r="L85" s="46"/>
      <c r="M85" s="46"/>
      <c r="N85" s="45"/>
      <c r="O85" s="46"/>
      <c r="P85" s="46"/>
      <c r="Q85" s="45"/>
      <c r="R85" s="46"/>
      <c r="S85" s="46"/>
      <c r="T85" s="45"/>
      <c r="U85" s="46"/>
      <c r="V85" s="46"/>
      <c r="W85" s="45"/>
      <c r="X85" s="45"/>
      <c r="Y85" s="45"/>
      <c r="Z85" s="45"/>
      <c r="AA85" s="45"/>
    </row>
    <row r="86" spans="1:27">
      <c r="A86" s="45"/>
      <c r="B86" s="45"/>
      <c r="C86" s="46"/>
      <c r="D86" s="47"/>
      <c r="E86" s="45"/>
      <c r="F86" s="46"/>
      <c r="G86" s="46"/>
      <c r="H86" s="45"/>
      <c r="I86" s="46"/>
      <c r="J86" s="46"/>
      <c r="K86" s="45"/>
      <c r="L86" s="46"/>
      <c r="M86" s="46"/>
      <c r="N86" s="45"/>
      <c r="O86" s="46"/>
      <c r="P86" s="46"/>
      <c r="Q86" s="45"/>
      <c r="R86" s="46"/>
      <c r="S86" s="46"/>
      <c r="T86" s="45"/>
      <c r="U86" s="46"/>
      <c r="V86" s="46"/>
      <c r="W86" s="45"/>
      <c r="X86" s="45"/>
      <c r="Y86" s="45"/>
      <c r="Z86" s="45"/>
      <c r="AA86" s="45"/>
    </row>
    <row r="87" spans="1:27">
      <c r="A87" s="45"/>
      <c r="B87" s="45"/>
      <c r="C87" s="46"/>
      <c r="D87" s="47"/>
      <c r="E87" s="45"/>
      <c r="F87" s="46"/>
      <c r="G87" s="46"/>
      <c r="H87" s="45"/>
      <c r="I87" s="46"/>
      <c r="J87" s="46"/>
      <c r="K87" s="45"/>
      <c r="L87" s="46"/>
      <c r="M87" s="46"/>
      <c r="N87" s="45"/>
      <c r="O87" s="46"/>
      <c r="P87" s="46"/>
      <c r="Q87" s="45"/>
      <c r="R87" s="46"/>
      <c r="S87" s="46"/>
      <c r="T87" s="45"/>
      <c r="U87" s="46"/>
      <c r="V87" s="46"/>
      <c r="W87" s="45"/>
      <c r="X87" s="45"/>
      <c r="Y87" s="45"/>
      <c r="Z87" s="45"/>
      <c r="AA87" s="45"/>
    </row>
    <row r="88" spans="1:27">
      <c r="A88" s="45"/>
      <c r="B88" s="45"/>
      <c r="C88" s="46"/>
      <c r="D88" s="47"/>
      <c r="E88" s="45"/>
      <c r="F88" s="46"/>
      <c r="G88" s="46"/>
      <c r="H88" s="45"/>
      <c r="I88" s="46"/>
      <c r="J88" s="46"/>
      <c r="K88" s="45"/>
      <c r="L88" s="46"/>
      <c r="M88" s="46"/>
      <c r="N88" s="45"/>
      <c r="O88" s="46"/>
      <c r="P88" s="46"/>
      <c r="Q88" s="45"/>
      <c r="R88" s="46"/>
      <c r="S88" s="46"/>
      <c r="T88" s="45"/>
      <c r="U88" s="46"/>
      <c r="V88" s="46"/>
      <c r="W88" s="45"/>
      <c r="X88" s="45"/>
      <c r="Y88" s="45"/>
      <c r="Z88" s="45"/>
      <c r="AA88" s="45"/>
    </row>
    <row r="89" spans="1:27">
      <c r="A89" s="45"/>
      <c r="B89" s="45"/>
      <c r="C89" s="46"/>
      <c r="D89" s="47"/>
      <c r="E89" s="45"/>
      <c r="F89" s="46"/>
      <c r="G89" s="46"/>
      <c r="H89" s="45"/>
      <c r="I89" s="46"/>
      <c r="J89" s="46"/>
      <c r="K89" s="45"/>
      <c r="L89" s="46"/>
      <c r="M89" s="46"/>
      <c r="N89" s="45"/>
      <c r="O89" s="46"/>
      <c r="P89" s="46"/>
      <c r="Q89" s="45"/>
      <c r="R89" s="46"/>
      <c r="S89" s="46"/>
      <c r="T89" s="45"/>
      <c r="U89" s="46"/>
      <c r="V89" s="46"/>
      <c r="W89" s="45"/>
      <c r="X89" s="45"/>
      <c r="Y89" s="45"/>
      <c r="Z89" s="45"/>
      <c r="AA89" s="45"/>
    </row>
    <row r="90" spans="1:27">
      <c r="A90" s="45"/>
      <c r="B90" s="45"/>
      <c r="C90" s="46"/>
      <c r="D90" s="47"/>
      <c r="E90" s="45"/>
      <c r="F90" s="46"/>
      <c r="G90" s="46"/>
      <c r="H90" s="45"/>
      <c r="I90" s="46"/>
      <c r="J90" s="46"/>
      <c r="K90" s="45"/>
      <c r="L90" s="46"/>
      <c r="M90" s="46"/>
      <c r="N90" s="45"/>
      <c r="O90" s="46"/>
      <c r="P90" s="46"/>
      <c r="Q90" s="45"/>
      <c r="R90" s="46"/>
      <c r="S90" s="46"/>
      <c r="T90" s="45"/>
      <c r="U90" s="46"/>
      <c r="V90" s="46"/>
      <c r="W90" s="45"/>
      <c r="X90" s="45"/>
      <c r="Y90" s="45"/>
      <c r="Z90" s="45"/>
      <c r="AA90" s="45"/>
    </row>
    <row r="91" spans="1:27">
      <c r="A91" s="45"/>
      <c r="B91" s="45"/>
      <c r="C91" s="46"/>
      <c r="D91" s="47"/>
      <c r="E91" s="45"/>
      <c r="F91" s="46"/>
      <c r="G91" s="46"/>
      <c r="H91" s="45"/>
      <c r="I91" s="46"/>
      <c r="J91" s="46"/>
      <c r="K91" s="45"/>
      <c r="L91" s="46"/>
      <c r="M91" s="46"/>
      <c r="N91" s="45"/>
      <c r="O91" s="46"/>
      <c r="P91" s="46"/>
      <c r="Q91" s="45"/>
      <c r="R91" s="46"/>
      <c r="S91" s="46"/>
      <c r="T91" s="45"/>
      <c r="U91" s="46"/>
      <c r="V91" s="46"/>
      <c r="W91" s="45"/>
      <c r="X91" s="45"/>
      <c r="Y91" s="45"/>
      <c r="Z91" s="45"/>
      <c r="AA91" s="45"/>
    </row>
    <row r="92" spans="1:27">
      <c r="A92" s="45"/>
      <c r="B92" s="45"/>
      <c r="C92" s="46"/>
      <c r="D92" s="47"/>
      <c r="E92" s="45"/>
      <c r="F92" s="46"/>
      <c r="G92" s="46"/>
      <c r="H92" s="45"/>
      <c r="I92" s="46"/>
      <c r="J92" s="46"/>
      <c r="K92" s="45"/>
      <c r="L92" s="46"/>
      <c r="M92" s="46"/>
      <c r="N92" s="45"/>
      <c r="O92" s="46"/>
      <c r="P92" s="46"/>
      <c r="Q92" s="45"/>
      <c r="R92" s="46"/>
      <c r="S92" s="46"/>
      <c r="T92" s="45"/>
      <c r="U92" s="46"/>
      <c r="V92" s="46"/>
      <c r="W92" s="45"/>
      <c r="X92" s="45"/>
      <c r="Y92" s="45"/>
      <c r="Z92" s="45"/>
      <c r="AA92" s="45"/>
    </row>
    <row r="93" spans="1:27">
      <c r="A93" s="44"/>
      <c r="B93" s="44"/>
      <c r="E93" s="44"/>
      <c r="H93" s="44"/>
      <c r="K93" s="44"/>
      <c r="N93" s="44"/>
      <c r="Q93" s="44"/>
      <c r="T93" s="44"/>
      <c r="W93" s="44"/>
      <c r="X93" s="44"/>
      <c r="Y93" s="44"/>
      <c r="Z93" s="48"/>
      <c r="AA93" s="48"/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4"/>
    </sheetView>
  </sheetViews>
  <sheetFormatPr baseColWidth="10" defaultColWidth="11" defaultRowHeight="15" x14ac:dyDescent="0"/>
  <cols>
    <col min="5" max="5" width="29.1640625" customWidth="1"/>
  </cols>
  <sheetData>
    <row r="1" spans="1:5" ht="45">
      <c r="A1" s="41" t="s">
        <v>100</v>
      </c>
      <c r="B1" s="41" t="s">
        <v>101</v>
      </c>
      <c r="C1" s="41" t="s">
        <v>107</v>
      </c>
      <c r="D1" s="41" t="s">
        <v>108</v>
      </c>
      <c r="E1" s="41" t="s">
        <v>17</v>
      </c>
    </row>
    <row r="2" spans="1:5">
      <c r="A2" s="3" t="s">
        <v>102</v>
      </c>
      <c r="B2" s="3">
        <v>37093.418100000003</v>
      </c>
      <c r="C2" s="3">
        <f>('Quadrat totals'!Y13)</f>
        <v>3205.5586629658701</v>
      </c>
      <c r="D2">
        <f>((0.5*B2)*C2)/1000</f>
        <v>59452.563864735006</v>
      </c>
      <c r="E2" t="s">
        <v>47</v>
      </c>
    </row>
    <row r="3" spans="1:5">
      <c r="A3" s="3" t="s">
        <v>102</v>
      </c>
      <c r="B3" s="3"/>
      <c r="C3" s="3">
        <f>'Quadrat totals'!Y18</f>
        <v>1944.417517819234</v>
      </c>
      <c r="D3">
        <f>((0.5*B2)*C3)/1000</f>
        <v>36062.54597471653</v>
      </c>
      <c r="E3" t="s">
        <v>37</v>
      </c>
    </row>
    <row r="4" spans="1:5">
      <c r="A4" s="3" t="s">
        <v>33</v>
      </c>
      <c r="B4" s="3">
        <v>21023.6126</v>
      </c>
      <c r="C4" s="3">
        <f>'Quadrat totals'!Y23</f>
        <v>2200.2672109448486</v>
      </c>
      <c r="D4">
        <f>(B4*C4)/1000</f>
        <v>46257.565459386977</v>
      </c>
      <c r="E4" t="s">
        <v>33</v>
      </c>
    </row>
    <row r="5" spans="1:5">
      <c r="A5" s="3" t="s">
        <v>28</v>
      </c>
      <c r="B5" s="40">
        <v>11275.85</v>
      </c>
      <c r="C5" s="3">
        <f>'Quadrat totals'!Y28</f>
        <v>2602.2269038750042</v>
      </c>
      <c r="D5">
        <f>(B5*C5)/1000</f>
        <v>29342.320234058963</v>
      </c>
      <c r="E5" t="s">
        <v>28</v>
      </c>
    </row>
    <row r="6" spans="1:5">
      <c r="A6" s="3" t="s">
        <v>103</v>
      </c>
      <c r="B6" s="3">
        <v>45159.3243</v>
      </c>
      <c r="C6" s="3">
        <f>'Quadrat totals'!Y38</f>
        <v>3840.3987212615916</v>
      </c>
      <c r="D6">
        <f>(((1/3)*B6)*C6)/1000</f>
        <v>57809.937098252507</v>
      </c>
      <c r="E6" t="s">
        <v>40</v>
      </c>
    </row>
    <row r="7" spans="1:5">
      <c r="A7" s="3"/>
      <c r="B7" s="3"/>
      <c r="C7" s="3">
        <f>'Quadrat totals'!Y33</f>
        <v>1743.3782086334413</v>
      </c>
      <c r="D7">
        <f>(((1/3)*B6)*C7)/1000</f>
        <v>26243.260633743543</v>
      </c>
      <c r="E7" t="s">
        <v>22</v>
      </c>
    </row>
    <row r="8" spans="1:5">
      <c r="A8" s="3"/>
      <c r="B8" s="3"/>
      <c r="C8" s="3">
        <f>'Quadrat totals'!Y43</f>
        <v>3710.8521306704033</v>
      </c>
      <c r="D8">
        <f>(((1/3)*B6)*C8)/1000</f>
        <v>55859.858266096904</v>
      </c>
      <c r="E8" t="s">
        <v>11</v>
      </c>
    </row>
    <row r="9" spans="1:5">
      <c r="A9" s="3" t="s">
        <v>43</v>
      </c>
      <c r="B9" s="3">
        <v>18087.065699999999</v>
      </c>
      <c r="C9" s="3">
        <f>'Quadrat totals'!Y48</f>
        <v>2858.9681292117771</v>
      </c>
      <c r="D9">
        <f>(C9*B9)/1000</f>
        <v>51710.344387259502</v>
      </c>
      <c r="E9" t="s">
        <v>43</v>
      </c>
    </row>
    <row r="10" spans="1:5">
      <c r="A10" s="3" t="s">
        <v>36</v>
      </c>
      <c r="B10" s="3">
        <v>37211.795899999997</v>
      </c>
      <c r="C10" s="3">
        <f>'Quadrat totals'!Y3</f>
        <v>3324.9700445524736</v>
      </c>
      <c r="D10">
        <f t="shared" ref="D10:D11" si="0">(C10*B10)/1000</f>
        <v>123728.10667150054</v>
      </c>
      <c r="E10" t="s">
        <v>36</v>
      </c>
    </row>
    <row r="11" spans="1:5">
      <c r="A11" s="3" t="s">
        <v>30</v>
      </c>
      <c r="B11" s="3">
        <v>15806.1682</v>
      </c>
      <c r="C11" s="3">
        <f>'Quadrat totals'!Y8</f>
        <v>3909.1920953124186</v>
      </c>
      <c r="D11">
        <f t="shared" si="0"/>
        <v>61789.34778461852</v>
      </c>
      <c r="E11" t="s">
        <v>30</v>
      </c>
    </row>
    <row r="12" spans="1:5">
      <c r="A12" s="3" t="s">
        <v>104</v>
      </c>
      <c r="B12" s="3">
        <v>4153.1669000000002</v>
      </c>
      <c r="C12" s="3">
        <f>'Quadrat totals'!Y28</f>
        <v>2602.2269038750042</v>
      </c>
      <c r="D12">
        <f>(C12*B12)/1000</f>
        <v>10807.48264346315</v>
      </c>
      <c r="E12" t="s">
        <v>28</v>
      </c>
    </row>
    <row r="13" spans="1:5">
      <c r="A13" s="3" t="s">
        <v>105</v>
      </c>
      <c r="B13" s="3">
        <v>20525.878400000001</v>
      </c>
      <c r="C13" s="3">
        <f>AVERAGE('Quadrat totals'!Y23,'Quadrat totals'!Y38)</f>
        <v>3020.3329661032203</v>
      </c>
      <c r="D13">
        <f>(C13*B13)/1000</f>
        <v>61994.987189746033</v>
      </c>
      <c r="E13" t="s">
        <v>109</v>
      </c>
    </row>
    <row r="14" spans="1:5">
      <c r="A14" s="3" t="s">
        <v>106</v>
      </c>
      <c r="B14" s="3">
        <v>210336.2801</v>
      </c>
      <c r="C14" s="3"/>
      <c r="D14">
        <f>SUM(D2:D13)</f>
        <v>621058.32020757813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0"/>
  <sheetViews>
    <sheetView workbookViewId="0">
      <selection activeCell="G10" sqref="G10"/>
    </sheetView>
  </sheetViews>
  <sheetFormatPr baseColWidth="10" defaultColWidth="11" defaultRowHeight="15" x14ac:dyDescent="0"/>
  <cols>
    <col min="1" max="1" width="7.83203125" bestFit="1" customWidth="1"/>
    <col min="2" max="2" width="8.5" style="8" bestFit="1" customWidth="1"/>
    <col min="3" max="3" width="16.6640625" bestFit="1" customWidth="1"/>
    <col min="4" max="4" width="16" bestFit="1" customWidth="1"/>
    <col min="5" max="5" width="17.33203125" bestFit="1" customWidth="1"/>
    <col min="6" max="6" width="16.33203125" bestFit="1" customWidth="1"/>
    <col min="7" max="7" width="15.83203125" bestFit="1" customWidth="1"/>
    <col min="8" max="8" width="17" bestFit="1" customWidth="1"/>
    <col min="9" max="9" width="17.5" customWidth="1"/>
    <col min="10" max="10" width="16.83203125" bestFit="1" customWidth="1"/>
    <col min="11" max="11" width="16.83203125" customWidth="1"/>
    <col min="12" max="12" width="20.83203125" bestFit="1" customWidth="1"/>
    <col min="13" max="13" width="20.1640625" bestFit="1" customWidth="1"/>
    <col min="14" max="14" width="11.83203125" customWidth="1"/>
  </cols>
  <sheetData>
    <row r="1" spans="1:8">
      <c r="A1" t="s">
        <v>53</v>
      </c>
      <c r="B1" s="8" t="s">
        <v>55</v>
      </c>
      <c r="C1" t="s">
        <v>57</v>
      </c>
      <c r="D1" t="s">
        <v>58</v>
      </c>
      <c r="E1" t="s">
        <v>63</v>
      </c>
      <c r="F1" t="s">
        <v>54</v>
      </c>
      <c r="G1" t="s">
        <v>56</v>
      </c>
      <c r="H1" t="s">
        <v>65</v>
      </c>
    </row>
    <row r="2" spans="1:8">
      <c r="A2" s="2">
        <v>40724</v>
      </c>
      <c r="B2" s="8">
        <v>1</v>
      </c>
      <c r="C2">
        <f>AVERAGE('Plant Measurements'!E4:E61)</f>
        <v>259.81818181818181</v>
      </c>
      <c r="D2">
        <f>AVERAGE('Plant Measurements'!O4:O61)</f>
        <v>26.251024684871446</v>
      </c>
      <c r="E2">
        <v>0</v>
      </c>
    </row>
    <row r="3" spans="1:8">
      <c r="A3" s="2">
        <v>40731</v>
      </c>
      <c r="B3" s="8">
        <v>2</v>
      </c>
      <c r="C3">
        <f>AVERAGE('Plant Measurements'!E62:E209)</f>
        <v>242.85833333333332</v>
      </c>
      <c r="D3">
        <f>AVERAGE('Plant Measurements'!O62:O209)</f>
        <v>39.141453037701197</v>
      </c>
      <c r="E3">
        <f>((D3-D2)/D2)*100</f>
        <v>49.104476901652333</v>
      </c>
      <c r="F3">
        <f>AVERAGE('Plant Measurements'!E221:E588)</f>
        <v>210.91860465116278</v>
      </c>
      <c r="G3">
        <f>AVERAGE('Plant Measurements'!O221:'Plant Measurements'!O588)</f>
        <v>18.054966356363526</v>
      </c>
      <c r="H3">
        <v>0</v>
      </c>
    </row>
    <row r="4" spans="1:8">
      <c r="A4" s="2">
        <v>40738</v>
      </c>
      <c r="B4" s="8">
        <v>3</v>
      </c>
      <c r="C4">
        <f>AVERAGE('Plant Measurements'!E210:E216)</f>
        <v>203.42857142857142</v>
      </c>
      <c r="D4">
        <f>AVERAGE('Plant Measurements'!O210:O216)</f>
        <v>2.5565665702857134</v>
      </c>
      <c r="E4">
        <f>((D4-D2)/D2)*100</f>
        <v>-90.261078944628508</v>
      </c>
      <c r="F4">
        <f>AVERAGE('Plant Measurements'!E589:'Plant Measurements'!E825)</f>
        <v>188.67619047619047</v>
      </c>
      <c r="G4">
        <f>AVERAGE('Plant Measurements'!O589:'Plant Measurements'!O825)</f>
        <v>21.977165227920555</v>
      </c>
      <c r="H4">
        <f>((G4-G3)/G3)*100</f>
        <v>21.723656495070891</v>
      </c>
    </row>
    <row r="5" spans="1:8">
      <c r="A5" s="2">
        <v>40745</v>
      </c>
      <c r="B5" s="8">
        <v>4</v>
      </c>
      <c r="C5">
        <f>AVERAGE('Plant Measurements'!E217:E220)</f>
        <v>239.25</v>
      </c>
      <c r="D5">
        <f>AVERAGE('Plant Measurements'!O217:O220)</f>
        <v>29.042167787000004</v>
      </c>
      <c r="E5">
        <f>((D5-D2)/D2)*100</f>
        <v>10.632511056747827</v>
      </c>
      <c r="F5">
        <f>AVERAGE('Plant Measurements'!E826:'Plant Measurements'!E852)</f>
        <v>245.57142857142858</v>
      </c>
      <c r="G5">
        <f>AVERAGE('Plant Measurements'!O826:'Plant Measurements'!O852)</f>
        <v>18.642050550030095</v>
      </c>
      <c r="H5">
        <f>((G5-G3)/G3)*100</f>
        <v>3.2516493361376457</v>
      </c>
    </row>
    <row r="6" spans="1:8" ht="45">
      <c r="A6" t="s">
        <v>53</v>
      </c>
      <c r="B6" s="8" t="s">
        <v>55</v>
      </c>
      <c r="C6" t="s">
        <v>59</v>
      </c>
      <c r="D6" t="s">
        <v>60</v>
      </c>
      <c r="E6" t="s">
        <v>64</v>
      </c>
      <c r="F6" t="s">
        <v>61</v>
      </c>
      <c r="G6" t="s">
        <v>62</v>
      </c>
      <c r="H6" s="1" t="s">
        <v>66</v>
      </c>
    </row>
    <row r="7" spans="1:8">
      <c r="A7" s="2">
        <v>40724</v>
      </c>
      <c r="B7" s="8">
        <v>1</v>
      </c>
      <c r="C7">
        <f>AVERAGE('Plant Measurements'!E896:E922)</f>
        <v>152.62962962962962</v>
      </c>
      <c r="D7">
        <f>AVERAGE('Plant Measurements'!O896:O922)</f>
        <v>2.2084843568148149</v>
      </c>
      <c r="E7">
        <v>0</v>
      </c>
      <c r="F7">
        <f>AVERAGE('Plant Measurements'!F1257:F1266)</f>
        <v>2.6989999999999998</v>
      </c>
      <c r="G7">
        <f>AVERAGE('Plant Measurements'!O1257:O1266)</f>
        <v>44.756030561027728</v>
      </c>
      <c r="H7">
        <f>(4+5)/2</f>
        <v>4.5</v>
      </c>
    </row>
    <row r="8" spans="1:8">
      <c r="A8" s="2">
        <v>40731</v>
      </c>
      <c r="B8" s="8">
        <v>2</v>
      </c>
      <c r="C8">
        <f>AVERAGE('Plant Measurements'!E923:E1010)</f>
        <v>157.80246913580248</v>
      </c>
      <c r="D8">
        <f>AVERAGE('Plant Measurements'!O923:O1010)</f>
        <v>20.786621653030366</v>
      </c>
      <c r="E8">
        <f>((D8-D7)/D7)*100</f>
        <v>841.21661260077281</v>
      </c>
      <c r="F8">
        <f>AVERAGE('Plant Measurements'!F1267:F1445)</f>
        <v>0.77016759776536325</v>
      </c>
      <c r="G8">
        <f>AVERAGE('Plant Measurements'!O1267:O1445)</f>
        <v>8.0506352781545321</v>
      </c>
      <c r="H8">
        <f>(2+2+3+4+5)/5</f>
        <v>3.2</v>
      </c>
    </row>
    <row r="9" spans="1:8">
      <c r="A9" s="2">
        <v>40738</v>
      </c>
      <c r="B9" s="8">
        <v>3</v>
      </c>
      <c r="C9">
        <f>AVERAGE('Plant Measurements'!E1011:E1125)</f>
        <v>239.24074074074073</v>
      </c>
      <c r="D9">
        <f>AVERAGE('Plant Measurements'!O1011:O1125)</f>
        <v>17.931140408098358</v>
      </c>
      <c r="E9">
        <f>((D9-D7)/D7)*100</f>
        <v>711.92064380114209</v>
      </c>
      <c r="F9">
        <f>AVERAGE('Plant Measurements'!F1446:F1522)</f>
        <v>0.7214285714285712</v>
      </c>
      <c r="G9">
        <f>AVERAGE('Plant Measurements'!O1446:O1522)</f>
        <v>3.1522266752597394</v>
      </c>
      <c r="H9">
        <f>(1+3)/2</f>
        <v>2</v>
      </c>
    </row>
    <row r="10" spans="1:8">
      <c r="A10" s="2">
        <v>40745</v>
      </c>
      <c r="B10" s="8">
        <v>4</v>
      </c>
      <c r="C10">
        <f>AVERAGE('Plant Measurements'!E1126:E1202)</f>
        <v>268.17857142857144</v>
      </c>
      <c r="D10">
        <f>AVERAGE('Plant Measurements'!O1126:O1202)</f>
        <v>38.081167570171608</v>
      </c>
      <c r="E10">
        <f>((D10-D7)/D7)*100</f>
        <v>1624.3123073370618</v>
      </c>
      <c r="F10">
        <f>AVERAGE('Plant Measurements'!F1523:F1541)</f>
        <v>2.0815789473684214</v>
      </c>
      <c r="G10">
        <f>AVERAGE('Plant Measurements'!O1523:O1541)</f>
        <v>66.134265429736828</v>
      </c>
      <c r="H10">
        <f>1</f>
        <v>1</v>
      </c>
    </row>
  </sheetData>
  <phoneticPr fontId="8" type="noConversion"/>
  <pageMargins left="0.75" right="0.75" top="1" bottom="1" header="0.5" footer="0.5"/>
  <pageSetup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Plant Measurements</vt:lpstr>
      <vt:lpstr>Quadrat totals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Chris Sanchez</cp:lastModifiedBy>
  <cp:lastPrinted>2011-07-23T16:59:49Z</cp:lastPrinted>
  <dcterms:created xsi:type="dcterms:W3CDTF">2011-07-01T01:33:57Z</dcterms:created>
  <dcterms:modified xsi:type="dcterms:W3CDTF">2016-02-25T21:31:28Z</dcterms:modified>
</cp:coreProperties>
</file>