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280" windowHeight="19720" tabRatio="500"/>
  </bookViews>
  <sheets>
    <sheet name="Plant Measur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65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4" i="1"/>
  <c r="R51" i="2"/>
  <c r="U51" i="2"/>
  <c r="R50" i="2"/>
  <c r="R49" i="2"/>
  <c r="U49" i="2"/>
  <c r="R48" i="2"/>
  <c r="U48" i="2"/>
  <c r="U45" i="2"/>
  <c r="R44" i="2"/>
  <c r="R43" i="2"/>
  <c r="U43" i="2"/>
  <c r="R42" i="2"/>
  <c r="U42" i="2"/>
  <c r="C42" i="2"/>
  <c r="R41" i="2"/>
  <c r="C41" i="2"/>
  <c r="R40" i="2"/>
  <c r="U40" i="2"/>
  <c r="R39" i="2"/>
  <c r="C39" i="2"/>
  <c r="R38" i="2"/>
  <c r="U38" i="2"/>
  <c r="R37" i="2"/>
  <c r="R36" i="2"/>
  <c r="R34" i="2"/>
  <c r="C33" i="2"/>
  <c r="R32" i="2"/>
  <c r="U32" i="2"/>
  <c r="C32" i="2"/>
  <c r="R31" i="2"/>
  <c r="R30" i="2"/>
  <c r="R29" i="2"/>
  <c r="C29" i="2"/>
  <c r="C28" i="2"/>
  <c r="R27" i="2"/>
  <c r="R26" i="2"/>
  <c r="R25" i="2"/>
  <c r="R24" i="2"/>
  <c r="U24" i="2"/>
  <c r="C23" i="2"/>
  <c r="R22" i="2"/>
  <c r="U22" i="2"/>
  <c r="R21" i="2"/>
  <c r="U21" i="2"/>
  <c r="R20" i="2"/>
  <c r="U20" i="2"/>
  <c r="R19" i="2"/>
  <c r="C19" i="2"/>
  <c r="R18" i="2"/>
  <c r="U18" i="2"/>
  <c r="R17" i="2"/>
  <c r="R16" i="2"/>
  <c r="R15" i="2"/>
  <c r="C15" i="2"/>
  <c r="R14" i="2"/>
  <c r="R13" i="2"/>
  <c r="C13" i="2"/>
  <c r="R12" i="2"/>
  <c r="R11" i="2"/>
  <c r="R10" i="2"/>
  <c r="C10" i="2"/>
  <c r="C9" i="2"/>
  <c r="R8" i="2"/>
  <c r="C8" i="2"/>
  <c r="R7" i="2"/>
  <c r="U7" i="2"/>
  <c r="R6" i="2"/>
  <c r="U6" i="2"/>
  <c r="R5" i="2"/>
  <c r="R4" i="2"/>
  <c r="R3" i="2"/>
  <c r="U3" i="2"/>
  <c r="C3" i="2"/>
  <c r="B51" i="2"/>
  <c r="B50" i="2"/>
  <c r="B49" i="2"/>
  <c r="B48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O4" i="1"/>
  <c r="N4" i="1"/>
  <c r="J550" i="1"/>
  <c r="J551" i="1"/>
  <c r="J557" i="1"/>
  <c r="J558" i="1"/>
  <c r="J559" i="1"/>
  <c r="J560" i="1"/>
  <c r="J562" i="1"/>
  <c r="J563" i="1"/>
  <c r="J370" i="1"/>
  <c r="J369" i="1"/>
  <c r="J377" i="1"/>
  <c r="J376" i="1"/>
  <c r="J375" i="1"/>
  <c r="J374" i="1"/>
  <c r="J373" i="1"/>
  <c r="J372" i="1"/>
  <c r="J371" i="1"/>
  <c r="J381" i="1"/>
  <c r="J380" i="1"/>
  <c r="J379" i="1"/>
  <c r="J410" i="1"/>
  <c r="J409" i="1"/>
  <c r="J408" i="1"/>
  <c r="J407" i="1"/>
  <c r="J406" i="1"/>
  <c r="J405" i="1"/>
  <c r="J404" i="1"/>
  <c r="J391" i="1"/>
  <c r="J403" i="1"/>
  <c r="J402" i="1"/>
  <c r="J401" i="1"/>
  <c r="J400" i="1"/>
  <c r="J399" i="1"/>
  <c r="J398" i="1"/>
  <c r="J397" i="1"/>
  <c r="J390" i="1"/>
  <c r="J389" i="1"/>
  <c r="J396" i="1"/>
  <c r="J395" i="1"/>
  <c r="J394" i="1"/>
  <c r="J382" i="1"/>
  <c r="J393" i="1"/>
  <c r="J388" i="1"/>
  <c r="J392" i="1"/>
  <c r="J387" i="1"/>
  <c r="J324" i="1"/>
  <c r="J333" i="1"/>
  <c r="J332" i="1"/>
  <c r="J331" i="1"/>
  <c r="J330" i="1"/>
  <c r="J329" i="1"/>
  <c r="J328" i="1"/>
  <c r="J327" i="1"/>
  <c r="J326" i="1"/>
  <c r="J336" i="1"/>
  <c r="J335" i="1"/>
  <c r="J334" i="1"/>
  <c r="J338" i="1"/>
  <c r="J343" i="1"/>
  <c r="J342" i="1"/>
  <c r="J341" i="1"/>
  <c r="J340" i="1"/>
  <c r="J339" i="1"/>
  <c r="J68" i="1"/>
  <c r="J134" i="1"/>
  <c r="J133" i="1"/>
  <c r="J131" i="1"/>
  <c r="J132" i="1"/>
  <c r="E119" i="1"/>
  <c r="E118" i="1"/>
  <c r="E117" i="1"/>
  <c r="E115" i="1"/>
  <c r="E114" i="1"/>
  <c r="E113" i="1"/>
  <c r="E112" i="1"/>
  <c r="E111" i="1"/>
  <c r="E110" i="1"/>
  <c r="J137" i="1"/>
  <c r="J136" i="1"/>
  <c r="J135" i="1"/>
  <c r="J147" i="1"/>
  <c r="J146" i="1"/>
  <c r="J145" i="1"/>
  <c r="J144" i="1"/>
  <c r="J142" i="1"/>
  <c r="J141" i="1"/>
  <c r="J140" i="1"/>
  <c r="J139" i="1"/>
  <c r="J178" i="1"/>
  <c r="J177" i="1"/>
  <c r="J176" i="1"/>
  <c r="J175" i="1"/>
  <c r="J174" i="1"/>
  <c r="J172" i="1"/>
  <c r="J171" i="1"/>
  <c r="J170" i="1"/>
  <c r="J169" i="1"/>
  <c r="J168" i="1"/>
  <c r="J167" i="1"/>
  <c r="J165" i="1"/>
  <c r="J163" i="1"/>
  <c r="J162" i="1"/>
  <c r="J160" i="1"/>
  <c r="J159" i="1"/>
  <c r="E148" i="1"/>
  <c r="J158" i="1"/>
  <c r="J186" i="1"/>
  <c r="J185" i="1"/>
  <c r="J184" i="1"/>
  <c r="J183" i="1"/>
  <c r="J182" i="1"/>
  <c r="J181" i="1"/>
  <c r="J180" i="1"/>
  <c r="J179" i="1"/>
  <c r="J220" i="1"/>
  <c r="J219" i="1"/>
  <c r="J218" i="1"/>
  <c r="J217" i="1"/>
  <c r="J215" i="1"/>
  <c r="J214" i="1"/>
  <c r="J238" i="1"/>
  <c r="J237" i="1"/>
  <c r="J236" i="1"/>
  <c r="J235" i="1"/>
  <c r="J234" i="1"/>
  <c r="J232" i="1"/>
  <c r="J230" i="1"/>
  <c r="J229" i="1"/>
  <c r="J228" i="1"/>
  <c r="J227" i="1"/>
  <c r="J223" i="1"/>
  <c r="J221" i="1"/>
  <c r="J258" i="1"/>
  <c r="J257" i="1"/>
  <c r="J256" i="1"/>
  <c r="J255" i="1"/>
  <c r="J254" i="1"/>
  <c r="J252" i="1"/>
  <c r="J251" i="1"/>
  <c r="J249" i="1"/>
  <c r="J248" i="1"/>
  <c r="J247" i="1"/>
  <c r="J246" i="1"/>
  <c r="J244" i="1"/>
  <c r="J241" i="1"/>
  <c r="J479" i="1"/>
  <c r="J478" i="1"/>
  <c r="J477" i="1"/>
  <c r="J476" i="1"/>
  <c r="J475" i="1"/>
  <c r="J474" i="1"/>
  <c r="J468" i="1"/>
  <c r="J473" i="1"/>
  <c r="J472" i="1"/>
  <c r="J471" i="1"/>
  <c r="J466" i="1"/>
  <c r="J469" i="1"/>
  <c r="J488" i="1"/>
  <c r="J487" i="1"/>
  <c r="J486" i="1"/>
  <c r="J485" i="1"/>
  <c r="J484" i="1"/>
  <c r="J483" i="1"/>
  <c r="J482" i="1"/>
  <c r="J481" i="1"/>
  <c r="J31" i="1"/>
  <c r="J32" i="1"/>
  <c r="J30" i="1"/>
  <c r="J28" i="1"/>
  <c r="J26" i="1"/>
  <c r="J25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50" i="1"/>
  <c r="J49" i="1"/>
  <c r="J48" i="1"/>
  <c r="J47" i="1"/>
  <c r="J53" i="1"/>
  <c r="J51" i="1"/>
  <c r="J60" i="1"/>
  <c r="J59" i="1"/>
  <c r="J58" i="1"/>
  <c r="J57" i="1"/>
  <c r="J56" i="1"/>
  <c r="J55" i="1"/>
  <c r="J276" i="1"/>
  <c r="J275" i="1"/>
  <c r="J274" i="1"/>
  <c r="J273" i="1"/>
  <c r="J272" i="1"/>
  <c r="J271" i="1"/>
  <c r="J270" i="1"/>
  <c r="J269" i="1"/>
  <c r="F269" i="1"/>
  <c r="J268" i="1"/>
  <c r="J267" i="1"/>
  <c r="J266" i="1"/>
  <c r="J263" i="1"/>
  <c r="J262" i="1"/>
  <c r="J261" i="1"/>
  <c r="J260" i="1"/>
  <c r="J288" i="1"/>
  <c r="J287" i="1"/>
  <c r="J286" i="1"/>
  <c r="J285" i="1"/>
  <c r="J284" i="1"/>
  <c r="J283" i="1"/>
  <c r="J292" i="1"/>
  <c r="J291" i="1"/>
  <c r="J290" i="1"/>
  <c r="J301" i="1"/>
  <c r="J300" i="1"/>
  <c r="J299" i="1"/>
  <c r="J298" i="1"/>
  <c r="J297" i="1"/>
  <c r="J296" i="1"/>
  <c r="J295" i="1"/>
  <c r="J294" i="1"/>
  <c r="J315" i="1"/>
  <c r="J314" i="1"/>
  <c r="J313" i="1"/>
  <c r="J312" i="1"/>
  <c r="J307" i="1"/>
  <c r="J311" i="1"/>
  <c r="J306" i="1"/>
  <c r="J305" i="1"/>
  <c r="J310" i="1"/>
  <c r="J304" i="1"/>
  <c r="J303" i="1"/>
  <c r="J309" i="1"/>
  <c r="J302" i="1"/>
  <c r="J308" i="1"/>
  <c r="J429" i="1"/>
  <c r="J432" i="1"/>
  <c r="J428" i="1"/>
  <c r="J430" i="1"/>
  <c r="J437" i="1"/>
  <c r="J440" i="1"/>
  <c r="J445" i="1"/>
  <c r="J439" i="1"/>
  <c r="J438" i="1"/>
  <c r="J444" i="1"/>
  <c r="J443" i="1"/>
  <c r="J442" i="1"/>
  <c r="J455" i="1"/>
  <c r="J454" i="1"/>
  <c r="J446" i="1"/>
  <c r="J453" i="1"/>
  <c r="J452" i="1"/>
  <c r="J451" i="1"/>
  <c r="J450" i="1"/>
  <c r="J449" i="1"/>
  <c r="J448" i="1"/>
  <c r="J447" i="1"/>
  <c r="J460" i="1"/>
  <c r="J465" i="1"/>
  <c r="J464" i="1"/>
  <c r="J463" i="1"/>
  <c r="J458" i="1"/>
  <c r="J462" i="1"/>
  <c r="J461" i="1"/>
  <c r="J421" i="1"/>
  <c r="J420" i="1"/>
  <c r="J419" i="1"/>
  <c r="J424" i="1"/>
  <c r="J426" i="1"/>
  <c r="J425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529" i="1"/>
  <c r="J528" i="1"/>
  <c r="J527" i="1"/>
  <c r="J515" i="1"/>
  <c r="J526" i="1"/>
  <c r="J525" i="1"/>
  <c r="J524" i="1"/>
  <c r="J514" i="1"/>
  <c r="J523" i="1"/>
  <c r="J522" i="1"/>
  <c r="J521" i="1"/>
  <c r="J511" i="1"/>
  <c r="J510" i="1"/>
  <c r="J520" i="1"/>
  <c r="J519" i="1"/>
  <c r="J518" i="1"/>
  <c r="J549" i="1"/>
  <c r="J548" i="1"/>
  <c r="J546" i="1"/>
  <c r="J545" i="1"/>
  <c r="J544" i="1"/>
  <c r="J543" i="1"/>
  <c r="J542" i="1"/>
  <c r="J541" i="1"/>
  <c r="J540" i="1"/>
  <c r="J539" i="1"/>
  <c r="J536" i="1"/>
  <c r="J534" i="1"/>
  <c r="J533" i="1"/>
  <c r="J532" i="1"/>
  <c r="J531" i="1"/>
  <c r="J530" i="1"/>
  <c r="J535" i="1"/>
  <c r="J556" i="1"/>
  <c r="I4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</calcChain>
</file>

<file path=xl/sharedStrings.xml><?xml version="1.0" encoding="utf-8"?>
<sst xmlns="http://schemas.openxmlformats.org/spreadsheetml/2006/main" count="1292" uniqueCount="67">
  <si>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</si>
  <si>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</si>
  <si>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</si>
  <si>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</si>
  <si>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</si>
  <si>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</si>
  <si>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</si>
  <si>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</si>
  <si>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</si>
  <si>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</si>
  <si>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</si>
  <si>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</si>
  <si>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</si>
  <si>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</si>
  <si>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</si>
  <si>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</si>
  <si>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</si>
  <si>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</si>
  <si>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</si>
  <si>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</si>
  <si>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M-1-E</t>
  </si>
  <si>
    <t>M-5</t>
  </si>
  <si>
    <t>M-1-W</t>
  </si>
  <si>
    <t>M-2</t>
  </si>
  <si>
    <t>M-3</t>
  </si>
  <si>
    <t>C-1</t>
  </si>
  <si>
    <t>M-4-S</t>
  </si>
  <si>
    <t>M-4-N</t>
  </si>
  <si>
    <t>C-2</t>
  </si>
  <si>
    <t>M-4-C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</si>
  <si>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</si>
  <si>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</si>
  <si>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</si>
  <si>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</si>
  <si>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</si>
  <si>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</si>
  <si>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</si>
  <si>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</si>
  <si>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</si>
  <si>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</si>
  <si>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</si>
  <si>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</si>
  <si>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</si>
  <si>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</si>
  <si>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</si>
  <si>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</si>
  <si>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</si>
  <si>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</si>
  <si>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</si>
  <si>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</si>
  <si>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</si>
  <si>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</si>
  <si>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</si>
  <si>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</si>
  <si>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</si>
  <si>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</si>
  <si>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</si>
  <si>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</si>
  <si>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</si>
  <si>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</si>
  <si>
    <t>T. domingensis</t>
  </si>
  <si>
    <t xml:space="preserve">Thatched </t>
  </si>
  <si>
    <t>S. acutus</t>
  </si>
  <si>
    <t>N/A</t>
  </si>
  <si>
    <t xml:space="preserve"> </t>
  </si>
  <si>
    <t>stem area (cm2)</t>
  </si>
  <si>
    <t>Total stem area=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</si>
</sst>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50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14" fontId="5" fillId="0" borderId="0" xfId="0" applyNumberFormat="1" applyFont="1" applyAlignment="1">
      <alignment horizontal="right"/>
    </xf>
    <xf numFmtId="0" fontId="0" fillId="0" borderId="0" xfId="0" applyFill="1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5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3"/>
  <sheetViews>
    <sheetView tabSelected="1" topLeftCell="B1" workbookViewId="0">
      <pane ySplit="5060" topLeftCell="A541" activePane="bottomLeft"/>
      <selection activeCell="S4" sqref="S4:S563"/>
      <selection pane="bottomLeft" activeCell="S566" sqref="S566"/>
    </sheetView>
  </sheetViews>
  <sheetFormatPr baseColWidth="10" defaultRowHeight="15" x14ac:dyDescent="0"/>
  <cols>
    <col min="2" max="2" width="10.83203125" style="7"/>
    <col min="4" max="4" width="15.6640625" bestFit="1" customWidth="1"/>
    <col min="5" max="5" width="5.1640625" bestFit="1" customWidth="1"/>
    <col min="6" max="6" width="11" bestFit="1" customWidth="1"/>
    <col min="7" max="7" width="10.6640625" bestFit="1" customWidth="1"/>
    <col min="8" max="8" width="8" bestFit="1" customWidth="1"/>
    <col min="9" max="9" width="8.1640625" bestFit="1" customWidth="1"/>
    <col min="10" max="11" width="11.33203125" bestFit="1" customWidth="1"/>
    <col min="12" max="12" width="15" bestFit="1" customWidth="1"/>
    <col min="13" max="13" width="11" bestFit="1" customWidth="1"/>
    <col min="14" max="15" width="12.1640625" bestFit="1" customWidth="1"/>
    <col min="18" max="18" width="1" customWidth="1"/>
  </cols>
  <sheetData>
    <row r="1" spans="1:19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"/>
      <c r="Q1" s="1"/>
    </row>
    <row r="2" spans="1:19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2"/>
      <c r="Q2" s="2"/>
    </row>
    <row r="3" spans="1:19" ht="105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S3" s="4" t="s">
        <v>65</v>
      </c>
    </row>
    <row r="4" spans="1:19">
      <c r="A4" s="9">
        <v>41838</v>
      </c>
      <c r="B4" s="7" t="s">
        <v>25</v>
      </c>
      <c r="C4">
        <v>14</v>
      </c>
      <c r="D4" t="s">
        <v>62</v>
      </c>
      <c r="E4">
        <v>251</v>
      </c>
      <c r="F4">
        <v>1.55</v>
      </c>
      <c r="N4">
        <f t="shared" ref="N4" si="0">IF(OR(D4="S. acutus", D4="S. tabernaemontani", D4="S. californicus"),(1/3)*(3.14159)*((F4/2)^2)*E4,"NA")</f>
        <v>157.87209697708332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13.005758</v>
      </c>
      <c r="P4">
        <f>IF(O4&gt;0,O4," ")</f>
        <v>13.005758</v>
      </c>
      <c r="S4">
        <f>3.14159*((F4/2)^2)</f>
        <v>1.8869174937500002</v>
      </c>
    </row>
    <row r="5" spans="1:19">
      <c r="A5" s="9">
        <v>41838</v>
      </c>
      <c r="B5" s="7" t="s">
        <v>25</v>
      </c>
      <c r="C5">
        <v>14</v>
      </c>
      <c r="D5" t="s">
        <v>62</v>
      </c>
      <c r="E5">
        <v>196</v>
      </c>
      <c r="F5">
        <v>0.82</v>
      </c>
      <c r="N5">
        <f t="shared" ref="N5:N68" si="1">IF(OR(D5="S. acutus", D5="S. tabernaemontani", D5="S. californicus"),(1/3)*(3.14159)*((F5/2)^2)*E5,"NA")</f>
        <v>34.502616894666659</v>
      </c>
      <c r="O5">
        <v>9.1499829999999989</v>
      </c>
      <c r="P5">
        <f t="shared" ref="P5:P68" si="2">IF(O5&gt;0,O5," ")</f>
        <v>9.1499829999999989</v>
      </c>
      <c r="S5">
        <f t="shared" ref="S5:S68" si="3">3.14159*((F5/2)^2)</f>
        <v>0.52810127899999992</v>
      </c>
    </row>
    <row r="6" spans="1:19">
      <c r="A6" s="9">
        <v>41838</v>
      </c>
      <c r="B6" s="7" t="s">
        <v>25</v>
      </c>
      <c r="C6">
        <v>14</v>
      </c>
      <c r="D6" t="s">
        <v>62</v>
      </c>
      <c r="E6">
        <v>194</v>
      </c>
      <c r="F6">
        <v>1.24</v>
      </c>
      <c r="N6">
        <f t="shared" si="1"/>
        <v>78.093225341333323</v>
      </c>
      <c r="O6">
        <v>9.0097729999999991</v>
      </c>
      <c r="P6">
        <f t="shared" si="2"/>
        <v>9.0097729999999991</v>
      </c>
      <c r="S6">
        <f t="shared" si="3"/>
        <v>1.207627196</v>
      </c>
    </row>
    <row r="7" spans="1:19">
      <c r="A7" s="9">
        <v>41838</v>
      </c>
      <c r="B7" s="7" t="s">
        <v>25</v>
      </c>
      <c r="C7">
        <v>14</v>
      </c>
      <c r="D7" t="s">
        <v>62</v>
      </c>
      <c r="E7">
        <v>29</v>
      </c>
      <c r="F7">
        <v>0.51</v>
      </c>
      <c r="N7">
        <f t="shared" si="1"/>
        <v>1.9747249342499995</v>
      </c>
      <c r="O7" t="s">
        <v>64</v>
      </c>
      <c r="P7" t="str">
        <f t="shared" si="2"/>
        <v xml:space="preserve"> </v>
      </c>
      <c r="S7">
        <f t="shared" si="3"/>
        <v>0.20428188975</v>
      </c>
    </row>
    <row r="8" spans="1:19">
      <c r="A8" s="9">
        <v>41838</v>
      </c>
      <c r="B8" s="7" t="s">
        <v>25</v>
      </c>
      <c r="C8">
        <v>14</v>
      </c>
      <c r="D8" t="s">
        <v>62</v>
      </c>
      <c r="E8">
        <v>196</v>
      </c>
      <c r="F8">
        <v>0.89</v>
      </c>
      <c r="N8">
        <f t="shared" si="1"/>
        <v>40.644739503666663</v>
      </c>
      <c r="O8">
        <v>9.1499829999999989</v>
      </c>
      <c r="P8">
        <f t="shared" si="2"/>
        <v>9.1499829999999989</v>
      </c>
      <c r="S8">
        <f t="shared" si="3"/>
        <v>0.62211335975000004</v>
      </c>
    </row>
    <row r="9" spans="1:19">
      <c r="A9" s="9">
        <v>41838</v>
      </c>
      <c r="B9" s="7" t="s">
        <v>25</v>
      </c>
      <c r="C9">
        <v>14</v>
      </c>
      <c r="D9" t="s">
        <v>62</v>
      </c>
      <c r="E9">
        <v>225</v>
      </c>
      <c r="F9">
        <v>1.1299999999999999</v>
      </c>
      <c r="N9">
        <f t="shared" si="1"/>
        <v>75.215555081249974</v>
      </c>
      <c r="O9">
        <v>11.183028</v>
      </c>
      <c r="P9">
        <f t="shared" si="2"/>
        <v>11.183028</v>
      </c>
      <c r="S9">
        <f t="shared" si="3"/>
        <v>1.0028740677499997</v>
      </c>
    </row>
    <row r="10" spans="1:19">
      <c r="A10" s="9">
        <v>41838</v>
      </c>
      <c r="B10" s="7" t="s">
        <v>25</v>
      </c>
      <c r="C10">
        <v>14</v>
      </c>
      <c r="D10" t="s">
        <v>62</v>
      </c>
      <c r="E10">
        <v>118</v>
      </c>
      <c r="F10">
        <v>0.89</v>
      </c>
      <c r="N10">
        <f t="shared" si="1"/>
        <v>24.469792150166665</v>
      </c>
      <c r="O10">
        <v>3.6817929999999999</v>
      </c>
      <c r="P10">
        <f t="shared" si="2"/>
        <v>3.6817929999999999</v>
      </c>
      <c r="S10">
        <f t="shared" si="3"/>
        <v>0.62211335975000004</v>
      </c>
    </row>
    <row r="11" spans="1:19">
      <c r="A11" s="9">
        <v>41838</v>
      </c>
      <c r="B11" s="7" t="s">
        <v>25</v>
      </c>
      <c r="C11">
        <v>14</v>
      </c>
      <c r="D11" t="s">
        <v>62</v>
      </c>
      <c r="E11">
        <v>186</v>
      </c>
      <c r="F11">
        <v>0.86</v>
      </c>
      <c r="N11">
        <f t="shared" si="1"/>
        <v>36.014559441999992</v>
      </c>
      <c r="O11">
        <v>8.4489330000000002</v>
      </c>
      <c r="P11">
        <f t="shared" si="2"/>
        <v>8.4489330000000002</v>
      </c>
      <c r="S11">
        <f t="shared" si="3"/>
        <v>0.58087999099999987</v>
      </c>
    </row>
    <row r="12" spans="1:19">
      <c r="A12" s="9">
        <v>41838</v>
      </c>
      <c r="B12" s="7" t="s">
        <v>25</v>
      </c>
      <c r="C12">
        <v>14</v>
      </c>
      <c r="D12" t="s">
        <v>62</v>
      </c>
      <c r="E12">
        <v>186</v>
      </c>
      <c r="F12">
        <v>0.83</v>
      </c>
      <c r="N12">
        <f t="shared" si="1"/>
        <v>33.545740940499996</v>
      </c>
      <c r="O12">
        <v>8.4489330000000002</v>
      </c>
      <c r="P12">
        <f t="shared" si="2"/>
        <v>8.4489330000000002</v>
      </c>
      <c r="S12">
        <f t="shared" si="3"/>
        <v>0.54106033774999995</v>
      </c>
    </row>
    <row r="13" spans="1:19">
      <c r="A13" s="9">
        <v>41838</v>
      </c>
      <c r="B13" s="7" t="s">
        <v>25</v>
      </c>
      <c r="C13">
        <v>14</v>
      </c>
      <c r="D13" t="s">
        <v>62</v>
      </c>
      <c r="E13">
        <v>186</v>
      </c>
      <c r="F13">
        <v>0.71</v>
      </c>
      <c r="N13">
        <f t="shared" si="1"/>
        <v>24.546970544499999</v>
      </c>
      <c r="O13">
        <v>8.4489330000000002</v>
      </c>
      <c r="P13">
        <f t="shared" si="2"/>
        <v>8.4489330000000002</v>
      </c>
      <c r="S13">
        <f t="shared" si="3"/>
        <v>0.39591887974999995</v>
      </c>
    </row>
    <row r="14" spans="1:19">
      <c r="A14" s="9">
        <v>41838</v>
      </c>
      <c r="B14" s="7" t="s">
        <v>25</v>
      </c>
      <c r="C14">
        <v>14</v>
      </c>
      <c r="D14" t="s">
        <v>62</v>
      </c>
      <c r="E14">
        <v>186</v>
      </c>
      <c r="F14">
        <v>0.54</v>
      </c>
      <c r="N14">
        <f t="shared" si="1"/>
        <v>14.199358482000001</v>
      </c>
      <c r="O14">
        <v>8.4489330000000002</v>
      </c>
      <c r="P14">
        <f t="shared" si="2"/>
        <v>8.4489330000000002</v>
      </c>
      <c r="S14">
        <f t="shared" si="3"/>
        <v>0.22902191100000002</v>
      </c>
    </row>
    <row r="15" spans="1:19">
      <c r="A15" s="9">
        <v>41838</v>
      </c>
      <c r="B15" s="7" t="s">
        <v>25</v>
      </c>
      <c r="C15">
        <v>14</v>
      </c>
      <c r="D15" t="s">
        <v>62</v>
      </c>
      <c r="E15">
        <v>178</v>
      </c>
      <c r="F15">
        <v>0.56999999999999995</v>
      </c>
      <c r="N15">
        <f t="shared" si="1"/>
        <v>15.140421766499996</v>
      </c>
      <c r="O15">
        <v>7.8880930000000005</v>
      </c>
      <c r="P15">
        <f t="shared" si="2"/>
        <v>7.8880930000000005</v>
      </c>
      <c r="S15">
        <f t="shared" si="3"/>
        <v>0.25517564774999996</v>
      </c>
    </row>
    <row r="16" spans="1:19">
      <c r="A16" s="9">
        <v>41838</v>
      </c>
      <c r="B16" s="7" t="s">
        <v>25</v>
      </c>
      <c r="C16">
        <v>14</v>
      </c>
      <c r="D16" t="s">
        <v>62</v>
      </c>
      <c r="E16">
        <v>213</v>
      </c>
      <c r="F16">
        <v>0.71</v>
      </c>
      <c r="N16">
        <f t="shared" si="1"/>
        <v>28.110240462249998</v>
      </c>
      <c r="O16">
        <v>10.341768000000002</v>
      </c>
      <c r="P16">
        <f t="shared" si="2"/>
        <v>10.341768000000002</v>
      </c>
      <c r="S16">
        <f t="shared" si="3"/>
        <v>0.39591887974999995</v>
      </c>
    </row>
    <row r="17" spans="1:19">
      <c r="A17" s="9">
        <v>41838</v>
      </c>
      <c r="B17" s="7" t="s">
        <v>25</v>
      </c>
      <c r="C17">
        <v>14</v>
      </c>
      <c r="D17" t="s">
        <v>62</v>
      </c>
      <c r="E17">
        <v>200</v>
      </c>
      <c r="F17">
        <v>0.91</v>
      </c>
      <c r="N17">
        <f t="shared" si="1"/>
        <v>43.359177983333332</v>
      </c>
      <c r="O17">
        <v>9.4304030000000019</v>
      </c>
      <c r="P17">
        <f t="shared" si="2"/>
        <v>9.4304030000000019</v>
      </c>
      <c r="S17">
        <f t="shared" si="3"/>
        <v>0.65038766975000006</v>
      </c>
    </row>
    <row r="18" spans="1:19">
      <c r="A18" s="9">
        <v>41838</v>
      </c>
      <c r="B18" s="7" t="s">
        <v>25</v>
      </c>
      <c r="C18">
        <v>14</v>
      </c>
      <c r="D18" t="s">
        <v>62</v>
      </c>
      <c r="E18">
        <v>294</v>
      </c>
      <c r="F18">
        <v>0.6</v>
      </c>
      <c r="N18">
        <f t="shared" si="1"/>
        <v>27.708823799999998</v>
      </c>
      <c r="O18">
        <v>16.020273</v>
      </c>
      <c r="P18">
        <f t="shared" si="2"/>
        <v>16.020273</v>
      </c>
      <c r="S18">
        <f t="shared" si="3"/>
        <v>0.28274309999999997</v>
      </c>
    </row>
    <row r="19" spans="1:19">
      <c r="A19" s="9">
        <v>41838</v>
      </c>
      <c r="B19" s="7" t="s">
        <v>25</v>
      </c>
      <c r="C19">
        <v>14</v>
      </c>
      <c r="D19" t="s">
        <v>62</v>
      </c>
      <c r="E19">
        <v>185</v>
      </c>
      <c r="F19">
        <v>0.69</v>
      </c>
      <c r="N19">
        <f t="shared" si="1"/>
        <v>23.058877901249993</v>
      </c>
      <c r="O19">
        <v>8.3788279999999986</v>
      </c>
      <c r="P19">
        <f t="shared" si="2"/>
        <v>8.3788279999999986</v>
      </c>
      <c r="S19">
        <f t="shared" si="3"/>
        <v>0.37392774974999993</v>
      </c>
    </row>
    <row r="20" spans="1:19">
      <c r="A20" s="9">
        <v>41838</v>
      </c>
      <c r="B20" s="7" t="s">
        <v>25</v>
      </c>
      <c r="C20">
        <v>14</v>
      </c>
      <c r="D20" t="s">
        <v>62</v>
      </c>
      <c r="E20">
        <v>210</v>
      </c>
      <c r="F20">
        <v>0.78</v>
      </c>
      <c r="N20">
        <f t="shared" si="1"/>
        <v>33.44850873</v>
      </c>
      <c r="O20">
        <v>10.131453</v>
      </c>
      <c r="P20">
        <f t="shared" si="2"/>
        <v>10.131453</v>
      </c>
      <c r="S20">
        <f t="shared" si="3"/>
        <v>0.47783583900000004</v>
      </c>
    </row>
    <row r="21" spans="1:19">
      <c r="A21" s="9">
        <v>41838</v>
      </c>
      <c r="B21" s="7" t="s">
        <v>25</v>
      </c>
      <c r="C21">
        <v>14</v>
      </c>
      <c r="D21" t="s">
        <v>62</v>
      </c>
      <c r="E21">
        <v>205</v>
      </c>
      <c r="F21">
        <v>0.71</v>
      </c>
      <c r="N21">
        <f t="shared" si="1"/>
        <v>27.054456782916667</v>
      </c>
      <c r="O21">
        <v>9.7809279999999994</v>
      </c>
      <c r="P21">
        <f t="shared" si="2"/>
        <v>9.7809279999999994</v>
      </c>
      <c r="S21">
        <f t="shared" si="3"/>
        <v>0.39591887974999995</v>
      </c>
    </row>
    <row r="22" spans="1:19">
      <c r="A22" s="9">
        <v>41838</v>
      </c>
      <c r="B22" s="7" t="s">
        <v>25</v>
      </c>
      <c r="C22">
        <v>14</v>
      </c>
      <c r="D22" t="s">
        <v>62</v>
      </c>
      <c r="E22">
        <v>88</v>
      </c>
      <c r="F22">
        <v>0.48</v>
      </c>
      <c r="N22">
        <f t="shared" si="1"/>
        <v>5.3080304639999989</v>
      </c>
      <c r="O22">
        <v>1.5786430000000005</v>
      </c>
      <c r="P22">
        <f t="shared" si="2"/>
        <v>1.5786430000000005</v>
      </c>
      <c r="S22">
        <f t="shared" si="3"/>
        <v>0.18095558399999997</v>
      </c>
    </row>
    <row r="23" spans="1:19">
      <c r="A23" s="9">
        <v>41838</v>
      </c>
      <c r="B23" s="7" t="s">
        <v>25</v>
      </c>
      <c r="C23">
        <v>14</v>
      </c>
      <c r="D23" t="s">
        <v>60</v>
      </c>
      <c r="E23">
        <v>262</v>
      </c>
      <c r="F23">
        <v>2.16</v>
      </c>
      <c r="H23">
        <v>22</v>
      </c>
      <c r="I23">
        <v>2.5</v>
      </c>
      <c r="N23" t="str">
        <f t="shared" si="1"/>
        <v>NA</v>
      </c>
      <c r="O23">
        <v>87.191195520000008</v>
      </c>
      <c r="P23">
        <f t="shared" si="2"/>
        <v>87.191195520000008</v>
      </c>
      <c r="S23">
        <f t="shared" si="3"/>
        <v>3.6643505760000004</v>
      </c>
    </row>
    <row r="24" spans="1:19">
      <c r="A24" s="9">
        <v>41838</v>
      </c>
      <c r="B24" s="7" t="s">
        <v>25</v>
      </c>
      <c r="C24">
        <v>14</v>
      </c>
      <c r="D24" t="s">
        <v>60</v>
      </c>
      <c r="E24">
        <v>244</v>
      </c>
      <c r="F24">
        <v>1.85</v>
      </c>
      <c r="H24">
        <v>20</v>
      </c>
      <c r="I24">
        <v>2</v>
      </c>
      <c r="N24" t="str">
        <f t="shared" si="1"/>
        <v>NA</v>
      </c>
      <c r="O24">
        <v>65.15149624999998</v>
      </c>
      <c r="P24">
        <f t="shared" si="2"/>
        <v>65.15149624999998</v>
      </c>
      <c r="S24">
        <f t="shared" si="3"/>
        <v>2.6880229437500001</v>
      </c>
    </row>
    <row r="25" spans="1:19">
      <c r="A25" s="9">
        <v>41838</v>
      </c>
      <c r="B25" s="7" t="s">
        <v>25</v>
      </c>
      <c r="C25">
        <v>14</v>
      </c>
      <c r="D25" t="s">
        <v>19</v>
      </c>
      <c r="F25">
        <v>3.3</v>
      </c>
      <c r="J25">
        <f>111+160+118+144+172+174+204</f>
        <v>1083</v>
      </c>
      <c r="K25">
        <v>7</v>
      </c>
      <c r="L25">
        <v>204</v>
      </c>
      <c r="N25" t="str">
        <f t="shared" si="1"/>
        <v>NA</v>
      </c>
      <c r="O25">
        <v>23.963198000000006</v>
      </c>
      <c r="P25">
        <f t="shared" si="2"/>
        <v>23.963198000000006</v>
      </c>
      <c r="S25">
        <f t="shared" si="3"/>
        <v>8.5529787749999979</v>
      </c>
    </row>
    <row r="26" spans="1:19">
      <c r="A26" s="9">
        <v>41838</v>
      </c>
      <c r="B26" s="7" t="s">
        <v>25</v>
      </c>
      <c r="C26">
        <v>14</v>
      </c>
      <c r="D26" t="s">
        <v>19</v>
      </c>
      <c r="F26">
        <v>1.19</v>
      </c>
      <c r="J26">
        <f>107+159+198+253+272</f>
        <v>989</v>
      </c>
      <c r="K26">
        <v>5</v>
      </c>
      <c r="L26">
        <v>272</v>
      </c>
      <c r="N26" t="str">
        <f t="shared" si="1"/>
        <v>NA</v>
      </c>
      <c r="O26">
        <v>8.7102740000000125</v>
      </c>
      <c r="P26">
        <f t="shared" si="2"/>
        <v>8.7102740000000125</v>
      </c>
      <c r="S26">
        <f t="shared" si="3"/>
        <v>1.11220139975</v>
      </c>
    </row>
    <row r="27" spans="1:19">
      <c r="A27" s="9">
        <v>41838</v>
      </c>
      <c r="B27" s="7" t="s">
        <v>25</v>
      </c>
      <c r="C27">
        <v>14</v>
      </c>
      <c r="D27" t="s">
        <v>19</v>
      </c>
      <c r="E27">
        <v>244</v>
      </c>
      <c r="F27">
        <v>2.73</v>
      </c>
      <c r="H27">
        <v>21</v>
      </c>
      <c r="I27">
        <v>2.5</v>
      </c>
      <c r="N27" t="str">
        <f t="shared" si="1"/>
        <v>NA</v>
      </c>
      <c r="O27">
        <v>91.77097741</v>
      </c>
      <c r="P27">
        <f t="shared" si="2"/>
        <v>91.77097741</v>
      </c>
      <c r="S27">
        <f t="shared" si="3"/>
        <v>5.8534890277499994</v>
      </c>
    </row>
    <row r="28" spans="1:19">
      <c r="A28" s="9">
        <v>41838</v>
      </c>
      <c r="B28" s="7" t="s">
        <v>25</v>
      </c>
      <c r="C28">
        <v>14</v>
      </c>
      <c r="D28" t="s">
        <v>19</v>
      </c>
      <c r="F28">
        <v>2.91</v>
      </c>
      <c r="J28">
        <f>181+207+226+247+259+290</f>
        <v>1410</v>
      </c>
      <c r="K28">
        <v>6</v>
      </c>
      <c r="L28">
        <v>290</v>
      </c>
      <c r="N28" t="str">
        <f t="shared" si="1"/>
        <v>NA</v>
      </c>
      <c r="O28">
        <v>35.736366000000025</v>
      </c>
      <c r="P28">
        <f t="shared" si="2"/>
        <v>35.736366000000025</v>
      </c>
      <c r="S28">
        <f t="shared" si="3"/>
        <v>6.650824569750001</v>
      </c>
    </row>
    <row r="29" spans="1:19">
      <c r="A29" s="9">
        <v>41838</v>
      </c>
      <c r="B29" s="7" t="s">
        <v>25</v>
      </c>
      <c r="C29">
        <v>14</v>
      </c>
      <c r="D29" t="s">
        <v>19</v>
      </c>
      <c r="E29">
        <v>320</v>
      </c>
      <c r="F29">
        <v>3.2</v>
      </c>
      <c r="H29">
        <v>24</v>
      </c>
      <c r="I29">
        <v>2</v>
      </c>
      <c r="N29" t="str">
        <f t="shared" si="1"/>
        <v>NA</v>
      </c>
      <c r="O29">
        <v>117.97265720000001</v>
      </c>
      <c r="P29">
        <f t="shared" si="2"/>
        <v>117.97265720000001</v>
      </c>
      <c r="S29">
        <f t="shared" si="3"/>
        <v>8.0424704000000009</v>
      </c>
    </row>
    <row r="30" spans="1:19">
      <c r="A30" s="9">
        <v>41838</v>
      </c>
      <c r="B30" s="7" t="s">
        <v>25</v>
      </c>
      <c r="C30">
        <v>14</v>
      </c>
      <c r="D30" t="s">
        <v>19</v>
      </c>
      <c r="F30">
        <v>3</v>
      </c>
      <c r="J30">
        <f>112+196+235+270+275+313+337+364</f>
        <v>2102</v>
      </c>
      <c r="K30">
        <v>8</v>
      </c>
      <c r="L30">
        <v>364</v>
      </c>
      <c r="N30" t="str">
        <f t="shared" si="1"/>
        <v>NA</v>
      </c>
      <c r="O30">
        <v>64.277990000000017</v>
      </c>
      <c r="P30">
        <f t="shared" si="2"/>
        <v>64.277990000000017</v>
      </c>
      <c r="S30">
        <f t="shared" si="3"/>
        <v>7.0685775</v>
      </c>
    </row>
    <row r="31" spans="1:19">
      <c r="A31" s="9">
        <v>41838</v>
      </c>
      <c r="B31" s="7" t="s">
        <v>25</v>
      </c>
      <c r="C31">
        <v>14</v>
      </c>
      <c r="D31" t="s">
        <v>19</v>
      </c>
      <c r="F31">
        <v>2.87</v>
      </c>
      <c r="J31">
        <f>141+145+205+218+253+295+296+316</f>
        <v>1869</v>
      </c>
      <c r="K31">
        <v>8</v>
      </c>
      <c r="L31">
        <v>316</v>
      </c>
      <c r="N31" t="str">
        <f t="shared" si="1"/>
        <v>NA</v>
      </c>
      <c r="O31">
        <v>56.892835000000012</v>
      </c>
      <c r="P31">
        <f t="shared" si="2"/>
        <v>56.892835000000012</v>
      </c>
      <c r="S31">
        <f t="shared" si="3"/>
        <v>6.4692406677500003</v>
      </c>
    </row>
    <row r="32" spans="1:19">
      <c r="A32" s="9">
        <v>41838</v>
      </c>
      <c r="B32" s="7" t="s">
        <v>25</v>
      </c>
      <c r="C32">
        <v>14</v>
      </c>
      <c r="D32" t="s">
        <v>19</v>
      </c>
      <c r="F32">
        <v>2.06</v>
      </c>
      <c r="J32">
        <f>212+252+270+280+150</f>
        <v>1164</v>
      </c>
      <c r="K32">
        <v>5</v>
      </c>
      <c r="L32">
        <v>280</v>
      </c>
      <c r="N32" t="str">
        <f t="shared" si="1"/>
        <v>NA</v>
      </c>
      <c r="O32">
        <v>22.707439000000015</v>
      </c>
      <c r="P32">
        <f t="shared" si="2"/>
        <v>22.707439000000015</v>
      </c>
      <c r="S32">
        <f t="shared" si="3"/>
        <v>3.3329128309999998</v>
      </c>
    </row>
    <row r="33" spans="1:19">
      <c r="A33" s="9">
        <v>41838</v>
      </c>
      <c r="B33" s="7" t="s">
        <v>25</v>
      </c>
      <c r="C33">
        <v>30</v>
      </c>
      <c r="D33" t="s">
        <v>19</v>
      </c>
      <c r="F33">
        <v>3.81</v>
      </c>
      <c r="J33">
        <f>136+138+148+145+150+156+157</f>
        <v>1030</v>
      </c>
      <c r="K33">
        <v>7</v>
      </c>
      <c r="L33">
        <v>157</v>
      </c>
      <c r="N33" t="str">
        <f t="shared" si="1"/>
        <v>NA</v>
      </c>
      <c r="O33">
        <v>33.152698000000001</v>
      </c>
      <c r="P33">
        <f t="shared" si="2"/>
        <v>33.152698000000001</v>
      </c>
      <c r="S33">
        <f t="shared" si="3"/>
        <v>11.400908649749999</v>
      </c>
    </row>
    <row r="34" spans="1:19">
      <c r="A34" s="9">
        <v>41838</v>
      </c>
      <c r="B34" s="7" t="s">
        <v>25</v>
      </c>
      <c r="C34">
        <v>30</v>
      </c>
      <c r="D34" t="s">
        <v>19</v>
      </c>
      <c r="F34">
        <v>4.74</v>
      </c>
      <c r="J34">
        <f>99+127+145+193+180+232+245+246+247+257+268</f>
        <v>2239</v>
      </c>
      <c r="K34">
        <v>11</v>
      </c>
      <c r="L34">
        <v>268</v>
      </c>
      <c r="N34" t="str">
        <f t="shared" si="1"/>
        <v>NA</v>
      </c>
      <c r="O34">
        <v>84.974886000000026</v>
      </c>
      <c r="P34">
        <f t="shared" si="2"/>
        <v>84.974886000000026</v>
      </c>
      <c r="S34">
        <f t="shared" si="3"/>
        <v>17.645996871000001</v>
      </c>
    </row>
    <row r="35" spans="1:19">
      <c r="A35" s="9">
        <v>41838</v>
      </c>
      <c r="B35" s="7" t="s">
        <v>25</v>
      </c>
      <c r="C35">
        <v>30</v>
      </c>
      <c r="D35" t="s">
        <v>19</v>
      </c>
      <c r="F35">
        <v>1.7</v>
      </c>
      <c r="J35">
        <f>133+188+207+213+246</f>
        <v>987</v>
      </c>
      <c r="K35">
        <v>5</v>
      </c>
      <c r="L35">
        <v>246</v>
      </c>
      <c r="N35" t="str">
        <f t="shared" si="1"/>
        <v>NA</v>
      </c>
      <c r="O35">
        <v>16.355134000000007</v>
      </c>
      <c r="P35">
        <f t="shared" si="2"/>
        <v>16.355134000000007</v>
      </c>
      <c r="S35">
        <f t="shared" si="3"/>
        <v>2.2697987749999995</v>
      </c>
    </row>
    <row r="36" spans="1:19">
      <c r="A36" s="9">
        <v>41838</v>
      </c>
      <c r="B36" s="7" t="s">
        <v>25</v>
      </c>
      <c r="C36">
        <v>30</v>
      </c>
      <c r="D36" t="s">
        <v>19</v>
      </c>
      <c r="F36">
        <v>1.0900000000000001</v>
      </c>
      <c r="J36">
        <f>52+96+115+155</f>
        <v>418</v>
      </c>
      <c r="K36">
        <v>4</v>
      </c>
      <c r="L36">
        <v>155</v>
      </c>
      <c r="N36" t="str">
        <f t="shared" si="1"/>
        <v>NA</v>
      </c>
      <c r="O36" t="s">
        <v>64</v>
      </c>
      <c r="P36" t="str">
        <f t="shared" si="2"/>
        <v xml:space="preserve"> </v>
      </c>
      <c r="S36">
        <f t="shared" si="3"/>
        <v>0.93313076975000009</v>
      </c>
    </row>
    <row r="37" spans="1:19">
      <c r="A37" s="9">
        <v>41838</v>
      </c>
      <c r="B37" s="7" t="s">
        <v>25</v>
      </c>
      <c r="C37">
        <v>30</v>
      </c>
      <c r="D37" t="s">
        <v>19</v>
      </c>
      <c r="F37">
        <v>0.81</v>
      </c>
      <c r="J37">
        <f>88+117+127</f>
        <v>332</v>
      </c>
      <c r="K37">
        <v>3</v>
      </c>
      <c r="L37">
        <v>127</v>
      </c>
      <c r="N37" t="str">
        <f t="shared" si="1"/>
        <v>NA</v>
      </c>
      <c r="O37">
        <v>4.8384700000000009</v>
      </c>
      <c r="P37">
        <f t="shared" si="2"/>
        <v>4.8384700000000009</v>
      </c>
      <c r="S37">
        <f t="shared" si="3"/>
        <v>0.51529929975000011</v>
      </c>
    </row>
    <row r="38" spans="1:19">
      <c r="A38" s="9">
        <v>41838</v>
      </c>
      <c r="B38" s="7" t="s">
        <v>25</v>
      </c>
      <c r="C38">
        <v>30</v>
      </c>
      <c r="D38" t="s">
        <v>19</v>
      </c>
      <c r="F38">
        <v>2</v>
      </c>
      <c r="J38">
        <f>133+192+195+198+223+127</f>
        <v>1068</v>
      </c>
      <c r="K38">
        <v>6</v>
      </c>
      <c r="L38">
        <v>223</v>
      </c>
      <c r="N38" t="str">
        <f t="shared" si="1"/>
        <v>NA</v>
      </c>
      <c r="O38">
        <v>23.855571000000005</v>
      </c>
      <c r="P38">
        <f t="shared" si="2"/>
        <v>23.855571000000005</v>
      </c>
      <c r="S38">
        <f t="shared" si="3"/>
        <v>3.1415899999999999</v>
      </c>
    </row>
    <row r="39" spans="1:19">
      <c r="A39" s="9">
        <v>41838</v>
      </c>
      <c r="B39" s="7" t="s">
        <v>25</v>
      </c>
      <c r="C39">
        <v>30</v>
      </c>
      <c r="D39" t="s">
        <v>19</v>
      </c>
      <c r="F39">
        <v>2.4900000000000002</v>
      </c>
      <c r="J39">
        <f>81+93+134+176+221</f>
        <v>705</v>
      </c>
      <c r="K39">
        <v>5</v>
      </c>
      <c r="L39">
        <v>221</v>
      </c>
      <c r="N39" t="str">
        <f t="shared" si="1"/>
        <v>NA</v>
      </c>
      <c r="O39" t="s">
        <v>64</v>
      </c>
      <c r="P39" t="str">
        <f t="shared" si="2"/>
        <v xml:space="preserve"> </v>
      </c>
      <c r="S39">
        <f t="shared" si="3"/>
        <v>4.8695430397500008</v>
      </c>
    </row>
    <row r="40" spans="1:19">
      <c r="A40" s="9">
        <v>41838</v>
      </c>
      <c r="B40" s="7" t="s">
        <v>25</v>
      </c>
      <c r="C40">
        <v>30</v>
      </c>
      <c r="D40" t="s">
        <v>19</v>
      </c>
      <c r="F40">
        <v>2.2599999999999998</v>
      </c>
      <c r="J40">
        <f>75+92+116+132+169+144+243+259</f>
        <v>1230</v>
      </c>
      <c r="K40">
        <v>8</v>
      </c>
      <c r="L40">
        <v>259</v>
      </c>
      <c r="N40" t="str">
        <f t="shared" si="1"/>
        <v>NA</v>
      </c>
      <c r="O40">
        <v>14.15435500000001</v>
      </c>
      <c r="P40">
        <f t="shared" si="2"/>
        <v>14.15435500000001</v>
      </c>
      <c r="S40">
        <f t="shared" si="3"/>
        <v>4.0114962709999986</v>
      </c>
    </row>
    <row r="41" spans="1:19">
      <c r="A41" s="9">
        <v>41838</v>
      </c>
      <c r="B41" s="7" t="s">
        <v>25</v>
      </c>
      <c r="C41">
        <v>30</v>
      </c>
      <c r="D41" t="s">
        <v>19</v>
      </c>
      <c r="F41">
        <v>2</v>
      </c>
      <c r="J41">
        <f>94+151+208+238+259+260+264</f>
        <v>1474</v>
      </c>
      <c r="K41">
        <v>7</v>
      </c>
      <c r="L41">
        <v>264</v>
      </c>
      <c r="N41" t="str">
        <f t="shared" si="1"/>
        <v>NA</v>
      </c>
      <c r="O41">
        <v>42.546703000000015</v>
      </c>
      <c r="P41">
        <f t="shared" si="2"/>
        <v>42.546703000000015</v>
      </c>
      <c r="S41">
        <f t="shared" si="3"/>
        <v>3.1415899999999999</v>
      </c>
    </row>
    <row r="42" spans="1:19">
      <c r="A42" s="9">
        <v>41838</v>
      </c>
      <c r="B42" s="7" t="s">
        <v>25</v>
      </c>
      <c r="C42">
        <v>30</v>
      </c>
      <c r="D42" t="s">
        <v>19</v>
      </c>
      <c r="F42">
        <v>0.74</v>
      </c>
      <c r="J42">
        <f>54+192</f>
        <v>246</v>
      </c>
      <c r="K42">
        <v>2</v>
      </c>
      <c r="L42">
        <v>192</v>
      </c>
      <c r="N42" t="str">
        <f t="shared" si="1"/>
        <v>NA</v>
      </c>
      <c r="O42" t="s">
        <v>64</v>
      </c>
      <c r="P42" t="str">
        <f t="shared" si="2"/>
        <v xml:space="preserve"> </v>
      </c>
      <c r="S42">
        <f t="shared" si="3"/>
        <v>0.43008367099999995</v>
      </c>
    </row>
    <row r="43" spans="1:19">
      <c r="A43" s="9">
        <v>41838</v>
      </c>
      <c r="B43" s="7" t="s">
        <v>25</v>
      </c>
      <c r="C43">
        <v>30</v>
      </c>
      <c r="D43" t="s">
        <v>19</v>
      </c>
      <c r="F43">
        <v>3.83</v>
      </c>
      <c r="J43">
        <f>122+158+200+254+293+298+304+332+154</f>
        <v>2115</v>
      </c>
      <c r="K43">
        <v>9</v>
      </c>
      <c r="L43">
        <v>332</v>
      </c>
      <c r="N43" t="str">
        <f t="shared" si="1"/>
        <v>NA</v>
      </c>
      <c r="O43">
        <v>68.114292000000006</v>
      </c>
      <c r="P43">
        <f t="shared" si="2"/>
        <v>68.114292000000006</v>
      </c>
      <c r="S43">
        <f t="shared" si="3"/>
        <v>11.52091738775</v>
      </c>
    </row>
    <row r="44" spans="1:19">
      <c r="A44" s="9">
        <v>41838</v>
      </c>
      <c r="B44" s="7" t="s">
        <v>25</v>
      </c>
      <c r="C44">
        <v>30</v>
      </c>
      <c r="D44" t="s">
        <v>19</v>
      </c>
      <c r="F44">
        <v>1</v>
      </c>
      <c r="J44">
        <f>64+109+128</f>
        <v>301</v>
      </c>
      <c r="K44">
        <v>3</v>
      </c>
      <c r="L44">
        <v>128</v>
      </c>
      <c r="N44" t="str">
        <f t="shared" si="1"/>
        <v>NA</v>
      </c>
      <c r="O44">
        <v>1.6308199999999999</v>
      </c>
      <c r="P44">
        <f t="shared" si="2"/>
        <v>1.6308199999999999</v>
      </c>
      <c r="S44">
        <f t="shared" si="3"/>
        <v>0.78539749999999997</v>
      </c>
    </row>
    <row r="45" spans="1:19">
      <c r="A45" s="9">
        <v>41838</v>
      </c>
      <c r="B45" s="7" t="s">
        <v>25</v>
      </c>
      <c r="C45">
        <v>30</v>
      </c>
      <c r="D45" t="s">
        <v>19</v>
      </c>
      <c r="F45">
        <v>2.0299999999999998</v>
      </c>
      <c r="J45">
        <f>83+92+124+139+145+159+205+226+236+270</f>
        <v>1679</v>
      </c>
      <c r="K45">
        <v>10</v>
      </c>
      <c r="L45">
        <v>270</v>
      </c>
      <c r="N45" t="str">
        <f t="shared" si="1"/>
        <v>NA</v>
      </c>
      <c r="O45">
        <v>38.891949000000018</v>
      </c>
      <c r="P45">
        <f t="shared" si="2"/>
        <v>38.891949000000018</v>
      </c>
      <c r="S45">
        <f t="shared" si="3"/>
        <v>3.2365445577499989</v>
      </c>
    </row>
    <row r="46" spans="1:19">
      <c r="A46" s="9">
        <v>41838</v>
      </c>
      <c r="B46" s="7" t="s">
        <v>25</v>
      </c>
      <c r="C46">
        <v>30</v>
      </c>
      <c r="D46" t="s">
        <v>19</v>
      </c>
      <c r="F46">
        <v>1.54</v>
      </c>
      <c r="J46">
        <f>137+156+194+202+63</f>
        <v>752</v>
      </c>
      <c r="K46">
        <v>5</v>
      </c>
      <c r="L46">
        <v>202</v>
      </c>
      <c r="N46" t="str">
        <f t="shared" si="1"/>
        <v>NA</v>
      </c>
      <c r="O46">
        <v>7.5774889999999999</v>
      </c>
      <c r="P46">
        <f t="shared" si="2"/>
        <v>7.5774889999999999</v>
      </c>
      <c r="S46">
        <f t="shared" si="3"/>
        <v>1.8626487109999998</v>
      </c>
    </row>
    <row r="47" spans="1:19">
      <c r="A47" s="9">
        <v>41838</v>
      </c>
      <c r="B47" s="7" t="s">
        <v>25</v>
      </c>
      <c r="C47">
        <v>32</v>
      </c>
      <c r="D47" t="s">
        <v>19</v>
      </c>
      <c r="F47">
        <v>5.6</v>
      </c>
      <c r="J47">
        <f>187+246+285+290+318+335+348+356+362+172</f>
        <v>2899</v>
      </c>
      <c r="K47">
        <v>10</v>
      </c>
      <c r="L47">
        <v>362</v>
      </c>
      <c r="N47" t="str">
        <f t="shared" si="1"/>
        <v>NA</v>
      </c>
      <c r="O47">
        <v>125.55850900000004</v>
      </c>
      <c r="P47">
        <f t="shared" si="2"/>
        <v>125.55850900000004</v>
      </c>
      <c r="S47">
        <f t="shared" si="3"/>
        <v>24.630065599999995</v>
      </c>
    </row>
    <row r="48" spans="1:19">
      <c r="A48" s="9">
        <v>41838</v>
      </c>
      <c r="B48" s="7" t="s">
        <v>25</v>
      </c>
      <c r="C48">
        <v>32</v>
      </c>
      <c r="D48" t="s">
        <v>19</v>
      </c>
      <c r="F48">
        <v>2.14</v>
      </c>
      <c r="J48">
        <f>32+87+98+111+116</f>
        <v>444</v>
      </c>
      <c r="K48">
        <v>5</v>
      </c>
      <c r="L48">
        <v>116</v>
      </c>
      <c r="N48" t="str">
        <f t="shared" si="1"/>
        <v>NA</v>
      </c>
      <c r="O48">
        <v>4.6080189999999988</v>
      </c>
      <c r="P48">
        <f t="shared" si="2"/>
        <v>4.6080189999999988</v>
      </c>
      <c r="S48">
        <f t="shared" si="3"/>
        <v>3.5968063909999999</v>
      </c>
    </row>
    <row r="49" spans="1:19">
      <c r="A49" s="9">
        <v>41838</v>
      </c>
      <c r="B49" s="7" t="s">
        <v>25</v>
      </c>
      <c r="C49">
        <v>32</v>
      </c>
      <c r="D49" t="s">
        <v>19</v>
      </c>
      <c r="F49">
        <v>3.9</v>
      </c>
      <c r="J49">
        <f>124+153+154+293+317+356+360+369+380</f>
        <v>2506</v>
      </c>
      <c r="K49">
        <v>9</v>
      </c>
      <c r="L49">
        <v>380</v>
      </c>
      <c r="N49" t="str">
        <f t="shared" si="1"/>
        <v>NA</v>
      </c>
      <c r="O49">
        <v>90.312737000000027</v>
      </c>
      <c r="P49">
        <f t="shared" si="2"/>
        <v>90.312737000000027</v>
      </c>
      <c r="S49">
        <f t="shared" si="3"/>
        <v>11.945895974999999</v>
      </c>
    </row>
    <row r="50" spans="1:19">
      <c r="A50" s="9">
        <v>41838</v>
      </c>
      <c r="B50" s="7" t="s">
        <v>25</v>
      </c>
      <c r="C50">
        <v>32</v>
      </c>
      <c r="D50" t="s">
        <v>19</v>
      </c>
      <c r="F50">
        <v>3.22</v>
      </c>
      <c r="J50">
        <f>69+119+164+247+248+257</f>
        <v>1104</v>
      </c>
      <c r="K50">
        <v>6</v>
      </c>
      <c r="L50">
        <v>257</v>
      </c>
      <c r="N50" t="str">
        <f t="shared" si="1"/>
        <v>NA</v>
      </c>
      <c r="O50">
        <v>16.98842100000001</v>
      </c>
      <c r="P50">
        <f t="shared" si="2"/>
        <v>16.98842100000001</v>
      </c>
      <c r="S50">
        <f t="shared" si="3"/>
        <v>8.1433154390000002</v>
      </c>
    </row>
    <row r="51" spans="1:19">
      <c r="A51" s="9">
        <v>41838</v>
      </c>
      <c r="B51" s="7" t="s">
        <v>25</v>
      </c>
      <c r="C51">
        <v>33</v>
      </c>
      <c r="D51" t="s">
        <v>60</v>
      </c>
      <c r="F51">
        <v>2.37</v>
      </c>
      <c r="J51">
        <f>148+183+213+220+242+244+273</f>
        <v>1523</v>
      </c>
      <c r="K51">
        <v>7</v>
      </c>
      <c r="L51">
        <v>273</v>
      </c>
      <c r="N51" t="str">
        <f t="shared" si="1"/>
        <v>NA</v>
      </c>
      <c r="O51">
        <v>44.429493000000015</v>
      </c>
      <c r="P51">
        <f t="shared" si="2"/>
        <v>44.429493000000015</v>
      </c>
      <c r="S51">
        <f t="shared" si="3"/>
        <v>4.4114992177500003</v>
      </c>
    </row>
    <row r="52" spans="1:19">
      <c r="A52" s="9">
        <v>41838</v>
      </c>
      <c r="B52" s="7" t="s">
        <v>25</v>
      </c>
      <c r="C52">
        <v>33</v>
      </c>
      <c r="D52" t="s">
        <v>60</v>
      </c>
      <c r="E52">
        <v>332</v>
      </c>
      <c r="F52">
        <v>2.75</v>
      </c>
      <c r="H52">
        <v>34.5</v>
      </c>
      <c r="I52">
        <v>2.5</v>
      </c>
      <c r="N52" t="str">
        <f t="shared" si="1"/>
        <v>NA</v>
      </c>
      <c r="O52">
        <v>131.45604704999997</v>
      </c>
      <c r="P52">
        <f t="shared" si="2"/>
        <v>131.45604704999997</v>
      </c>
      <c r="S52">
        <f t="shared" si="3"/>
        <v>5.9395685937499998</v>
      </c>
    </row>
    <row r="53" spans="1:19">
      <c r="A53" s="9">
        <v>41838</v>
      </c>
      <c r="B53" s="7" t="s">
        <v>25</v>
      </c>
      <c r="C53">
        <v>33</v>
      </c>
      <c r="D53" t="s">
        <v>19</v>
      </c>
      <c r="F53">
        <v>2.41</v>
      </c>
      <c r="J53">
        <f>180+184+245+257+275+287+288</f>
        <v>1716</v>
      </c>
      <c r="K53">
        <v>7</v>
      </c>
      <c r="L53">
        <v>288</v>
      </c>
      <c r="N53" t="str">
        <f t="shared" si="1"/>
        <v>NA</v>
      </c>
      <c r="O53">
        <v>58.005533000000007</v>
      </c>
      <c r="P53">
        <f t="shared" si="2"/>
        <v>58.005533000000007</v>
      </c>
      <c r="S53">
        <f t="shared" si="3"/>
        <v>4.5616672197500003</v>
      </c>
    </row>
    <row r="54" spans="1:19">
      <c r="A54" s="9">
        <v>41838</v>
      </c>
      <c r="B54" s="7" t="s">
        <v>25</v>
      </c>
      <c r="C54">
        <v>41</v>
      </c>
      <c r="D54" t="s">
        <v>60</v>
      </c>
      <c r="E54">
        <v>306</v>
      </c>
      <c r="F54">
        <v>4.74</v>
      </c>
      <c r="H54">
        <v>27</v>
      </c>
      <c r="I54">
        <v>2.5</v>
      </c>
      <c r="N54" t="str">
        <f t="shared" si="1"/>
        <v>NA</v>
      </c>
      <c r="O54">
        <v>154.91179518000001</v>
      </c>
      <c r="P54">
        <f t="shared" si="2"/>
        <v>154.91179518000001</v>
      </c>
      <c r="S54">
        <f t="shared" si="3"/>
        <v>17.645996871000001</v>
      </c>
    </row>
    <row r="55" spans="1:19">
      <c r="A55" s="9">
        <v>41838</v>
      </c>
      <c r="B55" s="7" t="s">
        <v>25</v>
      </c>
      <c r="C55">
        <v>41</v>
      </c>
      <c r="D55" t="s">
        <v>19</v>
      </c>
      <c r="F55">
        <v>6.02</v>
      </c>
      <c r="J55">
        <f>174+196+237+273+280+314+341+371+377</f>
        <v>2563</v>
      </c>
      <c r="K55">
        <v>9</v>
      </c>
      <c r="L55">
        <v>377</v>
      </c>
      <c r="N55" t="str">
        <f t="shared" si="1"/>
        <v>NA</v>
      </c>
      <c r="O55">
        <v>96.56050700000003</v>
      </c>
      <c r="P55">
        <f t="shared" si="2"/>
        <v>96.56050700000003</v>
      </c>
      <c r="S55">
        <f t="shared" si="3"/>
        <v>28.463119558999995</v>
      </c>
    </row>
    <row r="56" spans="1:19">
      <c r="A56" s="9">
        <v>41838</v>
      </c>
      <c r="B56" s="7" t="s">
        <v>25</v>
      </c>
      <c r="C56">
        <v>41</v>
      </c>
      <c r="D56" t="s">
        <v>19</v>
      </c>
      <c r="F56">
        <v>3.01</v>
      </c>
      <c r="J56">
        <f>167+191+231+252+282+318+323</f>
        <v>1764</v>
      </c>
      <c r="K56">
        <v>7</v>
      </c>
      <c r="L56">
        <v>323</v>
      </c>
      <c r="N56" t="str">
        <f t="shared" si="1"/>
        <v>NA</v>
      </c>
      <c r="O56">
        <v>51.962198000000022</v>
      </c>
      <c r="P56">
        <f t="shared" si="2"/>
        <v>51.962198000000022</v>
      </c>
      <c r="S56">
        <f t="shared" si="3"/>
        <v>7.1157798897499989</v>
      </c>
    </row>
    <row r="57" spans="1:19">
      <c r="A57" s="9">
        <v>41838</v>
      </c>
      <c r="B57" s="7" t="s">
        <v>25</v>
      </c>
      <c r="C57">
        <v>41</v>
      </c>
      <c r="D57" t="s">
        <v>19</v>
      </c>
      <c r="F57">
        <v>0.87</v>
      </c>
      <c r="J57">
        <f>68+75+98</f>
        <v>241</v>
      </c>
      <c r="K57">
        <v>3</v>
      </c>
      <c r="L57">
        <v>98</v>
      </c>
      <c r="N57" t="str">
        <f t="shared" si="1"/>
        <v>NA</v>
      </c>
      <c r="O57">
        <v>5.0428700000000006</v>
      </c>
      <c r="P57">
        <f t="shared" si="2"/>
        <v>5.0428700000000006</v>
      </c>
      <c r="S57">
        <f t="shared" si="3"/>
        <v>0.59446736774999998</v>
      </c>
    </row>
    <row r="58" spans="1:19">
      <c r="A58" s="9">
        <v>41838</v>
      </c>
      <c r="B58" s="7" t="s">
        <v>25</v>
      </c>
      <c r="C58">
        <v>41</v>
      </c>
      <c r="D58" t="s">
        <v>19</v>
      </c>
      <c r="F58">
        <v>0.84</v>
      </c>
      <c r="J58">
        <f>44+65+122</f>
        <v>231</v>
      </c>
      <c r="K58">
        <v>3</v>
      </c>
      <c r="L58">
        <v>122</v>
      </c>
      <c r="N58" t="str">
        <f t="shared" si="1"/>
        <v>NA</v>
      </c>
      <c r="O58" t="s">
        <v>64</v>
      </c>
      <c r="P58" t="str">
        <f t="shared" si="2"/>
        <v xml:space="preserve"> </v>
      </c>
      <c r="S58">
        <f t="shared" si="3"/>
        <v>0.55417647599999986</v>
      </c>
    </row>
    <row r="59" spans="1:19">
      <c r="A59" s="9">
        <v>41838</v>
      </c>
      <c r="B59" s="7" t="s">
        <v>25</v>
      </c>
      <c r="C59">
        <v>41</v>
      </c>
      <c r="D59" t="s">
        <v>19</v>
      </c>
      <c r="F59">
        <v>1.43</v>
      </c>
      <c r="J59">
        <f>60+89+125+129</f>
        <v>403</v>
      </c>
      <c r="K59">
        <v>4</v>
      </c>
      <c r="L59">
        <v>129</v>
      </c>
      <c r="N59" t="str">
        <f t="shared" si="1"/>
        <v>NA</v>
      </c>
      <c r="O59">
        <v>3.8702319999999979</v>
      </c>
      <c r="P59">
        <f t="shared" si="2"/>
        <v>3.8702319999999979</v>
      </c>
      <c r="S59">
        <f t="shared" si="3"/>
        <v>1.6060593477499998</v>
      </c>
    </row>
    <row r="60" spans="1:19">
      <c r="A60" s="9">
        <v>41838</v>
      </c>
      <c r="B60" s="7" t="s">
        <v>25</v>
      </c>
      <c r="C60">
        <v>41</v>
      </c>
      <c r="D60" t="s">
        <v>19</v>
      </c>
      <c r="F60">
        <v>3.66</v>
      </c>
      <c r="J60">
        <f>131+177+200+232+245+281+286</f>
        <v>1552</v>
      </c>
      <c r="K60">
        <v>7</v>
      </c>
      <c r="L60">
        <v>286</v>
      </c>
      <c r="N60" t="str">
        <f t="shared" si="1"/>
        <v>NA</v>
      </c>
      <c r="O60">
        <v>43.23220300000002</v>
      </c>
      <c r="P60">
        <f t="shared" si="2"/>
        <v>43.23220300000002</v>
      </c>
      <c r="S60">
        <f t="shared" si="3"/>
        <v>10.520870751</v>
      </c>
    </row>
    <row r="61" spans="1:19">
      <c r="A61" s="9">
        <v>41838</v>
      </c>
      <c r="B61" s="7" t="s">
        <v>25</v>
      </c>
      <c r="C61">
        <v>41</v>
      </c>
      <c r="D61" t="s">
        <v>19</v>
      </c>
      <c r="E61">
        <v>277</v>
      </c>
      <c r="F61">
        <v>3.1</v>
      </c>
      <c r="H61">
        <v>25</v>
      </c>
      <c r="I61">
        <v>2.5</v>
      </c>
      <c r="N61" t="str">
        <f t="shared" si="1"/>
        <v>NA</v>
      </c>
      <c r="O61">
        <v>112.64736109999998</v>
      </c>
      <c r="P61">
        <f t="shared" si="2"/>
        <v>112.64736109999998</v>
      </c>
      <c r="S61">
        <f t="shared" si="3"/>
        <v>7.5476699750000007</v>
      </c>
    </row>
    <row r="62" spans="1:19">
      <c r="A62" s="10">
        <v>41842</v>
      </c>
      <c r="B62" s="7" t="s">
        <v>28</v>
      </c>
      <c r="C62">
        <v>38</v>
      </c>
      <c r="D62" t="s">
        <v>62</v>
      </c>
      <c r="E62">
        <v>272</v>
      </c>
      <c r="F62">
        <v>2.4</v>
      </c>
      <c r="G62">
        <v>2</v>
      </c>
      <c r="N62">
        <f t="shared" si="1"/>
        <v>410.16599039999994</v>
      </c>
      <c r="O62">
        <v>23.681645240271358</v>
      </c>
      <c r="P62">
        <f t="shared" si="2"/>
        <v>23.681645240271358</v>
      </c>
      <c r="S62">
        <f t="shared" si="3"/>
        <v>4.5238895999999995</v>
      </c>
    </row>
    <row r="63" spans="1:19">
      <c r="A63" s="10">
        <v>41842</v>
      </c>
      <c r="B63" s="7" t="s">
        <v>28</v>
      </c>
      <c r="C63">
        <v>38</v>
      </c>
      <c r="D63" t="s">
        <v>62</v>
      </c>
      <c r="E63">
        <v>151</v>
      </c>
      <c r="F63">
        <v>1.01</v>
      </c>
      <c r="N63">
        <f t="shared" si="1"/>
        <v>40.32626081741666</v>
      </c>
      <c r="O63">
        <v>5.9952580000000006</v>
      </c>
      <c r="P63">
        <f t="shared" si="2"/>
        <v>5.9952580000000006</v>
      </c>
      <c r="S63">
        <f t="shared" si="3"/>
        <v>0.80118398974999994</v>
      </c>
    </row>
    <row r="64" spans="1:19">
      <c r="A64" s="10">
        <v>41842</v>
      </c>
      <c r="B64" s="7" t="s">
        <v>28</v>
      </c>
      <c r="C64">
        <v>38</v>
      </c>
      <c r="D64" t="s">
        <v>62</v>
      </c>
      <c r="E64">
        <v>136</v>
      </c>
      <c r="F64">
        <v>0.8</v>
      </c>
      <c r="N64">
        <f t="shared" si="1"/>
        <v>22.786999466666668</v>
      </c>
      <c r="O64">
        <v>4.9436830000000009</v>
      </c>
      <c r="P64">
        <f t="shared" si="2"/>
        <v>4.9436830000000009</v>
      </c>
      <c r="S64">
        <f t="shared" si="3"/>
        <v>0.50265440000000006</v>
      </c>
    </row>
    <row r="65" spans="1:19">
      <c r="A65" s="10">
        <v>41842</v>
      </c>
      <c r="B65" s="7" t="s">
        <v>28</v>
      </c>
      <c r="C65">
        <v>38</v>
      </c>
      <c r="D65" t="s">
        <v>62</v>
      </c>
      <c r="E65">
        <v>154</v>
      </c>
      <c r="F65">
        <v>1</v>
      </c>
      <c r="N65">
        <f t="shared" si="1"/>
        <v>40.317071666666664</v>
      </c>
      <c r="O65">
        <v>6.2055730000000002</v>
      </c>
      <c r="P65">
        <f t="shared" si="2"/>
        <v>6.2055730000000002</v>
      </c>
      <c r="S65">
        <f t="shared" si="3"/>
        <v>0.78539749999999997</v>
      </c>
    </row>
    <row r="66" spans="1:19">
      <c r="A66" s="10">
        <v>41842</v>
      </c>
      <c r="B66" s="7" t="s">
        <v>28</v>
      </c>
      <c r="C66">
        <v>38</v>
      </c>
      <c r="D66" t="s">
        <v>62</v>
      </c>
      <c r="E66">
        <v>74</v>
      </c>
      <c r="F66">
        <v>0.78</v>
      </c>
      <c r="N66">
        <f t="shared" si="1"/>
        <v>11.786617361999999</v>
      </c>
      <c r="O66">
        <v>0.59717300000000062</v>
      </c>
      <c r="P66">
        <f t="shared" si="2"/>
        <v>0.59717300000000062</v>
      </c>
      <c r="S66">
        <f t="shared" si="3"/>
        <v>0.47783583900000004</v>
      </c>
    </row>
    <row r="67" spans="1:19">
      <c r="A67" s="10">
        <v>41842</v>
      </c>
      <c r="B67" s="7" t="s">
        <v>28</v>
      </c>
      <c r="C67">
        <v>38</v>
      </c>
      <c r="D67" t="s">
        <v>62</v>
      </c>
      <c r="E67">
        <v>117</v>
      </c>
      <c r="F67">
        <v>1.7</v>
      </c>
      <c r="G67">
        <v>5</v>
      </c>
      <c r="N67">
        <f t="shared" si="1"/>
        <v>88.522152224999971</v>
      </c>
      <c r="O67">
        <v>7.3558236715820016</v>
      </c>
      <c r="P67">
        <f t="shared" si="2"/>
        <v>7.3558236715820016</v>
      </c>
      <c r="S67">
        <f t="shared" si="3"/>
        <v>2.2697987749999995</v>
      </c>
    </row>
    <row r="68" spans="1:19">
      <c r="A68" s="10">
        <v>41842</v>
      </c>
      <c r="B68" s="7" t="s">
        <v>28</v>
      </c>
      <c r="C68">
        <v>38</v>
      </c>
      <c r="D68" t="s">
        <v>19</v>
      </c>
      <c r="F68">
        <v>2.82</v>
      </c>
      <c r="J68">
        <f>179+228+229+239+254+279</f>
        <v>1408</v>
      </c>
      <c r="K68">
        <v>6</v>
      </c>
      <c r="L68">
        <v>279</v>
      </c>
      <c r="N68" t="str">
        <f t="shared" si="1"/>
        <v>NA</v>
      </c>
      <c r="O68">
        <v>38.862551000000018</v>
      </c>
      <c r="P68">
        <f t="shared" si="2"/>
        <v>38.862551000000018</v>
      </c>
      <c r="S68">
        <f t="shared" si="3"/>
        <v>6.2457950789999988</v>
      </c>
    </row>
    <row r="69" spans="1:19">
      <c r="A69" s="10">
        <v>41842</v>
      </c>
      <c r="B69" s="7" t="s">
        <v>28</v>
      </c>
      <c r="C69">
        <v>39</v>
      </c>
      <c r="D69" t="s">
        <v>62</v>
      </c>
      <c r="E69">
        <v>78</v>
      </c>
      <c r="F69">
        <v>0.61</v>
      </c>
      <c r="N69">
        <f t="shared" ref="N69:N132" si="4">IF(OR(D69="S. acutus", D69="S. tabernaemontani", D69="S. californicus"),(1/3)*(3.14159)*((F69/2)^2)*E69,"NA")</f>
        <v>7.5984066534999988</v>
      </c>
      <c r="O69">
        <v>0.87759300000000007</v>
      </c>
      <c r="P69">
        <f t="shared" ref="P69:P132" si="5">IF(O69&gt;0,O69," ")</f>
        <v>0.87759300000000007</v>
      </c>
      <c r="S69">
        <f t="shared" ref="S69:S132" si="6">3.14159*((F69/2)^2)</f>
        <v>0.29224640974999999</v>
      </c>
    </row>
    <row r="70" spans="1:19">
      <c r="A70" s="10">
        <v>41842</v>
      </c>
      <c r="B70" s="7" t="s">
        <v>28</v>
      </c>
      <c r="C70">
        <v>39</v>
      </c>
      <c r="D70" t="s">
        <v>62</v>
      </c>
      <c r="E70">
        <v>187</v>
      </c>
      <c r="F70">
        <v>1.35</v>
      </c>
      <c r="N70">
        <f t="shared" si="4"/>
        <v>89.223119493750005</v>
      </c>
      <c r="O70">
        <v>8.5190380000000019</v>
      </c>
      <c r="P70">
        <f t="shared" si="5"/>
        <v>8.5190380000000019</v>
      </c>
      <c r="S70">
        <f t="shared" si="6"/>
        <v>1.4313869437500002</v>
      </c>
    </row>
    <row r="71" spans="1:19">
      <c r="A71" s="10">
        <v>41842</v>
      </c>
      <c r="B71" s="7" t="s">
        <v>28</v>
      </c>
      <c r="C71">
        <v>39</v>
      </c>
      <c r="D71" t="s">
        <v>62</v>
      </c>
      <c r="E71">
        <v>75</v>
      </c>
      <c r="F71">
        <v>0.77</v>
      </c>
      <c r="N71">
        <f t="shared" si="4"/>
        <v>11.641554443749998</v>
      </c>
      <c r="O71">
        <v>0.66727800000000048</v>
      </c>
      <c r="P71">
        <f t="shared" si="5"/>
        <v>0.66727800000000048</v>
      </c>
      <c r="S71">
        <f t="shared" si="6"/>
        <v>0.46566217774999996</v>
      </c>
    </row>
    <row r="72" spans="1:19">
      <c r="A72" s="10">
        <v>41842</v>
      </c>
      <c r="B72" s="7" t="s">
        <v>28</v>
      </c>
      <c r="C72">
        <v>39</v>
      </c>
      <c r="D72" t="s">
        <v>62</v>
      </c>
      <c r="E72">
        <v>266</v>
      </c>
      <c r="F72">
        <v>1.59</v>
      </c>
      <c r="G72">
        <v>5</v>
      </c>
      <c r="N72">
        <f t="shared" si="4"/>
        <v>176.0532898845</v>
      </c>
      <c r="O72">
        <v>15.911962982241796</v>
      </c>
      <c r="P72">
        <f t="shared" si="5"/>
        <v>15.911962982241796</v>
      </c>
      <c r="S72">
        <f t="shared" si="6"/>
        <v>1.9855634197500001</v>
      </c>
    </row>
    <row r="73" spans="1:19">
      <c r="A73" s="10">
        <v>41842</v>
      </c>
      <c r="B73" s="7" t="s">
        <v>28</v>
      </c>
      <c r="C73">
        <v>39</v>
      </c>
      <c r="D73" t="s">
        <v>62</v>
      </c>
      <c r="E73">
        <v>270</v>
      </c>
      <c r="F73">
        <v>1.96</v>
      </c>
      <c r="N73">
        <f t="shared" si="4"/>
        <v>271.54647323999995</v>
      </c>
      <c r="O73">
        <v>14.337753000000003</v>
      </c>
      <c r="P73">
        <f t="shared" si="5"/>
        <v>14.337753000000003</v>
      </c>
      <c r="S73">
        <f t="shared" si="6"/>
        <v>3.0171830359999996</v>
      </c>
    </row>
    <row r="74" spans="1:19">
      <c r="A74" s="10">
        <v>41842</v>
      </c>
      <c r="B74" s="7" t="s">
        <v>28</v>
      </c>
      <c r="C74">
        <v>39</v>
      </c>
      <c r="D74" t="s">
        <v>62</v>
      </c>
      <c r="E74">
        <v>39</v>
      </c>
      <c r="F74">
        <v>0.48</v>
      </c>
      <c r="N74">
        <f t="shared" si="4"/>
        <v>2.3524225919999995</v>
      </c>
      <c r="O74" t="s">
        <v>64</v>
      </c>
      <c r="P74" t="str">
        <f t="shared" si="5"/>
        <v xml:space="preserve"> </v>
      </c>
      <c r="S74">
        <f t="shared" si="6"/>
        <v>0.18095558399999997</v>
      </c>
    </row>
    <row r="75" spans="1:19">
      <c r="A75" s="10">
        <v>41842</v>
      </c>
      <c r="B75" s="7" t="s">
        <v>28</v>
      </c>
      <c r="C75">
        <v>39</v>
      </c>
      <c r="D75" t="s">
        <v>62</v>
      </c>
      <c r="E75">
        <v>44</v>
      </c>
      <c r="F75">
        <v>0.67</v>
      </c>
      <c r="N75">
        <f t="shared" si="4"/>
        <v>5.1709524203333332</v>
      </c>
      <c r="O75" t="s">
        <v>64</v>
      </c>
      <c r="P75" t="str">
        <f t="shared" si="5"/>
        <v xml:space="preserve"> </v>
      </c>
      <c r="S75">
        <f t="shared" si="6"/>
        <v>0.35256493775000003</v>
      </c>
    </row>
    <row r="76" spans="1:19">
      <c r="A76" s="10">
        <v>41842</v>
      </c>
      <c r="B76" s="7" t="s">
        <v>28</v>
      </c>
      <c r="C76">
        <v>39</v>
      </c>
      <c r="D76" t="s">
        <v>62</v>
      </c>
      <c r="E76">
        <v>198</v>
      </c>
      <c r="F76">
        <v>1.93</v>
      </c>
      <c r="G76">
        <v>9</v>
      </c>
      <c r="N76">
        <f t="shared" si="4"/>
        <v>193.08479175149998</v>
      </c>
      <c r="O76">
        <v>13.841909870710875</v>
      </c>
      <c r="P76">
        <f t="shared" si="5"/>
        <v>13.841909870710875</v>
      </c>
      <c r="S76">
        <f t="shared" si="6"/>
        <v>2.92552714775</v>
      </c>
    </row>
    <row r="77" spans="1:19">
      <c r="A77" s="10">
        <v>41842</v>
      </c>
      <c r="B77" s="7" t="s">
        <v>28</v>
      </c>
      <c r="C77">
        <v>39</v>
      </c>
      <c r="D77" t="s">
        <v>62</v>
      </c>
      <c r="E77">
        <v>121</v>
      </c>
      <c r="F77" s="41">
        <v>1.39</v>
      </c>
      <c r="N77">
        <f t="shared" si="4"/>
        <v>61.204482559916649</v>
      </c>
      <c r="O77">
        <v>3.8921079999999995</v>
      </c>
      <c r="P77">
        <f t="shared" si="5"/>
        <v>3.8921079999999995</v>
      </c>
      <c r="S77">
        <f t="shared" si="6"/>
        <v>1.5174665097499997</v>
      </c>
    </row>
    <row r="78" spans="1:19">
      <c r="A78" s="10">
        <v>41842</v>
      </c>
      <c r="B78" s="7" t="s">
        <v>28</v>
      </c>
      <c r="C78">
        <v>39</v>
      </c>
      <c r="D78" t="s">
        <v>62</v>
      </c>
      <c r="E78">
        <v>283</v>
      </c>
      <c r="F78">
        <v>2.25</v>
      </c>
      <c r="G78">
        <v>7</v>
      </c>
      <c r="N78">
        <f t="shared" si="4"/>
        <v>375.07639359374991</v>
      </c>
      <c r="O78">
        <v>22.975306742472981</v>
      </c>
      <c r="P78">
        <f t="shared" si="5"/>
        <v>22.975306742472981</v>
      </c>
      <c r="S78">
        <f t="shared" si="6"/>
        <v>3.9760748437499998</v>
      </c>
    </row>
    <row r="79" spans="1:19">
      <c r="A79" s="10">
        <v>41842</v>
      </c>
      <c r="B79" s="7" t="s">
        <v>28</v>
      </c>
      <c r="C79">
        <v>39</v>
      </c>
      <c r="D79" t="s">
        <v>62</v>
      </c>
      <c r="E79">
        <v>116</v>
      </c>
      <c r="F79">
        <v>1.28</v>
      </c>
      <c r="N79">
        <f t="shared" si="4"/>
        <v>49.756083541333332</v>
      </c>
      <c r="O79">
        <v>3.5415830000000001</v>
      </c>
      <c r="P79">
        <f t="shared" si="5"/>
        <v>3.5415830000000001</v>
      </c>
      <c r="S79">
        <f t="shared" si="6"/>
        <v>1.286795264</v>
      </c>
    </row>
    <row r="80" spans="1:19">
      <c r="A80" s="10">
        <v>41842</v>
      </c>
      <c r="B80" s="7" t="s">
        <v>28</v>
      </c>
      <c r="C80">
        <v>39</v>
      </c>
      <c r="D80" t="s">
        <v>62</v>
      </c>
      <c r="E80">
        <v>180</v>
      </c>
      <c r="F80">
        <v>1.5</v>
      </c>
      <c r="N80">
        <f t="shared" si="4"/>
        <v>106.02866249999998</v>
      </c>
      <c r="O80">
        <v>8.0283030000000011</v>
      </c>
      <c r="P80">
        <f t="shared" si="5"/>
        <v>8.0283030000000011</v>
      </c>
      <c r="S80">
        <f t="shared" si="6"/>
        <v>1.767144375</v>
      </c>
    </row>
    <row r="81" spans="1:19">
      <c r="A81" s="10">
        <v>41842</v>
      </c>
      <c r="B81" s="7" t="s">
        <v>28</v>
      </c>
      <c r="C81">
        <v>39</v>
      </c>
      <c r="D81" t="s">
        <v>62</v>
      </c>
      <c r="E81">
        <v>97</v>
      </c>
      <c r="F81">
        <v>0.9</v>
      </c>
      <c r="G81">
        <v>4</v>
      </c>
      <c r="M81" t="s">
        <v>61</v>
      </c>
      <c r="N81">
        <f t="shared" si="4"/>
        <v>20.569560525</v>
      </c>
      <c r="O81">
        <v>4.3975470615094725</v>
      </c>
      <c r="P81">
        <f t="shared" si="5"/>
        <v>4.3975470615094725</v>
      </c>
      <c r="S81">
        <f t="shared" si="6"/>
        <v>0.636171975</v>
      </c>
    </row>
    <row r="82" spans="1:19">
      <c r="A82" s="10">
        <v>41842</v>
      </c>
      <c r="B82" s="7" t="s">
        <v>28</v>
      </c>
      <c r="C82">
        <v>39</v>
      </c>
      <c r="D82" t="s">
        <v>62</v>
      </c>
      <c r="E82">
        <v>273</v>
      </c>
      <c r="F82">
        <v>1.84</v>
      </c>
      <c r="G82">
        <v>3</v>
      </c>
      <c r="N82">
        <f t="shared" si="4"/>
        <v>241.972801616</v>
      </c>
      <c r="O82">
        <v>18.304180287556655</v>
      </c>
      <c r="P82">
        <f t="shared" si="5"/>
        <v>18.304180287556655</v>
      </c>
      <c r="S82">
        <f t="shared" si="6"/>
        <v>2.659041776</v>
      </c>
    </row>
    <row r="83" spans="1:19">
      <c r="A83" s="10">
        <v>41842</v>
      </c>
      <c r="B83" s="7" t="s">
        <v>28</v>
      </c>
      <c r="C83">
        <v>39</v>
      </c>
      <c r="D83" t="s">
        <v>62</v>
      </c>
      <c r="E83">
        <v>230</v>
      </c>
      <c r="F83">
        <v>1.1399999999999999</v>
      </c>
      <c r="G83">
        <v>7</v>
      </c>
      <c r="N83">
        <f t="shared" si="4"/>
        <v>78.253865309999981</v>
      </c>
      <c r="O83">
        <v>11.376477891460778</v>
      </c>
      <c r="P83">
        <f t="shared" si="5"/>
        <v>11.376477891460778</v>
      </c>
      <c r="S83">
        <f t="shared" si="6"/>
        <v>1.0207025909999998</v>
      </c>
    </row>
    <row r="84" spans="1:19">
      <c r="A84" s="10">
        <v>41842</v>
      </c>
      <c r="B84" s="7" t="s">
        <v>28</v>
      </c>
      <c r="C84">
        <v>39</v>
      </c>
      <c r="D84" t="s">
        <v>62</v>
      </c>
      <c r="E84">
        <v>100</v>
      </c>
      <c r="F84">
        <v>1.04</v>
      </c>
      <c r="G84">
        <v>6</v>
      </c>
      <c r="N84">
        <f t="shared" si="4"/>
        <v>28.316197866666666</v>
      </c>
      <c r="O84">
        <v>4.7625170558847465</v>
      </c>
      <c r="P84">
        <f t="shared" si="5"/>
        <v>4.7625170558847465</v>
      </c>
      <c r="S84">
        <f t="shared" si="6"/>
        <v>0.84948593600000011</v>
      </c>
    </row>
    <row r="85" spans="1:19">
      <c r="A85" s="10">
        <v>41842</v>
      </c>
      <c r="B85" s="7" t="s">
        <v>28</v>
      </c>
      <c r="C85">
        <v>39</v>
      </c>
      <c r="D85" t="s">
        <v>62</v>
      </c>
      <c r="E85">
        <v>171</v>
      </c>
      <c r="F85">
        <v>0.99</v>
      </c>
      <c r="N85">
        <f t="shared" si="4"/>
        <v>43.876781115749999</v>
      </c>
      <c r="O85">
        <v>7.3973579999999997</v>
      </c>
      <c r="P85">
        <f t="shared" si="5"/>
        <v>7.3973579999999997</v>
      </c>
      <c r="S85">
        <f t="shared" si="6"/>
        <v>0.76976808975</v>
      </c>
    </row>
    <row r="86" spans="1:19">
      <c r="A86" s="10">
        <v>41842</v>
      </c>
      <c r="B86" s="7" t="s">
        <v>28</v>
      </c>
      <c r="C86">
        <v>39</v>
      </c>
      <c r="D86" t="s">
        <v>62</v>
      </c>
      <c r="E86">
        <v>122</v>
      </c>
      <c r="F86">
        <v>0.65</v>
      </c>
      <c r="N86">
        <f t="shared" si="4"/>
        <v>13.494438045833332</v>
      </c>
      <c r="O86">
        <v>3.9622130000000011</v>
      </c>
      <c r="P86">
        <f t="shared" si="5"/>
        <v>3.9622130000000011</v>
      </c>
      <c r="S86">
        <f t="shared" si="6"/>
        <v>0.33183044375000004</v>
      </c>
    </row>
    <row r="87" spans="1:19">
      <c r="A87" s="10">
        <v>41842</v>
      </c>
      <c r="B87" s="7" t="s">
        <v>28</v>
      </c>
      <c r="C87">
        <v>39</v>
      </c>
      <c r="D87" t="s">
        <v>62</v>
      </c>
      <c r="E87">
        <v>160</v>
      </c>
      <c r="F87">
        <v>1.34</v>
      </c>
      <c r="G87">
        <v>5</v>
      </c>
      <c r="N87">
        <f t="shared" si="4"/>
        <v>75.213853386666671</v>
      </c>
      <c r="O87">
        <v>8.5830897715187149</v>
      </c>
      <c r="P87">
        <f t="shared" si="5"/>
        <v>8.5830897715187149</v>
      </c>
      <c r="S87">
        <f t="shared" si="6"/>
        <v>1.4102597510000001</v>
      </c>
    </row>
    <row r="88" spans="1:19">
      <c r="A88" s="10">
        <v>41842</v>
      </c>
      <c r="B88" s="7" t="s">
        <v>28</v>
      </c>
      <c r="C88">
        <v>39</v>
      </c>
      <c r="D88" t="s">
        <v>62</v>
      </c>
      <c r="E88">
        <v>38</v>
      </c>
      <c r="F88">
        <v>0.5</v>
      </c>
      <c r="N88">
        <f t="shared" si="4"/>
        <v>2.4870920833333332</v>
      </c>
      <c r="O88" t="s">
        <v>64</v>
      </c>
      <c r="P88" t="str">
        <f t="shared" si="5"/>
        <v xml:space="preserve"> </v>
      </c>
      <c r="S88">
        <f t="shared" si="6"/>
        <v>0.19634937499999999</v>
      </c>
    </row>
    <row r="89" spans="1:19">
      <c r="A89" s="10">
        <v>41842</v>
      </c>
      <c r="B89" s="7" t="s">
        <v>28</v>
      </c>
      <c r="C89">
        <v>39</v>
      </c>
      <c r="D89" t="s">
        <v>62</v>
      </c>
      <c r="E89">
        <v>182</v>
      </c>
      <c r="F89">
        <v>1.26</v>
      </c>
      <c r="N89">
        <f t="shared" si="4"/>
        <v>75.645088974000004</v>
      </c>
      <c r="O89">
        <v>8.1685130000000008</v>
      </c>
      <c r="P89">
        <f t="shared" si="5"/>
        <v>8.1685130000000008</v>
      </c>
      <c r="S89">
        <f t="shared" si="6"/>
        <v>1.246897071</v>
      </c>
    </row>
    <row r="90" spans="1:19">
      <c r="A90" s="10">
        <v>41842</v>
      </c>
      <c r="B90" s="7" t="s">
        <v>28</v>
      </c>
      <c r="C90">
        <v>39</v>
      </c>
      <c r="D90" t="s">
        <v>62</v>
      </c>
      <c r="E90">
        <v>211</v>
      </c>
      <c r="F90">
        <v>1.2</v>
      </c>
      <c r="N90">
        <f t="shared" si="4"/>
        <v>79.545058799999993</v>
      </c>
      <c r="O90">
        <v>10.201557999999999</v>
      </c>
      <c r="P90">
        <f t="shared" si="5"/>
        <v>10.201557999999999</v>
      </c>
      <c r="S90">
        <f t="shared" si="6"/>
        <v>1.1309723999999999</v>
      </c>
    </row>
    <row r="91" spans="1:19">
      <c r="A91" s="10">
        <v>41842</v>
      </c>
      <c r="B91" s="7" t="s">
        <v>28</v>
      </c>
      <c r="C91">
        <v>39</v>
      </c>
      <c r="D91" t="s">
        <v>62</v>
      </c>
      <c r="E91">
        <v>27</v>
      </c>
      <c r="F91">
        <v>0.74</v>
      </c>
      <c r="N91">
        <f t="shared" si="4"/>
        <v>3.8707530389999993</v>
      </c>
      <c r="O91" t="s">
        <v>64</v>
      </c>
      <c r="P91" t="str">
        <f t="shared" si="5"/>
        <v xml:space="preserve"> </v>
      </c>
      <c r="S91">
        <f t="shared" si="6"/>
        <v>0.43008367099999995</v>
      </c>
    </row>
    <row r="92" spans="1:19">
      <c r="A92" s="10">
        <v>41842</v>
      </c>
      <c r="B92" s="7" t="s">
        <v>28</v>
      </c>
      <c r="C92">
        <v>39</v>
      </c>
      <c r="D92" t="s">
        <v>62</v>
      </c>
      <c r="E92">
        <v>46</v>
      </c>
      <c r="F92">
        <v>0.52</v>
      </c>
      <c r="N92">
        <f t="shared" si="4"/>
        <v>3.2563627546666662</v>
      </c>
      <c r="O92" t="s">
        <v>64</v>
      </c>
      <c r="P92" t="str">
        <f t="shared" si="5"/>
        <v xml:space="preserve"> </v>
      </c>
      <c r="S92">
        <f t="shared" si="6"/>
        <v>0.21237148400000003</v>
      </c>
    </row>
    <row r="93" spans="1:19">
      <c r="A93" s="10">
        <v>41842</v>
      </c>
      <c r="B93" s="7" t="s">
        <v>28</v>
      </c>
      <c r="C93">
        <v>39</v>
      </c>
      <c r="D93" t="s">
        <v>62</v>
      </c>
      <c r="E93">
        <v>159</v>
      </c>
      <c r="F93">
        <v>1.42</v>
      </c>
      <c r="G93">
        <v>16</v>
      </c>
      <c r="N93">
        <f t="shared" si="4"/>
        <v>83.934802507000001</v>
      </c>
      <c r="O93">
        <v>8.8254050820476557</v>
      </c>
      <c r="P93">
        <f t="shared" si="5"/>
        <v>8.8254050820476557</v>
      </c>
      <c r="S93">
        <f t="shared" si="6"/>
        <v>1.5836755189999998</v>
      </c>
    </row>
    <row r="94" spans="1:19">
      <c r="A94" s="10">
        <v>41842</v>
      </c>
      <c r="B94" s="7" t="s">
        <v>28</v>
      </c>
      <c r="C94">
        <v>39</v>
      </c>
      <c r="D94" t="s">
        <v>62</v>
      </c>
      <c r="E94">
        <v>61</v>
      </c>
      <c r="F94">
        <v>1.2</v>
      </c>
      <c r="N94">
        <f t="shared" si="4"/>
        <v>22.996438799999996</v>
      </c>
      <c r="O94" t="s">
        <v>64</v>
      </c>
      <c r="P94" t="str">
        <f t="shared" si="5"/>
        <v xml:space="preserve"> </v>
      </c>
      <c r="S94">
        <f t="shared" si="6"/>
        <v>1.1309723999999999</v>
      </c>
    </row>
    <row r="95" spans="1:19">
      <c r="A95" s="10">
        <v>41842</v>
      </c>
      <c r="B95" s="7" t="s">
        <v>28</v>
      </c>
      <c r="C95">
        <v>39</v>
      </c>
      <c r="D95" t="s">
        <v>62</v>
      </c>
      <c r="E95">
        <v>227</v>
      </c>
      <c r="F95">
        <v>2.79</v>
      </c>
      <c r="N95">
        <f t="shared" si="4"/>
        <v>462.59669276775003</v>
      </c>
      <c r="O95">
        <v>11.323238</v>
      </c>
      <c r="P95">
        <f t="shared" si="5"/>
        <v>11.323238</v>
      </c>
      <c r="S95">
        <f t="shared" si="6"/>
        <v>6.1136126797500001</v>
      </c>
    </row>
    <row r="96" spans="1:19">
      <c r="A96" s="10">
        <v>41842</v>
      </c>
      <c r="B96" s="7" t="s">
        <v>28</v>
      </c>
      <c r="C96">
        <v>39</v>
      </c>
      <c r="D96" t="s">
        <v>62</v>
      </c>
      <c r="E96">
        <v>268</v>
      </c>
      <c r="F96">
        <v>1.66</v>
      </c>
      <c r="G96">
        <v>2</v>
      </c>
      <c r="N96">
        <f t="shared" si="4"/>
        <v>193.33889402266664</v>
      </c>
      <c r="O96">
        <v>16.545589192534486</v>
      </c>
      <c r="P96">
        <f t="shared" si="5"/>
        <v>16.545589192534486</v>
      </c>
      <c r="S96">
        <f t="shared" si="6"/>
        <v>2.1642413509999998</v>
      </c>
    </row>
    <row r="97" spans="1:19">
      <c r="A97" s="10">
        <v>41842</v>
      </c>
      <c r="B97" s="7" t="s">
        <v>28</v>
      </c>
      <c r="C97">
        <v>39</v>
      </c>
      <c r="D97" t="s">
        <v>62</v>
      </c>
      <c r="E97">
        <v>65</v>
      </c>
      <c r="F97">
        <v>0.68</v>
      </c>
      <c r="N97">
        <f t="shared" si="4"/>
        <v>7.8686357533333338</v>
      </c>
      <c r="O97" t="s">
        <v>64</v>
      </c>
      <c r="P97" t="str">
        <f t="shared" si="5"/>
        <v xml:space="preserve"> </v>
      </c>
      <c r="S97">
        <f t="shared" si="6"/>
        <v>0.36316780400000004</v>
      </c>
    </row>
    <row r="98" spans="1:19">
      <c r="A98" s="10">
        <v>41842</v>
      </c>
      <c r="B98" s="7" t="s">
        <v>28</v>
      </c>
      <c r="C98">
        <v>39</v>
      </c>
      <c r="D98" t="s">
        <v>62</v>
      </c>
      <c r="E98">
        <v>99</v>
      </c>
      <c r="F98">
        <v>0.96</v>
      </c>
      <c r="N98">
        <f t="shared" si="4"/>
        <v>23.886137087999995</v>
      </c>
      <c r="O98">
        <v>2.3497979999999998</v>
      </c>
      <c r="P98">
        <f t="shared" si="5"/>
        <v>2.3497979999999998</v>
      </c>
      <c r="S98">
        <f t="shared" si="6"/>
        <v>0.7238223359999999</v>
      </c>
    </row>
    <row r="99" spans="1:19">
      <c r="A99" s="10">
        <v>41842</v>
      </c>
      <c r="B99" s="7" t="s">
        <v>28</v>
      </c>
      <c r="C99">
        <v>39</v>
      </c>
      <c r="D99" t="s">
        <v>62</v>
      </c>
      <c r="E99">
        <v>194</v>
      </c>
      <c r="F99">
        <v>1.86</v>
      </c>
      <c r="G99">
        <v>1</v>
      </c>
      <c r="N99">
        <f t="shared" si="4"/>
        <v>175.709757018</v>
      </c>
      <c r="O99">
        <v>13.128389714760917</v>
      </c>
      <c r="P99">
        <f t="shared" si="5"/>
        <v>13.128389714760917</v>
      </c>
      <c r="S99">
        <f t="shared" si="6"/>
        <v>2.7171611910000002</v>
      </c>
    </row>
    <row r="100" spans="1:19">
      <c r="A100" s="10">
        <v>41842</v>
      </c>
      <c r="B100" s="7" t="s">
        <v>28</v>
      </c>
      <c r="C100">
        <v>39</v>
      </c>
      <c r="D100" t="s">
        <v>62</v>
      </c>
      <c r="E100">
        <v>92</v>
      </c>
      <c r="F100">
        <v>1.1499999999999999</v>
      </c>
      <c r="N100">
        <f t="shared" si="4"/>
        <v>31.853104608333325</v>
      </c>
      <c r="O100">
        <v>1.8590629999999999</v>
      </c>
      <c r="P100">
        <f t="shared" si="5"/>
        <v>1.8590629999999999</v>
      </c>
      <c r="S100">
        <f t="shared" si="6"/>
        <v>1.0386881937499999</v>
      </c>
    </row>
    <row r="101" spans="1:19">
      <c r="A101" s="10">
        <v>41842</v>
      </c>
      <c r="B101" s="7" t="s">
        <v>28</v>
      </c>
      <c r="C101">
        <v>39</v>
      </c>
      <c r="D101" t="s">
        <v>62</v>
      </c>
      <c r="E101">
        <v>212</v>
      </c>
      <c r="F101">
        <v>2.15</v>
      </c>
      <c r="N101">
        <f t="shared" si="4"/>
        <v>256.55532935833327</v>
      </c>
      <c r="O101">
        <v>10.271663</v>
      </c>
      <c r="P101">
        <f t="shared" si="5"/>
        <v>10.271663</v>
      </c>
      <c r="S101">
        <f t="shared" si="6"/>
        <v>3.6304999437499994</v>
      </c>
    </row>
    <row r="102" spans="1:19">
      <c r="A102" s="10">
        <v>41842</v>
      </c>
      <c r="B102" s="7" t="s">
        <v>28</v>
      </c>
      <c r="C102">
        <v>39</v>
      </c>
      <c r="D102" t="s">
        <v>62</v>
      </c>
      <c r="E102">
        <v>187</v>
      </c>
      <c r="F102">
        <v>1.97</v>
      </c>
      <c r="N102">
        <f t="shared" si="4"/>
        <v>189.99506416641665</v>
      </c>
      <c r="O102">
        <v>8.5190380000000019</v>
      </c>
      <c r="P102">
        <f t="shared" si="5"/>
        <v>8.5190380000000019</v>
      </c>
      <c r="S102">
        <f t="shared" si="6"/>
        <v>3.04804915775</v>
      </c>
    </row>
    <row r="103" spans="1:19">
      <c r="A103" s="10">
        <v>41842</v>
      </c>
      <c r="B103" s="7" t="s">
        <v>28</v>
      </c>
      <c r="C103">
        <v>39</v>
      </c>
      <c r="D103" t="s">
        <v>62</v>
      </c>
      <c r="E103">
        <v>176</v>
      </c>
      <c r="F103">
        <v>1.7</v>
      </c>
      <c r="N103">
        <f t="shared" si="4"/>
        <v>133.16152813333329</v>
      </c>
      <c r="O103">
        <v>7.7478830000000007</v>
      </c>
      <c r="P103">
        <f t="shared" si="5"/>
        <v>7.7478830000000007</v>
      </c>
      <c r="S103">
        <f t="shared" si="6"/>
        <v>2.2697987749999995</v>
      </c>
    </row>
    <row r="104" spans="1:19">
      <c r="A104" s="10">
        <v>41842</v>
      </c>
      <c r="B104" s="7" t="s">
        <v>28</v>
      </c>
      <c r="C104">
        <v>39</v>
      </c>
      <c r="D104" t="s">
        <v>62</v>
      </c>
      <c r="E104">
        <v>75</v>
      </c>
      <c r="F104">
        <v>1.07</v>
      </c>
      <c r="N104">
        <f t="shared" si="4"/>
        <v>22.480039943749997</v>
      </c>
      <c r="O104">
        <v>0.66727800000000048</v>
      </c>
      <c r="P104">
        <f t="shared" si="5"/>
        <v>0.66727800000000048</v>
      </c>
      <c r="S104">
        <f t="shared" si="6"/>
        <v>0.89920159774999997</v>
      </c>
    </row>
    <row r="105" spans="1:19">
      <c r="A105" s="10">
        <v>41842</v>
      </c>
      <c r="B105" s="7" t="s">
        <v>28</v>
      </c>
      <c r="C105">
        <v>39</v>
      </c>
      <c r="D105" t="s">
        <v>62</v>
      </c>
      <c r="E105">
        <v>210</v>
      </c>
      <c r="F105">
        <v>2.54</v>
      </c>
      <c r="G105">
        <v>6</v>
      </c>
      <c r="N105">
        <f t="shared" si="4"/>
        <v>354.69493576999997</v>
      </c>
      <c r="O105">
        <v>19.507987157236194</v>
      </c>
      <c r="P105">
        <f t="shared" si="5"/>
        <v>19.507987157236194</v>
      </c>
      <c r="S105">
        <f t="shared" si="6"/>
        <v>5.0670705109999998</v>
      </c>
    </row>
    <row r="106" spans="1:19">
      <c r="A106" s="10">
        <v>41842</v>
      </c>
      <c r="B106" s="7" t="s">
        <v>28</v>
      </c>
      <c r="C106">
        <v>39</v>
      </c>
      <c r="D106" t="s">
        <v>62</v>
      </c>
      <c r="E106">
        <v>243</v>
      </c>
      <c r="F106">
        <v>2.06</v>
      </c>
      <c r="G106">
        <v>12</v>
      </c>
      <c r="N106">
        <f t="shared" si="4"/>
        <v>269.965939311</v>
      </c>
      <c r="O106">
        <v>18.050371515159583</v>
      </c>
      <c r="P106">
        <f t="shared" si="5"/>
        <v>18.050371515159583</v>
      </c>
      <c r="S106">
        <f t="shared" si="6"/>
        <v>3.3329128309999998</v>
      </c>
    </row>
    <row r="107" spans="1:19">
      <c r="A107" s="10">
        <v>41842</v>
      </c>
      <c r="B107" s="7" t="s">
        <v>28</v>
      </c>
      <c r="C107">
        <v>39</v>
      </c>
      <c r="D107" t="s">
        <v>62</v>
      </c>
      <c r="E107">
        <v>264</v>
      </c>
      <c r="F107">
        <v>2.66</v>
      </c>
      <c r="G107">
        <v>5</v>
      </c>
      <c r="N107">
        <f t="shared" si="4"/>
        <v>489.02995248799999</v>
      </c>
      <c r="O107">
        <v>25.913078997070837</v>
      </c>
      <c r="P107">
        <f t="shared" si="5"/>
        <v>25.913078997070837</v>
      </c>
      <c r="S107">
        <f t="shared" si="6"/>
        <v>5.5571585510000006</v>
      </c>
    </row>
    <row r="108" spans="1:19">
      <c r="A108" s="10">
        <v>41842</v>
      </c>
      <c r="B108" s="7" t="s">
        <v>28</v>
      </c>
      <c r="C108">
        <v>39</v>
      </c>
      <c r="D108" t="s">
        <v>62</v>
      </c>
      <c r="E108">
        <v>130</v>
      </c>
      <c r="F108">
        <v>1.69</v>
      </c>
      <c r="N108">
        <f t="shared" si="4"/>
        <v>97.204197989166644</v>
      </c>
      <c r="O108">
        <v>4.523053</v>
      </c>
      <c r="P108">
        <f t="shared" si="5"/>
        <v>4.523053</v>
      </c>
      <c r="S108">
        <f t="shared" si="6"/>
        <v>2.2431737997499996</v>
      </c>
    </row>
    <row r="109" spans="1:19">
      <c r="A109" s="10">
        <v>41842</v>
      </c>
      <c r="B109" s="7" t="s">
        <v>28</v>
      </c>
      <c r="C109">
        <v>39</v>
      </c>
      <c r="D109" t="s">
        <v>62</v>
      </c>
      <c r="E109">
        <v>131</v>
      </c>
      <c r="F109">
        <v>1.41</v>
      </c>
      <c r="G109">
        <v>11</v>
      </c>
      <c r="N109">
        <f t="shared" si="4"/>
        <v>68.183262945749988</v>
      </c>
      <c r="O109">
        <v>7.2399925317898006</v>
      </c>
      <c r="P109">
        <f t="shared" si="5"/>
        <v>7.2399925317898006</v>
      </c>
      <c r="S109">
        <f t="shared" si="6"/>
        <v>1.5614487697499997</v>
      </c>
    </row>
    <row r="110" spans="1:19">
      <c r="A110" s="10">
        <v>41842</v>
      </c>
      <c r="B110" s="7" t="s">
        <v>28</v>
      </c>
      <c r="C110">
        <v>46</v>
      </c>
      <c r="D110" t="s">
        <v>62</v>
      </c>
      <c r="E110">
        <f>302</f>
        <v>302</v>
      </c>
      <c r="F110">
        <v>2.1800000000000002</v>
      </c>
      <c r="N110">
        <f t="shared" si="4"/>
        <v>375.74065661933338</v>
      </c>
      <c r="O110">
        <v>16.581113000000002</v>
      </c>
      <c r="P110">
        <f t="shared" si="5"/>
        <v>16.581113000000002</v>
      </c>
      <c r="S110">
        <f t="shared" si="6"/>
        <v>3.7325230790000004</v>
      </c>
    </row>
    <row r="111" spans="1:19">
      <c r="A111" s="10">
        <v>41842</v>
      </c>
      <c r="B111" s="7" t="s">
        <v>28</v>
      </c>
      <c r="C111">
        <v>46</v>
      </c>
      <c r="D111" t="s">
        <v>62</v>
      </c>
      <c r="E111">
        <f>190</f>
        <v>190</v>
      </c>
      <c r="F111">
        <v>2.09</v>
      </c>
      <c r="N111">
        <f t="shared" si="4"/>
        <v>217.27733858416659</v>
      </c>
      <c r="O111">
        <v>8.7293529999999997</v>
      </c>
      <c r="P111">
        <f t="shared" si="5"/>
        <v>8.7293529999999997</v>
      </c>
      <c r="S111">
        <f t="shared" si="6"/>
        <v>3.4306948197499993</v>
      </c>
    </row>
    <row r="112" spans="1:19">
      <c r="A112" s="10">
        <v>41842</v>
      </c>
      <c r="B112" s="7" t="s">
        <v>28</v>
      </c>
      <c r="C112">
        <v>46</v>
      </c>
      <c r="D112" t="s">
        <v>62</v>
      </c>
      <c r="E112">
        <f>83</f>
        <v>83</v>
      </c>
      <c r="F112">
        <v>0.78</v>
      </c>
      <c r="N112">
        <f t="shared" si="4"/>
        <v>13.220124878999998</v>
      </c>
      <c r="O112">
        <v>1.2281180000000003</v>
      </c>
      <c r="P112">
        <f t="shared" si="5"/>
        <v>1.2281180000000003</v>
      </c>
      <c r="S112">
        <f t="shared" si="6"/>
        <v>0.47783583900000004</v>
      </c>
    </row>
    <row r="113" spans="1:19">
      <c r="A113" s="10">
        <v>41842</v>
      </c>
      <c r="B113" s="7" t="s">
        <v>28</v>
      </c>
      <c r="C113">
        <v>46</v>
      </c>
      <c r="D113" t="s">
        <v>62</v>
      </c>
      <c r="E113">
        <f>87</f>
        <v>87</v>
      </c>
      <c r="F113">
        <v>1.5</v>
      </c>
      <c r="N113">
        <f t="shared" si="4"/>
        <v>51.24718687499999</v>
      </c>
      <c r="O113">
        <v>1.5085380000000006</v>
      </c>
      <c r="P113">
        <f t="shared" si="5"/>
        <v>1.5085380000000006</v>
      </c>
      <c r="S113">
        <f t="shared" si="6"/>
        <v>1.767144375</v>
      </c>
    </row>
    <row r="114" spans="1:19">
      <c r="A114" s="10">
        <v>41842</v>
      </c>
      <c r="B114" s="7" t="s">
        <v>28</v>
      </c>
      <c r="C114">
        <v>46</v>
      </c>
      <c r="D114" t="s">
        <v>62</v>
      </c>
      <c r="E114">
        <f>247</f>
        <v>247</v>
      </c>
      <c r="F114">
        <v>2.02</v>
      </c>
      <c r="N114">
        <f t="shared" si="4"/>
        <v>263.85659395766663</v>
      </c>
      <c r="O114">
        <v>12.725338000000001</v>
      </c>
      <c r="P114">
        <f t="shared" si="5"/>
        <v>12.725338000000001</v>
      </c>
      <c r="S114">
        <f t="shared" si="6"/>
        <v>3.2047359589999997</v>
      </c>
    </row>
    <row r="115" spans="1:19">
      <c r="A115" s="10">
        <v>41842</v>
      </c>
      <c r="B115" s="7" t="s">
        <v>28</v>
      </c>
      <c r="C115">
        <v>46</v>
      </c>
      <c r="D115" t="s">
        <v>62</v>
      </c>
      <c r="E115">
        <f>241</f>
        <v>241</v>
      </c>
      <c r="F115">
        <v>3.37</v>
      </c>
      <c r="N115">
        <f t="shared" si="4"/>
        <v>716.54769637591664</v>
      </c>
      <c r="O115">
        <v>12.304708000000002</v>
      </c>
      <c r="P115">
        <f t="shared" si="5"/>
        <v>12.304708000000002</v>
      </c>
      <c r="S115">
        <f t="shared" si="6"/>
        <v>8.9196808677500012</v>
      </c>
    </row>
    <row r="116" spans="1:19">
      <c r="A116" s="10">
        <v>41842</v>
      </c>
      <c r="B116" s="7" t="s">
        <v>28</v>
      </c>
      <c r="C116">
        <v>46</v>
      </c>
      <c r="D116" t="s">
        <v>62</v>
      </c>
      <c r="E116">
        <v>285</v>
      </c>
      <c r="F116">
        <v>2.64</v>
      </c>
      <c r="G116">
        <v>6</v>
      </c>
      <c r="N116">
        <f t="shared" si="4"/>
        <v>520.02110951999998</v>
      </c>
      <c r="O116">
        <v>27.719671245542568</v>
      </c>
      <c r="P116">
        <f t="shared" si="5"/>
        <v>27.719671245542568</v>
      </c>
      <c r="S116">
        <f t="shared" si="6"/>
        <v>5.4739064160000002</v>
      </c>
    </row>
    <row r="117" spans="1:19">
      <c r="A117" s="10">
        <v>41842</v>
      </c>
      <c r="B117" s="7" t="s">
        <v>28</v>
      </c>
      <c r="C117">
        <v>46</v>
      </c>
      <c r="D117" t="s">
        <v>62</v>
      </c>
      <c r="E117">
        <f>140</f>
        <v>140</v>
      </c>
      <c r="F117">
        <v>1.58</v>
      </c>
      <c r="N117">
        <f t="shared" si="4"/>
        <v>91.497761553333348</v>
      </c>
      <c r="O117">
        <v>5.2241030000000004</v>
      </c>
      <c r="P117">
        <f t="shared" si="5"/>
        <v>5.2241030000000004</v>
      </c>
      <c r="S117">
        <f t="shared" si="6"/>
        <v>1.9606663190000002</v>
      </c>
    </row>
    <row r="118" spans="1:19">
      <c r="A118" s="10">
        <v>41842</v>
      </c>
      <c r="B118" s="7" t="s">
        <v>28</v>
      </c>
      <c r="C118">
        <v>46</v>
      </c>
      <c r="D118" t="s">
        <v>62</v>
      </c>
      <c r="E118">
        <f>292</f>
        <v>292</v>
      </c>
      <c r="F118">
        <v>2.46</v>
      </c>
      <c r="N118">
        <f t="shared" si="4"/>
        <v>462.61672040399992</v>
      </c>
      <c r="O118">
        <v>15.880063</v>
      </c>
      <c r="P118">
        <f t="shared" si="5"/>
        <v>15.880063</v>
      </c>
      <c r="S118">
        <f t="shared" si="6"/>
        <v>4.7529115109999998</v>
      </c>
    </row>
    <row r="119" spans="1:19">
      <c r="A119" s="10">
        <v>41842</v>
      </c>
      <c r="B119" s="7" t="s">
        <v>28</v>
      </c>
      <c r="C119">
        <v>46</v>
      </c>
      <c r="D119" t="s">
        <v>62</v>
      </c>
      <c r="E119">
        <f>260</f>
        <v>260</v>
      </c>
      <c r="F119">
        <v>1.74</v>
      </c>
      <c r="N119">
        <f t="shared" si="4"/>
        <v>206.08202082</v>
      </c>
      <c r="O119">
        <v>13.636703000000001</v>
      </c>
      <c r="P119">
        <f t="shared" si="5"/>
        <v>13.636703000000001</v>
      </c>
      <c r="S119">
        <f t="shared" si="6"/>
        <v>2.3778694709999999</v>
      </c>
    </row>
    <row r="120" spans="1:19">
      <c r="A120" s="10">
        <v>41842</v>
      </c>
      <c r="B120" s="7" t="s">
        <v>28</v>
      </c>
      <c r="C120">
        <v>46</v>
      </c>
      <c r="D120" t="s">
        <v>62</v>
      </c>
      <c r="E120">
        <v>204</v>
      </c>
      <c r="F120">
        <v>2.2599999999999998</v>
      </c>
      <c r="N120">
        <f t="shared" si="4"/>
        <v>272.78174642799991</v>
      </c>
      <c r="O120">
        <v>9.7108230000000013</v>
      </c>
      <c r="P120">
        <f t="shared" si="5"/>
        <v>9.7108230000000013</v>
      </c>
      <c r="S120">
        <f t="shared" si="6"/>
        <v>4.0114962709999986</v>
      </c>
    </row>
    <row r="121" spans="1:19">
      <c r="A121" s="10">
        <v>41842</v>
      </c>
      <c r="B121" s="7" t="s">
        <v>28</v>
      </c>
      <c r="C121">
        <v>46</v>
      </c>
      <c r="D121" t="s">
        <v>62</v>
      </c>
      <c r="E121">
        <v>247</v>
      </c>
      <c r="F121">
        <v>1.28</v>
      </c>
      <c r="N121">
        <f t="shared" si="4"/>
        <v>105.94614340266666</v>
      </c>
      <c r="O121">
        <v>12.725338000000001</v>
      </c>
      <c r="P121">
        <f t="shared" si="5"/>
        <v>12.725338000000001</v>
      </c>
      <c r="S121">
        <f t="shared" si="6"/>
        <v>1.286795264</v>
      </c>
    </row>
    <row r="122" spans="1:19">
      <c r="A122" s="10">
        <v>41842</v>
      </c>
      <c r="B122" s="7" t="s">
        <v>28</v>
      </c>
      <c r="C122">
        <v>46</v>
      </c>
      <c r="D122" t="s">
        <v>62</v>
      </c>
      <c r="E122">
        <v>321</v>
      </c>
      <c r="F122">
        <v>2.2599999999999998</v>
      </c>
      <c r="N122">
        <f t="shared" si="4"/>
        <v>429.23010099699985</v>
      </c>
      <c r="O122">
        <v>17.913108000000001</v>
      </c>
      <c r="P122">
        <f t="shared" si="5"/>
        <v>17.913108000000001</v>
      </c>
      <c r="S122">
        <f t="shared" si="6"/>
        <v>4.0114962709999986</v>
      </c>
    </row>
    <row r="123" spans="1:19">
      <c r="A123" s="10">
        <v>41842</v>
      </c>
      <c r="B123" s="7" t="s">
        <v>28</v>
      </c>
      <c r="C123">
        <v>46</v>
      </c>
      <c r="D123" t="s">
        <v>62</v>
      </c>
      <c r="E123">
        <v>211</v>
      </c>
      <c r="F123">
        <v>2.12</v>
      </c>
      <c r="N123">
        <f t="shared" si="4"/>
        <v>248.26896685466667</v>
      </c>
      <c r="O123">
        <v>10.201557999999999</v>
      </c>
      <c r="P123">
        <f t="shared" si="5"/>
        <v>10.201557999999999</v>
      </c>
      <c r="S123">
        <f t="shared" si="6"/>
        <v>3.5298905240000003</v>
      </c>
    </row>
    <row r="124" spans="1:19">
      <c r="A124" s="10">
        <v>41842</v>
      </c>
      <c r="B124" s="7" t="s">
        <v>28</v>
      </c>
      <c r="C124">
        <v>46</v>
      </c>
      <c r="D124" t="s">
        <v>62</v>
      </c>
      <c r="E124">
        <v>164</v>
      </c>
      <c r="F124">
        <v>1.53</v>
      </c>
      <c r="N124">
        <f t="shared" si="4"/>
        <v>100.50668975699999</v>
      </c>
      <c r="O124">
        <v>6.9066230000000006</v>
      </c>
      <c r="P124">
        <f t="shared" si="5"/>
        <v>6.9066230000000006</v>
      </c>
      <c r="S124">
        <f t="shared" si="6"/>
        <v>1.8385370077499998</v>
      </c>
    </row>
    <row r="125" spans="1:19">
      <c r="A125" s="10">
        <v>41842</v>
      </c>
      <c r="B125" s="7" t="s">
        <v>28</v>
      </c>
      <c r="C125">
        <v>46</v>
      </c>
      <c r="D125" t="s">
        <v>62</v>
      </c>
      <c r="E125">
        <v>206</v>
      </c>
      <c r="F125">
        <v>2.13</v>
      </c>
      <c r="N125">
        <f t="shared" si="4"/>
        <v>244.67786768549993</v>
      </c>
      <c r="O125">
        <v>9.851033000000001</v>
      </c>
      <c r="P125">
        <f t="shared" si="5"/>
        <v>9.851033000000001</v>
      </c>
      <c r="S125">
        <f t="shared" si="6"/>
        <v>3.5632699177499991</v>
      </c>
    </row>
    <row r="126" spans="1:19">
      <c r="A126" s="10">
        <v>41842</v>
      </c>
      <c r="B126" s="7" t="s">
        <v>28</v>
      </c>
      <c r="C126">
        <v>46</v>
      </c>
      <c r="D126" t="s">
        <v>62</v>
      </c>
      <c r="E126">
        <v>38</v>
      </c>
      <c r="F126">
        <v>2.89</v>
      </c>
      <c r="N126">
        <f t="shared" si="4"/>
        <v>83.089767156833332</v>
      </c>
      <c r="O126" t="s">
        <v>64</v>
      </c>
      <c r="P126" t="str">
        <f t="shared" si="5"/>
        <v xml:space="preserve"> </v>
      </c>
      <c r="S126">
        <f t="shared" si="6"/>
        <v>6.55971845975</v>
      </c>
    </row>
    <row r="127" spans="1:19">
      <c r="A127" s="10">
        <v>41842</v>
      </c>
      <c r="B127" s="7" t="s">
        <v>28</v>
      </c>
      <c r="C127">
        <v>46</v>
      </c>
      <c r="D127" t="s">
        <v>62</v>
      </c>
      <c r="E127">
        <v>229</v>
      </c>
      <c r="F127">
        <v>2.42</v>
      </c>
      <c r="N127">
        <f t="shared" si="4"/>
        <v>351.10294648366659</v>
      </c>
      <c r="O127">
        <v>11.463448</v>
      </c>
      <c r="P127">
        <f t="shared" si="5"/>
        <v>11.463448</v>
      </c>
      <c r="S127">
        <f t="shared" si="6"/>
        <v>4.5996019189999995</v>
      </c>
    </row>
    <row r="128" spans="1:19">
      <c r="A128" s="10">
        <v>41842</v>
      </c>
      <c r="B128" s="7" t="s">
        <v>28</v>
      </c>
      <c r="C128">
        <v>46</v>
      </c>
      <c r="D128" t="s">
        <v>62</v>
      </c>
      <c r="E128">
        <v>264</v>
      </c>
      <c r="F128">
        <v>3.45</v>
      </c>
      <c r="N128">
        <f t="shared" si="4"/>
        <v>822.64104945000008</v>
      </c>
      <c r="O128">
        <v>13.917123</v>
      </c>
      <c r="P128">
        <f t="shared" si="5"/>
        <v>13.917123</v>
      </c>
      <c r="S128">
        <f t="shared" si="6"/>
        <v>9.3481937437500005</v>
      </c>
    </row>
    <row r="129" spans="1:19">
      <c r="A129" s="10">
        <v>41842</v>
      </c>
      <c r="B129" s="7" t="s">
        <v>28</v>
      </c>
      <c r="C129">
        <v>46</v>
      </c>
      <c r="D129" t="s">
        <v>62</v>
      </c>
      <c r="E129">
        <v>236</v>
      </c>
      <c r="F129">
        <v>2.1</v>
      </c>
      <c r="N129">
        <f t="shared" si="4"/>
        <v>272.47010069999999</v>
      </c>
      <c r="O129">
        <v>11.954183</v>
      </c>
      <c r="P129">
        <f t="shared" si="5"/>
        <v>11.954183</v>
      </c>
      <c r="S129">
        <f t="shared" si="6"/>
        <v>3.4636029750000001</v>
      </c>
    </row>
    <row r="130" spans="1:19">
      <c r="A130" s="10">
        <v>41842</v>
      </c>
      <c r="B130" s="7" t="s">
        <v>28</v>
      </c>
      <c r="C130">
        <v>46</v>
      </c>
      <c r="D130" t="s">
        <v>62</v>
      </c>
      <c r="E130">
        <v>248</v>
      </c>
      <c r="F130">
        <v>1.79</v>
      </c>
      <c r="N130">
        <f t="shared" si="4"/>
        <v>208.03001605933329</v>
      </c>
      <c r="O130">
        <v>12.795443000000002</v>
      </c>
      <c r="P130">
        <f t="shared" si="5"/>
        <v>12.795443000000002</v>
      </c>
      <c r="S130">
        <f t="shared" si="6"/>
        <v>2.51649212975</v>
      </c>
    </row>
    <row r="131" spans="1:19">
      <c r="A131" s="10">
        <v>41842</v>
      </c>
      <c r="B131" s="7" t="s">
        <v>28</v>
      </c>
      <c r="C131">
        <v>46</v>
      </c>
      <c r="D131" t="s">
        <v>19</v>
      </c>
      <c r="F131">
        <v>6.8</v>
      </c>
      <c r="J131">
        <f>20+116+156+177+160+143+147+195+200</f>
        <v>1314</v>
      </c>
      <c r="K131">
        <v>9</v>
      </c>
      <c r="L131">
        <v>200</v>
      </c>
      <c r="N131" t="str">
        <f t="shared" si="4"/>
        <v>NA</v>
      </c>
      <c r="O131">
        <v>32.780877000000011</v>
      </c>
      <c r="P131">
        <f t="shared" si="5"/>
        <v>32.780877000000011</v>
      </c>
      <c r="S131">
        <f t="shared" si="6"/>
        <v>36.316780399999992</v>
      </c>
    </row>
    <row r="132" spans="1:19">
      <c r="A132" s="10">
        <v>41842</v>
      </c>
      <c r="B132" s="7" t="s">
        <v>28</v>
      </c>
      <c r="C132">
        <v>46</v>
      </c>
      <c r="D132" t="s">
        <v>19</v>
      </c>
      <c r="F132">
        <v>1.48</v>
      </c>
      <c r="J132">
        <f>96+47</f>
        <v>143</v>
      </c>
      <c r="K132">
        <v>2</v>
      </c>
      <c r="L132">
        <v>96</v>
      </c>
      <c r="N132" t="str">
        <f t="shared" si="4"/>
        <v>NA</v>
      </c>
      <c r="O132">
        <v>3.4797229999999999</v>
      </c>
      <c r="P132">
        <f t="shared" si="5"/>
        <v>3.4797229999999999</v>
      </c>
      <c r="S132">
        <f t="shared" si="6"/>
        <v>1.7203346839999998</v>
      </c>
    </row>
    <row r="133" spans="1:19">
      <c r="A133" s="10">
        <v>41842</v>
      </c>
      <c r="B133" s="7" t="s">
        <v>28</v>
      </c>
      <c r="C133">
        <v>46</v>
      </c>
      <c r="D133" t="s">
        <v>19</v>
      </c>
      <c r="F133">
        <v>3.98</v>
      </c>
      <c r="J133">
        <f>43+170+194+220+250+260+274</f>
        <v>1411</v>
      </c>
      <c r="K133">
        <v>7</v>
      </c>
      <c r="L133">
        <v>274</v>
      </c>
      <c r="N133" t="str">
        <f t="shared" ref="N133:N196" si="7">IF(OR(D133="S. acutus", D133="S. tabernaemontani", D133="S. californicus"),(1/3)*(3.14159)*((F133/2)^2)*E133,"NA")</f>
        <v>NA</v>
      </c>
      <c r="O133">
        <v>33.627688000000013</v>
      </c>
      <c r="P133">
        <f t="shared" ref="P133:P196" si="8">IF(O133&gt;0,O133," ")</f>
        <v>33.627688000000013</v>
      </c>
      <c r="S133">
        <f t="shared" ref="S133:S196" si="9">3.14159*((F133/2)^2)</f>
        <v>12.441010559</v>
      </c>
    </row>
    <row r="134" spans="1:19">
      <c r="A134" s="10">
        <v>41842</v>
      </c>
      <c r="B134" s="7" t="s">
        <v>28</v>
      </c>
      <c r="C134">
        <v>46</v>
      </c>
      <c r="D134" t="s">
        <v>19</v>
      </c>
      <c r="F134">
        <v>2.6</v>
      </c>
      <c r="J134">
        <f>44+48+70+43+122+185+180+205+207+210</f>
        <v>1314</v>
      </c>
      <c r="K134">
        <v>10</v>
      </c>
      <c r="L134">
        <v>210</v>
      </c>
      <c r="N134" t="str">
        <f t="shared" si="7"/>
        <v>NA</v>
      </c>
      <c r="O134">
        <v>22.746074000000014</v>
      </c>
      <c r="P134">
        <f t="shared" si="8"/>
        <v>22.746074000000014</v>
      </c>
      <c r="S134">
        <f t="shared" si="9"/>
        <v>5.3092871000000006</v>
      </c>
    </row>
    <row r="135" spans="1:19">
      <c r="A135" s="10">
        <v>41841</v>
      </c>
      <c r="B135" s="7" t="s">
        <v>28</v>
      </c>
      <c r="C135">
        <v>56</v>
      </c>
      <c r="D135" t="s">
        <v>19</v>
      </c>
      <c r="F135">
        <v>14.88</v>
      </c>
      <c r="J135">
        <f>341+351+462+490+495+513+521+523+527+535+532+542</f>
        <v>5832</v>
      </c>
      <c r="K135">
        <v>12</v>
      </c>
      <c r="L135">
        <v>542</v>
      </c>
      <c r="N135" t="str">
        <f t="shared" si="7"/>
        <v>NA</v>
      </c>
      <c r="O135">
        <v>332.27311800000007</v>
      </c>
      <c r="P135">
        <f t="shared" si="8"/>
        <v>332.27311800000007</v>
      </c>
      <c r="S135">
        <f t="shared" si="9"/>
        <v>173.89831622400001</v>
      </c>
    </row>
    <row r="136" spans="1:19">
      <c r="A136" s="10">
        <v>41841</v>
      </c>
      <c r="B136" s="7" t="s">
        <v>28</v>
      </c>
      <c r="C136">
        <v>56</v>
      </c>
      <c r="D136" t="s">
        <v>19</v>
      </c>
      <c r="F136">
        <v>6.71</v>
      </c>
      <c r="J136">
        <f>170+218+284+292+222+242+254+294</f>
        <v>1976</v>
      </c>
      <c r="K136">
        <v>8</v>
      </c>
      <c r="L136">
        <v>294</v>
      </c>
      <c r="N136" t="str">
        <f t="shared" si="7"/>
        <v>NA</v>
      </c>
      <c r="O136">
        <v>73.552010000000024</v>
      </c>
      <c r="P136">
        <f t="shared" si="8"/>
        <v>73.552010000000024</v>
      </c>
      <c r="S136">
        <f t="shared" si="9"/>
        <v>35.361815579749994</v>
      </c>
    </row>
    <row r="137" spans="1:19">
      <c r="A137" s="10">
        <v>41841</v>
      </c>
      <c r="B137" s="7" t="s">
        <v>28</v>
      </c>
      <c r="C137">
        <v>56</v>
      </c>
      <c r="D137" t="s">
        <v>19</v>
      </c>
      <c r="F137">
        <v>2.76</v>
      </c>
      <c r="J137">
        <f>87+115+139+197+225+239+260</f>
        <v>1262</v>
      </c>
      <c r="K137">
        <v>7</v>
      </c>
      <c r="L137">
        <v>260</v>
      </c>
      <c r="N137" t="str">
        <f t="shared" si="7"/>
        <v>NA</v>
      </c>
      <c r="O137">
        <v>23.875623000000012</v>
      </c>
      <c r="P137">
        <f t="shared" si="8"/>
        <v>23.875623000000012</v>
      </c>
      <c r="S137">
        <f t="shared" si="9"/>
        <v>5.9828439959999988</v>
      </c>
    </row>
    <row r="138" spans="1:19">
      <c r="A138" s="10">
        <v>41841</v>
      </c>
      <c r="B138" s="7" t="s">
        <v>28</v>
      </c>
      <c r="C138">
        <v>59</v>
      </c>
      <c r="D138" t="s">
        <v>19</v>
      </c>
      <c r="E138">
        <v>369</v>
      </c>
      <c r="F138">
        <v>3.85</v>
      </c>
      <c r="H138">
        <v>29</v>
      </c>
      <c r="I138">
        <v>2</v>
      </c>
      <c r="N138" t="str">
        <f t="shared" si="7"/>
        <v>NA</v>
      </c>
      <c r="O138">
        <v>150.03505504999998</v>
      </c>
      <c r="P138">
        <f t="shared" si="8"/>
        <v>150.03505504999998</v>
      </c>
      <c r="S138">
        <f t="shared" si="9"/>
        <v>11.641554443750001</v>
      </c>
    </row>
    <row r="139" spans="1:19">
      <c r="A139" s="10">
        <v>41841</v>
      </c>
      <c r="B139" s="7" t="s">
        <v>28</v>
      </c>
      <c r="C139">
        <v>59</v>
      </c>
      <c r="D139" t="s">
        <v>19</v>
      </c>
      <c r="F139">
        <v>4.03</v>
      </c>
      <c r="J139">
        <f>243+269+282+282</f>
        <v>1076</v>
      </c>
      <c r="K139">
        <v>4</v>
      </c>
      <c r="L139">
        <v>282</v>
      </c>
      <c r="N139" t="str">
        <f t="shared" si="7"/>
        <v>NA</v>
      </c>
      <c r="O139">
        <v>20.87686200000001</v>
      </c>
      <c r="P139">
        <f t="shared" si="8"/>
        <v>20.87686200000001</v>
      </c>
      <c r="S139">
        <f t="shared" si="9"/>
        <v>12.755562257750002</v>
      </c>
    </row>
    <row r="140" spans="1:19">
      <c r="A140" s="10">
        <v>41841</v>
      </c>
      <c r="B140" s="7" t="s">
        <v>28</v>
      </c>
      <c r="C140">
        <v>59</v>
      </c>
      <c r="D140" t="s">
        <v>19</v>
      </c>
      <c r="F140">
        <v>4.49</v>
      </c>
      <c r="J140">
        <f>59+82+94</f>
        <v>235</v>
      </c>
      <c r="K140">
        <v>3</v>
      </c>
      <c r="L140">
        <v>94</v>
      </c>
      <c r="N140" t="str">
        <f t="shared" si="7"/>
        <v>NA</v>
      </c>
      <c r="O140">
        <v>5.6853199999999973</v>
      </c>
      <c r="P140">
        <f t="shared" si="8"/>
        <v>5.6853199999999973</v>
      </c>
      <c r="S140">
        <f t="shared" si="9"/>
        <v>15.833692139750003</v>
      </c>
    </row>
    <row r="141" spans="1:19">
      <c r="A141" s="10">
        <v>41841</v>
      </c>
      <c r="B141" s="7" t="s">
        <v>28</v>
      </c>
      <c r="C141">
        <v>59</v>
      </c>
      <c r="D141" t="s">
        <v>19</v>
      </c>
      <c r="F141">
        <v>3.25</v>
      </c>
      <c r="J141">
        <f>328+374</f>
        <v>702</v>
      </c>
      <c r="K141">
        <v>2</v>
      </c>
      <c r="L141">
        <v>374</v>
      </c>
      <c r="N141" t="str">
        <f t="shared" si="7"/>
        <v>NA</v>
      </c>
      <c r="O141" t="s">
        <v>64</v>
      </c>
      <c r="P141" t="str">
        <f t="shared" si="8"/>
        <v xml:space="preserve"> </v>
      </c>
      <c r="S141">
        <f t="shared" si="9"/>
        <v>8.2957610937500004</v>
      </c>
    </row>
    <row r="142" spans="1:19">
      <c r="A142" s="10">
        <v>41841</v>
      </c>
      <c r="B142" s="7" t="s">
        <v>28</v>
      </c>
      <c r="C142">
        <v>59</v>
      </c>
      <c r="D142" t="s">
        <v>19</v>
      </c>
      <c r="F142">
        <v>1.1000000000000001</v>
      </c>
      <c r="J142">
        <f>199+130+170+188+220</f>
        <v>907</v>
      </c>
      <c r="K142">
        <v>5</v>
      </c>
      <c r="L142">
        <v>220</v>
      </c>
      <c r="N142" t="str">
        <f t="shared" si="7"/>
        <v>NA</v>
      </c>
      <c r="O142">
        <v>16.687104000000005</v>
      </c>
      <c r="P142">
        <f t="shared" si="8"/>
        <v>16.687104000000005</v>
      </c>
      <c r="S142">
        <f t="shared" si="9"/>
        <v>0.95033097500000008</v>
      </c>
    </row>
    <row r="143" spans="1:19">
      <c r="A143" s="10">
        <v>41841</v>
      </c>
      <c r="B143" s="7" t="s">
        <v>28</v>
      </c>
      <c r="C143">
        <v>59</v>
      </c>
      <c r="D143" t="s">
        <v>19</v>
      </c>
      <c r="E143">
        <v>349</v>
      </c>
      <c r="F143">
        <v>9.2200000000000006</v>
      </c>
      <c r="H143">
        <v>29.5</v>
      </c>
      <c r="I143">
        <v>2.5</v>
      </c>
      <c r="N143" t="str">
        <f t="shared" si="7"/>
        <v>NA</v>
      </c>
      <c r="O143">
        <v>256.60268744000007</v>
      </c>
      <c r="P143">
        <f t="shared" si="8"/>
        <v>256.60268744000007</v>
      </c>
      <c r="S143">
        <f t="shared" si="9"/>
        <v>66.765384839000006</v>
      </c>
    </row>
    <row r="144" spans="1:19">
      <c r="A144" s="10">
        <v>41841</v>
      </c>
      <c r="B144" s="7" t="s">
        <v>28</v>
      </c>
      <c r="C144">
        <v>59</v>
      </c>
      <c r="D144" t="s">
        <v>19</v>
      </c>
      <c r="F144">
        <v>3.95</v>
      </c>
      <c r="J144">
        <f>183+184+260+274+322+324</f>
        <v>1547</v>
      </c>
      <c r="K144">
        <v>6</v>
      </c>
      <c r="L144">
        <v>324</v>
      </c>
      <c r="N144" t="str">
        <f t="shared" si="7"/>
        <v>NA</v>
      </c>
      <c r="O144">
        <v>38.338470999999991</v>
      </c>
      <c r="P144">
        <f t="shared" si="8"/>
        <v>38.338470999999991</v>
      </c>
      <c r="S144">
        <f t="shared" si="9"/>
        <v>12.25416449375</v>
      </c>
    </row>
    <row r="145" spans="1:19">
      <c r="A145" s="10">
        <v>41841</v>
      </c>
      <c r="B145" s="7" t="s">
        <v>28</v>
      </c>
      <c r="C145">
        <v>59</v>
      </c>
      <c r="D145" t="s">
        <v>19</v>
      </c>
      <c r="F145">
        <v>2.4900000000000002</v>
      </c>
      <c r="J145">
        <f>204+281+310+309</f>
        <v>1104</v>
      </c>
      <c r="K145">
        <v>4</v>
      </c>
      <c r="L145">
        <v>310</v>
      </c>
      <c r="N145" t="str">
        <f t="shared" si="7"/>
        <v>NA</v>
      </c>
      <c r="O145">
        <v>15.067142000000011</v>
      </c>
      <c r="P145">
        <f t="shared" si="8"/>
        <v>15.067142000000011</v>
      </c>
      <c r="S145">
        <f t="shared" si="9"/>
        <v>4.8695430397500008</v>
      </c>
    </row>
    <row r="146" spans="1:19">
      <c r="A146" s="10">
        <v>41841</v>
      </c>
      <c r="B146" s="7" t="s">
        <v>28</v>
      </c>
      <c r="C146">
        <v>59</v>
      </c>
      <c r="D146" t="s">
        <v>19</v>
      </c>
      <c r="F146">
        <v>4.34</v>
      </c>
      <c r="J146">
        <f>321+324+376+400</f>
        <v>1421</v>
      </c>
      <c r="K146">
        <v>4</v>
      </c>
      <c r="L146">
        <v>400</v>
      </c>
      <c r="N146" t="str">
        <f t="shared" si="7"/>
        <v>NA</v>
      </c>
      <c r="O146">
        <v>17.675427000000006</v>
      </c>
      <c r="P146">
        <f t="shared" si="8"/>
        <v>17.675427000000006</v>
      </c>
      <c r="S146">
        <f t="shared" si="9"/>
        <v>14.793433150999999</v>
      </c>
    </row>
    <row r="147" spans="1:19">
      <c r="A147" s="10">
        <v>41841</v>
      </c>
      <c r="B147" s="7" t="s">
        <v>28</v>
      </c>
      <c r="C147">
        <v>59</v>
      </c>
      <c r="D147" t="s">
        <v>19</v>
      </c>
      <c r="F147">
        <v>2</v>
      </c>
      <c r="J147">
        <f>194+271+285+293</f>
        <v>1043</v>
      </c>
      <c r="K147">
        <v>4</v>
      </c>
      <c r="L147">
        <v>293</v>
      </c>
      <c r="N147" t="str">
        <f t="shared" si="7"/>
        <v>NA</v>
      </c>
      <c r="O147">
        <v>14.469252000000019</v>
      </c>
      <c r="P147">
        <f t="shared" si="8"/>
        <v>14.469252000000019</v>
      </c>
      <c r="S147">
        <f t="shared" si="9"/>
        <v>3.1415899999999999</v>
      </c>
    </row>
    <row r="148" spans="1:19">
      <c r="A148" s="10">
        <v>41841</v>
      </c>
      <c r="B148" s="7" t="s">
        <v>20</v>
      </c>
      <c r="C148">
        <v>13</v>
      </c>
      <c r="D148" t="s">
        <v>62</v>
      </c>
      <c r="E148">
        <f>187</f>
        <v>187</v>
      </c>
      <c r="F148">
        <v>0.98</v>
      </c>
      <c r="N148">
        <f t="shared" si="7"/>
        <v>47.017768977666655</v>
      </c>
      <c r="O148">
        <v>8.5190380000000019</v>
      </c>
      <c r="P148">
        <f t="shared" si="8"/>
        <v>8.5190380000000019</v>
      </c>
      <c r="S148">
        <f t="shared" si="9"/>
        <v>0.7542957589999999</v>
      </c>
    </row>
    <row r="149" spans="1:19">
      <c r="A149" s="10">
        <v>41841</v>
      </c>
      <c r="B149" s="7" t="s">
        <v>20</v>
      </c>
      <c r="C149">
        <v>13</v>
      </c>
      <c r="D149" t="s">
        <v>62</v>
      </c>
      <c r="E149">
        <v>131</v>
      </c>
      <c r="F149">
        <v>0.78</v>
      </c>
      <c r="N149">
        <f t="shared" si="7"/>
        <v>20.865498302999999</v>
      </c>
      <c r="O149">
        <v>4.5931579999999999</v>
      </c>
      <c r="P149">
        <f t="shared" si="8"/>
        <v>4.5931579999999999</v>
      </c>
      <c r="S149">
        <f t="shared" si="9"/>
        <v>0.47783583900000004</v>
      </c>
    </row>
    <row r="150" spans="1:19">
      <c r="A150" s="10">
        <v>41841</v>
      </c>
      <c r="B150" s="7" t="s">
        <v>20</v>
      </c>
      <c r="C150">
        <v>13</v>
      </c>
      <c r="D150" t="s">
        <v>62</v>
      </c>
      <c r="E150">
        <v>214</v>
      </c>
      <c r="F150">
        <v>1.06</v>
      </c>
      <c r="N150">
        <f t="shared" si="7"/>
        <v>62.949714344666674</v>
      </c>
      <c r="O150">
        <v>10.411873</v>
      </c>
      <c r="P150">
        <f t="shared" si="8"/>
        <v>10.411873</v>
      </c>
      <c r="S150">
        <f t="shared" si="9"/>
        <v>0.88247263100000006</v>
      </c>
    </row>
    <row r="151" spans="1:19">
      <c r="A151" s="10">
        <v>41841</v>
      </c>
      <c r="B151" s="7" t="s">
        <v>20</v>
      </c>
      <c r="C151">
        <v>13</v>
      </c>
      <c r="D151" t="s">
        <v>62</v>
      </c>
      <c r="E151">
        <v>240</v>
      </c>
      <c r="F151">
        <v>1.6</v>
      </c>
      <c r="N151">
        <f t="shared" si="7"/>
        <v>160.84940800000001</v>
      </c>
      <c r="O151">
        <v>12.234603</v>
      </c>
      <c r="P151">
        <f t="shared" si="8"/>
        <v>12.234603</v>
      </c>
      <c r="S151">
        <f t="shared" si="9"/>
        <v>2.0106176000000002</v>
      </c>
    </row>
    <row r="152" spans="1:19">
      <c r="A152" s="10">
        <v>41841</v>
      </c>
      <c r="B152" s="7" t="s">
        <v>20</v>
      </c>
      <c r="C152">
        <v>13</v>
      </c>
      <c r="D152" t="s">
        <v>62</v>
      </c>
      <c r="E152">
        <v>238</v>
      </c>
      <c r="F152">
        <v>1.39</v>
      </c>
      <c r="N152">
        <f t="shared" si="7"/>
        <v>120.38567644016663</v>
      </c>
      <c r="O152">
        <v>12.094393</v>
      </c>
      <c r="P152">
        <f t="shared" si="8"/>
        <v>12.094393</v>
      </c>
      <c r="S152">
        <f t="shared" si="9"/>
        <v>1.5174665097499997</v>
      </c>
    </row>
    <row r="153" spans="1:19">
      <c r="A153" s="10">
        <v>41841</v>
      </c>
      <c r="B153" s="7" t="s">
        <v>20</v>
      </c>
      <c r="C153">
        <v>13</v>
      </c>
      <c r="D153" t="s">
        <v>62</v>
      </c>
      <c r="E153">
        <v>204</v>
      </c>
      <c r="F153">
        <v>1.35</v>
      </c>
      <c r="N153">
        <f t="shared" si="7"/>
        <v>97.334312175000008</v>
      </c>
      <c r="O153">
        <v>9.7108230000000013</v>
      </c>
      <c r="P153">
        <f t="shared" si="8"/>
        <v>9.7108230000000013</v>
      </c>
      <c r="S153">
        <f t="shared" si="9"/>
        <v>1.4313869437500002</v>
      </c>
    </row>
    <row r="154" spans="1:19">
      <c r="A154" s="10">
        <v>41841</v>
      </c>
      <c r="B154" s="7" t="s">
        <v>20</v>
      </c>
      <c r="C154">
        <v>13</v>
      </c>
      <c r="D154" t="s">
        <v>62</v>
      </c>
      <c r="E154">
        <v>111</v>
      </c>
      <c r="F154">
        <v>0.92</v>
      </c>
      <c r="N154">
        <f t="shared" si="7"/>
        <v>24.596136427999998</v>
      </c>
      <c r="O154">
        <v>3.191058</v>
      </c>
      <c r="P154">
        <f t="shared" si="8"/>
        <v>3.191058</v>
      </c>
      <c r="S154">
        <f t="shared" si="9"/>
        <v>0.66476044400000001</v>
      </c>
    </row>
    <row r="155" spans="1:19">
      <c r="A155" s="10">
        <v>41841</v>
      </c>
      <c r="B155" s="7" t="s">
        <v>20</v>
      </c>
      <c r="C155">
        <v>13</v>
      </c>
      <c r="D155" t="s">
        <v>62</v>
      </c>
      <c r="E155">
        <v>295</v>
      </c>
      <c r="F155">
        <v>1.29</v>
      </c>
      <c r="N155">
        <f t="shared" si="7"/>
        <v>128.51969800875</v>
      </c>
      <c r="O155">
        <v>16.090378000000001</v>
      </c>
      <c r="P155">
        <f t="shared" si="8"/>
        <v>16.090378000000001</v>
      </c>
      <c r="S155">
        <f t="shared" si="9"/>
        <v>1.3069799797500001</v>
      </c>
    </row>
    <row r="156" spans="1:19">
      <c r="A156" s="10">
        <v>41841</v>
      </c>
      <c r="B156" s="7" t="s">
        <v>20</v>
      </c>
      <c r="C156">
        <v>13</v>
      </c>
      <c r="D156" t="s">
        <v>62</v>
      </c>
      <c r="E156">
        <v>201</v>
      </c>
      <c r="F156">
        <v>0.81</v>
      </c>
      <c r="N156">
        <f t="shared" si="7"/>
        <v>34.52505308325</v>
      </c>
      <c r="O156">
        <v>9.500508</v>
      </c>
      <c r="P156">
        <f t="shared" si="8"/>
        <v>9.500508</v>
      </c>
      <c r="S156">
        <f t="shared" si="9"/>
        <v>0.51529929975000011</v>
      </c>
    </row>
    <row r="157" spans="1:19">
      <c r="A157" s="10">
        <v>41841</v>
      </c>
      <c r="B157" s="7" t="s">
        <v>20</v>
      </c>
      <c r="C157">
        <v>13</v>
      </c>
      <c r="D157" t="s">
        <v>62</v>
      </c>
      <c r="E157">
        <v>283</v>
      </c>
      <c r="F157">
        <v>1.41</v>
      </c>
      <c r="N157">
        <f t="shared" si="7"/>
        <v>147.29666727974998</v>
      </c>
      <c r="O157">
        <v>15.249118000000003</v>
      </c>
      <c r="P157">
        <f t="shared" si="8"/>
        <v>15.249118000000003</v>
      </c>
      <c r="S157">
        <f t="shared" si="9"/>
        <v>1.5614487697499997</v>
      </c>
    </row>
    <row r="158" spans="1:19">
      <c r="A158" s="10">
        <v>41841</v>
      </c>
      <c r="B158" s="7" t="s">
        <v>20</v>
      </c>
      <c r="C158">
        <v>13</v>
      </c>
      <c r="D158" t="s">
        <v>19</v>
      </c>
      <c r="F158">
        <v>4.04</v>
      </c>
      <c r="J158">
        <f>118+173+197+204+252+253+282</f>
        <v>1479</v>
      </c>
      <c r="K158">
        <v>7</v>
      </c>
      <c r="L158">
        <v>282</v>
      </c>
      <c r="N158" t="str">
        <f t="shared" si="7"/>
        <v>NA</v>
      </c>
      <c r="O158">
        <v>37.593068000000009</v>
      </c>
      <c r="P158">
        <f t="shared" si="8"/>
        <v>37.593068000000009</v>
      </c>
      <c r="S158">
        <f t="shared" si="9"/>
        <v>12.818943835999999</v>
      </c>
    </row>
    <row r="159" spans="1:19">
      <c r="A159" s="10">
        <v>41841</v>
      </c>
      <c r="B159" s="7" t="s">
        <v>20</v>
      </c>
      <c r="C159">
        <v>13</v>
      </c>
      <c r="D159" t="s">
        <v>19</v>
      </c>
      <c r="F159">
        <v>0.9</v>
      </c>
      <c r="J159">
        <f>56+99+112+128</f>
        <v>395</v>
      </c>
      <c r="K159">
        <v>4</v>
      </c>
      <c r="L159">
        <v>128</v>
      </c>
      <c r="N159" t="str">
        <f t="shared" si="7"/>
        <v>NA</v>
      </c>
      <c r="O159">
        <v>3.4214370000000009</v>
      </c>
      <c r="P159">
        <f t="shared" si="8"/>
        <v>3.4214370000000009</v>
      </c>
      <c r="S159">
        <f t="shared" si="9"/>
        <v>0.636171975</v>
      </c>
    </row>
    <row r="160" spans="1:19">
      <c r="A160" s="10">
        <v>41841</v>
      </c>
      <c r="B160" s="7" t="s">
        <v>20</v>
      </c>
      <c r="C160">
        <v>13</v>
      </c>
      <c r="D160" t="s">
        <v>19</v>
      </c>
      <c r="F160">
        <v>2.65</v>
      </c>
      <c r="J160">
        <f>79+148+165+187+197+216+245+270+232</f>
        <v>1739</v>
      </c>
      <c r="K160">
        <v>9</v>
      </c>
      <c r="L160">
        <v>270</v>
      </c>
      <c r="N160" t="str">
        <f t="shared" si="7"/>
        <v>NA</v>
      </c>
      <c r="O160">
        <v>51.539602000000023</v>
      </c>
      <c r="P160">
        <f t="shared" si="8"/>
        <v>51.539602000000023</v>
      </c>
      <c r="S160">
        <f t="shared" si="9"/>
        <v>5.5154539437499999</v>
      </c>
    </row>
    <row r="161" spans="1:19">
      <c r="A161" s="10">
        <v>41841</v>
      </c>
      <c r="B161" s="7" t="s">
        <v>20</v>
      </c>
      <c r="C161">
        <v>13</v>
      </c>
      <c r="D161" t="s">
        <v>19</v>
      </c>
      <c r="E161">
        <v>369</v>
      </c>
      <c r="F161">
        <v>3.12</v>
      </c>
      <c r="H161">
        <v>27</v>
      </c>
      <c r="I161">
        <v>2.7</v>
      </c>
      <c r="N161" t="str">
        <f t="shared" si="7"/>
        <v>NA</v>
      </c>
      <c r="O161">
        <v>146.34553384</v>
      </c>
      <c r="P161">
        <f t="shared" si="8"/>
        <v>146.34553384</v>
      </c>
      <c r="S161">
        <f t="shared" si="9"/>
        <v>7.6453734240000006</v>
      </c>
    </row>
    <row r="162" spans="1:19">
      <c r="A162" s="10">
        <v>41841</v>
      </c>
      <c r="B162" s="7" t="s">
        <v>20</v>
      </c>
      <c r="C162">
        <v>13</v>
      </c>
      <c r="D162" t="s">
        <v>19</v>
      </c>
      <c r="F162">
        <v>2.64</v>
      </c>
      <c r="J162">
        <f>164+196+231+224</f>
        <v>815</v>
      </c>
      <c r="K162">
        <v>4</v>
      </c>
      <c r="L162">
        <v>231</v>
      </c>
      <c r="N162" t="str">
        <f t="shared" si="7"/>
        <v>NA</v>
      </c>
      <c r="O162">
        <v>11.770302000000008</v>
      </c>
      <c r="P162">
        <f t="shared" si="8"/>
        <v>11.770302000000008</v>
      </c>
      <c r="S162">
        <f t="shared" si="9"/>
        <v>5.4739064160000002</v>
      </c>
    </row>
    <row r="163" spans="1:19">
      <c r="A163" s="10">
        <v>41841</v>
      </c>
      <c r="B163" s="7" t="s">
        <v>20</v>
      </c>
      <c r="C163">
        <v>13</v>
      </c>
      <c r="D163" t="s">
        <v>19</v>
      </c>
      <c r="F163">
        <v>1</v>
      </c>
      <c r="J163">
        <f>75+142+218+220</f>
        <v>655</v>
      </c>
      <c r="K163">
        <v>4</v>
      </c>
      <c r="L163">
        <v>220</v>
      </c>
      <c r="N163" t="str">
        <f t="shared" si="7"/>
        <v>NA</v>
      </c>
      <c r="O163">
        <v>8.3197000000005517E-2</v>
      </c>
      <c r="P163">
        <f t="shared" si="8"/>
        <v>8.3197000000005517E-2</v>
      </c>
      <c r="S163">
        <f t="shared" si="9"/>
        <v>0.78539749999999997</v>
      </c>
    </row>
    <row r="164" spans="1:19">
      <c r="A164" s="10">
        <v>41841</v>
      </c>
      <c r="B164" s="7" t="s">
        <v>20</v>
      </c>
      <c r="C164">
        <v>13</v>
      </c>
      <c r="D164" t="s">
        <v>19</v>
      </c>
      <c r="E164">
        <v>267</v>
      </c>
      <c r="F164">
        <v>1.64</v>
      </c>
      <c r="H164">
        <v>23</v>
      </c>
      <c r="I164">
        <v>2.5</v>
      </c>
      <c r="N164" t="str">
        <f t="shared" si="7"/>
        <v>NA</v>
      </c>
      <c r="O164">
        <v>79.624069880000008</v>
      </c>
      <c r="P164">
        <f t="shared" si="8"/>
        <v>79.624069880000008</v>
      </c>
      <c r="S164">
        <f t="shared" si="9"/>
        <v>2.1124051159999997</v>
      </c>
    </row>
    <row r="165" spans="1:19">
      <c r="A165" s="10">
        <v>41841</v>
      </c>
      <c r="B165" s="7" t="s">
        <v>20</v>
      </c>
      <c r="C165">
        <v>13</v>
      </c>
      <c r="D165" t="s">
        <v>19</v>
      </c>
      <c r="F165">
        <v>3.35</v>
      </c>
      <c r="J165">
        <f>200+268+278+332</f>
        <v>1078</v>
      </c>
      <c r="K165">
        <v>4</v>
      </c>
      <c r="L165">
        <v>332</v>
      </c>
      <c r="N165" t="str">
        <f t="shared" si="7"/>
        <v>NA</v>
      </c>
      <c r="O165">
        <v>6.0021220000000071</v>
      </c>
      <c r="P165">
        <f t="shared" si="8"/>
        <v>6.0021220000000071</v>
      </c>
      <c r="S165">
        <f t="shared" si="9"/>
        <v>8.8141234437499989</v>
      </c>
    </row>
    <row r="166" spans="1:19">
      <c r="A166" s="10">
        <v>41841</v>
      </c>
      <c r="B166" s="7" t="s">
        <v>20</v>
      </c>
      <c r="C166">
        <v>13</v>
      </c>
      <c r="D166" t="s">
        <v>19</v>
      </c>
      <c r="E166">
        <v>265</v>
      </c>
      <c r="F166">
        <v>1.96</v>
      </c>
      <c r="H166">
        <v>24</v>
      </c>
      <c r="I166">
        <v>2.1</v>
      </c>
      <c r="N166" t="str">
        <f t="shared" si="7"/>
        <v>NA</v>
      </c>
      <c r="O166">
        <v>79.120445920000009</v>
      </c>
      <c r="P166">
        <f t="shared" si="8"/>
        <v>79.120445920000009</v>
      </c>
      <c r="S166">
        <f t="shared" si="9"/>
        <v>3.0171830359999996</v>
      </c>
    </row>
    <row r="167" spans="1:19">
      <c r="A167" s="10">
        <v>41841</v>
      </c>
      <c r="B167" s="7" t="s">
        <v>20</v>
      </c>
      <c r="C167">
        <v>13</v>
      </c>
      <c r="D167" t="s">
        <v>19</v>
      </c>
      <c r="F167">
        <v>1.38</v>
      </c>
      <c r="J167">
        <f>64+63+67+82+82+83+86+84+119</f>
        <v>730</v>
      </c>
      <c r="K167">
        <v>9</v>
      </c>
      <c r="L167">
        <v>119</v>
      </c>
      <c r="N167" t="str">
        <f t="shared" si="7"/>
        <v>NA</v>
      </c>
      <c r="O167">
        <v>2.4288020000000046</v>
      </c>
      <c r="P167">
        <f t="shared" si="8"/>
        <v>2.4288020000000046</v>
      </c>
      <c r="S167">
        <f t="shared" si="9"/>
        <v>1.4957109989999997</v>
      </c>
    </row>
    <row r="168" spans="1:19">
      <c r="A168" s="10">
        <v>41841</v>
      </c>
      <c r="B168" s="7" t="s">
        <v>20</v>
      </c>
      <c r="C168">
        <v>13</v>
      </c>
      <c r="D168" t="s">
        <v>19</v>
      </c>
      <c r="F168">
        <v>1.1499999999999999</v>
      </c>
      <c r="J168">
        <f>126+213+244+255</f>
        <v>838</v>
      </c>
      <c r="K168">
        <v>4</v>
      </c>
      <c r="L168">
        <v>255</v>
      </c>
      <c r="N168" t="str">
        <f t="shared" si="7"/>
        <v>NA</v>
      </c>
      <c r="O168">
        <v>6.6967870000000076</v>
      </c>
      <c r="P168">
        <f t="shared" si="8"/>
        <v>6.6967870000000076</v>
      </c>
      <c r="S168">
        <f t="shared" si="9"/>
        <v>1.0386881937499999</v>
      </c>
    </row>
    <row r="169" spans="1:19">
      <c r="A169" s="10">
        <v>41841</v>
      </c>
      <c r="B169" s="7" t="s">
        <v>20</v>
      </c>
      <c r="C169">
        <v>13</v>
      </c>
      <c r="D169" t="s">
        <v>19</v>
      </c>
      <c r="F169">
        <v>0.62</v>
      </c>
      <c r="J169">
        <f>27+30+38</f>
        <v>95</v>
      </c>
      <c r="K169">
        <v>3</v>
      </c>
      <c r="L169">
        <v>38</v>
      </c>
      <c r="N169" t="str">
        <f t="shared" si="7"/>
        <v>NA</v>
      </c>
      <c r="O169">
        <v>9.4293399999999963</v>
      </c>
      <c r="P169">
        <f t="shared" si="8"/>
        <v>9.4293399999999963</v>
      </c>
      <c r="S169">
        <f t="shared" si="9"/>
        <v>0.301906799</v>
      </c>
    </row>
    <row r="170" spans="1:19">
      <c r="A170" s="10">
        <v>41841</v>
      </c>
      <c r="B170" s="7" t="s">
        <v>20</v>
      </c>
      <c r="C170">
        <v>13</v>
      </c>
      <c r="D170" t="s">
        <v>19</v>
      </c>
      <c r="F170">
        <v>1.53</v>
      </c>
      <c r="J170">
        <f>133+192+225+253+266</f>
        <v>1069</v>
      </c>
      <c r="K170">
        <v>5</v>
      </c>
      <c r="L170">
        <v>266</v>
      </c>
      <c r="N170" t="str">
        <f t="shared" si="7"/>
        <v>NA</v>
      </c>
      <c r="O170">
        <v>18.018144000000014</v>
      </c>
      <c r="P170">
        <f t="shared" si="8"/>
        <v>18.018144000000014</v>
      </c>
      <c r="S170">
        <f t="shared" si="9"/>
        <v>1.8385370077499998</v>
      </c>
    </row>
    <row r="171" spans="1:19">
      <c r="A171" s="10">
        <v>41841</v>
      </c>
      <c r="B171" s="7" t="s">
        <v>20</v>
      </c>
      <c r="C171">
        <v>13</v>
      </c>
      <c r="D171" t="s">
        <v>19</v>
      </c>
      <c r="F171">
        <v>1.24</v>
      </c>
      <c r="J171">
        <f>117+159+207</f>
        <v>483</v>
      </c>
      <c r="K171">
        <v>3</v>
      </c>
      <c r="L171">
        <v>207</v>
      </c>
      <c r="N171" t="str">
        <f t="shared" si="7"/>
        <v>NA</v>
      </c>
      <c r="O171" t="s">
        <v>64</v>
      </c>
      <c r="P171" t="str">
        <f t="shared" si="8"/>
        <v xml:space="preserve"> </v>
      </c>
      <c r="S171">
        <f t="shared" si="9"/>
        <v>1.207627196</v>
      </c>
    </row>
    <row r="172" spans="1:19">
      <c r="A172" s="10">
        <v>41841</v>
      </c>
      <c r="B172" s="7" t="s">
        <v>20</v>
      </c>
      <c r="C172">
        <v>13</v>
      </c>
      <c r="D172" t="s">
        <v>19</v>
      </c>
      <c r="F172">
        <v>1.17</v>
      </c>
      <c r="J172">
        <f>157+185+197+107</f>
        <v>646</v>
      </c>
      <c r="K172">
        <v>4</v>
      </c>
      <c r="L172">
        <v>197</v>
      </c>
      <c r="N172" t="str">
        <f t="shared" si="7"/>
        <v>NA</v>
      </c>
      <c r="O172">
        <v>6.1680370000000053</v>
      </c>
      <c r="P172">
        <f t="shared" si="8"/>
        <v>6.1680370000000053</v>
      </c>
      <c r="S172">
        <f t="shared" si="9"/>
        <v>1.0751306377499998</v>
      </c>
    </row>
    <row r="173" spans="1:19">
      <c r="A173" s="10">
        <v>41841</v>
      </c>
      <c r="B173" s="7" t="s">
        <v>20</v>
      </c>
      <c r="C173">
        <v>13</v>
      </c>
      <c r="D173" t="s">
        <v>19</v>
      </c>
      <c r="F173">
        <v>1.22</v>
      </c>
      <c r="J173">
        <v>227</v>
      </c>
      <c r="K173">
        <v>1</v>
      </c>
      <c r="L173">
        <v>227</v>
      </c>
      <c r="N173" t="str">
        <f t="shared" si="7"/>
        <v>NA</v>
      </c>
      <c r="O173" t="s">
        <v>64</v>
      </c>
      <c r="P173" t="str">
        <f t="shared" si="8"/>
        <v xml:space="preserve"> </v>
      </c>
      <c r="S173">
        <f t="shared" si="9"/>
        <v>1.168985639</v>
      </c>
    </row>
    <row r="174" spans="1:19">
      <c r="A174" s="10">
        <v>41841</v>
      </c>
      <c r="B174" s="7" t="s">
        <v>20</v>
      </c>
      <c r="C174">
        <v>13</v>
      </c>
      <c r="D174" t="s">
        <v>19</v>
      </c>
      <c r="F174">
        <v>1.0900000000000001</v>
      </c>
      <c r="J174">
        <f>129+192+302+340</f>
        <v>963</v>
      </c>
      <c r="K174">
        <v>4</v>
      </c>
      <c r="L174">
        <v>340</v>
      </c>
      <c r="N174" t="str">
        <f t="shared" si="7"/>
        <v>NA</v>
      </c>
      <c r="O174" t="s">
        <v>64</v>
      </c>
      <c r="P174" t="str">
        <f t="shared" si="8"/>
        <v xml:space="preserve"> </v>
      </c>
      <c r="S174">
        <f t="shared" si="9"/>
        <v>0.93313076975000009</v>
      </c>
    </row>
    <row r="175" spans="1:19">
      <c r="A175" s="10">
        <v>41841</v>
      </c>
      <c r="B175" s="7" t="s">
        <v>20</v>
      </c>
      <c r="C175">
        <v>13</v>
      </c>
      <c r="D175" t="s">
        <v>19</v>
      </c>
      <c r="F175">
        <v>1.33</v>
      </c>
      <c r="J175">
        <f>140+239+279</f>
        <v>658</v>
      </c>
      <c r="K175">
        <v>3</v>
      </c>
      <c r="L175">
        <v>279</v>
      </c>
      <c r="N175" t="str">
        <f t="shared" si="7"/>
        <v>NA</v>
      </c>
      <c r="O175" t="s">
        <v>64</v>
      </c>
      <c r="P175" t="str">
        <f t="shared" si="8"/>
        <v xml:space="preserve"> </v>
      </c>
      <c r="S175">
        <f t="shared" si="9"/>
        <v>1.3892896377500001</v>
      </c>
    </row>
    <row r="176" spans="1:19">
      <c r="A176" s="10">
        <v>41841</v>
      </c>
      <c r="B176" s="7" t="s">
        <v>20</v>
      </c>
      <c r="C176">
        <v>13</v>
      </c>
      <c r="D176" t="s">
        <v>19</v>
      </c>
      <c r="F176">
        <v>3.44</v>
      </c>
      <c r="J176">
        <f>183+251+286+293+314+322+353+356</f>
        <v>2358</v>
      </c>
      <c r="K176">
        <v>8</v>
      </c>
      <c r="L176">
        <v>356</v>
      </c>
      <c r="N176" t="str">
        <f t="shared" si="7"/>
        <v>NA</v>
      </c>
      <c r="O176">
        <v>90.689230000000038</v>
      </c>
      <c r="P176">
        <f t="shared" si="8"/>
        <v>90.689230000000038</v>
      </c>
      <c r="S176">
        <f t="shared" si="9"/>
        <v>9.294079855999998</v>
      </c>
    </row>
    <row r="177" spans="1:19">
      <c r="A177" s="10">
        <v>41841</v>
      </c>
      <c r="B177" s="7" t="s">
        <v>20</v>
      </c>
      <c r="C177">
        <v>13</v>
      </c>
      <c r="D177" t="s">
        <v>19</v>
      </c>
      <c r="F177">
        <v>1.81</v>
      </c>
      <c r="J177">
        <f>136+169+197+200+211+215</f>
        <v>1128</v>
      </c>
      <c r="K177">
        <v>6</v>
      </c>
      <c r="L177">
        <v>215</v>
      </c>
      <c r="N177" t="str">
        <f t="shared" si="7"/>
        <v>NA</v>
      </c>
      <c r="O177">
        <v>31.890830999999999</v>
      </c>
      <c r="P177">
        <f t="shared" si="8"/>
        <v>31.890830999999999</v>
      </c>
      <c r="S177">
        <f t="shared" si="9"/>
        <v>2.5730407497500001</v>
      </c>
    </row>
    <row r="178" spans="1:19">
      <c r="A178" s="10">
        <v>41841</v>
      </c>
      <c r="B178" s="7" t="s">
        <v>20</v>
      </c>
      <c r="C178">
        <v>13</v>
      </c>
      <c r="D178" t="s">
        <v>19</v>
      </c>
      <c r="F178">
        <v>1.1200000000000001</v>
      </c>
      <c r="J178">
        <f>161+164+209+241</f>
        <v>775</v>
      </c>
      <c r="K178">
        <v>4</v>
      </c>
      <c r="L178">
        <v>241</v>
      </c>
      <c r="N178" t="str">
        <f t="shared" si="7"/>
        <v>NA</v>
      </c>
      <c r="O178">
        <v>5.0076520000000144</v>
      </c>
      <c r="P178">
        <f t="shared" si="8"/>
        <v>5.0076520000000144</v>
      </c>
      <c r="S178">
        <f t="shared" si="9"/>
        <v>0.98520262400000014</v>
      </c>
    </row>
    <row r="179" spans="1:19">
      <c r="A179" s="10">
        <v>41841</v>
      </c>
      <c r="B179" s="7" t="s">
        <v>20</v>
      </c>
      <c r="C179">
        <v>20</v>
      </c>
      <c r="D179" t="s">
        <v>19</v>
      </c>
      <c r="F179">
        <v>4.9800000000000004</v>
      </c>
      <c r="J179">
        <f>190+204+216+242+236+243+237+232</f>
        <v>1800</v>
      </c>
      <c r="K179">
        <v>8</v>
      </c>
      <c r="L179">
        <v>243</v>
      </c>
      <c r="N179" t="str">
        <f t="shared" si="7"/>
        <v>NA</v>
      </c>
      <c r="O179">
        <v>72.414625000000029</v>
      </c>
      <c r="P179">
        <f t="shared" si="8"/>
        <v>72.414625000000029</v>
      </c>
      <c r="S179">
        <f t="shared" si="9"/>
        <v>19.478172159000003</v>
      </c>
    </row>
    <row r="180" spans="1:19">
      <c r="A180" s="10">
        <v>41841</v>
      </c>
      <c r="B180" s="7" t="s">
        <v>20</v>
      </c>
      <c r="C180">
        <v>20</v>
      </c>
      <c r="D180" t="s">
        <v>19</v>
      </c>
      <c r="F180">
        <v>0.1</v>
      </c>
      <c r="J180">
        <f>165+190+211+230+264+277+287+288+299</f>
        <v>2211</v>
      </c>
      <c r="K180">
        <v>9</v>
      </c>
      <c r="L180">
        <v>299</v>
      </c>
      <c r="N180" t="str">
        <f t="shared" si="7"/>
        <v>NA</v>
      </c>
      <c r="O180">
        <v>87.055857000000003</v>
      </c>
      <c r="P180">
        <f t="shared" si="8"/>
        <v>87.055857000000003</v>
      </c>
      <c r="S180">
        <f t="shared" si="9"/>
        <v>7.8539750000000009E-3</v>
      </c>
    </row>
    <row r="181" spans="1:19">
      <c r="A181" s="10">
        <v>41841</v>
      </c>
      <c r="B181" s="7" t="s">
        <v>20</v>
      </c>
      <c r="C181">
        <v>20</v>
      </c>
      <c r="D181" t="s">
        <v>19</v>
      </c>
      <c r="F181">
        <v>5.95</v>
      </c>
      <c r="J181">
        <f>97+137+163+166+220+239+239+262+276+298</f>
        <v>2097</v>
      </c>
      <c r="K181">
        <v>10</v>
      </c>
      <c r="L181">
        <v>298</v>
      </c>
      <c r="N181" t="str">
        <f t="shared" si="7"/>
        <v>NA</v>
      </c>
      <c r="O181">
        <v>69.646679000000034</v>
      </c>
      <c r="P181">
        <f t="shared" si="8"/>
        <v>69.646679000000034</v>
      </c>
      <c r="S181">
        <f t="shared" si="9"/>
        <v>27.805034993750002</v>
      </c>
    </row>
    <row r="182" spans="1:19">
      <c r="A182" s="10">
        <v>41841</v>
      </c>
      <c r="B182" s="7" t="s">
        <v>20</v>
      </c>
      <c r="C182">
        <v>20</v>
      </c>
      <c r="D182" t="s">
        <v>19</v>
      </c>
      <c r="F182">
        <v>5.12</v>
      </c>
      <c r="J182">
        <f>114+148+169+186+189+215+237+258+255+272+283</f>
        <v>2326</v>
      </c>
      <c r="K182">
        <v>11</v>
      </c>
      <c r="L182">
        <v>283</v>
      </c>
      <c r="N182" t="str">
        <f t="shared" si="7"/>
        <v>NA</v>
      </c>
      <c r="O182">
        <v>88.612896000000035</v>
      </c>
      <c r="P182">
        <f t="shared" si="8"/>
        <v>88.612896000000035</v>
      </c>
      <c r="S182">
        <f t="shared" si="9"/>
        <v>20.588724224</v>
      </c>
    </row>
    <row r="183" spans="1:19">
      <c r="A183" s="10">
        <v>41841</v>
      </c>
      <c r="B183" s="7" t="s">
        <v>20</v>
      </c>
      <c r="C183">
        <v>20</v>
      </c>
      <c r="D183" t="s">
        <v>19</v>
      </c>
      <c r="F183">
        <v>8.1999999999999993</v>
      </c>
      <c r="J183">
        <f>92+135+174+182+209+236+257+280+282</f>
        <v>1847</v>
      </c>
      <c r="K183">
        <v>9</v>
      </c>
      <c r="L183">
        <v>282</v>
      </c>
      <c r="N183" t="str">
        <f t="shared" si="7"/>
        <v>NA</v>
      </c>
      <c r="O183">
        <v>58.05020200000002</v>
      </c>
      <c r="P183">
        <f t="shared" si="8"/>
        <v>58.05020200000002</v>
      </c>
      <c r="S183">
        <f t="shared" si="9"/>
        <v>52.810127899999991</v>
      </c>
    </row>
    <row r="184" spans="1:19">
      <c r="A184" s="10">
        <v>41841</v>
      </c>
      <c r="B184" s="7" t="s">
        <v>20</v>
      </c>
      <c r="C184">
        <v>20</v>
      </c>
      <c r="D184" t="s">
        <v>19</v>
      </c>
      <c r="F184">
        <v>2.7</v>
      </c>
      <c r="J184">
        <f>88+110+130+142+151+158+165</f>
        <v>944</v>
      </c>
      <c r="K184">
        <v>7</v>
      </c>
      <c r="L184">
        <v>165</v>
      </c>
      <c r="N184" t="str">
        <f t="shared" si="7"/>
        <v>NA</v>
      </c>
      <c r="O184">
        <v>22.679808000000008</v>
      </c>
      <c r="P184">
        <f t="shared" si="8"/>
        <v>22.679808000000008</v>
      </c>
      <c r="S184">
        <f t="shared" si="9"/>
        <v>5.7255477750000008</v>
      </c>
    </row>
    <row r="185" spans="1:19">
      <c r="A185" s="10">
        <v>41841</v>
      </c>
      <c r="B185" s="7" t="s">
        <v>20</v>
      </c>
      <c r="C185">
        <v>20</v>
      </c>
      <c r="D185" t="s">
        <v>19</v>
      </c>
      <c r="F185">
        <v>4.8899999999999997</v>
      </c>
      <c r="J185">
        <f>135+147+163+177+196+213+237+241+257+248+134+154</f>
        <v>2302</v>
      </c>
      <c r="K185">
        <v>12</v>
      </c>
      <c r="L185">
        <v>257</v>
      </c>
      <c r="N185" t="str">
        <f t="shared" si="7"/>
        <v>NA</v>
      </c>
      <c r="O185">
        <v>87.172793000000013</v>
      </c>
      <c r="P185">
        <f t="shared" si="8"/>
        <v>87.172793000000013</v>
      </c>
      <c r="S185">
        <f t="shared" si="9"/>
        <v>18.780503559749995</v>
      </c>
    </row>
    <row r="186" spans="1:19">
      <c r="A186" s="10">
        <v>41841</v>
      </c>
      <c r="B186" s="7" t="s">
        <v>20</v>
      </c>
      <c r="C186">
        <v>20</v>
      </c>
      <c r="D186" t="s">
        <v>19</v>
      </c>
      <c r="F186">
        <v>3.35</v>
      </c>
      <c r="J186">
        <f>129+149+161+180+202+220+225</f>
        <v>1266</v>
      </c>
      <c r="K186">
        <v>7</v>
      </c>
      <c r="L186">
        <v>225</v>
      </c>
      <c r="N186" t="str">
        <f t="shared" si="7"/>
        <v>NA</v>
      </c>
      <c r="O186">
        <v>34.794218000000008</v>
      </c>
      <c r="P186">
        <f t="shared" si="8"/>
        <v>34.794218000000008</v>
      </c>
      <c r="S186">
        <f t="shared" si="9"/>
        <v>8.8141234437499989</v>
      </c>
    </row>
    <row r="187" spans="1:19">
      <c r="A187" s="10">
        <v>41841</v>
      </c>
      <c r="B187" s="7" t="s">
        <v>20</v>
      </c>
      <c r="C187">
        <v>30</v>
      </c>
      <c r="D187" t="s">
        <v>62</v>
      </c>
      <c r="E187">
        <v>241</v>
      </c>
      <c r="F187">
        <v>1.5</v>
      </c>
      <c r="N187">
        <f t="shared" si="7"/>
        <v>141.96059812499999</v>
      </c>
      <c r="O187">
        <v>12.304708000000002</v>
      </c>
      <c r="P187">
        <f t="shared" si="8"/>
        <v>12.304708000000002</v>
      </c>
      <c r="S187">
        <f t="shared" si="9"/>
        <v>1.767144375</v>
      </c>
    </row>
    <row r="188" spans="1:19">
      <c r="A188" s="10">
        <v>41841</v>
      </c>
      <c r="B188" s="7" t="s">
        <v>20</v>
      </c>
      <c r="C188">
        <v>30</v>
      </c>
      <c r="D188" t="s">
        <v>62</v>
      </c>
      <c r="E188">
        <v>260</v>
      </c>
      <c r="F188">
        <v>2.09</v>
      </c>
      <c r="N188">
        <f t="shared" si="7"/>
        <v>297.32688437833326</v>
      </c>
      <c r="O188">
        <v>13.636703000000001</v>
      </c>
      <c r="P188">
        <f t="shared" si="8"/>
        <v>13.636703000000001</v>
      </c>
      <c r="S188">
        <f t="shared" si="9"/>
        <v>3.4306948197499993</v>
      </c>
    </row>
    <row r="189" spans="1:19">
      <c r="A189" s="10">
        <v>41841</v>
      </c>
      <c r="B189" s="7" t="s">
        <v>20</v>
      </c>
      <c r="C189">
        <v>30</v>
      </c>
      <c r="D189" t="s">
        <v>62</v>
      </c>
      <c r="E189">
        <v>193</v>
      </c>
      <c r="F189">
        <v>1.5</v>
      </c>
      <c r="G189">
        <v>5</v>
      </c>
      <c r="N189">
        <f t="shared" si="7"/>
        <v>113.68628812499999</v>
      </c>
      <c r="O189">
        <v>11.092671095284313</v>
      </c>
      <c r="P189">
        <f t="shared" si="8"/>
        <v>11.092671095284313</v>
      </c>
      <c r="S189">
        <f t="shared" si="9"/>
        <v>1.767144375</v>
      </c>
    </row>
    <row r="190" spans="1:19">
      <c r="A190" s="10">
        <v>41841</v>
      </c>
      <c r="B190" s="7" t="s">
        <v>20</v>
      </c>
      <c r="C190">
        <v>30</v>
      </c>
      <c r="D190" t="s">
        <v>62</v>
      </c>
      <c r="E190">
        <v>122</v>
      </c>
      <c r="F190">
        <v>1.3</v>
      </c>
      <c r="N190">
        <f t="shared" si="7"/>
        <v>53.97775218333333</v>
      </c>
      <c r="O190">
        <v>3.9622130000000011</v>
      </c>
      <c r="P190">
        <f t="shared" si="8"/>
        <v>3.9622130000000011</v>
      </c>
      <c r="S190">
        <f t="shared" si="9"/>
        <v>1.3273217750000001</v>
      </c>
    </row>
    <row r="191" spans="1:19">
      <c r="A191" s="10">
        <v>41841</v>
      </c>
      <c r="B191" s="7" t="s">
        <v>20</v>
      </c>
      <c r="C191">
        <v>30</v>
      </c>
      <c r="D191" t="s">
        <v>62</v>
      </c>
      <c r="E191">
        <v>275</v>
      </c>
      <c r="F191">
        <v>1.88</v>
      </c>
      <c r="N191">
        <f t="shared" si="7"/>
        <v>254.45831803333331</v>
      </c>
      <c r="O191">
        <v>14.688278</v>
      </c>
      <c r="P191">
        <f t="shared" si="8"/>
        <v>14.688278</v>
      </c>
      <c r="S191">
        <f t="shared" si="9"/>
        <v>2.7759089239999999</v>
      </c>
    </row>
    <row r="192" spans="1:19">
      <c r="A192" s="10">
        <v>41841</v>
      </c>
      <c r="B192" s="7" t="s">
        <v>20</v>
      </c>
      <c r="C192">
        <v>30</v>
      </c>
      <c r="D192" t="s">
        <v>62</v>
      </c>
      <c r="E192">
        <v>209</v>
      </c>
      <c r="F192">
        <v>1.24</v>
      </c>
      <c r="N192">
        <f t="shared" si="7"/>
        <v>84.13136132133333</v>
      </c>
      <c r="O192">
        <v>10.061347999999999</v>
      </c>
      <c r="P192">
        <f t="shared" si="8"/>
        <v>10.061347999999999</v>
      </c>
      <c r="S192">
        <f t="shared" si="9"/>
        <v>1.207627196</v>
      </c>
    </row>
    <row r="193" spans="1:19">
      <c r="A193" s="10">
        <v>41841</v>
      </c>
      <c r="B193" s="7" t="s">
        <v>20</v>
      </c>
      <c r="C193">
        <v>30</v>
      </c>
      <c r="D193" t="s">
        <v>62</v>
      </c>
      <c r="E193">
        <v>1276</v>
      </c>
      <c r="F193">
        <v>1.3</v>
      </c>
      <c r="G193">
        <v>1</v>
      </c>
      <c r="N193">
        <f t="shared" si="7"/>
        <v>564.55419496666661</v>
      </c>
      <c r="O193">
        <v>67.314212776702135</v>
      </c>
      <c r="P193">
        <f t="shared" si="8"/>
        <v>67.314212776702135</v>
      </c>
      <c r="S193">
        <f t="shared" si="9"/>
        <v>1.3273217750000001</v>
      </c>
    </row>
    <row r="194" spans="1:19">
      <c r="A194" s="10">
        <v>41841</v>
      </c>
      <c r="B194" s="7" t="s">
        <v>20</v>
      </c>
      <c r="C194">
        <v>30</v>
      </c>
      <c r="D194" t="s">
        <v>62</v>
      </c>
      <c r="E194">
        <v>199</v>
      </c>
      <c r="F194">
        <v>0.94</v>
      </c>
      <c r="N194">
        <f t="shared" si="7"/>
        <v>46.03382298966666</v>
      </c>
      <c r="O194">
        <v>9.3602980000000002</v>
      </c>
      <c r="P194">
        <f t="shared" si="8"/>
        <v>9.3602980000000002</v>
      </c>
      <c r="S194">
        <f t="shared" si="9"/>
        <v>0.69397723099999997</v>
      </c>
    </row>
    <row r="195" spans="1:19">
      <c r="A195" s="10">
        <v>41841</v>
      </c>
      <c r="B195" s="7" t="s">
        <v>20</v>
      </c>
      <c r="C195">
        <v>30</v>
      </c>
      <c r="D195" t="s">
        <v>62</v>
      </c>
      <c r="E195">
        <v>284</v>
      </c>
      <c r="F195">
        <v>1.97</v>
      </c>
      <c r="G195">
        <v>6</v>
      </c>
      <c r="N195">
        <f t="shared" si="7"/>
        <v>288.54865360033335</v>
      </c>
      <c r="O195">
        <v>20.227542739718977</v>
      </c>
      <c r="P195">
        <f t="shared" si="8"/>
        <v>20.227542739718977</v>
      </c>
      <c r="S195">
        <f t="shared" si="9"/>
        <v>3.04804915775</v>
      </c>
    </row>
    <row r="196" spans="1:19">
      <c r="A196" s="10">
        <v>41841</v>
      </c>
      <c r="B196" s="7" t="s">
        <v>20</v>
      </c>
      <c r="C196">
        <v>30</v>
      </c>
      <c r="D196" t="s">
        <v>62</v>
      </c>
      <c r="E196">
        <v>165</v>
      </c>
      <c r="F196">
        <v>1.67</v>
      </c>
      <c r="N196">
        <f t="shared" si="7"/>
        <v>120.47172982624998</v>
      </c>
      <c r="O196">
        <v>6.9767280000000005</v>
      </c>
      <c r="P196">
        <f t="shared" si="8"/>
        <v>6.9767280000000005</v>
      </c>
      <c r="S196">
        <f t="shared" si="9"/>
        <v>2.1903950877499998</v>
      </c>
    </row>
    <row r="197" spans="1:19">
      <c r="A197" s="10">
        <v>41841</v>
      </c>
      <c r="B197" s="7" t="s">
        <v>20</v>
      </c>
      <c r="C197">
        <v>30</v>
      </c>
      <c r="D197" t="s">
        <v>62</v>
      </c>
      <c r="E197">
        <v>283</v>
      </c>
      <c r="F197">
        <v>1.98</v>
      </c>
      <c r="G197">
        <v>3</v>
      </c>
      <c r="N197">
        <f t="shared" ref="N197:N260" si="10">IF(OR(D197="S. acutus", D197="S. tabernaemontani", D197="S. californicus"),(1/3)*(3.14159)*((F197/2)^2)*E197,"NA")</f>
        <v>290.459159199</v>
      </c>
      <c r="O197">
        <v>20.250555639451079</v>
      </c>
      <c r="P197">
        <f t="shared" ref="P197:P260" si="11">IF(O197&gt;0,O197," ")</f>
        <v>20.250555639451079</v>
      </c>
      <c r="S197">
        <f t="shared" ref="S197:S260" si="12">3.14159*((F197/2)^2)</f>
        <v>3.079072359</v>
      </c>
    </row>
    <row r="198" spans="1:19">
      <c r="A198" s="10">
        <v>41841</v>
      </c>
      <c r="B198" s="7" t="s">
        <v>20</v>
      </c>
      <c r="C198">
        <v>30</v>
      </c>
      <c r="D198" t="s">
        <v>62</v>
      </c>
      <c r="E198">
        <v>243</v>
      </c>
      <c r="F198">
        <v>2.1</v>
      </c>
      <c r="N198">
        <f t="shared" si="10"/>
        <v>280.551840975</v>
      </c>
      <c r="O198">
        <v>12.444918000000001</v>
      </c>
      <c r="P198">
        <f t="shared" si="11"/>
        <v>12.444918000000001</v>
      </c>
      <c r="S198">
        <f t="shared" si="12"/>
        <v>3.4636029750000001</v>
      </c>
    </row>
    <row r="199" spans="1:19">
      <c r="A199" s="10">
        <v>41841</v>
      </c>
      <c r="B199" s="7" t="s">
        <v>20</v>
      </c>
      <c r="C199">
        <v>30</v>
      </c>
      <c r="D199" t="s">
        <v>62</v>
      </c>
      <c r="E199">
        <v>232</v>
      </c>
      <c r="F199">
        <v>1.75</v>
      </c>
      <c r="N199">
        <f t="shared" si="10"/>
        <v>186.00830791666664</v>
      </c>
      <c r="O199">
        <v>11.673763000000001</v>
      </c>
      <c r="P199">
        <f t="shared" si="11"/>
        <v>11.673763000000001</v>
      </c>
      <c r="S199">
        <f t="shared" si="12"/>
        <v>2.4052798437499998</v>
      </c>
    </row>
    <row r="200" spans="1:19">
      <c r="A200" s="10">
        <v>41841</v>
      </c>
      <c r="B200" s="7" t="s">
        <v>20</v>
      </c>
      <c r="C200">
        <v>30</v>
      </c>
      <c r="D200" t="s">
        <v>62</v>
      </c>
      <c r="E200">
        <v>303</v>
      </c>
      <c r="F200">
        <v>1.4</v>
      </c>
      <c r="G200">
        <v>2</v>
      </c>
      <c r="N200">
        <f t="shared" si="10"/>
        <v>155.47728909999998</v>
      </c>
      <c r="O200">
        <v>16.674159938580189</v>
      </c>
      <c r="P200">
        <f t="shared" si="11"/>
        <v>16.674159938580189</v>
      </c>
      <c r="S200">
        <f t="shared" si="12"/>
        <v>1.5393790999999997</v>
      </c>
    </row>
    <row r="201" spans="1:19">
      <c r="A201" s="10">
        <v>41841</v>
      </c>
      <c r="B201" s="7" t="s">
        <v>20</v>
      </c>
      <c r="C201">
        <v>30</v>
      </c>
      <c r="D201" t="s">
        <v>62</v>
      </c>
      <c r="E201">
        <v>219</v>
      </c>
      <c r="F201">
        <v>1.5</v>
      </c>
      <c r="N201">
        <f t="shared" si="10"/>
        <v>129.00153937499999</v>
      </c>
      <c r="O201">
        <v>10.762398000000001</v>
      </c>
      <c r="P201">
        <f t="shared" si="11"/>
        <v>10.762398000000001</v>
      </c>
      <c r="S201">
        <f t="shared" si="12"/>
        <v>1.767144375</v>
      </c>
    </row>
    <row r="202" spans="1:19">
      <c r="A202" s="10">
        <v>41841</v>
      </c>
      <c r="B202" s="7" t="s">
        <v>20</v>
      </c>
      <c r="C202">
        <v>30</v>
      </c>
      <c r="D202" t="s">
        <v>62</v>
      </c>
      <c r="E202">
        <v>296</v>
      </c>
      <c r="F202">
        <v>1.51</v>
      </c>
      <c r="N202">
        <f t="shared" si="10"/>
        <v>176.69077085533331</v>
      </c>
      <c r="O202">
        <v>16.160483000000003</v>
      </c>
      <c r="P202">
        <f t="shared" si="11"/>
        <v>16.160483000000003</v>
      </c>
      <c r="S202">
        <f t="shared" si="12"/>
        <v>1.7907848397499999</v>
      </c>
    </row>
    <row r="203" spans="1:19">
      <c r="A203" s="10">
        <v>41841</v>
      </c>
      <c r="B203" s="7" t="s">
        <v>20</v>
      </c>
      <c r="C203">
        <v>30</v>
      </c>
      <c r="D203" t="s">
        <v>62</v>
      </c>
      <c r="E203">
        <v>222</v>
      </c>
      <c r="F203">
        <v>1.76</v>
      </c>
      <c r="N203">
        <f t="shared" si="10"/>
        <v>180.03069990399996</v>
      </c>
      <c r="O203">
        <v>10.972712999999999</v>
      </c>
      <c r="P203">
        <f t="shared" si="11"/>
        <v>10.972712999999999</v>
      </c>
      <c r="S203">
        <f t="shared" si="12"/>
        <v>2.4328472959999998</v>
      </c>
    </row>
    <row r="204" spans="1:19">
      <c r="A204" s="10">
        <v>41841</v>
      </c>
      <c r="B204" s="7" t="s">
        <v>20</v>
      </c>
      <c r="C204">
        <v>30</v>
      </c>
      <c r="D204" t="s">
        <v>62</v>
      </c>
      <c r="E204">
        <v>253</v>
      </c>
      <c r="F204">
        <v>1.9</v>
      </c>
      <c r="N204">
        <f t="shared" si="10"/>
        <v>239.10903289166663</v>
      </c>
      <c r="O204">
        <v>13.145968</v>
      </c>
      <c r="P204">
        <f t="shared" si="11"/>
        <v>13.145968</v>
      </c>
      <c r="S204">
        <f t="shared" si="12"/>
        <v>2.835284975</v>
      </c>
    </row>
    <row r="205" spans="1:19">
      <c r="A205" s="10">
        <v>41841</v>
      </c>
      <c r="B205" s="7" t="s">
        <v>20</v>
      </c>
      <c r="C205">
        <v>30</v>
      </c>
      <c r="D205" t="s">
        <v>62</v>
      </c>
      <c r="E205">
        <v>342</v>
      </c>
      <c r="F205">
        <v>1.38</v>
      </c>
      <c r="G205">
        <v>12</v>
      </c>
      <c r="N205">
        <f t="shared" si="10"/>
        <v>170.51105388599996</v>
      </c>
      <c r="O205">
        <v>18.660037595077696</v>
      </c>
      <c r="P205">
        <f t="shared" si="11"/>
        <v>18.660037595077696</v>
      </c>
      <c r="S205">
        <f t="shared" si="12"/>
        <v>1.4957109989999997</v>
      </c>
    </row>
    <row r="206" spans="1:19">
      <c r="A206" s="10">
        <v>41841</v>
      </c>
      <c r="B206" s="7" t="s">
        <v>20</v>
      </c>
      <c r="C206">
        <v>30</v>
      </c>
      <c r="D206" t="s">
        <v>62</v>
      </c>
      <c r="E206">
        <v>277</v>
      </c>
      <c r="F206">
        <v>1.63</v>
      </c>
      <c r="N206">
        <f t="shared" si="10"/>
        <v>192.67405503891663</v>
      </c>
      <c r="O206">
        <v>14.828488</v>
      </c>
      <c r="P206">
        <f t="shared" si="11"/>
        <v>14.828488</v>
      </c>
      <c r="S206">
        <f t="shared" si="12"/>
        <v>2.0867226177499996</v>
      </c>
    </row>
    <row r="207" spans="1:19">
      <c r="A207" s="10">
        <v>41841</v>
      </c>
      <c r="B207" s="7" t="s">
        <v>20</v>
      </c>
      <c r="C207">
        <v>30</v>
      </c>
      <c r="D207" t="s">
        <v>62</v>
      </c>
      <c r="E207">
        <v>276</v>
      </c>
      <c r="F207">
        <v>2.06</v>
      </c>
      <c r="N207">
        <f t="shared" si="10"/>
        <v>306.62798045199997</v>
      </c>
      <c r="O207">
        <v>14.758383000000002</v>
      </c>
      <c r="P207">
        <f t="shared" si="11"/>
        <v>14.758383000000002</v>
      </c>
      <c r="S207">
        <f t="shared" si="12"/>
        <v>3.3329128309999998</v>
      </c>
    </row>
    <row r="208" spans="1:19">
      <c r="A208" s="10">
        <v>41841</v>
      </c>
      <c r="B208" s="7" t="s">
        <v>20</v>
      </c>
      <c r="C208">
        <v>30</v>
      </c>
      <c r="D208" t="s">
        <v>62</v>
      </c>
      <c r="E208">
        <v>305</v>
      </c>
      <c r="F208">
        <v>1.43</v>
      </c>
      <c r="G208">
        <v>3</v>
      </c>
      <c r="N208">
        <f t="shared" si="10"/>
        <v>163.28270035458331</v>
      </c>
      <c r="O208">
        <v>17.002515405847902</v>
      </c>
      <c r="P208">
        <f t="shared" si="11"/>
        <v>17.002515405847902</v>
      </c>
      <c r="S208">
        <f t="shared" si="12"/>
        <v>1.6060593477499998</v>
      </c>
    </row>
    <row r="209" spans="1:19">
      <c r="A209" s="10">
        <v>41841</v>
      </c>
      <c r="B209" s="7" t="s">
        <v>20</v>
      </c>
      <c r="C209">
        <v>30</v>
      </c>
      <c r="D209" t="s">
        <v>62</v>
      </c>
      <c r="E209">
        <v>246</v>
      </c>
      <c r="F209">
        <v>1.33</v>
      </c>
      <c r="N209">
        <f t="shared" si="10"/>
        <v>113.9217502955</v>
      </c>
      <c r="O209">
        <v>12.655233000000003</v>
      </c>
      <c r="P209">
        <f t="shared" si="11"/>
        <v>12.655233000000003</v>
      </c>
      <c r="S209">
        <f t="shared" si="12"/>
        <v>1.3892896377500001</v>
      </c>
    </row>
    <row r="210" spans="1:19">
      <c r="A210" s="10">
        <v>41841</v>
      </c>
      <c r="B210" s="7" t="s">
        <v>20</v>
      </c>
      <c r="C210">
        <v>30</v>
      </c>
      <c r="D210" t="s">
        <v>62</v>
      </c>
      <c r="E210">
        <v>187</v>
      </c>
      <c r="F210">
        <v>1.19</v>
      </c>
      <c r="N210">
        <f t="shared" si="10"/>
        <v>69.327220584416651</v>
      </c>
      <c r="O210">
        <v>8.5190380000000019</v>
      </c>
      <c r="P210">
        <f t="shared" si="11"/>
        <v>8.5190380000000019</v>
      </c>
      <c r="S210">
        <f t="shared" si="12"/>
        <v>1.11220139975</v>
      </c>
    </row>
    <row r="211" spans="1:19">
      <c r="A211" s="10">
        <v>41841</v>
      </c>
      <c r="B211" s="7" t="s">
        <v>20</v>
      </c>
      <c r="C211">
        <v>30</v>
      </c>
      <c r="D211" t="s">
        <v>62</v>
      </c>
      <c r="E211">
        <v>193</v>
      </c>
      <c r="F211">
        <v>1.27</v>
      </c>
      <c r="N211">
        <f t="shared" si="10"/>
        <v>81.495384051916659</v>
      </c>
      <c r="O211">
        <v>8.9396680000000011</v>
      </c>
      <c r="P211">
        <f t="shared" si="11"/>
        <v>8.9396680000000011</v>
      </c>
      <c r="S211">
        <f t="shared" si="12"/>
        <v>1.26676762775</v>
      </c>
    </row>
    <row r="212" spans="1:19">
      <c r="A212" s="10">
        <v>41841</v>
      </c>
      <c r="B212" s="7" t="s">
        <v>20</v>
      </c>
      <c r="C212">
        <v>30</v>
      </c>
      <c r="D212" t="s">
        <v>62</v>
      </c>
      <c r="E212">
        <v>96</v>
      </c>
      <c r="F212">
        <v>1.2</v>
      </c>
      <c r="N212">
        <f t="shared" si="10"/>
        <v>36.191116799999996</v>
      </c>
      <c r="O212">
        <v>2.1394830000000002</v>
      </c>
      <c r="P212">
        <f t="shared" si="11"/>
        <v>2.1394830000000002</v>
      </c>
      <c r="S212">
        <f t="shared" si="12"/>
        <v>1.1309723999999999</v>
      </c>
    </row>
    <row r="213" spans="1:19">
      <c r="A213" s="10">
        <v>41841</v>
      </c>
      <c r="B213" s="7" t="s">
        <v>20</v>
      </c>
      <c r="C213">
        <v>30</v>
      </c>
      <c r="D213" t="s">
        <v>62</v>
      </c>
      <c r="E213">
        <v>42</v>
      </c>
      <c r="F213">
        <v>0.7</v>
      </c>
      <c r="N213">
        <f t="shared" si="10"/>
        <v>5.3878268499999988</v>
      </c>
      <c r="O213" t="s">
        <v>64</v>
      </c>
      <c r="P213" t="str">
        <f t="shared" si="11"/>
        <v xml:space="preserve"> </v>
      </c>
      <c r="S213">
        <f t="shared" si="12"/>
        <v>0.38484477499999992</v>
      </c>
    </row>
    <row r="214" spans="1:19">
      <c r="A214" s="10">
        <v>41841</v>
      </c>
      <c r="B214" s="7" t="s">
        <v>20</v>
      </c>
      <c r="C214">
        <v>30</v>
      </c>
      <c r="D214" t="s">
        <v>19</v>
      </c>
      <c r="F214">
        <v>8.6</v>
      </c>
      <c r="J214">
        <f>195+214+262+311+334+383+396+226+297+367+405</f>
        <v>3390</v>
      </c>
      <c r="K214">
        <v>11</v>
      </c>
      <c r="L214">
        <v>405</v>
      </c>
      <c r="N214" t="str">
        <f t="shared" si="10"/>
        <v>NA</v>
      </c>
      <c r="O214">
        <v>151.61632600000002</v>
      </c>
      <c r="P214">
        <f t="shared" si="11"/>
        <v>151.61632600000002</v>
      </c>
      <c r="S214">
        <f t="shared" si="12"/>
        <v>58.08799909999999</v>
      </c>
    </row>
    <row r="215" spans="1:19">
      <c r="A215" s="10">
        <v>41841</v>
      </c>
      <c r="B215" s="7" t="s">
        <v>20</v>
      </c>
      <c r="C215">
        <v>30</v>
      </c>
      <c r="D215" t="s">
        <v>19</v>
      </c>
      <c r="F215">
        <v>7.59</v>
      </c>
      <c r="J215">
        <f>107+161+166+200+204+277+282+321+337+346+378+382+298</f>
        <v>3459</v>
      </c>
      <c r="K215">
        <v>13</v>
      </c>
      <c r="L215">
        <v>382</v>
      </c>
      <c r="N215" t="str">
        <f t="shared" si="10"/>
        <v>NA</v>
      </c>
      <c r="O215">
        <v>150.96934999999999</v>
      </c>
      <c r="P215">
        <f t="shared" si="11"/>
        <v>150.96934999999999</v>
      </c>
      <c r="S215">
        <f t="shared" si="12"/>
        <v>45.245257719750001</v>
      </c>
    </row>
    <row r="216" spans="1:19">
      <c r="A216" s="10">
        <v>41841</v>
      </c>
      <c r="B216" s="7" t="s">
        <v>20</v>
      </c>
      <c r="C216">
        <v>30</v>
      </c>
      <c r="D216" t="s">
        <v>19</v>
      </c>
      <c r="E216">
        <v>306</v>
      </c>
      <c r="F216">
        <v>8.51</v>
      </c>
      <c r="H216">
        <v>30</v>
      </c>
      <c r="I216">
        <v>2.5</v>
      </c>
      <c r="N216" t="str">
        <f t="shared" si="10"/>
        <v>NA</v>
      </c>
      <c r="O216">
        <v>230.32403586999999</v>
      </c>
      <c r="P216">
        <f t="shared" si="11"/>
        <v>230.32403586999999</v>
      </c>
      <c r="S216">
        <f t="shared" si="12"/>
        <v>56.878565489749988</v>
      </c>
    </row>
    <row r="217" spans="1:19">
      <c r="A217" s="10">
        <v>41841</v>
      </c>
      <c r="B217" s="7" t="s">
        <v>20</v>
      </c>
      <c r="C217">
        <v>30</v>
      </c>
      <c r="D217" t="s">
        <v>19</v>
      </c>
      <c r="F217">
        <v>2.84</v>
      </c>
      <c r="J217">
        <f>156+172+203+204+233</f>
        <v>968</v>
      </c>
      <c r="K217">
        <v>5</v>
      </c>
      <c r="L217">
        <v>233</v>
      </c>
      <c r="N217" t="str">
        <f t="shared" si="10"/>
        <v>NA</v>
      </c>
      <c r="O217">
        <v>18.489974000000004</v>
      </c>
      <c r="P217">
        <f t="shared" si="11"/>
        <v>18.489974000000004</v>
      </c>
      <c r="S217">
        <f t="shared" si="12"/>
        <v>6.3347020759999992</v>
      </c>
    </row>
    <row r="218" spans="1:19">
      <c r="A218" s="10">
        <v>41841</v>
      </c>
      <c r="B218" s="7" t="s">
        <v>20</v>
      </c>
      <c r="C218">
        <v>30</v>
      </c>
      <c r="D218" t="s">
        <v>19</v>
      </c>
      <c r="F218">
        <v>4.34</v>
      </c>
      <c r="J218">
        <f>134+78+223+231+281+281+314+326</f>
        <v>1868</v>
      </c>
      <c r="K218">
        <v>8</v>
      </c>
      <c r="L218">
        <v>326</v>
      </c>
      <c r="N218" t="str">
        <f t="shared" si="10"/>
        <v>NA</v>
      </c>
      <c r="O218">
        <v>53.786630000000024</v>
      </c>
      <c r="P218">
        <f t="shared" si="11"/>
        <v>53.786630000000024</v>
      </c>
      <c r="S218">
        <f t="shared" si="12"/>
        <v>14.793433150999999</v>
      </c>
    </row>
    <row r="219" spans="1:19">
      <c r="A219" s="10">
        <v>41841</v>
      </c>
      <c r="B219" s="7" t="s">
        <v>20</v>
      </c>
      <c r="C219">
        <v>30</v>
      </c>
      <c r="D219" t="s">
        <v>19</v>
      </c>
      <c r="F219">
        <v>2.72</v>
      </c>
      <c r="J219">
        <f>171+203</f>
        <v>374</v>
      </c>
      <c r="K219">
        <v>2</v>
      </c>
      <c r="L219">
        <v>203</v>
      </c>
      <c r="N219" t="str">
        <f t="shared" si="10"/>
        <v>NA</v>
      </c>
      <c r="O219" t="s">
        <v>64</v>
      </c>
      <c r="P219" t="str">
        <f t="shared" si="11"/>
        <v xml:space="preserve"> </v>
      </c>
      <c r="S219">
        <f t="shared" si="12"/>
        <v>5.8106848640000006</v>
      </c>
    </row>
    <row r="220" spans="1:19">
      <c r="A220" s="10">
        <v>41841</v>
      </c>
      <c r="B220" s="7" t="s">
        <v>20</v>
      </c>
      <c r="C220">
        <v>30</v>
      </c>
      <c r="D220" t="s">
        <v>19</v>
      </c>
      <c r="F220">
        <v>6.23</v>
      </c>
      <c r="J220">
        <f>84+226+227+296+303+344+365+374+145</f>
        <v>2364</v>
      </c>
      <c r="K220">
        <v>9</v>
      </c>
      <c r="L220">
        <v>374</v>
      </c>
      <c r="N220" t="str">
        <f t="shared" si="10"/>
        <v>NA</v>
      </c>
      <c r="O220">
        <v>78.806996999999996</v>
      </c>
      <c r="P220">
        <f t="shared" si="11"/>
        <v>78.806996999999996</v>
      </c>
      <c r="S220">
        <f t="shared" si="12"/>
        <v>30.483554627750003</v>
      </c>
    </row>
    <row r="221" spans="1:19">
      <c r="A221" s="10">
        <v>41841</v>
      </c>
      <c r="B221" s="7" t="s">
        <v>20</v>
      </c>
      <c r="C221">
        <v>44</v>
      </c>
      <c r="D221" t="s">
        <v>19</v>
      </c>
      <c r="F221">
        <v>3.85</v>
      </c>
      <c r="J221">
        <f>361+391+417+429</f>
        <v>1598</v>
      </c>
      <c r="K221">
        <v>4</v>
      </c>
      <c r="L221">
        <v>429</v>
      </c>
      <c r="N221" t="str">
        <f t="shared" si="10"/>
        <v>NA</v>
      </c>
      <c r="O221">
        <v>25.533957000000008</v>
      </c>
      <c r="P221">
        <f t="shared" si="11"/>
        <v>25.533957000000008</v>
      </c>
      <c r="S221">
        <f t="shared" si="12"/>
        <v>11.641554443750001</v>
      </c>
    </row>
    <row r="222" spans="1:19">
      <c r="A222" s="10">
        <v>41841</v>
      </c>
      <c r="B222" s="7" t="s">
        <v>20</v>
      </c>
      <c r="C222">
        <v>44</v>
      </c>
      <c r="D222" t="s">
        <v>19</v>
      </c>
      <c r="E222">
        <v>315</v>
      </c>
      <c r="F222">
        <v>4.3099999999999996</v>
      </c>
      <c r="H222">
        <v>49</v>
      </c>
      <c r="I222">
        <v>2.5</v>
      </c>
      <c r="N222" t="str">
        <f t="shared" si="10"/>
        <v>NA</v>
      </c>
      <c r="O222">
        <v>169.82854407000002</v>
      </c>
      <c r="P222">
        <f t="shared" si="11"/>
        <v>169.82854407000002</v>
      </c>
      <c r="S222">
        <f t="shared" si="12"/>
        <v>14.589622499749996</v>
      </c>
    </row>
    <row r="223" spans="1:19">
      <c r="A223" s="10">
        <v>41841</v>
      </c>
      <c r="B223" s="7" t="s">
        <v>20</v>
      </c>
      <c r="C223">
        <v>44</v>
      </c>
      <c r="D223" t="s">
        <v>19</v>
      </c>
      <c r="F223">
        <v>2.17</v>
      </c>
      <c r="J223">
        <f>323+355+392+431+448</f>
        <v>1949</v>
      </c>
      <c r="K223">
        <v>5</v>
      </c>
      <c r="L223">
        <v>448</v>
      </c>
      <c r="N223" t="str">
        <f t="shared" si="10"/>
        <v>NA</v>
      </c>
      <c r="O223">
        <v>45.695954000000008</v>
      </c>
      <c r="P223">
        <f t="shared" si="11"/>
        <v>45.695954000000008</v>
      </c>
      <c r="S223">
        <f t="shared" si="12"/>
        <v>3.6983582877499996</v>
      </c>
    </row>
    <row r="224" spans="1:19">
      <c r="A224" s="10">
        <v>41841</v>
      </c>
      <c r="B224" s="7" t="s">
        <v>20</v>
      </c>
      <c r="C224">
        <v>44</v>
      </c>
      <c r="D224" t="s">
        <v>19</v>
      </c>
      <c r="E224">
        <v>340</v>
      </c>
      <c r="F224">
        <v>4.18</v>
      </c>
      <c r="H224">
        <v>24</v>
      </c>
      <c r="I224">
        <v>2.5</v>
      </c>
      <c r="N224" t="str">
        <f t="shared" si="10"/>
        <v>NA</v>
      </c>
      <c r="O224">
        <v>151.66590185999999</v>
      </c>
      <c r="P224">
        <f t="shared" si="11"/>
        <v>151.66590185999999</v>
      </c>
      <c r="S224">
        <f t="shared" si="12"/>
        <v>13.722779278999997</v>
      </c>
    </row>
    <row r="225" spans="1:19">
      <c r="A225" s="10">
        <v>41841</v>
      </c>
      <c r="B225" s="7" t="s">
        <v>20</v>
      </c>
      <c r="C225">
        <v>44</v>
      </c>
      <c r="D225" t="s">
        <v>19</v>
      </c>
      <c r="E225">
        <v>437</v>
      </c>
      <c r="F225">
        <v>4.8</v>
      </c>
      <c r="H225">
        <v>51</v>
      </c>
      <c r="I225">
        <v>2</v>
      </c>
      <c r="N225" t="str">
        <f t="shared" si="10"/>
        <v>NA</v>
      </c>
      <c r="O225">
        <v>209.46393519999998</v>
      </c>
      <c r="P225">
        <f t="shared" si="11"/>
        <v>209.46393519999998</v>
      </c>
      <c r="S225">
        <f t="shared" si="12"/>
        <v>18.095558399999998</v>
      </c>
    </row>
    <row r="226" spans="1:19">
      <c r="A226" s="10">
        <v>41841</v>
      </c>
      <c r="B226" s="7" t="s">
        <v>20</v>
      </c>
      <c r="C226">
        <v>44</v>
      </c>
      <c r="D226" t="s">
        <v>19</v>
      </c>
      <c r="E226">
        <v>333</v>
      </c>
      <c r="F226">
        <v>5.6</v>
      </c>
      <c r="H226">
        <v>42</v>
      </c>
      <c r="I226">
        <v>3</v>
      </c>
      <c r="N226" t="str">
        <f t="shared" si="10"/>
        <v>NA</v>
      </c>
      <c r="O226">
        <v>202.37400020000001</v>
      </c>
      <c r="P226">
        <f t="shared" si="11"/>
        <v>202.37400020000001</v>
      </c>
      <c r="S226">
        <f t="shared" si="12"/>
        <v>24.630065599999995</v>
      </c>
    </row>
    <row r="227" spans="1:19">
      <c r="A227" s="10">
        <v>41841</v>
      </c>
      <c r="B227" s="7" t="s">
        <v>20</v>
      </c>
      <c r="C227">
        <v>44</v>
      </c>
      <c r="D227" t="s">
        <v>19</v>
      </c>
      <c r="F227">
        <v>4.5999999999999996</v>
      </c>
      <c r="J227">
        <f>363+413+452+481+495+501</f>
        <v>2705</v>
      </c>
      <c r="K227">
        <v>6</v>
      </c>
      <c r="L227">
        <v>501</v>
      </c>
      <c r="N227" t="str">
        <f t="shared" si="10"/>
        <v>NA</v>
      </c>
      <c r="O227">
        <v>93.586396000000008</v>
      </c>
      <c r="P227">
        <f t="shared" si="11"/>
        <v>93.586396000000008</v>
      </c>
      <c r="S227">
        <f t="shared" si="12"/>
        <v>16.619011099999998</v>
      </c>
    </row>
    <row r="228" spans="1:19">
      <c r="A228" s="10">
        <v>41841</v>
      </c>
      <c r="B228" s="7" t="s">
        <v>20</v>
      </c>
      <c r="C228">
        <v>44</v>
      </c>
      <c r="D228" t="s">
        <v>19</v>
      </c>
      <c r="F228">
        <v>2.94</v>
      </c>
      <c r="J228">
        <f>250+253+218+238+259</f>
        <v>1218</v>
      </c>
      <c r="K228">
        <v>5</v>
      </c>
      <c r="L228">
        <v>259</v>
      </c>
      <c r="N228" t="str">
        <f t="shared" si="10"/>
        <v>NA</v>
      </c>
      <c r="O228">
        <v>34.096354000000012</v>
      </c>
      <c r="P228">
        <f t="shared" si="11"/>
        <v>34.096354000000012</v>
      </c>
      <c r="S228">
        <f t="shared" si="12"/>
        <v>6.7886618309999989</v>
      </c>
    </row>
    <row r="229" spans="1:19">
      <c r="A229" s="10">
        <v>41841</v>
      </c>
      <c r="B229" s="7" t="s">
        <v>20</v>
      </c>
      <c r="C229">
        <v>44</v>
      </c>
      <c r="D229" t="s">
        <v>19</v>
      </c>
      <c r="F229">
        <v>2.61</v>
      </c>
      <c r="J229">
        <f>370+399+427+466+456+474</f>
        <v>2592</v>
      </c>
      <c r="K229">
        <v>6</v>
      </c>
      <c r="L229">
        <v>474</v>
      </c>
      <c r="N229" t="str">
        <f t="shared" si="10"/>
        <v>NA</v>
      </c>
      <c r="O229">
        <v>91.125696000000005</v>
      </c>
      <c r="P229">
        <f t="shared" si="11"/>
        <v>91.125696000000005</v>
      </c>
      <c r="S229">
        <f t="shared" si="12"/>
        <v>5.350206309749999</v>
      </c>
    </row>
    <row r="230" spans="1:19">
      <c r="A230" s="10">
        <v>41841</v>
      </c>
      <c r="B230" s="7" t="s">
        <v>20</v>
      </c>
      <c r="C230">
        <v>44</v>
      </c>
      <c r="D230" t="s">
        <v>19</v>
      </c>
      <c r="F230">
        <v>3.89</v>
      </c>
      <c r="J230">
        <f>277+301+332+356+358+382</f>
        <v>2006</v>
      </c>
      <c r="K230">
        <v>6</v>
      </c>
      <c r="L230">
        <v>382</v>
      </c>
      <c r="N230" t="str">
        <f t="shared" si="10"/>
        <v>NA</v>
      </c>
      <c r="O230">
        <v>63.899806000000005</v>
      </c>
      <c r="P230">
        <f t="shared" si="11"/>
        <v>63.899806000000005</v>
      </c>
      <c r="S230">
        <f t="shared" si="12"/>
        <v>11.88471350975</v>
      </c>
    </row>
    <row r="231" spans="1:19">
      <c r="A231" s="10">
        <v>41841</v>
      </c>
      <c r="B231" s="7" t="s">
        <v>20</v>
      </c>
      <c r="C231">
        <v>44</v>
      </c>
      <c r="D231" t="s">
        <v>19</v>
      </c>
      <c r="E231">
        <v>438</v>
      </c>
      <c r="F231">
        <v>3.75</v>
      </c>
      <c r="H231">
        <v>33</v>
      </c>
      <c r="I231">
        <v>2</v>
      </c>
      <c r="N231" t="str">
        <f t="shared" si="10"/>
        <v>NA</v>
      </c>
      <c r="O231">
        <v>172.79765195000004</v>
      </c>
      <c r="P231">
        <f t="shared" si="11"/>
        <v>172.79765195000004</v>
      </c>
      <c r="S231">
        <f t="shared" si="12"/>
        <v>11.04465234375</v>
      </c>
    </row>
    <row r="232" spans="1:19">
      <c r="A232" s="10">
        <v>41841</v>
      </c>
      <c r="B232" s="7" t="s">
        <v>20</v>
      </c>
      <c r="C232">
        <v>44</v>
      </c>
      <c r="D232" t="s">
        <v>19</v>
      </c>
      <c r="F232">
        <v>2.92</v>
      </c>
      <c r="J232">
        <f>299+345+350+383+386+389</f>
        <v>2152</v>
      </c>
      <c r="K232">
        <v>6</v>
      </c>
      <c r="L232">
        <v>389</v>
      </c>
      <c r="N232" t="str">
        <f t="shared" si="10"/>
        <v>NA</v>
      </c>
      <c r="O232">
        <v>75.479320999999999</v>
      </c>
      <c r="P232">
        <f t="shared" si="11"/>
        <v>75.479320999999999</v>
      </c>
      <c r="S232">
        <f t="shared" si="12"/>
        <v>6.696613243999999</v>
      </c>
    </row>
    <row r="233" spans="1:19">
      <c r="A233" s="10">
        <v>41841</v>
      </c>
      <c r="B233" s="7" t="s">
        <v>20</v>
      </c>
      <c r="C233">
        <v>44</v>
      </c>
      <c r="D233" t="s">
        <v>19</v>
      </c>
      <c r="E233">
        <v>446</v>
      </c>
      <c r="F233">
        <v>3.38</v>
      </c>
      <c r="H233">
        <v>34</v>
      </c>
      <c r="I233">
        <v>2</v>
      </c>
      <c r="N233" t="str">
        <f t="shared" si="10"/>
        <v>NA</v>
      </c>
      <c r="O233">
        <v>169.03163145999997</v>
      </c>
      <c r="P233">
        <f t="shared" si="11"/>
        <v>169.03163145999997</v>
      </c>
      <c r="S233">
        <f t="shared" si="12"/>
        <v>8.9726951989999986</v>
      </c>
    </row>
    <row r="234" spans="1:19">
      <c r="A234" s="10">
        <v>41841</v>
      </c>
      <c r="B234" s="7" t="s">
        <v>20</v>
      </c>
      <c r="C234">
        <v>44</v>
      </c>
      <c r="D234" t="s">
        <v>19</v>
      </c>
      <c r="F234">
        <v>1.96</v>
      </c>
      <c r="J234">
        <f>45+84+114+122+138</f>
        <v>503</v>
      </c>
      <c r="K234">
        <v>5</v>
      </c>
      <c r="L234">
        <v>138</v>
      </c>
      <c r="N234" t="str">
        <f t="shared" si="10"/>
        <v>NA</v>
      </c>
      <c r="O234">
        <v>3.5121740000000017</v>
      </c>
      <c r="P234">
        <f t="shared" si="11"/>
        <v>3.5121740000000017</v>
      </c>
      <c r="S234">
        <f t="shared" si="12"/>
        <v>3.0171830359999996</v>
      </c>
    </row>
    <row r="235" spans="1:19">
      <c r="A235" s="10">
        <v>41841</v>
      </c>
      <c r="B235" s="7" t="s">
        <v>20</v>
      </c>
      <c r="C235">
        <v>44</v>
      </c>
      <c r="D235" t="s">
        <v>19</v>
      </c>
      <c r="F235">
        <v>4.5</v>
      </c>
      <c r="J235">
        <f>334+364+398+428+458+480+479</f>
        <v>2941</v>
      </c>
      <c r="K235">
        <v>7</v>
      </c>
      <c r="L235">
        <v>480</v>
      </c>
      <c r="N235" t="str">
        <f t="shared" si="10"/>
        <v>NA</v>
      </c>
      <c r="O235">
        <v>115.01636799999997</v>
      </c>
      <c r="P235">
        <f t="shared" si="11"/>
        <v>115.01636799999997</v>
      </c>
      <c r="S235">
        <f t="shared" si="12"/>
        <v>15.904299374999999</v>
      </c>
    </row>
    <row r="236" spans="1:19">
      <c r="A236" s="10">
        <v>41841</v>
      </c>
      <c r="B236" s="7" t="s">
        <v>20</v>
      </c>
      <c r="C236">
        <v>44</v>
      </c>
      <c r="D236" t="s">
        <v>19</v>
      </c>
      <c r="F236">
        <v>2.61</v>
      </c>
      <c r="J236">
        <f>222+229+253+277+323+312</f>
        <v>1616</v>
      </c>
      <c r="K236">
        <v>6</v>
      </c>
      <c r="L236">
        <v>323</v>
      </c>
      <c r="N236" t="str">
        <f t="shared" si="10"/>
        <v>NA</v>
      </c>
      <c r="O236">
        <v>45.10881100000001</v>
      </c>
      <c r="P236">
        <f t="shared" si="11"/>
        <v>45.10881100000001</v>
      </c>
      <c r="S236">
        <f t="shared" si="12"/>
        <v>5.350206309749999</v>
      </c>
    </row>
    <row r="237" spans="1:19">
      <c r="A237" s="10">
        <v>41841</v>
      </c>
      <c r="B237" s="7" t="s">
        <v>20</v>
      </c>
      <c r="C237">
        <v>44</v>
      </c>
      <c r="D237" t="s">
        <v>19</v>
      </c>
      <c r="F237">
        <v>2.09</v>
      </c>
      <c r="J237">
        <f>153+223+287+294+331</f>
        <v>1288</v>
      </c>
      <c r="K237">
        <v>5</v>
      </c>
      <c r="L237">
        <v>331</v>
      </c>
      <c r="N237" t="str">
        <f t="shared" si="10"/>
        <v>NA</v>
      </c>
      <c r="O237">
        <v>18.969564000000013</v>
      </c>
      <c r="P237">
        <f t="shared" si="11"/>
        <v>18.969564000000013</v>
      </c>
      <c r="S237">
        <f t="shared" si="12"/>
        <v>3.4306948197499993</v>
      </c>
    </row>
    <row r="238" spans="1:19">
      <c r="A238" s="10">
        <v>41841</v>
      </c>
      <c r="B238" s="7" t="s">
        <v>20</v>
      </c>
      <c r="C238">
        <v>44</v>
      </c>
      <c r="D238" t="s">
        <v>19</v>
      </c>
      <c r="F238">
        <v>3.44</v>
      </c>
      <c r="J238">
        <f>242+305+305+318+325+336</f>
        <v>1831</v>
      </c>
      <c r="K238">
        <v>6</v>
      </c>
      <c r="L238">
        <v>336</v>
      </c>
      <c r="N238" t="str">
        <f t="shared" si="10"/>
        <v>NA</v>
      </c>
      <c r="O238">
        <v>61.349951000000026</v>
      </c>
      <c r="P238">
        <f t="shared" si="11"/>
        <v>61.349951000000026</v>
      </c>
      <c r="S238">
        <f t="shared" si="12"/>
        <v>9.294079855999998</v>
      </c>
    </row>
    <row r="239" spans="1:19">
      <c r="A239" s="10">
        <v>41841</v>
      </c>
      <c r="B239" s="7" t="s">
        <v>20</v>
      </c>
      <c r="C239">
        <v>44</v>
      </c>
      <c r="D239" t="s">
        <v>19</v>
      </c>
      <c r="E239">
        <v>333</v>
      </c>
      <c r="F239">
        <v>3.81</v>
      </c>
      <c r="H239">
        <v>36</v>
      </c>
      <c r="I239">
        <v>2.5</v>
      </c>
      <c r="N239" t="str">
        <f t="shared" si="10"/>
        <v>NA</v>
      </c>
      <c r="O239">
        <v>153.57406257</v>
      </c>
      <c r="P239">
        <f t="shared" si="11"/>
        <v>153.57406257</v>
      </c>
      <c r="S239">
        <f t="shared" si="12"/>
        <v>11.400908649749999</v>
      </c>
    </row>
    <row r="240" spans="1:19">
      <c r="A240" s="10">
        <v>41841</v>
      </c>
      <c r="B240" s="7" t="s">
        <v>20</v>
      </c>
      <c r="C240">
        <v>44</v>
      </c>
      <c r="D240" t="s">
        <v>19</v>
      </c>
      <c r="E240">
        <v>280</v>
      </c>
      <c r="F240">
        <v>3.27</v>
      </c>
      <c r="H240">
        <v>39</v>
      </c>
      <c r="I240">
        <v>2.5</v>
      </c>
      <c r="N240" t="str">
        <f t="shared" si="10"/>
        <v>NA</v>
      </c>
      <c r="O240">
        <v>129.85683739000001</v>
      </c>
      <c r="P240">
        <f t="shared" si="11"/>
        <v>129.85683739000001</v>
      </c>
      <c r="S240">
        <f t="shared" si="12"/>
        <v>8.3981769277499989</v>
      </c>
    </row>
    <row r="241" spans="1:19">
      <c r="A241" s="10">
        <v>41841</v>
      </c>
      <c r="B241" s="7" t="s">
        <v>20</v>
      </c>
      <c r="C241">
        <v>57</v>
      </c>
      <c r="D241" t="s">
        <v>19</v>
      </c>
      <c r="F241">
        <v>10.25</v>
      </c>
      <c r="J241">
        <f>268+310+361+375+420+371+162+370+471+470+478+434+454+477</f>
        <v>5421</v>
      </c>
      <c r="K241">
        <v>14</v>
      </c>
      <c r="L241">
        <v>478</v>
      </c>
      <c r="N241" t="str">
        <f t="shared" si="10"/>
        <v>NA</v>
      </c>
      <c r="O241">
        <v>298.97478700000005</v>
      </c>
      <c r="P241">
        <f t="shared" si="11"/>
        <v>298.97478700000005</v>
      </c>
      <c r="S241">
        <f t="shared" si="12"/>
        <v>82.515824843749996</v>
      </c>
    </row>
    <row r="242" spans="1:19">
      <c r="A242" s="10">
        <v>41841</v>
      </c>
      <c r="B242" s="7" t="s">
        <v>20</v>
      </c>
      <c r="C242">
        <v>57</v>
      </c>
      <c r="D242" t="s">
        <v>19</v>
      </c>
      <c r="E242">
        <v>280</v>
      </c>
      <c r="F242">
        <v>3</v>
      </c>
      <c r="H242">
        <v>29</v>
      </c>
      <c r="I242">
        <v>2.5</v>
      </c>
      <c r="N242" t="str">
        <f t="shared" si="10"/>
        <v>NA</v>
      </c>
      <c r="O242">
        <v>115.35360079999998</v>
      </c>
      <c r="P242">
        <f t="shared" si="11"/>
        <v>115.35360079999998</v>
      </c>
      <c r="S242">
        <f t="shared" si="12"/>
        <v>7.0685775</v>
      </c>
    </row>
    <row r="243" spans="1:19">
      <c r="A243" s="10">
        <v>41841</v>
      </c>
      <c r="B243" s="7" t="s">
        <v>20</v>
      </c>
      <c r="C243">
        <v>57</v>
      </c>
      <c r="D243" t="s">
        <v>19</v>
      </c>
      <c r="E243">
        <v>2.58</v>
      </c>
      <c r="F243">
        <v>2.12</v>
      </c>
      <c r="H243">
        <v>21.5</v>
      </c>
      <c r="I243">
        <v>2.5</v>
      </c>
      <c r="N243" t="str">
        <f t="shared" si="10"/>
        <v>NA</v>
      </c>
      <c r="O243">
        <v>7.1219245760000121</v>
      </c>
      <c r="P243">
        <f t="shared" si="11"/>
        <v>7.1219245760000121</v>
      </c>
      <c r="S243">
        <f t="shared" si="12"/>
        <v>3.5298905240000003</v>
      </c>
    </row>
    <row r="244" spans="1:19">
      <c r="A244" s="10">
        <v>41841</v>
      </c>
      <c r="B244" s="7" t="s">
        <v>20</v>
      </c>
      <c r="C244">
        <v>57</v>
      </c>
      <c r="D244" t="s">
        <v>19</v>
      </c>
      <c r="F244">
        <v>10.68</v>
      </c>
      <c r="J244">
        <f>165+197+264+292+290+312+322+335+354+376+379+304</f>
        <v>3590</v>
      </c>
      <c r="K244">
        <v>12</v>
      </c>
      <c r="L244">
        <v>379</v>
      </c>
      <c r="N244" t="str">
        <f t="shared" si="10"/>
        <v>NA</v>
      </c>
      <c r="O244">
        <v>171.17734300000004</v>
      </c>
      <c r="P244">
        <f t="shared" si="11"/>
        <v>171.17734300000004</v>
      </c>
      <c r="S244">
        <f t="shared" si="12"/>
        <v>89.584323803999993</v>
      </c>
    </row>
    <row r="245" spans="1:19">
      <c r="A245" s="10">
        <v>41841</v>
      </c>
      <c r="B245" s="7" t="s">
        <v>20</v>
      </c>
      <c r="C245">
        <v>57</v>
      </c>
      <c r="D245" t="s">
        <v>19</v>
      </c>
      <c r="F245">
        <v>2</v>
      </c>
      <c r="J245">
        <v>359</v>
      </c>
      <c r="K245">
        <v>1</v>
      </c>
      <c r="L245">
        <v>359</v>
      </c>
      <c r="N245" t="str">
        <f t="shared" si="10"/>
        <v>NA</v>
      </c>
      <c r="O245" t="s">
        <v>64</v>
      </c>
      <c r="P245" t="str">
        <f t="shared" si="11"/>
        <v xml:space="preserve"> </v>
      </c>
      <c r="S245">
        <f t="shared" si="12"/>
        <v>3.1415899999999999</v>
      </c>
    </row>
    <row r="246" spans="1:19">
      <c r="A246" s="10">
        <v>41841</v>
      </c>
      <c r="B246" s="7" t="s">
        <v>20</v>
      </c>
      <c r="C246">
        <v>57</v>
      </c>
      <c r="D246" t="s">
        <v>19</v>
      </c>
      <c r="F246">
        <v>9.1999999999999993</v>
      </c>
      <c r="J246">
        <f>201+223+283+287+308+341+344+345+352+352+355+174</f>
        <v>3565</v>
      </c>
      <c r="K246">
        <v>12</v>
      </c>
      <c r="L246">
        <v>355</v>
      </c>
      <c r="N246" t="str">
        <f t="shared" si="10"/>
        <v>NA</v>
      </c>
      <c r="O246">
        <v>176.06334799999999</v>
      </c>
      <c r="P246">
        <f t="shared" si="11"/>
        <v>176.06334799999999</v>
      </c>
      <c r="S246">
        <f t="shared" si="12"/>
        <v>66.476044399999992</v>
      </c>
    </row>
    <row r="247" spans="1:19">
      <c r="A247" s="10">
        <v>41841</v>
      </c>
      <c r="B247" s="7" t="s">
        <v>20</v>
      </c>
      <c r="C247">
        <v>57</v>
      </c>
      <c r="D247" t="s">
        <v>19</v>
      </c>
      <c r="F247">
        <v>1.45</v>
      </c>
      <c r="J247">
        <f>53+72+103+102+122+136+245+224</f>
        <v>1057</v>
      </c>
      <c r="K247">
        <v>8</v>
      </c>
      <c r="L247">
        <v>245</v>
      </c>
      <c r="N247" t="str">
        <f t="shared" si="10"/>
        <v>NA</v>
      </c>
      <c r="O247">
        <v>2.1521699999999981</v>
      </c>
      <c r="P247">
        <f t="shared" si="11"/>
        <v>2.1521699999999981</v>
      </c>
      <c r="S247">
        <f t="shared" si="12"/>
        <v>1.6512982437499999</v>
      </c>
    </row>
    <row r="248" spans="1:19">
      <c r="A248" s="10">
        <v>41841</v>
      </c>
      <c r="B248" s="7" t="s">
        <v>20</v>
      </c>
      <c r="C248">
        <v>57</v>
      </c>
      <c r="D248" t="s">
        <v>19</v>
      </c>
      <c r="F248">
        <v>1.3</v>
      </c>
      <c r="J248">
        <f>173+261+273+271+190+192</f>
        <v>1360</v>
      </c>
      <c r="K248">
        <v>6</v>
      </c>
      <c r="L248">
        <v>273</v>
      </c>
      <c r="N248" t="str">
        <f t="shared" si="10"/>
        <v>NA</v>
      </c>
      <c r="O248">
        <v>36.169781000000008</v>
      </c>
      <c r="P248">
        <f t="shared" si="11"/>
        <v>36.169781000000008</v>
      </c>
      <c r="S248">
        <f t="shared" si="12"/>
        <v>1.3273217750000001</v>
      </c>
    </row>
    <row r="249" spans="1:19">
      <c r="A249" s="10">
        <v>41841</v>
      </c>
      <c r="B249" s="7" t="s">
        <v>20</v>
      </c>
      <c r="C249">
        <v>57</v>
      </c>
      <c r="D249" t="s">
        <v>19</v>
      </c>
      <c r="F249">
        <v>0.92</v>
      </c>
      <c r="J249">
        <f>43+85+63+85</f>
        <v>276</v>
      </c>
      <c r="K249">
        <v>4</v>
      </c>
      <c r="L249">
        <v>85</v>
      </c>
      <c r="N249" t="str">
        <f t="shared" si="10"/>
        <v>NA</v>
      </c>
      <c r="O249">
        <v>5.2181269999999991</v>
      </c>
      <c r="P249">
        <f t="shared" si="11"/>
        <v>5.2181269999999991</v>
      </c>
      <c r="S249">
        <f t="shared" si="12"/>
        <v>0.66476044400000001</v>
      </c>
    </row>
    <row r="250" spans="1:19">
      <c r="A250" s="10">
        <v>41841</v>
      </c>
      <c r="B250" s="7" t="s">
        <v>20</v>
      </c>
      <c r="C250">
        <v>57</v>
      </c>
      <c r="D250" t="s">
        <v>19</v>
      </c>
      <c r="F250">
        <v>0.5</v>
      </c>
      <c r="J250">
        <v>151</v>
      </c>
      <c r="K250">
        <v>1</v>
      </c>
      <c r="L250">
        <v>151</v>
      </c>
      <c r="N250" t="str">
        <f t="shared" si="10"/>
        <v>NA</v>
      </c>
      <c r="O250" t="s">
        <v>64</v>
      </c>
      <c r="P250" t="str">
        <f t="shared" si="11"/>
        <v xml:space="preserve"> </v>
      </c>
      <c r="S250">
        <f t="shared" si="12"/>
        <v>0.19634937499999999</v>
      </c>
    </row>
    <row r="251" spans="1:19">
      <c r="A251" s="10">
        <v>41841</v>
      </c>
      <c r="B251" s="7" t="s">
        <v>20</v>
      </c>
      <c r="C251">
        <v>57</v>
      </c>
      <c r="D251" t="s">
        <v>19</v>
      </c>
      <c r="F251">
        <v>2.68</v>
      </c>
      <c r="J251">
        <f>47+78+113+144+185+199</f>
        <v>766</v>
      </c>
      <c r="K251">
        <v>6</v>
      </c>
      <c r="L251">
        <v>199</v>
      </c>
      <c r="N251" t="str">
        <f t="shared" si="10"/>
        <v>NA</v>
      </c>
      <c r="O251">
        <v>2.77144100000001</v>
      </c>
      <c r="P251">
        <f t="shared" si="11"/>
        <v>2.77144100000001</v>
      </c>
      <c r="S251">
        <f t="shared" si="12"/>
        <v>5.6410390040000005</v>
      </c>
    </row>
    <row r="252" spans="1:19">
      <c r="A252" s="10">
        <v>41841</v>
      </c>
      <c r="B252" s="7" t="s">
        <v>20</v>
      </c>
      <c r="C252">
        <v>57</v>
      </c>
      <c r="D252" t="s">
        <v>19</v>
      </c>
      <c r="F252">
        <v>1.85</v>
      </c>
      <c r="J252">
        <f>264+286+277+287+318</f>
        <v>1432</v>
      </c>
      <c r="K252">
        <v>5</v>
      </c>
      <c r="L252">
        <v>318</v>
      </c>
      <c r="N252" t="str">
        <f t="shared" si="10"/>
        <v>NA</v>
      </c>
      <c r="O252">
        <v>36.386469000000012</v>
      </c>
      <c r="P252">
        <f t="shared" si="11"/>
        <v>36.386469000000012</v>
      </c>
      <c r="S252">
        <f t="shared" si="12"/>
        <v>2.6880229437500001</v>
      </c>
    </row>
    <row r="253" spans="1:19">
      <c r="A253" s="10">
        <v>41841</v>
      </c>
      <c r="B253" s="7" t="s">
        <v>20</v>
      </c>
      <c r="C253">
        <v>57</v>
      </c>
      <c r="D253" t="s">
        <v>19</v>
      </c>
      <c r="E253">
        <v>286</v>
      </c>
      <c r="F253">
        <v>3.64</v>
      </c>
      <c r="H253">
        <v>26</v>
      </c>
      <c r="I253">
        <v>2.5</v>
      </c>
      <c r="N253" t="str">
        <f t="shared" si="10"/>
        <v>NA</v>
      </c>
      <c r="O253">
        <v>126.71457027999998</v>
      </c>
      <c r="P253">
        <f t="shared" si="11"/>
        <v>126.71457027999998</v>
      </c>
      <c r="S253">
        <f t="shared" si="12"/>
        <v>10.406202716000001</v>
      </c>
    </row>
    <row r="254" spans="1:19">
      <c r="A254" s="10">
        <v>41841</v>
      </c>
      <c r="B254" s="7" t="s">
        <v>20</v>
      </c>
      <c r="C254">
        <v>57</v>
      </c>
      <c r="D254" t="s">
        <v>19</v>
      </c>
      <c r="F254">
        <v>3.56</v>
      </c>
      <c r="J254">
        <f>357+336+391+387+400+410+460+465+425</f>
        <v>3631</v>
      </c>
      <c r="K254">
        <v>9</v>
      </c>
      <c r="L254">
        <v>465</v>
      </c>
      <c r="N254" t="str">
        <f t="shared" si="10"/>
        <v>NA</v>
      </c>
      <c r="O254">
        <v>170.18128700000005</v>
      </c>
      <c r="P254">
        <f t="shared" si="11"/>
        <v>170.18128700000005</v>
      </c>
      <c r="S254">
        <f t="shared" si="12"/>
        <v>9.9538137560000006</v>
      </c>
    </row>
    <row r="255" spans="1:19">
      <c r="A255" s="10">
        <v>41841</v>
      </c>
      <c r="B255" s="7" t="s">
        <v>20</v>
      </c>
      <c r="C255">
        <v>57</v>
      </c>
      <c r="D255" t="s">
        <v>19</v>
      </c>
      <c r="F255">
        <v>6.13</v>
      </c>
      <c r="J255">
        <f>156+376+406+412+427+184+366+417</f>
        <v>2744</v>
      </c>
      <c r="K255">
        <v>8</v>
      </c>
      <c r="L255">
        <v>427</v>
      </c>
      <c r="N255" t="str">
        <f t="shared" si="10"/>
        <v>NA</v>
      </c>
      <c r="O255">
        <v>105.49026500000005</v>
      </c>
      <c r="P255">
        <f t="shared" si="11"/>
        <v>105.49026500000005</v>
      </c>
      <c r="S255">
        <f t="shared" si="12"/>
        <v>29.512803317750002</v>
      </c>
    </row>
    <row r="256" spans="1:19">
      <c r="A256" s="10">
        <v>41841</v>
      </c>
      <c r="B256" s="7" t="s">
        <v>20</v>
      </c>
      <c r="C256">
        <v>57</v>
      </c>
      <c r="D256" t="s">
        <v>19</v>
      </c>
      <c r="F256">
        <v>0.55000000000000004</v>
      </c>
      <c r="J256">
        <f>23+39+37</f>
        <v>99</v>
      </c>
      <c r="K256">
        <v>3</v>
      </c>
      <c r="L256">
        <v>39</v>
      </c>
      <c r="N256" t="str">
        <f t="shared" si="10"/>
        <v>NA</v>
      </c>
      <c r="O256">
        <v>9.5031149999999975</v>
      </c>
      <c r="P256">
        <f t="shared" si="11"/>
        <v>9.5031149999999975</v>
      </c>
      <c r="S256">
        <f t="shared" si="12"/>
        <v>0.23758274375000002</v>
      </c>
    </row>
    <row r="257" spans="1:19">
      <c r="A257" s="10">
        <v>41841</v>
      </c>
      <c r="B257" s="7" t="s">
        <v>20</v>
      </c>
      <c r="C257">
        <v>57</v>
      </c>
      <c r="D257" t="s">
        <v>19</v>
      </c>
      <c r="F257">
        <v>1.87</v>
      </c>
      <c r="J257">
        <f>72+81+121+126+163+173</f>
        <v>736</v>
      </c>
      <c r="K257">
        <v>6</v>
      </c>
      <c r="L257">
        <v>173</v>
      </c>
      <c r="N257" t="str">
        <f t="shared" si="10"/>
        <v>NA</v>
      </c>
      <c r="O257">
        <v>7.7911610000000024</v>
      </c>
      <c r="P257">
        <f t="shared" si="11"/>
        <v>7.7911610000000024</v>
      </c>
      <c r="S257">
        <f t="shared" si="12"/>
        <v>2.7464565177500004</v>
      </c>
    </row>
    <row r="258" spans="1:19">
      <c r="A258" s="10">
        <v>41841</v>
      </c>
      <c r="B258" s="7" t="s">
        <v>20</v>
      </c>
      <c r="C258">
        <v>57</v>
      </c>
      <c r="D258" t="s">
        <v>19</v>
      </c>
      <c r="F258">
        <v>4.6500000000000004</v>
      </c>
      <c r="J258">
        <f>157+293+323+325+349+363+380+393+391</f>
        <v>2974</v>
      </c>
      <c r="K258">
        <v>9</v>
      </c>
      <c r="L258">
        <v>393</v>
      </c>
      <c r="N258" t="str">
        <f t="shared" si="10"/>
        <v>NA</v>
      </c>
      <c r="O258">
        <v>130.27389200000002</v>
      </c>
      <c r="P258">
        <f t="shared" si="11"/>
        <v>130.27389200000002</v>
      </c>
      <c r="S258">
        <f t="shared" si="12"/>
        <v>16.982257443750001</v>
      </c>
    </row>
    <row r="259" spans="1:19">
      <c r="A259" s="39">
        <v>41835</v>
      </c>
      <c r="B259" s="7" t="s">
        <v>22</v>
      </c>
      <c r="C259">
        <v>14</v>
      </c>
      <c r="D259" t="s">
        <v>60</v>
      </c>
      <c r="E259">
        <v>221</v>
      </c>
      <c r="F259">
        <v>3.83</v>
      </c>
      <c r="H259">
        <v>28</v>
      </c>
      <c r="I259">
        <v>2.5</v>
      </c>
      <c r="N259" t="str">
        <f t="shared" si="10"/>
        <v>NA</v>
      </c>
      <c r="O259">
        <v>112.48251490999999</v>
      </c>
      <c r="P259">
        <f t="shared" si="11"/>
        <v>112.48251490999999</v>
      </c>
      <c r="S259">
        <f t="shared" si="12"/>
        <v>11.52091738775</v>
      </c>
    </row>
    <row r="260" spans="1:19">
      <c r="A260" s="39">
        <v>41835</v>
      </c>
      <c r="B260" s="7" t="s">
        <v>22</v>
      </c>
      <c r="C260">
        <v>14</v>
      </c>
      <c r="D260" t="s">
        <v>19</v>
      </c>
      <c r="F260">
        <v>5.84</v>
      </c>
      <c r="J260">
        <f>136+154+203+206+246+244+254+269+280+296+311+186</f>
        <v>2785</v>
      </c>
      <c r="K260">
        <v>12</v>
      </c>
      <c r="L260">
        <v>311</v>
      </c>
      <c r="N260" t="str">
        <f t="shared" si="10"/>
        <v>NA</v>
      </c>
      <c r="O260">
        <v>116.18922800000004</v>
      </c>
      <c r="P260">
        <f t="shared" si="11"/>
        <v>116.18922800000004</v>
      </c>
      <c r="S260">
        <f t="shared" si="12"/>
        <v>26.786452975999996</v>
      </c>
    </row>
    <row r="261" spans="1:19">
      <c r="A261" s="39">
        <v>41835</v>
      </c>
      <c r="B261" s="7" t="s">
        <v>22</v>
      </c>
      <c r="C261">
        <v>14</v>
      </c>
      <c r="D261" t="s">
        <v>19</v>
      </c>
      <c r="F261">
        <v>4.17</v>
      </c>
      <c r="J261">
        <f>115+143+148+220+243+248+262+264+111</f>
        <v>1754</v>
      </c>
      <c r="K261">
        <v>9</v>
      </c>
      <c r="L261">
        <v>264</v>
      </c>
      <c r="N261" t="str">
        <f t="shared" ref="N261:N324" si="13">IF(OR(D261="S. acutus", D261="S. tabernaemontani", D261="S. californicus"),(1/3)*(3.14159)*((F261/2)^2)*E261,"NA")</f>
        <v>NA</v>
      </c>
      <c r="O261">
        <v>54.753397</v>
      </c>
      <c r="P261">
        <f t="shared" ref="P261:P324" si="14">IF(O261&gt;0,O261," ")</f>
        <v>54.753397</v>
      </c>
      <c r="S261">
        <f t="shared" ref="S261:S324" si="15">3.14159*((F261/2)^2)</f>
        <v>13.657198587749999</v>
      </c>
    </row>
    <row r="262" spans="1:19">
      <c r="A262" s="39">
        <v>41835</v>
      </c>
      <c r="B262" s="7" t="s">
        <v>22</v>
      </c>
      <c r="C262">
        <v>14</v>
      </c>
      <c r="D262" t="s">
        <v>19</v>
      </c>
      <c r="F262">
        <v>0.74</v>
      </c>
      <c r="J262">
        <f>30+48+59</f>
        <v>137</v>
      </c>
      <c r="K262">
        <v>3</v>
      </c>
      <c r="L262">
        <v>59</v>
      </c>
      <c r="N262" t="str">
        <f t="shared" si="13"/>
        <v>NA</v>
      </c>
      <c r="O262">
        <v>7.0409049999999986</v>
      </c>
      <c r="P262">
        <f t="shared" si="14"/>
        <v>7.0409049999999986</v>
      </c>
      <c r="S262">
        <f t="shared" si="15"/>
        <v>0.43008367099999995</v>
      </c>
    </row>
    <row r="263" spans="1:19">
      <c r="A263" s="39">
        <v>41835</v>
      </c>
      <c r="B263" s="7" t="s">
        <v>22</v>
      </c>
      <c r="C263">
        <v>14</v>
      </c>
      <c r="D263" t="s">
        <v>19</v>
      </c>
      <c r="F263">
        <v>6.54</v>
      </c>
      <c r="J263">
        <f>100+122+129+137+152+179+210+230+249+263+268+275+297</f>
        <v>2611</v>
      </c>
      <c r="K263">
        <v>14</v>
      </c>
      <c r="L263">
        <v>297</v>
      </c>
      <c r="N263" t="str">
        <f t="shared" si="13"/>
        <v>NA</v>
      </c>
      <c r="O263">
        <v>90.04858200000001</v>
      </c>
      <c r="P263">
        <f t="shared" si="14"/>
        <v>90.04858200000001</v>
      </c>
      <c r="S263">
        <f t="shared" si="15"/>
        <v>33.592707710999996</v>
      </c>
    </row>
    <row r="264" spans="1:19">
      <c r="A264" s="39">
        <v>41835</v>
      </c>
      <c r="B264" s="7" t="s">
        <v>22</v>
      </c>
      <c r="C264">
        <v>14</v>
      </c>
      <c r="D264" t="s">
        <v>19</v>
      </c>
      <c r="E264">
        <v>229</v>
      </c>
      <c r="F264">
        <v>4.1399999999999997</v>
      </c>
      <c r="H264">
        <v>22</v>
      </c>
      <c r="I264">
        <v>2.5</v>
      </c>
      <c r="N264" t="str">
        <f t="shared" si="13"/>
        <v>NA</v>
      </c>
      <c r="O264">
        <v>115.30379058000003</v>
      </c>
      <c r="P264">
        <f t="shared" si="14"/>
        <v>115.30379058000003</v>
      </c>
      <c r="S264">
        <f t="shared" si="15"/>
        <v>13.461398990999998</v>
      </c>
    </row>
    <row r="265" spans="1:19">
      <c r="A265" s="39">
        <v>41835</v>
      </c>
      <c r="B265" s="7" t="s">
        <v>22</v>
      </c>
      <c r="C265">
        <v>14</v>
      </c>
      <c r="D265" t="s">
        <v>19</v>
      </c>
      <c r="E265">
        <v>234</v>
      </c>
      <c r="F265">
        <v>5.17</v>
      </c>
      <c r="H265">
        <v>25</v>
      </c>
      <c r="I265">
        <v>3</v>
      </c>
      <c r="N265" t="str">
        <f t="shared" si="13"/>
        <v>NA</v>
      </c>
      <c r="O265">
        <v>148.19258969000003</v>
      </c>
      <c r="P265">
        <f t="shared" si="14"/>
        <v>148.19258969000003</v>
      </c>
      <c r="S265">
        <f t="shared" si="15"/>
        <v>20.992811237749997</v>
      </c>
    </row>
    <row r="266" spans="1:19">
      <c r="A266" s="39">
        <v>41835</v>
      </c>
      <c r="B266" s="7" t="s">
        <v>22</v>
      </c>
      <c r="C266">
        <v>14</v>
      </c>
      <c r="D266" t="s">
        <v>19</v>
      </c>
      <c r="F266">
        <v>5.81</v>
      </c>
      <c r="J266">
        <f>182+234+245+249+259</f>
        <v>1169</v>
      </c>
      <c r="K266">
        <v>5</v>
      </c>
      <c r="L266">
        <v>259</v>
      </c>
      <c r="N266" t="str">
        <f t="shared" si="13"/>
        <v>NA</v>
      </c>
      <c r="O266">
        <v>29.502359000000006</v>
      </c>
      <c r="P266">
        <f t="shared" si="14"/>
        <v>29.502359000000006</v>
      </c>
      <c r="S266">
        <f t="shared" si="15"/>
        <v>26.511956549749996</v>
      </c>
    </row>
    <row r="267" spans="1:19">
      <c r="A267" s="39">
        <v>41835</v>
      </c>
      <c r="B267" s="7" t="s">
        <v>22</v>
      </c>
      <c r="C267">
        <v>14</v>
      </c>
      <c r="D267" t="s">
        <v>19</v>
      </c>
      <c r="F267">
        <v>4.25</v>
      </c>
      <c r="J267">
        <f>116+145+201+230+238+260+268+272</f>
        <v>1730</v>
      </c>
      <c r="K267">
        <v>8</v>
      </c>
      <c r="L267">
        <v>272</v>
      </c>
      <c r="N267" t="str">
        <f t="shared" si="13"/>
        <v>NA</v>
      </c>
      <c r="O267">
        <v>57.11567000000003</v>
      </c>
      <c r="P267">
        <f t="shared" si="14"/>
        <v>57.11567000000003</v>
      </c>
      <c r="S267">
        <f t="shared" si="15"/>
        <v>14.186242343749999</v>
      </c>
    </row>
    <row r="268" spans="1:19">
      <c r="A268" s="39">
        <v>41835</v>
      </c>
      <c r="B268" s="7" t="s">
        <v>22</v>
      </c>
      <c r="C268">
        <v>14</v>
      </c>
      <c r="D268" t="s">
        <v>19</v>
      </c>
      <c r="F268">
        <v>1.89</v>
      </c>
      <c r="J268">
        <f>32+47+57</f>
        <v>136</v>
      </c>
      <c r="K268">
        <v>3</v>
      </c>
      <c r="L268">
        <v>57</v>
      </c>
      <c r="N268" t="str">
        <f t="shared" si="13"/>
        <v>NA</v>
      </c>
      <c r="O268">
        <v>7.5496399999999966</v>
      </c>
      <c r="P268">
        <f t="shared" si="14"/>
        <v>7.5496399999999966</v>
      </c>
      <c r="S268">
        <f t="shared" si="15"/>
        <v>2.8055184097499999</v>
      </c>
    </row>
    <row r="269" spans="1:19">
      <c r="A269" s="39">
        <v>41835</v>
      </c>
      <c r="B269" s="7" t="s">
        <v>22</v>
      </c>
      <c r="C269">
        <v>14</v>
      </c>
      <c r="D269" t="s">
        <v>19</v>
      </c>
      <c r="F269">
        <f>1.51</f>
        <v>1.51</v>
      </c>
      <c r="J269">
        <f>30+65+92+214+237+251</f>
        <v>889</v>
      </c>
      <c r="K269">
        <v>6</v>
      </c>
      <c r="L269">
        <v>251</v>
      </c>
      <c r="N269" t="str">
        <f t="shared" si="13"/>
        <v>NA</v>
      </c>
      <c r="O269" t="s">
        <v>64</v>
      </c>
      <c r="P269" t="str">
        <f t="shared" si="14"/>
        <v xml:space="preserve"> </v>
      </c>
      <c r="S269">
        <f t="shared" si="15"/>
        <v>1.7907848397499999</v>
      </c>
    </row>
    <row r="270" spans="1:19">
      <c r="A270" s="39">
        <v>41835</v>
      </c>
      <c r="B270" s="7" t="s">
        <v>22</v>
      </c>
      <c r="C270">
        <v>14</v>
      </c>
      <c r="D270" t="s">
        <v>19</v>
      </c>
      <c r="F270">
        <v>1.43</v>
      </c>
      <c r="J270">
        <f>116+149+208+244+250+267</f>
        <v>1234</v>
      </c>
      <c r="K270">
        <v>6</v>
      </c>
      <c r="L270">
        <v>267</v>
      </c>
      <c r="N270" t="str">
        <f t="shared" si="13"/>
        <v>NA</v>
      </c>
      <c r="O270">
        <v>26.164121000000016</v>
      </c>
      <c r="P270">
        <f t="shared" si="14"/>
        <v>26.164121000000016</v>
      </c>
      <c r="S270">
        <f t="shared" si="15"/>
        <v>1.6060593477499998</v>
      </c>
    </row>
    <row r="271" spans="1:19">
      <c r="A271" s="39">
        <v>41835</v>
      </c>
      <c r="B271" s="7" t="s">
        <v>22</v>
      </c>
      <c r="C271">
        <v>14</v>
      </c>
      <c r="D271" t="s">
        <v>19</v>
      </c>
      <c r="F271">
        <v>3.68</v>
      </c>
      <c r="J271">
        <f>165+183+183+203+107+240+236</f>
        <v>1317</v>
      </c>
      <c r="K271">
        <v>7</v>
      </c>
      <c r="L271">
        <v>240</v>
      </c>
      <c r="N271" t="str">
        <f t="shared" si="13"/>
        <v>NA</v>
      </c>
      <c r="O271">
        <v>35.057048000000002</v>
      </c>
      <c r="P271">
        <f t="shared" si="14"/>
        <v>35.057048000000002</v>
      </c>
      <c r="S271">
        <f t="shared" si="15"/>
        <v>10.636167104</v>
      </c>
    </row>
    <row r="272" spans="1:19">
      <c r="A272" s="39">
        <v>41835</v>
      </c>
      <c r="B272" s="7" t="s">
        <v>22</v>
      </c>
      <c r="C272">
        <v>14</v>
      </c>
      <c r="D272" t="s">
        <v>19</v>
      </c>
      <c r="F272">
        <v>5.38</v>
      </c>
      <c r="J272">
        <f>130+158+214+229+239+250+258+258+260</f>
        <v>1996</v>
      </c>
      <c r="K272">
        <v>9</v>
      </c>
      <c r="L272">
        <v>260</v>
      </c>
      <c r="N272" t="str">
        <f t="shared" si="13"/>
        <v>NA</v>
      </c>
      <c r="O272">
        <v>78.647086999999999</v>
      </c>
      <c r="P272">
        <f t="shared" si="14"/>
        <v>78.647086999999999</v>
      </c>
      <c r="S272">
        <f t="shared" si="15"/>
        <v>22.732859398999999</v>
      </c>
    </row>
    <row r="273" spans="1:19">
      <c r="A273" s="39">
        <v>41835</v>
      </c>
      <c r="B273" s="7" t="s">
        <v>22</v>
      </c>
      <c r="C273">
        <v>14</v>
      </c>
      <c r="D273" t="s">
        <v>19</v>
      </c>
      <c r="F273">
        <v>3.06</v>
      </c>
      <c r="J273">
        <f>51+62+69+140+181+217</f>
        <v>720</v>
      </c>
      <c r="K273">
        <v>6</v>
      </c>
      <c r="L273">
        <v>217</v>
      </c>
      <c r="N273" t="str">
        <f t="shared" si="13"/>
        <v>NA</v>
      </c>
      <c r="O273" t="s">
        <v>64</v>
      </c>
      <c r="P273" t="str">
        <f t="shared" si="14"/>
        <v xml:space="preserve"> </v>
      </c>
      <c r="S273">
        <f t="shared" si="15"/>
        <v>7.3541480309999994</v>
      </c>
    </row>
    <row r="274" spans="1:19">
      <c r="A274" s="39">
        <v>41835</v>
      </c>
      <c r="B274" s="7" t="s">
        <v>22</v>
      </c>
      <c r="C274">
        <v>14</v>
      </c>
      <c r="D274" t="s">
        <v>19</v>
      </c>
      <c r="F274">
        <v>2.66</v>
      </c>
      <c r="J274">
        <f>135+153+185+205+205+230+244+256</f>
        <v>1613</v>
      </c>
      <c r="K274">
        <v>8</v>
      </c>
      <c r="L274">
        <v>256</v>
      </c>
      <c r="N274" t="str">
        <f t="shared" si="13"/>
        <v>NA</v>
      </c>
      <c r="O274">
        <v>50.966255000000025</v>
      </c>
      <c r="P274">
        <f t="shared" si="14"/>
        <v>50.966255000000025</v>
      </c>
      <c r="S274">
        <f t="shared" si="15"/>
        <v>5.5571585510000006</v>
      </c>
    </row>
    <row r="275" spans="1:19">
      <c r="A275" s="39">
        <v>41835</v>
      </c>
      <c r="B275" s="7" t="s">
        <v>22</v>
      </c>
      <c r="C275">
        <v>14</v>
      </c>
      <c r="D275" t="s">
        <v>19</v>
      </c>
      <c r="F275">
        <v>4.41</v>
      </c>
      <c r="J275">
        <f>159+179+197+215+222+234+252+258+263</f>
        <v>1979</v>
      </c>
      <c r="K275">
        <v>9</v>
      </c>
      <c r="L275">
        <v>263</v>
      </c>
      <c r="N275" t="str">
        <f t="shared" si="13"/>
        <v>NA</v>
      </c>
      <c r="O275">
        <v>76.149517000000003</v>
      </c>
      <c r="P275">
        <f t="shared" si="14"/>
        <v>76.149517000000003</v>
      </c>
      <c r="S275">
        <f t="shared" si="15"/>
        <v>15.274489119749999</v>
      </c>
    </row>
    <row r="276" spans="1:19">
      <c r="A276" s="39">
        <v>41835</v>
      </c>
      <c r="B276" s="7" t="s">
        <v>22</v>
      </c>
      <c r="C276">
        <v>14</v>
      </c>
      <c r="D276" t="s">
        <v>19</v>
      </c>
      <c r="F276">
        <v>3.11</v>
      </c>
      <c r="J276">
        <f>148+178+223+224+226+230+242</f>
        <v>1471</v>
      </c>
      <c r="K276">
        <v>7</v>
      </c>
      <c r="L276">
        <v>242</v>
      </c>
      <c r="N276" t="str">
        <f t="shared" si="13"/>
        <v>NA</v>
      </c>
      <c r="O276">
        <v>48.892828000000016</v>
      </c>
      <c r="P276">
        <f t="shared" si="14"/>
        <v>48.892828000000016</v>
      </c>
      <c r="S276">
        <f t="shared" si="15"/>
        <v>7.5964431597499988</v>
      </c>
    </row>
    <row r="277" spans="1:19">
      <c r="A277" s="39">
        <v>41835</v>
      </c>
      <c r="B277" s="7" t="s">
        <v>22</v>
      </c>
      <c r="C277">
        <v>14</v>
      </c>
      <c r="D277" t="s">
        <v>19</v>
      </c>
      <c r="E277">
        <v>247</v>
      </c>
      <c r="F277">
        <v>5.18</v>
      </c>
      <c r="H277">
        <v>21.5</v>
      </c>
      <c r="I277">
        <v>2.5</v>
      </c>
      <c r="N277" t="str">
        <f t="shared" si="13"/>
        <v>NA</v>
      </c>
      <c r="O277">
        <v>140.34213276</v>
      </c>
      <c r="P277">
        <f t="shared" si="14"/>
        <v>140.34213276</v>
      </c>
      <c r="S277">
        <f t="shared" si="15"/>
        <v>21.074099878999995</v>
      </c>
    </row>
    <row r="278" spans="1:19">
      <c r="A278" s="39">
        <v>41835</v>
      </c>
      <c r="B278" s="7" t="s">
        <v>22</v>
      </c>
      <c r="C278">
        <v>30</v>
      </c>
      <c r="D278" t="s">
        <v>62</v>
      </c>
      <c r="E278">
        <v>367</v>
      </c>
      <c r="F278">
        <v>1.21</v>
      </c>
      <c r="N278">
        <f t="shared" si="13"/>
        <v>140.67115868941664</v>
      </c>
      <c r="O278">
        <v>21.137938000000002</v>
      </c>
      <c r="P278">
        <f t="shared" si="14"/>
        <v>21.137938000000002</v>
      </c>
      <c r="S278">
        <f t="shared" si="15"/>
        <v>1.1499004797499999</v>
      </c>
    </row>
    <row r="279" spans="1:19">
      <c r="A279" s="39">
        <v>41835</v>
      </c>
      <c r="B279" s="7" t="s">
        <v>22</v>
      </c>
      <c r="C279">
        <v>30</v>
      </c>
      <c r="D279" t="s">
        <v>62</v>
      </c>
      <c r="E279">
        <v>269</v>
      </c>
      <c r="F279">
        <v>1.26</v>
      </c>
      <c r="G279">
        <v>4</v>
      </c>
      <c r="N279">
        <f t="shared" si="13"/>
        <v>111.80510403300001</v>
      </c>
      <c r="O279">
        <v>13.95863487445623</v>
      </c>
      <c r="P279">
        <f t="shared" si="14"/>
        <v>13.95863487445623</v>
      </c>
      <c r="S279">
        <f t="shared" si="15"/>
        <v>1.246897071</v>
      </c>
    </row>
    <row r="280" spans="1:19">
      <c r="A280" s="39">
        <v>41835</v>
      </c>
      <c r="B280" s="7" t="s">
        <v>22</v>
      </c>
      <c r="C280">
        <v>30</v>
      </c>
      <c r="D280" t="s">
        <v>62</v>
      </c>
      <c r="E280">
        <v>110</v>
      </c>
      <c r="F280">
        <v>0.47</v>
      </c>
      <c r="N280">
        <f t="shared" si="13"/>
        <v>6.3614579508333327</v>
      </c>
      <c r="O280">
        <v>3.1209530000000001</v>
      </c>
      <c r="P280">
        <f t="shared" si="14"/>
        <v>3.1209530000000001</v>
      </c>
      <c r="S280">
        <f t="shared" si="15"/>
        <v>0.17349430774999999</v>
      </c>
    </row>
    <row r="281" spans="1:19">
      <c r="A281" s="39">
        <v>41835</v>
      </c>
      <c r="B281" s="7" t="s">
        <v>22</v>
      </c>
      <c r="C281">
        <v>30</v>
      </c>
      <c r="D281" t="s">
        <v>62</v>
      </c>
      <c r="E281">
        <v>227</v>
      </c>
      <c r="F281">
        <v>0.89</v>
      </c>
      <c r="N281">
        <f t="shared" si="13"/>
        <v>47.073244221083328</v>
      </c>
      <c r="O281">
        <v>11.323238</v>
      </c>
      <c r="P281">
        <f t="shared" si="14"/>
        <v>11.323238</v>
      </c>
      <c r="S281">
        <f t="shared" si="15"/>
        <v>0.62211335975000004</v>
      </c>
    </row>
    <row r="282" spans="1:19">
      <c r="A282" s="39">
        <v>41835</v>
      </c>
      <c r="B282" s="7" t="s">
        <v>22</v>
      </c>
      <c r="C282">
        <v>30</v>
      </c>
      <c r="D282" t="s">
        <v>62</v>
      </c>
      <c r="E282">
        <v>247</v>
      </c>
      <c r="F282">
        <v>1.1399999999999999</v>
      </c>
      <c r="N282">
        <f t="shared" si="13"/>
        <v>84.037846658999982</v>
      </c>
      <c r="O282">
        <v>12.725338000000001</v>
      </c>
      <c r="P282">
        <f t="shared" si="14"/>
        <v>12.725338000000001</v>
      </c>
      <c r="S282">
        <f t="shared" si="15"/>
        <v>1.0207025909999998</v>
      </c>
    </row>
    <row r="283" spans="1:19">
      <c r="A283" s="39">
        <v>41835</v>
      </c>
      <c r="B283" s="7" t="s">
        <v>22</v>
      </c>
      <c r="C283">
        <v>30</v>
      </c>
      <c r="D283" t="s">
        <v>19</v>
      </c>
      <c r="F283">
        <v>5.88</v>
      </c>
      <c r="J283">
        <f>218+236+267+293+303+302+314+323</f>
        <v>2256</v>
      </c>
      <c r="K283">
        <v>8</v>
      </c>
      <c r="L283">
        <v>323</v>
      </c>
      <c r="N283" t="str">
        <f t="shared" si="13"/>
        <v>NA</v>
      </c>
      <c r="O283">
        <v>91.067305000000005</v>
      </c>
      <c r="P283">
        <f t="shared" si="14"/>
        <v>91.067305000000005</v>
      </c>
      <c r="S283">
        <f t="shared" si="15"/>
        <v>27.154647323999995</v>
      </c>
    </row>
    <row r="284" spans="1:19">
      <c r="A284" s="39">
        <v>41835</v>
      </c>
      <c r="B284" s="7" t="s">
        <v>22</v>
      </c>
      <c r="C284">
        <v>30</v>
      </c>
      <c r="D284" t="s">
        <v>19</v>
      </c>
      <c r="F284">
        <v>7.84</v>
      </c>
      <c r="J284">
        <f>181+211+277+293+296+306</f>
        <v>1564</v>
      </c>
      <c r="K284">
        <v>6</v>
      </c>
      <c r="L284">
        <v>306</v>
      </c>
      <c r="N284" t="str">
        <f t="shared" si="13"/>
        <v>NA</v>
      </c>
      <c r="O284">
        <v>45.354716000000003</v>
      </c>
      <c r="P284">
        <f t="shared" si="14"/>
        <v>45.354716000000003</v>
      </c>
      <c r="S284">
        <f t="shared" si="15"/>
        <v>48.274928575999994</v>
      </c>
    </row>
    <row r="285" spans="1:19">
      <c r="A285" s="39">
        <v>41835</v>
      </c>
      <c r="B285" s="7" t="s">
        <v>22</v>
      </c>
      <c r="C285">
        <v>30</v>
      </c>
      <c r="D285" t="s">
        <v>19</v>
      </c>
      <c r="F285">
        <v>2.08</v>
      </c>
      <c r="J285">
        <f>130+162+200+204+226+258</f>
        <v>1180</v>
      </c>
      <c r="K285">
        <v>6</v>
      </c>
      <c r="L285">
        <v>258</v>
      </c>
      <c r="N285" t="str">
        <f t="shared" si="13"/>
        <v>NA</v>
      </c>
      <c r="O285">
        <v>23.812556000000008</v>
      </c>
      <c r="P285">
        <f t="shared" si="14"/>
        <v>23.812556000000008</v>
      </c>
      <c r="S285">
        <f t="shared" si="15"/>
        <v>3.3979437440000004</v>
      </c>
    </row>
    <row r="286" spans="1:19">
      <c r="A286" s="39">
        <v>41835</v>
      </c>
      <c r="B286" s="7" t="s">
        <v>22</v>
      </c>
      <c r="C286">
        <v>30</v>
      </c>
      <c r="D286" t="s">
        <v>19</v>
      </c>
      <c r="F286">
        <v>1.6</v>
      </c>
      <c r="J286">
        <f>159+219+251+258</f>
        <v>887</v>
      </c>
      <c r="K286">
        <v>4</v>
      </c>
      <c r="L286">
        <v>258</v>
      </c>
      <c r="N286" t="str">
        <f t="shared" si="13"/>
        <v>NA</v>
      </c>
      <c r="O286">
        <v>10.387047000000003</v>
      </c>
      <c r="P286">
        <f t="shared" si="14"/>
        <v>10.387047000000003</v>
      </c>
      <c r="S286">
        <f t="shared" si="15"/>
        <v>2.0106176000000002</v>
      </c>
    </row>
    <row r="287" spans="1:19">
      <c r="A287" s="39">
        <v>41835</v>
      </c>
      <c r="B287" s="7" t="s">
        <v>22</v>
      </c>
      <c r="C287">
        <v>30</v>
      </c>
      <c r="D287" t="s">
        <v>19</v>
      </c>
      <c r="F287">
        <v>6.65</v>
      </c>
      <c r="J287">
        <f>205+229+260+287+294+297+296+301+305</f>
        <v>2474</v>
      </c>
      <c r="K287">
        <v>9</v>
      </c>
      <c r="L287">
        <v>305</v>
      </c>
      <c r="N287" t="str">
        <f t="shared" si="13"/>
        <v>NA</v>
      </c>
      <c r="O287">
        <v>109.90595200000001</v>
      </c>
      <c r="P287">
        <f t="shared" si="14"/>
        <v>109.90595200000001</v>
      </c>
      <c r="S287">
        <f t="shared" si="15"/>
        <v>34.73224094375</v>
      </c>
    </row>
    <row r="288" spans="1:19">
      <c r="A288" s="39">
        <v>41835</v>
      </c>
      <c r="B288" s="7" t="s">
        <v>22</v>
      </c>
      <c r="C288">
        <v>30</v>
      </c>
      <c r="D288" t="s">
        <v>19</v>
      </c>
      <c r="F288">
        <v>0.21</v>
      </c>
      <c r="J288">
        <f>54+81</f>
        <v>135</v>
      </c>
      <c r="K288">
        <v>2</v>
      </c>
      <c r="L288">
        <v>81</v>
      </c>
      <c r="N288" t="str">
        <f t="shared" si="13"/>
        <v>NA</v>
      </c>
      <c r="O288">
        <v>7.2483579999999961</v>
      </c>
      <c r="P288">
        <f t="shared" si="14"/>
        <v>7.2483579999999961</v>
      </c>
      <c r="S288">
        <f t="shared" si="15"/>
        <v>3.4636029749999991E-2</v>
      </c>
    </row>
    <row r="289" spans="1:19">
      <c r="A289" s="39">
        <v>41835</v>
      </c>
      <c r="B289" s="7" t="s">
        <v>22</v>
      </c>
      <c r="C289">
        <v>32</v>
      </c>
      <c r="D289" t="s">
        <v>60</v>
      </c>
      <c r="E289">
        <v>208</v>
      </c>
      <c r="F289">
        <v>3.12</v>
      </c>
      <c r="H289">
        <v>35</v>
      </c>
      <c r="I289">
        <v>2.5</v>
      </c>
      <c r="N289" t="str">
        <f t="shared" si="13"/>
        <v>NA</v>
      </c>
      <c r="O289">
        <v>101.36683364000001</v>
      </c>
      <c r="P289">
        <f t="shared" si="14"/>
        <v>101.36683364000001</v>
      </c>
      <c r="S289">
        <f t="shared" si="15"/>
        <v>7.6453734240000006</v>
      </c>
    </row>
    <row r="290" spans="1:19">
      <c r="A290" s="39">
        <v>41835</v>
      </c>
      <c r="B290" s="7" t="s">
        <v>22</v>
      </c>
      <c r="C290">
        <v>32</v>
      </c>
      <c r="D290" t="s">
        <v>19</v>
      </c>
      <c r="F290">
        <v>3.94</v>
      </c>
      <c r="J290">
        <f>200+253+387+315+323+331+37</f>
        <v>1846</v>
      </c>
      <c r="K290">
        <v>7</v>
      </c>
      <c r="L290">
        <v>331</v>
      </c>
      <c r="N290" t="str">
        <f t="shared" si="13"/>
        <v>NA</v>
      </c>
      <c r="O290">
        <v>57.240148000000012</v>
      </c>
      <c r="P290">
        <f t="shared" si="14"/>
        <v>57.240148000000012</v>
      </c>
      <c r="S290">
        <f t="shared" si="15"/>
        <v>12.192196631</v>
      </c>
    </row>
    <row r="291" spans="1:19">
      <c r="A291" s="39">
        <v>41835</v>
      </c>
      <c r="B291" s="7" t="s">
        <v>22</v>
      </c>
      <c r="C291">
        <v>32</v>
      </c>
      <c r="D291" t="s">
        <v>19</v>
      </c>
      <c r="F291">
        <v>2.65</v>
      </c>
      <c r="J291">
        <f>219+258+265+301+312</f>
        <v>1355</v>
      </c>
      <c r="K291">
        <v>5</v>
      </c>
      <c r="L291">
        <v>312</v>
      </c>
      <c r="N291" t="str">
        <f t="shared" si="13"/>
        <v>NA</v>
      </c>
      <c r="O291">
        <v>30.974804000000013</v>
      </c>
      <c r="P291">
        <f t="shared" si="14"/>
        <v>30.974804000000013</v>
      </c>
      <c r="S291">
        <f t="shared" si="15"/>
        <v>5.5154539437499999</v>
      </c>
    </row>
    <row r="292" spans="1:19">
      <c r="A292" s="39">
        <v>41835</v>
      </c>
      <c r="B292" s="7" t="s">
        <v>22</v>
      </c>
      <c r="C292">
        <v>32</v>
      </c>
      <c r="D292" t="s">
        <v>19</v>
      </c>
      <c r="F292">
        <v>5.73</v>
      </c>
      <c r="J292">
        <f>279+317+340+352+374+384+387+393</f>
        <v>2826</v>
      </c>
      <c r="K292">
        <v>8</v>
      </c>
      <c r="L292">
        <v>393</v>
      </c>
      <c r="N292" t="str">
        <f t="shared" si="13"/>
        <v>NA</v>
      </c>
      <c r="O292">
        <v>123.42050500000002</v>
      </c>
      <c r="P292">
        <f t="shared" si="14"/>
        <v>123.42050500000002</v>
      </c>
      <c r="S292">
        <f t="shared" si="15"/>
        <v>25.786877577750001</v>
      </c>
    </row>
    <row r="293" spans="1:19">
      <c r="A293" s="39">
        <v>41835</v>
      </c>
      <c r="B293" s="7" t="s">
        <v>22</v>
      </c>
      <c r="C293">
        <v>33</v>
      </c>
      <c r="D293" t="s">
        <v>60</v>
      </c>
      <c r="E293">
        <v>371</v>
      </c>
      <c r="F293">
        <v>3.05</v>
      </c>
      <c r="H293">
        <v>31</v>
      </c>
      <c r="I293">
        <v>2</v>
      </c>
      <c r="N293" t="str">
        <f t="shared" si="13"/>
        <v>NA</v>
      </c>
      <c r="O293">
        <v>137.09285425000002</v>
      </c>
      <c r="P293">
        <f t="shared" si="14"/>
        <v>137.09285425000002</v>
      </c>
      <c r="S293">
        <f t="shared" si="15"/>
        <v>7.3061602437499982</v>
      </c>
    </row>
    <row r="294" spans="1:19">
      <c r="A294" s="39">
        <v>41835</v>
      </c>
      <c r="B294" s="7" t="s">
        <v>22</v>
      </c>
      <c r="C294">
        <v>33</v>
      </c>
      <c r="D294" t="s">
        <v>60</v>
      </c>
      <c r="F294">
        <v>0.97</v>
      </c>
      <c r="J294">
        <f>238+246+279</f>
        <v>763</v>
      </c>
      <c r="K294">
        <v>3</v>
      </c>
      <c r="L294">
        <v>279</v>
      </c>
      <c r="N294" t="str">
        <f t="shared" si="13"/>
        <v>NA</v>
      </c>
      <c r="O294" t="s">
        <v>64</v>
      </c>
      <c r="P294" t="str">
        <f t="shared" si="14"/>
        <v xml:space="preserve"> </v>
      </c>
      <c r="S294">
        <f t="shared" si="15"/>
        <v>0.7389805077499999</v>
      </c>
    </row>
    <row r="295" spans="1:19">
      <c r="A295" s="39">
        <v>41835</v>
      </c>
      <c r="B295" s="7" t="s">
        <v>22</v>
      </c>
      <c r="C295">
        <v>33</v>
      </c>
      <c r="D295" t="s">
        <v>19</v>
      </c>
      <c r="F295">
        <v>6.52</v>
      </c>
      <c r="J295">
        <f>245+286+279+315+365+362+384</f>
        <v>2236</v>
      </c>
      <c r="K295">
        <v>7</v>
      </c>
      <c r="L295">
        <v>384</v>
      </c>
      <c r="N295" t="str">
        <f t="shared" si="13"/>
        <v>NA</v>
      </c>
      <c r="O295">
        <v>77.838613000000009</v>
      </c>
      <c r="P295">
        <f t="shared" si="14"/>
        <v>77.838613000000009</v>
      </c>
      <c r="S295">
        <f t="shared" si="15"/>
        <v>33.387561883999993</v>
      </c>
    </row>
    <row r="296" spans="1:19">
      <c r="A296" s="39">
        <v>41835</v>
      </c>
      <c r="B296" s="7" t="s">
        <v>22</v>
      </c>
      <c r="C296">
        <v>33</v>
      </c>
      <c r="D296" t="s">
        <v>19</v>
      </c>
      <c r="F296">
        <v>3.85</v>
      </c>
      <c r="J296">
        <f>284+330+336+355+357</f>
        <v>1662</v>
      </c>
      <c r="K296">
        <v>5</v>
      </c>
      <c r="L296">
        <v>357</v>
      </c>
      <c r="N296" t="str">
        <f t="shared" si="13"/>
        <v>NA</v>
      </c>
      <c r="O296">
        <v>46.201564000000012</v>
      </c>
      <c r="P296">
        <f t="shared" si="14"/>
        <v>46.201564000000012</v>
      </c>
      <c r="S296">
        <f t="shared" si="15"/>
        <v>11.641554443750001</v>
      </c>
    </row>
    <row r="297" spans="1:19">
      <c r="A297" s="39">
        <v>41835</v>
      </c>
      <c r="B297" s="7" t="s">
        <v>22</v>
      </c>
      <c r="C297">
        <v>33</v>
      </c>
      <c r="D297" t="s">
        <v>19</v>
      </c>
      <c r="F297">
        <v>4.4000000000000004</v>
      </c>
      <c r="J297">
        <f>170+197+256+320+319+325+338+122</f>
        <v>2047</v>
      </c>
      <c r="K297">
        <v>8</v>
      </c>
      <c r="L297">
        <v>338</v>
      </c>
      <c r="N297" t="str">
        <f t="shared" si="13"/>
        <v>NA</v>
      </c>
      <c r="O297">
        <v>66.953835000000026</v>
      </c>
      <c r="P297">
        <f t="shared" si="14"/>
        <v>66.953835000000026</v>
      </c>
      <c r="S297">
        <f t="shared" si="15"/>
        <v>15.205295600000001</v>
      </c>
    </row>
    <row r="298" spans="1:19">
      <c r="A298" s="39">
        <v>41835</v>
      </c>
      <c r="B298" s="7" t="s">
        <v>22</v>
      </c>
      <c r="C298">
        <v>33</v>
      </c>
      <c r="D298" t="s">
        <v>19</v>
      </c>
      <c r="F298">
        <v>3.76</v>
      </c>
      <c r="J298">
        <f>233+264+309+324+331</f>
        <v>1461</v>
      </c>
      <c r="K298">
        <v>5</v>
      </c>
      <c r="L298">
        <v>331</v>
      </c>
      <c r="N298" t="str">
        <f t="shared" si="13"/>
        <v>NA</v>
      </c>
      <c r="O298">
        <v>35.189179000000017</v>
      </c>
      <c r="P298">
        <f t="shared" si="14"/>
        <v>35.189179000000017</v>
      </c>
      <c r="S298">
        <f t="shared" si="15"/>
        <v>11.103635696</v>
      </c>
    </row>
    <row r="299" spans="1:19">
      <c r="A299" s="39">
        <v>41835</v>
      </c>
      <c r="B299" s="7" t="s">
        <v>22</v>
      </c>
      <c r="C299">
        <v>33</v>
      </c>
      <c r="D299" t="s">
        <v>19</v>
      </c>
      <c r="F299">
        <v>2.0499999999999998</v>
      </c>
      <c r="J299">
        <f>178+171+217+219+244</f>
        <v>1029</v>
      </c>
      <c r="K299">
        <v>5</v>
      </c>
      <c r="L299">
        <v>244</v>
      </c>
      <c r="N299" t="str">
        <f t="shared" si="13"/>
        <v>NA</v>
      </c>
      <c r="O299">
        <v>20.895334000000005</v>
      </c>
      <c r="P299">
        <f t="shared" si="14"/>
        <v>20.895334000000005</v>
      </c>
      <c r="S299">
        <f t="shared" si="15"/>
        <v>3.3006329937499994</v>
      </c>
    </row>
    <row r="300" spans="1:19">
      <c r="A300" s="39">
        <v>41835</v>
      </c>
      <c r="B300" s="7" t="s">
        <v>22</v>
      </c>
      <c r="C300">
        <v>33</v>
      </c>
      <c r="D300" t="s">
        <v>19</v>
      </c>
      <c r="F300">
        <v>0.76</v>
      </c>
      <c r="J300">
        <f>99+108+162+198+302</f>
        <v>869</v>
      </c>
      <c r="K300">
        <v>5</v>
      </c>
      <c r="L300">
        <v>302</v>
      </c>
      <c r="N300" t="str">
        <f t="shared" si="13"/>
        <v>NA</v>
      </c>
      <c r="O300" t="s">
        <v>64</v>
      </c>
      <c r="P300" t="str">
        <f t="shared" si="14"/>
        <v xml:space="preserve"> </v>
      </c>
      <c r="S300">
        <f t="shared" si="15"/>
        <v>0.45364559599999998</v>
      </c>
    </row>
    <row r="301" spans="1:19">
      <c r="A301" s="39">
        <v>41835</v>
      </c>
      <c r="B301" s="7" t="s">
        <v>22</v>
      </c>
      <c r="C301">
        <v>33</v>
      </c>
      <c r="D301" t="s">
        <v>19</v>
      </c>
      <c r="F301">
        <v>1.97</v>
      </c>
      <c r="J301">
        <f>73+118+123+153+160</f>
        <v>627</v>
      </c>
      <c r="K301">
        <v>5</v>
      </c>
      <c r="L301">
        <v>160</v>
      </c>
      <c r="N301" t="str">
        <f t="shared" si="13"/>
        <v>NA</v>
      </c>
      <c r="O301">
        <v>8.5104040000000012</v>
      </c>
      <c r="P301">
        <f t="shared" si="14"/>
        <v>8.5104040000000012</v>
      </c>
      <c r="S301">
        <f t="shared" si="15"/>
        <v>3.04804915775</v>
      </c>
    </row>
    <row r="302" spans="1:19">
      <c r="A302" s="39">
        <v>41835</v>
      </c>
      <c r="B302" s="7" t="s">
        <v>22</v>
      </c>
      <c r="C302">
        <v>41</v>
      </c>
      <c r="D302" s="40" t="s">
        <v>60</v>
      </c>
      <c r="F302">
        <v>3.11</v>
      </c>
      <c r="J302">
        <f>262+331+340+380</f>
        <v>1313</v>
      </c>
      <c r="K302">
        <v>4</v>
      </c>
      <c r="L302">
        <v>380</v>
      </c>
      <c r="N302" t="str">
        <f t="shared" si="13"/>
        <v>NA</v>
      </c>
      <c r="O302">
        <v>13.574787000000022</v>
      </c>
      <c r="P302">
        <f t="shared" si="14"/>
        <v>13.574787000000022</v>
      </c>
      <c r="S302">
        <f t="shared" si="15"/>
        <v>7.5964431597499988</v>
      </c>
    </row>
    <row r="303" spans="1:19">
      <c r="A303" s="39">
        <v>41835</v>
      </c>
      <c r="B303" s="7" t="s">
        <v>22</v>
      </c>
      <c r="C303">
        <v>41</v>
      </c>
      <c r="D303" s="40" t="s">
        <v>60</v>
      </c>
      <c r="F303">
        <v>3.45</v>
      </c>
      <c r="J303">
        <f>229+230+272+317</f>
        <v>1048</v>
      </c>
      <c r="K303">
        <v>4</v>
      </c>
      <c r="L303">
        <v>317</v>
      </c>
      <c r="N303" t="str">
        <f t="shared" si="13"/>
        <v>NA</v>
      </c>
      <c r="O303">
        <v>7.7081470000000039</v>
      </c>
      <c r="P303">
        <f t="shared" si="14"/>
        <v>7.7081470000000039</v>
      </c>
      <c r="S303">
        <f t="shared" si="15"/>
        <v>9.3481937437500005</v>
      </c>
    </row>
    <row r="304" spans="1:19">
      <c r="A304" s="39">
        <v>41835</v>
      </c>
      <c r="B304" s="7" t="s">
        <v>22</v>
      </c>
      <c r="C304">
        <v>41</v>
      </c>
      <c r="D304" s="40" t="s">
        <v>60</v>
      </c>
      <c r="F304">
        <v>1.98</v>
      </c>
      <c r="J304">
        <f>129+196+226+260+298+318+323</f>
        <v>1750</v>
      </c>
      <c r="K304">
        <v>7</v>
      </c>
      <c r="L304">
        <v>323</v>
      </c>
      <c r="N304" t="str">
        <f t="shared" si="13"/>
        <v>NA</v>
      </c>
      <c r="O304">
        <v>50.649628000000028</v>
      </c>
      <c r="P304">
        <f t="shared" si="14"/>
        <v>50.649628000000028</v>
      </c>
      <c r="S304">
        <f t="shared" si="15"/>
        <v>3.079072359</v>
      </c>
    </row>
    <row r="305" spans="1:19">
      <c r="A305" s="39">
        <v>41835</v>
      </c>
      <c r="B305" s="7" t="s">
        <v>22</v>
      </c>
      <c r="C305">
        <v>41</v>
      </c>
      <c r="D305" s="40" t="s">
        <v>60</v>
      </c>
      <c r="F305">
        <v>1.38</v>
      </c>
      <c r="J305">
        <f>35+71+72+82</f>
        <v>260</v>
      </c>
      <c r="K305">
        <v>4</v>
      </c>
      <c r="L305">
        <v>82</v>
      </c>
      <c r="N305" t="str">
        <f t="shared" si="13"/>
        <v>NA</v>
      </c>
      <c r="O305">
        <v>4.6217819999999996</v>
      </c>
      <c r="P305">
        <f t="shared" si="14"/>
        <v>4.6217819999999996</v>
      </c>
      <c r="S305">
        <f t="shared" si="15"/>
        <v>1.4957109989999997</v>
      </c>
    </row>
    <row r="306" spans="1:19">
      <c r="A306" s="39">
        <v>41835</v>
      </c>
      <c r="B306" s="7" t="s">
        <v>22</v>
      </c>
      <c r="C306">
        <v>41</v>
      </c>
      <c r="D306" s="40" t="s">
        <v>60</v>
      </c>
      <c r="F306">
        <v>1.8</v>
      </c>
      <c r="J306">
        <f>153+231+249+271+280</f>
        <v>1184</v>
      </c>
      <c r="K306">
        <v>5</v>
      </c>
      <c r="L306">
        <v>280</v>
      </c>
      <c r="N306" t="str">
        <f t="shared" si="13"/>
        <v>NA</v>
      </c>
      <c r="O306">
        <v>24.582539000000018</v>
      </c>
      <c r="P306">
        <f t="shared" si="14"/>
        <v>24.582539000000018</v>
      </c>
      <c r="S306">
        <f t="shared" si="15"/>
        <v>2.5446879</v>
      </c>
    </row>
    <row r="307" spans="1:19">
      <c r="A307" s="39">
        <v>41835</v>
      </c>
      <c r="B307" s="7" t="s">
        <v>22</v>
      </c>
      <c r="C307">
        <v>41</v>
      </c>
      <c r="D307" t="s">
        <v>60</v>
      </c>
      <c r="F307">
        <v>3.3</v>
      </c>
      <c r="J307">
        <f>106+108+123+161+236+240+329</f>
        <v>1303</v>
      </c>
      <c r="K307">
        <v>7</v>
      </c>
      <c r="L307">
        <v>329</v>
      </c>
      <c r="N307" t="str">
        <f t="shared" si="13"/>
        <v>NA</v>
      </c>
      <c r="O307">
        <v>6.933673000000006</v>
      </c>
      <c r="P307">
        <f t="shared" si="14"/>
        <v>6.933673000000006</v>
      </c>
      <c r="S307">
        <f t="shared" si="15"/>
        <v>8.5529787749999979</v>
      </c>
    </row>
    <row r="308" spans="1:19">
      <c r="A308" s="39">
        <v>41835</v>
      </c>
      <c r="B308" s="7" t="s">
        <v>22</v>
      </c>
      <c r="C308">
        <v>41</v>
      </c>
      <c r="D308" s="40" t="s">
        <v>19</v>
      </c>
      <c r="F308">
        <v>3.75</v>
      </c>
      <c r="J308">
        <f>213+290+295+321+344+343</f>
        <v>1806</v>
      </c>
      <c r="K308">
        <v>6</v>
      </c>
      <c r="L308">
        <v>344</v>
      </c>
      <c r="N308" t="str">
        <f t="shared" si="13"/>
        <v>NA</v>
      </c>
      <c r="O308">
        <v>56.596116000000002</v>
      </c>
      <c r="P308">
        <f t="shared" si="14"/>
        <v>56.596116000000002</v>
      </c>
      <c r="S308">
        <f t="shared" si="15"/>
        <v>11.04465234375</v>
      </c>
    </row>
    <row r="309" spans="1:19">
      <c r="A309" s="39">
        <v>41835</v>
      </c>
      <c r="B309" s="7" t="s">
        <v>22</v>
      </c>
      <c r="C309">
        <v>41</v>
      </c>
      <c r="D309" s="40" t="s">
        <v>19</v>
      </c>
      <c r="F309">
        <v>3.93</v>
      </c>
      <c r="J309">
        <f>214+236+270+297+325+337+347</f>
        <v>2026</v>
      </c>
      <c r="K309">
        <v>7</v>
      </c>
      <c r="L309">
        <v>349</v>
      </c>
      <c r="N309" t="str">
        <f t="shared" si="13"/>
        <v>NA</v>
      </c>
      <c r="O309">
        <v>68.693637999999993</v>
      </c>
      <c r="P309">
        <f t="shared" si="14"/>
        <v>68.693637999999993</v>
      </c>
      <c r="S309">
        <f t="shared" si="15"/>
        <v>12.13038584775</v>
      </c>
    </row>
    <row r="310" spans="1:19">
      <c r="A310" s="39">
        <v>41835</v>
      </c>
      <c r="B310" s="7" t="s">
        <v>22</v>
      </c>
      <c r="C310">
        <v>41</v>
      </c>
      <c r="D310" s="40" t="s">
        <v>19</v>
      </c>
      <c r="F310">
        <v>0.83</v>
      </c>
      <c r="J310">
        <f>32+3</f>
        <v>35</v>
      </c>
      <c r="K310">
        <v>2</v>
      </c>
      <c r="L310">
        <v>33</v>
      </c>
      <c r="N310" t="str">
        <f t="shared" si="13"/>
        <v>NA</v>
      </c>
      <c r="O310">
        <v>12.332617999999997</v>
      </c>
      <c r="P310">
        <f t="shared" si="14"/>
        <v>12.332617999999997</v>
      </c>
      <c r="S310">
        <f t="shared" si="15"/>
        <v>0.54106033774999995</v>
      </c>
    </row>
    <row r="311" spans="1:19">
      <c r="A311" s="39">
        <v>41835</v>
      </c>
      <c r="B311" s="7" t="s">
        <v>22</v>
      </c>
      <c r="C311">
        <v>41</v>
      </c>
      <c r="D311" t="s">
        <v>19</v>
      </c>
      <c r="F311">
        <v>3.7</v>
      </c>
      <c r="J311">
        <f>182+221+252+283+311+317+329+343</f>
        <v>2238</v>
      </c>
      <c r="K311">
        <v>8</v>
      </c>
      <c r="L311">
        <v>343</v>
      </c>
      <c r="N311" t="str">
        <f t="shared" si="13"/>
        <v>NA</v>
      </c>
      <c r="O311">
        <v>83.354815000000002</v>
      </c>
      <c r="P311">
        <f t="shared" si="14"/>
        <v>83.354815000000002</v>
      </c>
      <c r="S311">
        <f t="shared" si="15"/>
        <v>10.752091775</v>
      </c>
    </row>
    <row r="312" spans="1:19">
      <c r="A312" s="39">
        <v>41835</v>
      </c>
      <c r="B312" s="7" t="s">
        <v>22</v>
      </c>
      <c r="C312">
        <v>41</v>
      </c>
      <c r="D312" t="s">
        <v>19</v>
      </c>
      <c r="F312">
        <v>0.94</v>
      </c>
      <c r="J312">
        <f>53+92+107+170+178</f>
        <v>600</v>
      </c>
      <c r="K312">
        <v>5</v>
      </c>
      <c r="L312">
        <v>178</v>
      </c>
      <c r="N312" t="str">
        <f t="shared" si="13"/>
        <v>NA</v>
      </c>
      <c r="O312">
        <v>0.55660900000000169</v>
      </c>
      <c r="P312">
        <f t="shared" si="14"/>
        <v>0.55660900000000169</v>
      </c>
      <c r="S312">
        <f t="shared" si="15"/>
        <v>0.69397723099999997</v>
      </c>
    </row>
    <row r="313" spans="1:19">
      <c r="A313" s="39">
        <v>41835</v>
      </c>
      <c r="B313" s="7" t="s">
        <v>22</v>
      </c>
      <c r="C313">
        <v>41</v>
      </c>
      <c r="D313" t="s">
        <v>19</v>
      </c>
      <c r="F313">
        <v>3.9</v>
      </c>
      <c r="J313">
        <f>181+235+284+297+329+366</f>
        <v>1692</v>
      </c>
      <c r="K313">
        <v>6</v>
      </c>
      <c r="L313">
        <v>366</v>
      </c>
      <c r="N313" t="str">
        <f t="shared" si="13"/>
        <v>NA</v>
      </c>
      <c r="O313">
        <v>39.280656000000015</v>
      </c>
      <c r="P313">
        <f t="shared" si="14"/>
        <v>39.280656000000015</v>
      </c>
      <c r="S313">
        <f t="shared" si="15"/>
        <v>11.945895974999999</v>
      </c>
    </row>
    <row r="314" spans="1:19">
      <c r="A314" s="39">
        <v>41835</v>
      </c>
      <c r="B314" s="7" t="s">
        <v>22</v>
      </c>
      <c r="C314">
        <v>41</v>
      </c>
      <c r="D314" t="s">
        <v>19</v>
      </c>
      <c r="F314">
        <v>2.7</v>
      </c>
      <c r="J314">
        <f>185+308+310+359+387+492</f>
        <v>2041</v>
      </c>
      <c r="K314">
        <v>6</v>
      </c>
      <c r="L314">
        <v>492</v>
      </c>
      <c r="N314" t="str">
        <f t="shared" si="13"/>
        <v>NA</v>
      </c>
      <c r="O314">
        <v>34.044281000000019</v>
      </c>
      <c r="P314">
        <f t="shared" si="14"/>
        <v>34.044281000000019</v>
      </c>
      <c r="S314">
        <f t="shared" si="15"/>
        <v>5.7255477750000008</v>
      </c>
    </row>
    <row r="315" spans="1:19">
      <c r="A315" s="39">
        <v>41835</v>
      </c>
      <c r="B315" s="7" t="s">
        <v>22</v>
      </c>
      <c r="C315">
        <v>41</v>
      </c>
      <c r="D315" t="s">
        <v>19</v>
      </c>
      <c r="F315">
        <v>1.67</v>
      </c>
      <c r="J315">
        <f>176+229+243+273+301</f>
        <v>1222</v>
      </c>
      <c r="K315">
        <v>5</v>
      </c>
      <c r="L315">
        <v>301</v>
      </c>
      <c r="N315" t="str">
        <f t="shared" si="13"/>
        <v>NA</v>
      </c>
      <c r="O315">
        <v>21.819084000000011</v>
      </c>
      <c r="P315">
        <f t="shared" si="14"/>
        <v>21.819084000000011</v>
      </c>
      <c r="S315">
        <f t="shared" si="15"/>
        <v>2.1903950877499998</v>
      </c>
    </row>
    <row r="316" spans="1:19">
      <c r="A316" s="10">
        <v>41843</v>
      </c>
      <c r="B316" s="7" t="s">
        <v>23</v>
      </c>
      <c r="C316">
        <v>7</v>
      </c>
      <c r="D316" t="s">
        <v>62</v>
      </c>
      <c r="E316">
        <v>166</v>
      </c>
      <c r="F316">
        <v>1.74</v>
      </c>
      <c r="N316">
        <f t="shared" si="13"/>
        <v>131.575444062</v>
      </c>
      <c r="O316">
        <v>7.0468330000000003</v>
      </c>
      <c r="P316">
        <f t="shared" si="14"/>
        <v>7.0468330000000003</v>
      </c>
      <c r="S316">
        <f t="shared" si="15"/>
        <v>2.3778694709999999</v>
      </c>
    </row>
    <row r="317" spans="1:19">
      <c r="A317" s="10">
        <v>41843</v>
      </c>
      <c r="B317" s="7" t="s">
        <v>23</v>
      </c>
      <c r="C317">
        <v>7</v>
      </c>
      <c r="D317" t="s">
        <v>62</v>
      </c>
      <c r="E317">
        <v>48</v>
      </c>
      <c r="F317">
        <v>1.35</v>
      </c>
      <c r="N317">
        <f t="shared" si="13"/>
        <v>22.902191100000003</v>
      </c>
      <c r="O317" t="s">
        <v>64</v>
      </c>
      <c r="P317" t="str">
        <f t="shared" si="14"/>
        <v xml:space="preserve"> </v>
      </c>
      <c r="S317">
        <f t="shared" si="15"/>
        <v>1.4313869437500002</v>
      </c>
    </row>
    <row r="318" spans="1:19">
      <c r="A318" s="10">
        <v>41843</v>
      </c>
      <c r="B318" s="7" t="s">
        <v>23</v>
      </c>
      <c r="C318">
        <v>7</v>
      </c>
      <c r="D318" t="s">
        <v>62</v>
      </c>
      <c r="E318">
        <v>227</v>
      </c>
      <c r="F318">
        <v>1.42</v>
      </c>
      <c r="N318">
        <f t="shared" si="13"/>
        <v>119.83144760433333</v>
      </c>
      <c r="O318">
        <v>11.323238</v>
      </c>
      <c r="P318">
        <f t="shared" si="14"/>
        <v>11.323238</v>
      </c>
      <c r="S318">
        <f t="shared" si="15"/>
        <v>1.5836755189999998</v>
      </c>
    </row>
    <row r="319" spans="1:19">
      <c r="A319" s="10">
        <v>41843</v>
      </c>
      <c r="B319" s="7" t="s">
        <v>23</v>
      </c>
      <c r="C319">
        <v>7</v>
      </c>
      <c r="D319" t="s">
        <v>62</v>
      </c>
      <c r="E319">
        <v>237</v>
      </c>
      <c r="F319">
        <v>1.84</v>
      </c>
      <c r="N319">
        <f t="shared" si="13"/>
        <v>210.064300304</v>
      </c>
      <c r="O319">
        <v>12.024288000000002</v>
      </c>
      <c r="P319">
        <f t="shared" si="14"/>
        <v>12.024288000000002</v>
      </c>
      <c r="S319">
        <f t="shared" si="15"/>
        <v>2.659041776</v>
      </c>
    </row>
    <row r="320" spans="1:19">
      <c r="A320" s="10">
        <v>41843</v>
      </c>
      <c r="B320" s="7" t="s">
        <v>23</v>
      </c>
      <c r="C320">
        <v>7</v>
      </c>
      <c r="D320" t="s">
        <v>62</v>
      </c>
      <c r="E320">
        <v>146</v>
      </c>
      <c r="F320">
        <v>1.83</v>
      </c>
      <c r="N320">
        <f t="shared" si="13"/>
        <v>128.0039274705</v>
      </c>
      <c r="O320">
        <v>5.6447329999999996</v>
      </c>
      <c r="P320">
        <f t="shared" si="14"/>
        <v>5.6447329999999996</v>
      </c>
      <c r="S320">
        <f t="shared" si="15"/>
        <v>2.6302176877500001</v>
      </c>
    </row>
    <row r="321" spans="1:19">
      <c r="A321" s="10">
        <v>41843</v>
      </c>
      <c r="B321" s="7" t="s">
        <v>23</v>
      </c>
      <c r="C321">
        <v>7</v>
      </c>
      <c r="D321" t="s">
        <v>62</v>
      </c>
      <c r="E321">
        <v>129</v>
      </c>
      <c r="F321">
        <v>1.24</v>
      </c>
      <c r="N321">
        <f t="shared" si="13"/>
        <v>51.927969427999997</v>
      </c>
      <c r="O321">
        <v>4.4529480000000001</v>
      </c>
      <c r="P321">
        <f t="shared" si="14"/>
        <v>4.4529480000000001</v>
      </c>
      <c r="S321">
        <f t="shared" si="15"/>
        <v>1.207627196</v>
      </c>
    </row>
    <row r="322" spans="1:19">
      <c r="A322" s="10">
        <v>41843</v>
      </c>
      <c r="B322" s="7" t="s">
        <v>23</v>
      </c>
      <c r="C322">
        <v>7</v>
      </c>
      <c r="D322" t="s">
        <v>62</v>
      </c>
      <c r="E322">
        <v>158</v>
      </c>
      <c r="F322">
        <v>1.1499999999999999</v>
      </c>
      <c r="N322">
        <f t="shared" si="13"/>
        <v>54.704244870833321</v>
      </c>
      <c r="O322">
        <v>6.4859929999999997</v>
      </c>
      <c r="P322">
        <f t="shared" si="14"/>
        <v>6.4859929999999997</v>
      </c>
      <c r="S322">
        <f t="shared" si="15"/>
        <v>1.0386881937499999</v>
      </c>
    </row>
    <row r="323" spans="1:19">
      <c r="A323" s="10">
        <v>41843</v>
      </c>
      <c r="B323" s="7" t="s">
        <v>23</v>
      </c>
      <c r="C323">
        <v>7</v>
      </c>
      <c r="D323" t="s">
        <v>62</v>
      </c>
      <c r="E323">
        <v>140</v>
      </c>
      <c r="F323">
        <v>2.1</v>
      </c>
      <c r="G323">
        <v>6</v>
      </c>
      <c r="N323">
        <f t="shared" si="13"/>
        <v>161.6348055</v>
      </c>
      <c r="O323">
        <v>10.59578020842495</v>
      </c>
      <c r="P323">
        <f t="shared" si="14"/>
        <v>10.59578020842495</v>
      </c>
      <c r="S323">
        <f t="shared" si="15"/>
        <v>3.4636029750000001</v>
      </c>
    </row>
    <row r="324" spans="1:19">
      <c r="A324" s="10">
        <v>41843</v>
      </c>
      <c r="B324" s="7" t="s">
        <v>23</v>
      </c>
      <c r="C324">
        <v>7</v>
      </c>
      <c r="D324" t="s">
        <v>19</v>
      </c>
      <c r="F324">
        <v>4.74</v>
      </c>
      <c r="J324">
        <f>66+124+183+196+240+260</f>
        <v>1069</v>
      </c>
      <c r="K324">
        <v>6</v>
      </c>
      <c r="L324">
        <v>260</v>
      </c>
      <c r="N324" t="str">
        <f t="shared" si="13"/>
        <v>NA</v>
      </c>
      <c r="O324">
        <v>12.803260999999999</v>
      </c>
      <c r="P324">
        <f t="shared" si="14"/>
        <v>12.803260999999999</v>
      </c>
      <c r="S324">
        <f t="shared" si="15"/>
        <v>17.645996871000001</v>
      </c>
    </row>
    <row r="325" spans="1:19">
      <c r="A325" s="10">
        <v>41843</v>
      </c>
      <c r="B325" s="7" t="s">
        <v>23</v>
      </c>
      <c r="C325">
        <v>14</v>
      </c>
      <c r="D325" t="s">
        <v>60</v>
      </c>
      <c r="E325">
        <v>243</v>
      </c>
      <c r="F325">
        <v>2.68</v>
      </c>
      <c r="H325">
        <v>41.5</v>
      </c>
      <c r="I325">
        <v>2.5</v>
      </c>
      <c r="N325" t="str">
        <f t="shared" ref="N325:N388" si="16">IF(OR(D325="S. acutus", D325="S. tabernaemontani", D325="S. californicus"),(1/3)*(3.14159)*((F325/2)^2)*E325,"NA")</f>
        <v>NA</v>
      </c>
      <c r="O325">
        <v>109.57349746</v>
      </c>
      <c r="P325">
        <f t="shared" ref="P325:P388" si="17">IF(O325&gt;0,O325," ")</f>
        <v>109.57349746</v>
      </c>
      <c r="S325">
        <f t="shared" ref="S325:S388" si="18">3.14159*((F325/2)^2)</f>
        <v>5.6410390040000005</v>
      </c>
    </row>
    <row r="326" spans="1:19">
      <c r="A326" s="10">
        <v>41843</v>
      </c>
      <c r="B326" s="7" t="s">
        <v>23</v>
      </c>
      <c r="C326">
        <v>14</v>
      </c>
      <c r="D326" t="s">
        <v>19</v>
      </c>
      <c r="F326">
        <v>2.48</v>
      </c>
      <c r="J326">
        <f>92+127+146+161+176+189+194</f>
        <v>1085</v>
      </c>
      <c r="K326">
        <v>7</v>
      </c>
      <c r="L326">
        <v>194</v>
      </c>
      <c r="N326" t="str">
        <f t="shared" si="16"/>
        <v>NA</v>
      </c>
      <c r="O326">
        <v>27.163158000000003</v>
      </c>
      <c r="P326">
        <f t="shared" si="17"/>
        <v>27.163158000000003</v>
      </c>
      <c r="S326">
        <f t="shared" si="18"/>
        <v>4.8305087840000001</v>
      </c>
    </row>
    <row r="327" spans="1:19">
      <c r="A327" s="10">
        <v>41843</v>
      </c>
      <c r="B327" s="7" t="s">
        <v>23</v>
      </c>
      <c r="C327">
        <v>14</v>
      </c>
      <c r="D327" t="s">
        <v>19</v>
      </c>
      <c r="F327">
        <v>3.99</v>
      </c>
      <c r="J327">
        <f>124+216+265+264+294+224+262+280+284</f>
        <v>2213</v>
      </c>
      <c r="K327">
        <v>9</v>
      </c>
      <c r="L327">
        <v>294</v>
      </c>
      <c r="N327" t="str">
        <f t="shared" si="16"/>
        <v>NA</v>
      </c>
      <c r="O327">
        <v>88.749592000000007</v>
      </c>
      <c r="P327">
        <f t="shared" si="17"/>
        <v>88.749592000000007</v>
      </c>
      <c r="S327">
        <f t="shared" si="18"/>
        <v>12.503606739750001</v>
      </c>
    </row>
    <row r="328" spans="1:19">
      <c r="A328" s="10">
        <v>41843</v>
      </c>
      <c r="B328" s="7" t="s">
        <v>23</v>
      </c>
      <c r="C328">
        <v>14</v>
      </c>
      <c r="D328" t="s">
        <v>19</v>
      </c>
      <c r="F328">
        <v>3.8</v>
      </c>
      <c r="J328">
        <f>57+158+205+222+311+321</f>
        <v>1274</v>
      </c>
      <c r="K328">
        <v>6</v>
      </c>
      <c r="L328">
        <v>321</v>
      </c>
      <c r="N328" t="str">
        <f t="shared" si="16"/>
        <v>NA</v>
      </c>
      <c r="O328">
        <v>13.64709100000001</v>
      </c>
      <c r="P328">
        <f t="shared" si="17"/>
        <v>13.64709100000001</v>
      </c>
      <c r="S328">
        <f t="shared" si="18"/>
        <v>11.3411399</v>
      </c>
    </row>
    <row r="329" spans="1:19">
      <c r="A329" s="10">
        <v>41843</v>
      </c>
      <c r="B329" s="7" t="s">
        <v>23</v>
      </c>
      <c r="C329">
        <v>14</v>
      </c>
      <c r="D329" t="s">
        <v>19</v>
      </c>
      <c r="F329">
        <v>2.38</v>
      </c>
      <c r="J329">
        <f>90+65+171+170+214</f>
        <v>710</v>
      </c>
      <c r="K329">
        <v>5</v>
      </c>
      <c r="L329">
        <v>214</v>
      </c>
      <c r="N329" t="str">
        <f t="shared" si="16"/>
        <v>NA</v>
      </c>
      <c r="O329">
        <v>2.4839000000000055E-2</v>
      </c>
      <c r="P329">
        <f t="shared" si="17"/>
        <v>2.4839000000000055E-2</v>
      </c>
      <c r="S329">
        <f t="shared" si="18"/>
        <v>4.4488055989999999</v>
      </c>
    </row>
    <row r="330" spans="1:19">
      <c r="A330" s="10">
        <v>41843</v>
      </c>
      <c r="B330" s="7" t="s">
        <v>23</v>
      </c>
      <c r="C330">
        <v>14</v>
      </c>
      <c r="D330" t="s">
        <v>19</v>
      </c>
      <c r="F330">
        <v>4.87</v>
      </c>
      <c r="J330">
        <f>118+199+268+256+265+313+317+311</f>
        <v>2047</v>
      </c>
      <c r="K330">
        <v>8</v>
      </c>
      <c r="L330">
        <v>317</v>
      </c>
      <c r="N330" t="str">
        <f t="shared" si="16"/>
        <v>NA</v>
      </c>
      <c r="O330">
        <v>73.279980000000023</v>
      </c>
      <c r="P330">
        <f t="shared" si="17"/>
        <v>73.279980000000023</v>
      </c>
      <c r="S330">
        <f t="shared" si="18"/>
        <v>18.627193967750003</v>
      </c>
    </row>
    <row r="331" spans="1:19">
      <c r="A331" s="10">
        <v>41843</v>
      </c>
      <c r="B331" s="7" t="s">
        <v>23</v>
      </c>
      <c r="C331">
        <v>14</v>
      </c>
      <c r="D331" t="s">
        <v>19</v>
      </c>
      <c r="F331">
        <v>1.98</v>
      </c>
      <c r="J331">
        <f>76+147+215</f>
        <v>438</v>
      </c>
      <c r="K331">
        <v>3</v>
      </c>
      <c r="L331">
        <v>215</v>
      </c>
      <c r="N331" t="str">
        <f t="shared" si="16"/>
        <v>NA</v>
      </c>
      <c r="O331" t="s">
        <v>64</v>
      </c>
      <c r="P331" t="str">
        <f t="shared" si="17"/>
        <v xml:space="preserve"> </v>
      </c>
      <c r="S331">
        <f t="shared" si="18"/>
        <v>3.079072359</v>
      </c>
    </row>
    <row r="332" spans="1:19">
      <c r="A332" s="10">
        <v>41843</v>
      </c>
      <c r="B332" s="7" t="s">
        <v>23</v>
      </c>
      <c r="C332">
        <v>14</v>
      </c>
      <c r="D332" t="s">
        <v>19</v>
      </c>
      <c r="F332">
        <v>6.68</v>
      </c>
      <c r="J332">
        <f>148+214+260+282+284+309+332+328</f>
        <v>2157</v>
      </c>
      <c r="K332">
        <v>8</v>
      </c>
      <c r="L332">
        <v>332</v>
      </c>
      <c r="N332" t="str">
        <f t="shared" si="16"/>
        <v>NA</v>
      </c>
      <c r="O332">
        <v>79.074354999999997</v>
      </c>
      <c r="P332">
        <f t="shared" si="17"/>
        <v>79.074354999999997</v>
      </c>
      <c r="S332">
        <f t="shared" si="18"/>
        <v>35.046321403999997</v>
      </c>
    </row>
    <row r="333" spans="1:19">
      <c r="A333" s="10">
        <v>41843</v>
      </c>
      <c r="B333" s="7" t="s">
        <v>23</v>
      </c>
      <c r="C333">
        <v>14</v>
      </c>
      <c r="D333" t="s">
        <v>19</v>
      </c>
      <c r="F333">
        <v>5.78</v>
      </c>
      <c r="J333">
        <f>86+182+204+258+257+272+294+305+320+326</f>
        <v>2504</v>
      </c>
      <c r="K333">
        <v>10</v>
      </c>
      <c r="L333">
        <v>326</v>
      </c>
      <c r="N333" t="str">
        <f t="shared" si="16"/>
        <v>NA</v>
      </c>
      <c r="O333">
        <v>99.370104000000026</v>
      </c>
      <c r="P333">
        <f t="shared" si="17"/>
        <v>99.370104000000026</v>
      </c>
      <c r="S333">
        <f t="shared" si="18"/>
        <v>26.238873839</v>
      </c>
    </row>
    <row r="334" spans="1:19">
      <c r="A334" s="10">
        <v>41843</v>
      </c>
      <c r="B334" s="7" t="s">
        <v>23</v>
      </c>
      <c r="C334">
        <v>17</v>
      </c>
      <c r="D334" t="s">
        <v>19</v>
      </c>
      <c r="F334">
        <v>6.3</v>
      </c>
      <c r="J334">
        <f>141+160+169+172+198+197+197+194</f>
        <v>1428</v>
      </c>
      <c r="K334">
        <v>8</v>
      </c>
      <c r="L334">
        <v>198</v>
      </c>
      <c r="N334" t="str">
        <f t="shared" si="16"/>
        <v>NA</v>
      </c>
      <c r="O334">
        <v>51.093790000000027</v>
      </c>
      <c r="P334">
        <f t="shared" si="17"/>
        <v>51.093790000000027</v>
      </c>
      <c r="S334">
        <f t="shared" si="18"/>
        <v>31.172426774999998</v>
      </c>
    </row>
    <row r="335" spans="1:19">
      <c r="A335" s="10">
        <v>41843</v>
      </c>
      <c r="B335" s="7" t="s">
        <v>23</v>
      </c>
      <c r="C335">
        <v>17</v>
      </c>
      <c r="D335" t="s">
        <v>19</v>
      </c>
      <c r="F335">
        <v>2.76</v>
      </c>
      <c r="J335">
        <f>77+97+132+140</f>
        <v>446</v>
      </c>
      <c r="K335">
        <v>4</v>
      </c>
      <c r="L335">
        <v>140</v>
      </c>
      <c r="N335" t="str">
        <f t="shared" si="16"/>
        <v>NA</v>
      </c>
      <c r="O335">
        <v>4.5880020000000066</v>
      </c>
      <c r="P335">
        <f t="shared" si="17"/>
        <v>4.5880020000000066</v>
      </c>
      <c r="S335">
        <f t="shared" si="18"/>
        <v>5.9828439959999988</v>
      </c>
    </row>
    <row r="336" spans="1:19">
      <c r="A336" s="10">
        <v>41843</v>
      </c>
      <c r="B336" s="7" t="s">
        <v>23</v>
      </c>
      <c r="C336">
        <v>17</v>
      </c>
      <c r="D336" t="s">
        <v>19</v>
      </c>
      <c r="F336">
        <v>1.67</v>
      </c>
      <c r="J336">
        <f>33+20+99</f>
        <v>152</v>
      </c>
      <c r="K336">
        <v>3</v>
      </c>
      <c r="L336">
        <v>99</v>
      </c>
      <c r="N336" t="str">
        <f t="shared" si="16"/>
        <v>NA</v>
      </c>
      <c r="O336" t="s">
        <v>64</v>
      </c>
      <c r="P336" t="str">
        <f t="shared" si="17"/>
        <v xml:space="preserve"> </v>
      </c>
      <c r="S336">
        <f t="shared" si="18"/>
        <v>2.1903950877499998</v>
      </c>
    </row>
    <row r="337" spans="1:19">
      <c r="A337" s="10">
        <v>41843</v>
      </c>
      <c r="B337" s="7" t="s">
        <v>23</v>
      </c>
      <c r="C337">
        <v>17</v>
      </c>
      <c r="D337" t="s">
        <v>19</v>
      </c>
      <c r="F337">
        <v>1.43</v>
      </c>
      <c r="J337">
        <v>170</v>
      </c>
      <c r="K337">
        <v>1</v>
      </c>
      <c r="L337">
        <v>170</v>
      </c>
      <c r="N337" t="str">
        <f t="shared" si="16"/>
        <v>NA</v>
      </c>
      <c r="O337" t="s">
        <v>64</v>
      </c>
      <c r="P337" t="str">
        <f t="shared" si="17"/>
        <v xml:space="preserve"> </v>
      </c>
      <c r="S337">
        <f t="shared" si="18"/>
        <v>1.6060593477499998</v>
      </c>
    </row>
    <row r="338" spans="1:19">
      <c r="A338" s="10">
        <v>41843</v>
      </c>
      <c r="B338" s="7" t="s">
        <v>23</v>
      </c>
      <c r="C338">
        <v>30</v>
      </c>
      <c r="D338" t="s">
        <v>19</v>
      </c>
      <c r="F338">
        <v>5.69</v>
      </c>
      <c r="J338">
        <f>87+93+139+139+137+193+210+219</f>
        <v>1217</v>
      </c>
      <c r="K338">
        <v>8</v>
      </c>
      <c r="L338">
        <v>219</v>
      </c>
      <c r="N338" t="str">
        <f t="shared" si="16"/>
        <v>NA</v>
      </c>
      <c r="O338">
        <v>24.985340000000008</v>
      </c>
      <c r="P338">
        <f t="shared" si="17"/>
        <v>24.985340000000008</v>
      </c>
      <c r="S338">
        <f t="shared" si="18"/>
        <v>25.428107999750001</v>
      </c>
    </row>
    <row r="339" spans="1:19">
      <c r="A339" s="10">
        <v>41843</v>
      </c>
      <c r="B339" s="7" t="s">
        <v>23</v>
      </c>
      <c r="C339">
        <v>40</v>
      </c>
      <c r="D339" t="s">
        <v>19</v>
      </c>
      <c r="F339">
        <v>4.47</v>
      </c>
      <c r="J339">
        <f>137+155+186+187+205+235+231</f>
        <v>1336</v>
      </c>
      <c r="K339">
        <v>7</v>
      </c>
      <c r="L339">
        <v>235</v>
      </c>
      <c r="N339" t="str">
        <f t="shared" si="16"/>
        <v>NA</v>
      </c>
      <c r="O339">
        <v>38.344618000000004</v>
      </c>
      <c r="P339">
        <f t="shared" si="17"/>
        <v>38.344618000000004</v>
      </c>
      <c r="S339">
        <f t="shared" si="18"/>
        <v>15.692948907749997</v>
      </c>
    </row>
    <row r="340" spans="1:19">
      <c r="A340" s="10">
        <v>41843</v>
      </c>
      <c r="B340" s="7" t="s">
        <v>23</v>
      </c>
      <c r="C340">
        <v>40</v>
      </c>
      <c r="D340" t="s">
        <v>19</v>
      </c>
      <c r="F340">
        <v>0.35</v>
      </c>
      <c r="J340">
        <f>121+164+192+60</f>
        <v>537</v>
      </c>
      <c r="K340">
        <v>4</v>
      </c>
      <c r="L340">
        <v>192</v>
      </c>
      <c r="N340" t="str">
        <f t="shared" si="16"/>
        <v>NA</v>
      </c>
      <c r="O340" t="s">
        <v>64</v>
      </c>
      <c r="P340" t="str">
        <f t="shared" si="17"/>
        <v xml:space="preserve"> </v>
      </c>
      <c r="S340">
        <f t="shared" si="18"/>
        <v>9.6211193749999979E-2</v>
      </c>
    </row>
    <row r="341" spans="1:19">
      <c r="A341" s="10">
        <v>41843</v>
      </c>
      <c r="B341" s="7" t="s">
        <v>23</v>
      </c>
      <c r="C341">
        <v>40</v>
      </c>
      <c r="D341" t="s">
        <v>19</v>
      </c>
      <c r="F341">
        <v>6.45</v>
      </c>
      <c r="J341">
        <f>63+130+230+250+273+285+291+296</f>
        <v>1818</v>
      </c>
      <c r="K341">
        <v>8</v>
      </c>
      <c r="L341">
        <v>296</v>
      </c>
      <c r="N341" t="str">
        <f t="shared" si="16"/>
        <v>NA</v>
      </c>
      <c r="O341">
        <v>58.136230000000019</v>
      </c>
      <c r="P341">
        <f t="shared" si="17"/>
        <v>58.136230000000019</v>
      </c>
      <c r="S341">
        <f t="shared" si="18"/>
        <v>32.674499493749998</v>
      </c>
    </row>
    <row r="342" spans="1:19">
      <c r="A342" s="10">
        <v>41843</v>
      </c>
      <c r="B342" s="7" t="s">
        <v>23</v>
      </c>
      <c r="C342">
        <v>40</v>
      </c>
      <c r="D342" t="s">
        <v>19</v>
      </c>
      <c r="F342">
        <v>6.68</v>
      </c>
      <c r="J342">
        <f>84+137+220+263+283+284+298</f>
        <v>1569</v>
      </c>
      <c r="K342">
        <v>7</v>
      </c>
      <c r="L342">
        <v>298</v>
      </c>
      <c r="N342" t="str">
        <f t="shared" si="16"/>
        <v>NA</v>
      </c>
      <c r="O342">
        <v>41.211098000000014</v>
      </c>
      <c r="P342">
        <f t="shared" si="17"/>
        <v>41.211098000000014</v>
      </c>
      <c r="S342">
        <f t="shared" si="18"/>
        <v>35.046321403999997</v>
      </c>
    </row>
    <row r="343" spans="1:19">
      <c r="A343" s="10">
        <v>41843</v>
      </c>
      <c r="B343" s="7" t="s">
        <v>23</v>
      </c>
      <c r="C343">
        <v>40</v>
      </c>
      <c r="D343" t="s">
        <v>19</v>
      </c>
      <c r="F343">
        <v>7.56</v>
      </c>
      <c r="J343">
        <f>98+125+160+268+298+314+331</f>
        <v>1594</v>
      </c>
      <c r="K343">
        <v>7</v>
      </c>
      <c r="L343">
        <v>331</v>
      </c>
      <c r="N343" t="str">
        <f t="shared" si="16"/>
        <v>NA</v>
      </c>
      <c r="O343">
        <v>33.61388800000001</v>
      </c>
      <c r="P343">
        <f t="shared" si="17"/>
        <v>33.61388800000001</v>
      </c>
      <c r="S343">
        <f t="shared" si="18"/>
        <v>44.888294555999998</v>
      </c>
    </row>
    <row r="344" spans="1:19">
      <c r="A344" s="9">
        <v>41850</v>
      </c>
      <c r="B344" s="7" t="s">
        <v>24</v>
      </c>
      <c r="C344">
        <v>10</v>
      </c>
      <c r="D344" t="s">
        <v>62</v>
      </c>
      <c r="E344">
        <v>227</v>
      </c>
      <c r="F344">
        <v>1.29</v>
      </c>
      <c r="N344">
        <f t="shared" si="16"/>
        <v>98.89481846775</v>
      </c>
      <c r="O344">
        <v>11.323238</v>
      </c>
      <c r="P344">
        <f t="shared" si="17"/>
        <v>11.323238</v>
      </c>
      <c r="S344">
        <f t="shared" si="18"/>
        <v>1.3069799797500001</v>
      </c>
    </row>
    <row r="345" spans="1:19">
      <c r="A345" s="9">
        <v>41850</v>
      </c>
      <c r="B345" s="7" t="s">
        <v>24</v>
      </c>
      <c r="C345">
        <v>10</v>
      </c>
      <c r="D345" t="s">
        <v>62</v>
      </c>
      <c r="E345">
        <v>217</v>
      </c>
      <c r="F345">
        <v>1.7</v>
      </c>
      <c r="N345">
        <f t="shared" si="16"/>
        <v>164.18211139166661</v>
      </c>
      <c r="O345">
        <v>10.622188000000001</v>
      </c>
      <c r="P345">
        <f t="shared" si="17"/>
        <v>10.622188000000001</v>
      </c>
      <c r="S345">
        <f t="shared" si="18"/>
        <v>2.2697987749999995</v>
      </c>
    </row>
    <row r="346" spans="1:19">
      <c r="A346" s="9">
        <v>41850</v>
      </c>
      <c r="B346" s="7" t="s">
        <v>24</v>
      </c>
      <c r="C346">
        <v>10</v>
      </c>
      <c r="D346" t="s">
        <v>62</v>
      </c>
      <c r="E346">
        <v>337</v>
      </c>
      <c r="F346">
        <v>2.21</v>
      </c>
      <c r="N346">
        <f t="shared" si="16"/>
        <v>430.90616544191664</v>
      </c>
      <c r="O346">
        <v>19.034788000000002</v>
      </c>
      <c r="P346">
        <f t="shared" si="17"/>
        <v>19.034788000000002</v>
      </c>
      <c r="S346">
        <f t="shared" si="18"/>
        <v>3.83595992975</v>
      </c>
    </row>
    <row r="347" spans="1:19">
      <c r="A347" s="9">
        <v>41850</v>
      </c>
      <c r="B347" s="7" t="s">
        <v>24</v>
      </c>
      <c r="C347">
        <v>10</v>
      </c>
      <c r="D347" t="s">
        <v>62</v>
      </c>
      <c r="E347">
        <v>149</v>
      </c>
      <c r="F347">
        <v>0.94</v>
      </c>
      <c r="N347">
        <f t="shared" si="16"/>
        <v>34.467535806333331</v>
      </c>
      <c r="O347">
        <v>5.8550480000000009</v>
      </c>
      <c r="P347">
        <f t="shared" si="17"/>
        <v>5.8550480000000009</v>
      </c>
      <c r="S347">
        <f t="shared" si="18"/>
        <v>0.69397723099999997</v>
      </c>
    </row>
    <row r="348" spans="1:19">
      <c r="A348" s="9">
        <v>41850</v>
      </c>
      <c r="B348" s="7" t="s">
        <v>24</v>
      </c>
      <c r="C348">
        <v>10</v>
      </c>
      <c r="D348" t="s">
        <v>62</v>
      </c>
      <c r="E348">
        <v>135</v>
      </c>
      <c r="F348">
        <v>1</v>
      </c>
      <c r="N348">
        <f t="shared" si="16"/>
        <v>35.342887499999996</v>
      </c>
      <c r="O348">
        <v>4.8735780000000011</v>
      </c>
      <c r="P348">
        <f t="shared" si="17"/>
        <v>4.8735780000000011</v>
      </c>
      <c r="S348">
        <f t="shared" si="18"/>
        <v>0.78539749999999997</v>
      </c>
    </row>
    <row r="349" spans="1:19">
      <c r="A349" s="9">
        <v>41850</v>
      </c>
      <c r="B349" s="7" t="s">
        <v>24</v>
      </c>
      <c r="C349">
        <v>10</v>
      </c>
      <c r="D349" t="s">
        <v>62</v>
      </c>
      <c r="E349">
        <v>294</v>
      </c>
      <c r="F349">
        <v>1.82</v>
      </c>
      <c r="G349">
        <v>5</v>
      </c>
      <c r="N349">
        <f t="shared" si="16"/>
        <v>254.95196654199998</v>
      </c>
      <c r="O349">
        <v>19.530770179422287</v>
      </c>
      <c r="P349">
        <f t="shared" si="17"/>
        <v>19.530770179422287</v>
      </c>
      <c r="S349">
        <f t="shared" si="18"/>
        <v>2.6015506790000003</v>
      </c>
    </row>
    <row r="350" spans="1:19">
      <c r="A350" s="9">
        <v>41850</v>
      </c>
      <c r="B350" s="7" t="s">
        <v>24</v>
      </c>
      <c r="C350">
        <v>10</v>
      </c>
      <c r="D350" t="s">
        <v>62</v>
      </c>
      <c r="E350">
        <v>204</v>
      </c>
      <c r="F350">
        <v>1.5</v>
      </c>
      <c r="N350">
        <f t="shared" si="16"/>
        <v>120.16581749999999</v>
      </c>
      <c r="O350">
        <v>9.7108230000000013</v>
      </c>
      <c r="P350">
        <f t="shared" si="17"/>
        <v>9.7108230000000013</v>
      </c>
      <c r="S350">
        <f t="shared" si="18"/>
        <v>1.767144375</v>
      </c>
    </row>
    <row r="351" spans="1:19">
      <c r="A351" s="9">
        <v>41850</v>
      </c>
      <c r="B351" s="7" t="s">
        <v>24</v>
      </c>
      <c r="C351">
        <v>10</v>
      </c>
      <c r="D351" t="s">
        <v>62</v>
      </c>
      <c r="E351">
        <v>125</v>
      </c>
      <c r="F351">
        <v>0.83</v>
      </c>
      <c r="N351">
        <f t="shared" si="16"/>
        <v>22.544180739583329</v>
      </c>
      <c r="O351">
        <v>4.1725280000000007</v>
      </c>
      <c r="P351">
        <f t="shared" si="17"/>
        <v>4.1725280000000007</v>
      </c>
      <c r="S351">
        <f t="shared" si="18"/>
        <v>0.54106033774999995</v>
      </c>
    </row>
    <row r="352" spans="1:19">
      <c r="A352" s="9">
        <v>41850</v>
      </c>
      <c r="B352" s="7" t="s">
        <v>24</v>
      </c>
      <c r="C352">
        <v>10</v>
      </c>
      <c r="D352" t="s">
        <v>62</v>
      </c>
      <c r="E352">
        <v>64</v>
      </c>
      <c r="F352">
        <v>1.52</v>
      </c>
      <c r="N352">
        <f t="shared" si="16"/>
        <v>38.711090858666665</v>
      </c>
      <c r="O352" t="s">
        <v>64</v>
      </c>
      <c r="P352" t="str">
        <f t="shared" si="17"/>
        <v xml:space="preserve"> </v>
      </c>
      <c r="S352">
        <f t="shared" si="18"/>
        <v>1.8145823839999999</v>
      </c>
    </row>
    <row r="353" spans="1:19">
      <c r="A353" s="9">
        <v>41850</v>
      </c>
      <c r="B353" s="7" t="s">
        <v>24</v>
      </c>
      <c r="C353">
        <v>10</v>
      </c>
      <c r="D353" t="s">
        <v>62</v>
      </c>
      <c r="E353">
        <v>171</v>
      </c>
      <c r="F353">
        <v>2.14</v>
      </c>
      <c r="G353">
        <v>3</v>
      </c>
      <c r="N353">
        <f t="shared" si="16"/>
        <v>205.01796428699996</v>
      </c>
      <c r="O353">
        <v>13.186477066209257</v>
      </c>
      <c r="P353">
        <f t="shared" si="17"/>
        <v>13.186477066209257</v>
      </c>
      <c r="S353">
        <f t="shared" si="18"/>
        <v>3.5968063909999999</v>
      </c>
    </row>
    <row r="354" spans="1:19">
      <c r="A354" s="9">
        <v>41850</v>
      </c>
      <c r="B354" s="7" t="s">
        <v>24</v>
      </c>
      <c r="C354">
        <v>10</v>
      </c>
      <c r="D354" t="s">
        <v>62</v>
      </c>
      <c r="E354">
        <v>90</v>
      </c>
      <c r="F354">
        <v>2.4</v>
      </c>
      <c r="N354">
        <f t="shared" si="16"/>
        <v>135.71668799999998</v>
      </c>
      <c r="O354">
        <v>1.7188530000000002</v>
      </c>
      <c r="P354">
        <f t="shared" si="17"/>
        <v>1.7188530000000002</v>
      </c>
      <c r="S354">
        <f t="shared" si="18"/>
        <v>4.5238895999999995</v>
      </c>
    </row>
    <row r="355" spans="1:19">
      <c r="A355" s="9">
        <v>41850</v>
      </c>
      <c r="B355" s="7" t="s">
        <v>24</v>
      </c>
      <c r="C355">
        <v>10</v>
      </c>
      <c r="D355" t="s">
        <v>62</v>
      </c>
      <c r="E355">
        <v>71</v>
      </c>
      <c r="F355">
        <v>2.21</v>
      </c>
      <c r="N355">
        <f t="shared" si="16"/>
        <v>90.784385004083333</v>
      </c>
      <c r="O355">
        <v>0.38685800000000015</v>
      </c>
      <c r="P355">
        <f t="shared" si="17"/>
        <v>0.38685800000000015</v>
      </c>
      <c r="S355">
        <f t="shared" si="18"/>
        <v>3.83595992975</v>
      </c>
    </row>
    <row r="356" spans="1:19">
      <c r="A356" s="9">
        <v>41850</v>
      </c>
      <c r="B356" s="7" t="s">
        <v>24</v>
      </c>
      <c r="C356">
        <v>10</v>
      </c>
      <c r="D356" t="s">
        <v>62</v>
      </c>
      <c r="E356">
        <v>146</v>
      </c>
      <c r="F356">
        <v>1.38</v>
      </c>
      <c r="N356">
        <f t="shared" si="16"/>
        <v>72.791268617999975</v>
      </c>
      <c r="O356">
        <v>5.6447329999999996</v>
      </c>
      <c r="P356">
        <f t="shared" si="17"/>
        <v>5.6447329999999996</v>
      </c>
      <c r="S356">
        <f t="shared" si="18"/>
        <v>1.4957109989999997</v>
      </c>
    </row>
    <row r="357" spans="1:19">
      <c r="A357" s="9">
        <v>41850</v>
      </c>
      <c r="B357" s="7" t="s">
        <v>24</v>
      </c>
      <c r="C357">
        <v>10</v>
      </c>
      <c r="D357" t="s">
        <v>62</v>
      </c>
      <c r="E357">
        <v>79</v>
      </c>
      <c r="F357">
        <v>1</v>
      </c>
      <c r="N357">
        <f t="shared" si="16"/>
        <v>20.682134166666664</v>
      </c>
      <c r="O357">
        <v>0.94769799999999993</v>
      </c>
      <c r="P357">
        <f t="shared" si="17"/>
        <v>0.94769799999999993</v>
      </c>
      <c r="S357">
        <f t="shared" si="18"/>
        <v>0.78539749999999997</v>
      </c>
    </row>
    <row r="358" spans="1:19">
      <c r="A358" s="9">
        <v>41850</v>
      </c>
      <c r="B358" s="7" t="s">
        <v>24</v>
      </c>
      <c r="C358">
        <v>10</v>
      </c>
      <c r="D358" t="s">
        <v>62</v>
      </c>
      <c r="E358">
        <v>242</v>
      </c>
      <c r="F358">
        <v>1.88</v>
      </c>
      <c r="N358">
        <f t="shared" si="16"/>
        <v>223.92331986933331</v>
      </c>
      <c r="O358">
        <v>12.374813</v>
      </c>
      <c r="P358">
        <f t="shared" si="17"/>
        <v>12.374813</v>
      </c>
      <c r="S358">
        <f t="shared" si="18"/>
        <v>2.7759089239999999</v>
      </c>
    </row>
    <row r="359" spans="1:19">
      <c r="A359" s="9">
        <v>41850</v>
      </c>
      <c r="B359" s="7" t="s">
        <v>24</v>
      </c>
      <c r="C359">
        <v>10</v>
      </c>
      <c r="D359" t="s">
        <v>62</v>
      </c>
      <c r="E359">
        <v>345</v>
      </c>
      <c r="F359">
        <v>1.42</v>
      </c>
      <c r="N359">
        <f t="shared" si="16"/>
        <v>182.122684685</v>
      </c>
      <c r="O359">
        <v>19.595628000000001</v>
      </c>
      <c r="P359">
        <f t="shared" si="17"/>
        <v>19.595628000000001</v>
      </c>
      <c r="S359">
        <f t="shared" si="18"/>
        <v>1.5836755189999998</v>
      </c>
    </row>
    <row r="360" spans="1:19">
      <c r="A360" s="9">
        <v>41850</v>
      </c>
      <c r="B360" s="7" t="s">
        <v>24</v>
      </c>
      <c r="C360">
        <v>27</v>
      </c>
      <c r="D360" t="s">
        <v>62</v>
      </c>
      <c r="E360">
        <v>228</v>
      </c>
      <c r="F360">
        <v>2.15</v>
      </c>
      <c r="G360">
        <v>4</v>
      </c>
      <c r="N360">
        <f t="shared" si="16"/>
        <v>275.91799572499991</v>
      </c>
      <c r="O360">
        <v>17.664426588541147</v>
      </c>
      <c r="P360">
        <f t="shared" si="17"/>
        <v>17.664426588541147</v>
      </c>
      <c r="S360">
        <f t="shared" si="18"/>
        <v>3.6304999437499994</v>
      </c>
    </row>
    <row r="361" spans="1:19">
      <c r="A361" s="9">
        <v>41850</v>
      </c>
      <c r="B361" s="7" t="s">
        <v>24</v>
      </c>
      <c r="C361">
        <v>27</v>
      </c>
      <c r="D361" t="s">
        <v>62</v>
      </c>
      <c r="E361">
        <v>85</v>
      </c>
      <c r="F361">
        <v>0.89</v>
      </c>
      <c r="G361">
        <v>5</v>
      </c>
      <c r="N361">
        <f t="shared" si="16"/>
        <v>17.626545192916666</v>
      </c>
      <c r="O361">
        <v>3.8406941191025905</v>
      </c>
      <c r="P361">
        <f t="shared" si="17"/>
        <v>3.8406941191025905</v>
      </c>
      <c r="S361">
        <f t="shared" si="18"/>
        <v>0.62211335975000004</v>
      </c>
    </row>
    <row r="362" spans="1:19">
      <c r="A362" s="9">
        <v>41850</v>
      </c>
      <c r="B362" s="7" t="s">
        <v>24</v>
      </c>
      <c r="C362">
        <v>27</v>
      </c>
      <c r="D362" t="s">
        <v>62</v>
      </c>
      <c r="E362">
        <v>170</v>
      </c>
      <c r="F362">
        <v>1.83</v>
      </c>
      <c r="N362">
        <f t="shared" si="16"/>
        <v>149.04566897250001</v>
      </c>
      <c r="O362">
        <v>7.3272529999999998</v>
      </c>
      <c r="P362">
        <f t="shared" si="17"/>
        <v>7.3272529999999998</v>
      </c>
      <c r="S362">
        <f t="shared" si="18"/>
        <v>2.6302176877500001</v>
      </c>
    </row>
    <row r="363" spans="1:19">
      <c r="A363" s="9">
        <v>41850</v>
      </c>
      <c r="B363" s="7" t="s">
        <v>24</v>
      </c>
      <c r="C363">
        <v>27</v>
      </c>
      <c r="D363" t="s">
        <v>62</v>
      </c>
      <c r="E363">
        <v>102</v>
      </c>
      <c r="F363">
        <v>1.8</v>
      </c>
      <c r="N363">
        <f t="shared" si="16"/>
        <v>86.519388599999999</v>
      </c>
      <c r="O363">
        <v>2.5601130000000003</v>
      </c>
      <c r="P363">
        <f t="shared" si="17"/>
        <v>2.5601130000000003</v>
      </c>
      <c r="S363">
        <f t="shared" si="18"/>
        <v>2.5446879</v>
      </c>
    </row>
    <row r="364" spans="1:19">
      <c r="A364" s="9">
        <v>41850</v>
      </c>
      <c r="B364" s="7" t="s">
        <v>24</v>
      </c>
      <c r="C364">
        <v>27</v>
      </c>
      <c r="D364" t="s">
        <v>62</v>
      </c>
      <c r="E364">
        <v>45</v>
      </c>
      <c r="F364">
        <v>0.79</v>
      </c>
      <c r="N364">
        <f t="shared" si="16"/>
        <v>7.3524986962500005</v>
      </c>
      <c r="O364" t="s">
        <v>64</v>
      </c>
      <c r="P364" t="str">
        <f t="shared" si="17"/>
        <v xml:space="preserve"> </v>
      </c>
      <c r="S364">
        <f t="shared" si="18"/>
        <v>0.49016657975000005</v>
      </c>
    </row>
    <row r="365" spans="1:19">
      <c r="A365" s="9">
        <v>41850</v>
      </c>
      <c r="B365" s="7" t="s">
        <v>24</v>
      </c>
      <c r="C365">
        <v>27</v>
      </c>
      <c r="D365" t="s">
        <v>62</v>
      </c>
      <c r="E365">
        <v>242</v>
      </c>
      <c r="F365">
        <v>1.68</v>
      </c>
      <c r="G365">
        <v>3</v>
      </c>
      <c r="N365">
        <f t="shared" si="16"/>
        <v>178.81427625599997</v>
      </c>
      <c r="O365">
        <v>15.07669882829183</v>
      </c>
      <c r="P365">
        <f t="shared" si="17"/>
        <v>15.07669882829183</v>
      </c>
      <c r="S365">
        <f t="shared" si="18"/>
        <v>2.2167059039999994</v>
      </c>
    </row>
    <row r="366" spans="1:19">
      <c r="A366" s="9">
        <v>41850</v>
      </c>
      <c r="B366" s="7" t="s">
        <v>24</v>
      </c>
      <c r="C366">
        <v>27</v>
      </c>
      <c r="D366" t="s">
        <v>62</v>
      </c>
      <c r="E366">
        <v>40</v>
      </c>
      <c r="F366">
        <v>0.77</v>
      </c>
      <c r="N366">
        <f t="shared" si="16"/>
        <v>6.2088290366666659</v>
      </c>
      <c r="O366" t="s">
        <v>64</v>
      </c>
      <c r="P366" t="str">
        <f t="shared" si="17"/>
        <v xml:space="preserve"> </v>
      </c>
      <c r="S366">
        <f t="shared" si="18"/>
        <v>0.46566217774999996</v>
      </c>
    </row>
    <row r="367" spans="1:19">
      <c r="A367" s="9">
        <v>41850</v>
      </c>
      <c r="B367" s="7" t="s">
        <v>24</v>
      </c>
      <c r="C367">
        <v>27</v>
      </c>
      <c r="D367" t="s">
        <v>62</v>
      </c>
      <c r="E367">
        <v>312</v>
      </c>
      <c r="F367">
        <v>2.34</v>
      </c>
      <c r="G367">
        <v>2</v>
      </c>
      <c r="N367">
        <f t="shared" si="16"/>
        <v>447.25434530399986</v>
      </c>
      <c r="O367">
        <v>26.416207647699569</v>
      </c>
      <c r="P367">
        <f t="shared" si="17"/>
        <v>26.416207647699569</v>
      </c>
      <c r="S367">
        <f t="shared" si="18"/>
        <v>4.3005225509999994</v>
      </c>
    </row>
    <row r="368" spans="1:19">
      <c r="A368" s="9">
        <v>41850</v>
      </c>
      <c r="B368" s="7" t="s">
        <v>24</v>
      </c>
      <c r="C368">
        <v>27</v>
      </c>
      <c r="D368" t="s">
        <v>62</v>
      </c>
      <c r="E368">
        <v>118</v>
      </c>
      <c r="F368">
        <v>1.05</v>
      </c>
      <c r="N368">
        <f t="shared" si="16"/>
        <v>34.058762587499999</v>
      </c>
      <c r="O368">
        <v>3.6817929999999999</v>
      </c>
      <c r="P368">
        <f t="shared" si="17"/>
        <v>3.6817929999999999</v>
      </c>
      <c r="S368">
        <f t="shared" si="18"/>
        <v>0.86590074375000003</v>
      </c>
    </row>
    <row r="369" spans="1:19">
      <c r="A369" s="9">
        <v>41850</v>
      </c>
      <c r="B369" s="7" t="s">
        <v>24</v>
      </c>
      <c r="C369">
        <v>27</v>
      </c>
      <c r="D369" t="s">
        <v>19</v>
      </c>
      <c r="F369">
        <v>3.85</v>
      </c>
      <c r="J369">
        <f>96+96</f>
        <v>192</v>
      </c>
      <c r="K369">
        <v>2</v>
      </c>
      <c r="L369">
        <v>96</v>
      </c>
      <c r="N369" t="str">
        <f t="shared" si="16"/>
        <v>NA</v>
      </c>
      <c r="O369">
        <v>8.0737179999999995</v>
      </c>
      <c r="P369">
        <f t="shared" si="17"/>
        <v>8.0737179999999995</v>
      </c>
      <c r="S369">
        <f t="shared" si="18"/>
        <v>11.641554443750001</v>
      </c>
    </row>
    <row r="370" spans="1:19">
      <c r="A370" s="9">
        <v>41850</v>
      </c>
      <c r="B370" s="7" t="s">
        <v>24</v>
      </c>
      <c r="C370">
        <v>27</v>
      </c>
      <c r="D370" t="s">
        <v>19</v>
      </c>
      <c r="F370">
        <v>1.98</v>
      </c>
      <c r="J370">
        <f>90+219+221+227+229</f>
        <v>986</v>
      </c>
      <c r="K370">
        <v>5</v>
      </c>
      <c r="L370">
        <v>229</v>
      </c>
      <c r="N370" t="str">
        <f t="shared" si="16"/>
        <v>NA</v>
      </c>
      <c r="O370">
        <v>21.38254400000001</v>
      </c>
      <c r="P370">
        <f t="shared" si="17"/>
        <v>21.38254400000001</v>
      </c>
      <c r="S370">
        <f t="shared" si="18"/>
        <v>3.079072359</v>
      </c>
    </row>
    <row r="371" spans="1:19">
      <c r="A371" s="9">
        <v>41850</v>
      </c>
      <c r="B371" s="7" t="s">
        <v>24</v>
      </c>
      <c r="C371">
        <v>32</v>
      </c>
      <c r="D371" t="s">
        <v>19</v>
      </c>
      <c r="F371">
        <v>3.17</v>
      </c>
      <c r="J371">
        <f>56+201+228+229+260+241+285+319</f>
        <v>1819</v>
      </c>
      <c r="K371">
        <v>8</v>
      </c>
      <c r="L371">
        <v>319</v>
      </c>
      <c r="N371" t="str">
        <f t="shared" si="16"/>
        <v>NA</v>
      </c>
      <c r="O371">
        <v>51.301350000000006</v>
      </c>
      <c r="P371">
        <f t="shared" si="17"/>
        <v>51.301350000000006</v>
      </c>
      <c r="S371">
        <f t="shared" si="18"/>
        <v>7.8923809377499996</v>
      </c>
    </row>
    <row r="372" spans="1:19">
      <c r="A372" s="9">
        <v>41850</v>
      </c>
      <c r="B372" s="7" t="s">
        <v>24</v>
      </c>
      <c r="C372">
        <v>32</v>
      </c>
      <c r="D372" t="s">
        <v>19</v>
      </c>
      <c r="F372">
        <v>4.68</v>
      </c>
      <c r="J372">
        <f>171+189+217+247+270+275+282+50</f>
        <v>1701</v>
      </c>
      <c r="K372">
        <v>8</v>
      </c>
      <c r="L372">
        <v>282</v>
      </c>
      <c r="N372" t="str">
        <f t="shared" si="16"/>
        <v>NA</v>
      </c>
      <c r="O372">
        <v>51.384325000000025</v>
      </c>
      <c r="P372">
        <f t="shared" si="17"/>
        <v>51.384325000000025</v>
      </c>
      <c r="S372">
        <f t="shared" si="18"/>
        <v>17.202090203999997</v>
      </c>
    </row>
    <row r="373" spans="1:19">
      <c r="A373" s="9">
        <v>41850</v>
      </c>
      <c r="B373" s="7" t="s">
        <v>24</v>
      </c>
      <c r="C373">
        <v>32</v>
      </c>
      <c r="D373" t="s">
        <v>19</v>
      </c>
      <c r="F373">
        <v>1.94</v>
      </c>
      <c r="J373">
        <f>28+44+44+65</f>
        <v>181</v>
      </c>
      <c r="K373">
        <v>4</v>
      </c>
      <c r="L373">
        <v>65</v>
      </c>
      <c r="N373" t="str">
        <f t="shared" si="16"/>
        <v>NA</v>
      </c>
      <c r="O373">
        <v>2.3363019999999963</v>
      </c>
      <c r="P373">
        <f t="shared" si="17"/>
        <v>2.3363019999999963</v>
      </c>
      <c r="S373">
        <f t="shared" si="18"/>
        <v>2.9559220309999996</v>
      </c>
    </row>
    <row r="374" spans="1:19">
      <c r="A374" s="9">
        <v>41850</v>
      </c>
      <c r="B374" s="7" t="s">
        <v>24</v>
      </c>
      <c r="C374">
        <v>32</v>
      </c>
      <c r="D374" t="s">
        <v>19</v>
      </c>
      <c r="F374">
        <v>4.8499999999999996</v>
      </c>
      <c r="J374">
        <f>79+104+178+203+234+235+245+267+288+280</f>
        <v>2113</v>
      </c>
      <c r="K374">
        <v>10</v>
      </c>
      <c r="L374">
        <v>288</v>
      </c>
      <c r="N374" t="str">
        <f t="shared" si="16"/>
        <v>NA</v>
      </c>
      <c r="O374">
        <v>74.159209000000033</v>
      </c>
      <c r="P374">
        <f t="shared" si="17"/>
        <v>74.159209000000033</v>
      </c>
      <c r="S374">
        <f t="shared" si="18"/>
        <v>18.474512693749997</v>
      </c>
    </row>
    <row r="375" spans="1:19">
      <c r="A375" s="9">
        <v>41850</v>
      </c>
      <c r="B375" s="7" t="s">
        <v>24</v>
      </c>
      <c r="C375">
        <v>32</v>
      </c>
      <c r="D375" t="s">
        <v>19</v>
      </c>
      <c r="F375">
        <v>2.56</v>
      </c>
      <c r="J375">
        <f>109+125+170+191</f>
        <v>595</v>
      </c>
      <c r="K375">
        <v>4</v>
      </c>
      <c r="L375">
        <v>191</v>
      </c>
      <c r="N375" t="str">
        <f t="shared" si="16"/>
        <v>NA</v>
      </c>
      <c r="O375">
        <v>3.1940020000000082</v>
      </c>
      <c r="P375">
        <f t="shared" si="17"/>
        <v>3.1940020000000082</v>
      </c>
      <c r="S375">
        <f t="shared" si="18"/>
        <v>5.147181056</v>
      </c>
    </row>
    <row r="376" spans="1:19">
      <c r="A376" s="9">
        <v>41850</v>
      </c>
      <c r="B376" s="7" t="s">
        <v>24</v>
      </c>
      <c r="C376">
        <v>32</v>
      </c>
      <c r="D376" t="s">
        <v>19</v>
      </c>
      <c r="F376">
        <v>4.26</v>
      </c>
      <c r="J376">
        <f>120+156+178+177+207+229+227+235+67</f>
        <v>1596</v>
      </c>
      <c r="K376">
        <v>9</v>
      </c>
      <c r="L376">
        <v>235</v>
      </c>
      <c r="N376" t="str">
        <f t="shared" si="16"/>
        <v>NA</v>
      </c>
      <c r="O376">
        <v>48.676212</v>
      </c>
      <c r="P376">
        <f t="shared" si="17"/>
        <v>48.676212</v>
      </c>
      <c r="S376">
        <f t="shared" si="18"/>
        <v>14.253079670999997</v>
      </c>
    </row>
    <row r="377" spans="1:19">
      <c r="A377" s="9">
        <v>41850</v>
      </c>
      <c r="B377" s="7" t="s">
        <v>24</v>
      </c>
      <c r="C377">
        <v>32</v>
      </c>
      <c r="D377" t="s">
        <v>19</v>
      </c>
      <c r="F377">
        <v>2.71</v>
      </c>
      <c r="J377">
        <f>73+150+204+228+251+253</f>
        <v>1159</v>
      </c>
      <c r="K377">
        <v>6</v>
      </c>
      <c r="L377">
        <v>253</v>
      </c>
      <c r="N377" t="str">
        <f t="shared" si="16"/>
        <v>NA</v>
      </c>
      <c r="O377">
        <v>23.349926000000004</v>
      </c>
      <c r="P377">
        <f t="shared" si="17"/>
        <v>23.349926000000004</v>
      </c>
      <c r="S377">
        <f t="shared" si="18"/>
        <v>5.7680377797500002</v>
      </c>
    </row>
    <row r="378" spans="1:19">
      <c r="A378" s="9">
        <v>41850</v>
      </c>
      <c r="B378" s="7" t="s">
        <v>24</v>
      </c>
      <c r="C378">
        <v>33</v>
      </c>
      <c r="D378" t="s">
        <v>19</v>
      </c>
      <c r="E378">
        <v>163</v>
      </c>
      <c r="F378">
        <v>4.3899999999999997</v>
      </c>
      <c r="H378">
        <v>41</v>
      </c>
      <c r="I378">
        <v>2.5</v>
      </c>
      <c r="N378" t="str">
        <f t="shared" si="16"/>
        <v>NA</v>
      </c>
      <c r="O378">
        <v>117.73740943000001</v>
      </c>
      <c r="P378">
        <f t="shared" si="17"/>
        <v>117.73740943000001</v>
      </c>
      <c r="S378">
        <f t="shared" si="18"/>
        <v>15.136259159749999</v>
      </c>
    </row>
    <row r="379" spans="1:19">
      <c r="A379" s="9">
        <v>41850</v>
      </c>
      <c r="B379" s="7" t="s">
        <v>24</v>
      </c>
      <c r="C379">
        <v>33</v>
      </c>
      <c r="D379" t="s">
        <v>19</v>
      </c>
      <c r="F379">
        <v>1.58</v>
      </c>
      <c r="J379">
        <f>60+82+86+86</f>
        <v>314</v>
      </c>
      <c r="K379">
        <v>4</v>
      </c>
      <c r="L379">
        <v>86</v>
      </c>
      <c r="N379" t="str">
        <f t="shared" si="16"/>
        <v>NA</v>
      </c>
      <c r="O379">
        <v>8.479572000000001</v>
      </c>
      <c r="P379">
        <f t="shared" si="17"/>
        <v>8.479572000000001</v>
      </c>
      <c r="S379">
        <f t="shared" si="18"/>
        <v>1.9606663190000002</v>
      </c>
    </row>
    <row r="380" spans="1:19">
      <c r="A380" s="9">
        <v>41850</v>
      </c>
      <c r="B380" s="7" t="s">
        <v>24</v>
      </c>
      <c r="C380">
        <v>33</v>
      </c>
      <c r="D380" t="s">
        <v>19</v>
      </c>
      <c r="F380">
        <v>4.5</v>
      </c>
      <c r="J380">
        <f>99+137+167+184+186+201</f>
        <v>974</v>
      </c>
      <c r="K380">
        <v>5</v>
      </c>
      <c r="L380">
        <v>201</v>
      </c>
      <c r="N380" t="str">
        <f t="shared" si="16"/>
        <v>NA</v>
      </c>
      <c r="O380">
        <v>28.692344000000013</v>
      </c>
      <c r="P380">
        <f t="shared" si="17"/>
        <v>28.692344000000013</v>
      </c>
      <c r="S380">
        <f t="shared" si="18"/>
        <v>15.904299374999999</v>
      </c>
    </row>
    <row r="381" spans="1:19">
      <c r="A381" s="9">
        <v>41850</v>
      </c>
      <c r="B381" s="7" t="s">
        <v>24</v>
      </c>
      <c r="C381">
        <v>33</v>
      </c>
      <c r="D381" t="s">
        <v>19</v>
      </c>
      <c r="F381">
        <v>3.8</v>
      </c>
      <c r="J381">
        <f>40+68+108+138+153+156</f>
        <v>663</v>
      </c>
      <c r="K381">
        <v>6</v>
      </c>
      <c r="L381">
        <v>156</v>
      </c>
      <c r="N381" t="str">
        <f t="shared" si="16"/>
        <v>NA</v>
      </c>
      <c r="O381">
        <v>6.068210999999998</v>
      </c>
      <c r="P381">
        <f t="shared" si="17"/>
        <v>6.068210999999998</v>
      </c>
      <c r="S381">
        <f t="shared" si="18"/>
        <v>11.3411399</v>
      </c>
    </row>
    <row r="382" spans="1:19">
      <c r="A382" s="9">
        <v>41850</v>
      </c>
      <c r="B382" s="7" t="s">
        <v>24</v>
      </c>
      <c r="C382">
        <v>54</v>
      </c>
      <c r="D382" t="s">
        <v>62</v>
      </c>
      <c r="F382">
        <v>1.5</v>
      </c>
      <c r="J382">
        <f>78</f>
        <v>78</v>
      </c>
      <c r="K382">
        <v>1</v>
      </c>
      <c r="L382">
        <v>78</v>
      </c>
      <c r="N382">
        <f t="shared" si="16"/>
        <v>0</v>
      </c>
      <c r="O382" t="s">
        <v>64</v>
      </c>
      <c r="P382" t="str">
        <f t="shared" si="17"/>
        <v xml:space="preserve"> </v>
      </c>
      <c r="S382">
        <f t="shared" si="18"/>
        <v>1.767144375</v>
      </c>
    </row>
    <row r="383" spans="1:19">
      <c r="A383" s="9">
        <v>41850</v>
      </c>
      <c r="B383" s="7" t="s">
        <v>24</v>
      </c>
      <c r="C383">
        <v>54</v>
      </c>
      <c r="D383" t="s">
        <v>62</v>
      </c>
      <c r="E383">
        <v>203</v>
      </c>
      <c r="F383">
        <v>2.2799999999999998</v>
      </c>
      <c r="N383">
        <f t="shared" si="16"/>
        <v>276.27016796399994</v>
      </c>
      <c r="O383">
        <v>9.6407179999999997</v>
      </c>
      <c r="P383">
        <f t="shared" si="17"/>
        <v>9.6407179999999997</v>
      </c>
      <c r="S383">
        <f t="shared" si="18"/>
        <v>4.0828103639999993</v>
      </c>
    </row>
    <row r="384" spans="1:19">
      <c r="A384" s="9">
        <v>41850</v>
      </c>
      <c r="B384" s="7" t="s">
        <v>24</v>
      </c>
      <c r="C384">
        <v>54</v>
      </c>
      <c r="D384" t="s">
        <v>62</v>
      </c>
      <c r="E384">
        <v>290</v>
      </c>
      <c r="F384">
        <v>2.8</v>
      </c>
      <c r="G384">
        <v>2</v>
      </c>
      <c r="N384">
        <f t="shared" si="16"/>
        <v>595.22658533333322</v>
      </c>
      <c r="O384">
        <v>30.333890751660128</v>
      </c>
      <c r="P384">
        <f t="shared" si="17"/>
        <v>30.333890751660128</v>
      </c>
      <c r="S384">
        <f t="shared" si="18"/>
        <v>6.1575163999999987</v>
      </c>
    </row>
    <row r="385" spans="1:19">
      <c r="A385" s="9">
        <v>41850</v>
      </c>
      <c r="B385" s="7" t="s">
        <v>24</v>
      </c>
      <c r="C385">
        <v>54</v>
      </c>
      <c r="D385" t="s">
        <v>62</v>
      </c>
      <c r="E385">
        <v>331</v>
      </c>
      <c r="F385">
        <v>1.8</v>
      </c>
      <c r="G385">
        <v>5</v>
      </c>
      <c r="N385">
        <f t="shared" si="16"/>
        <v>280.76389829999999</v>
      </c>
      <c r="O385">
        <v>21.786700312768467</v>
      </c>
      <c r="P385">
        <f t="shared" si="17"/>
        <v>21.786700312768467</v>
      </c>
      <c r="S385">
        <f t="shared" si="18"/>
        <v>2.5446879</v>
      </c>
    </row>
    <row r="386" spans="1:19">
      <c r="A386" s="9">
        <v>41850</v>
      </c>
      <c r="B386" s="7" t="s">
        <v>24</v>
      </c>
      <c r="C386">
        <v>54</v>
      </c>
      <c r="D386" t="s">
        <v>62</v>
      </c>
      <c r="E386">
        <v>150</v>
      </c>
      <c r="F386">
        <v>1.31</v>
      </c>
      <c r="N386">
        <f t="shared" si="16"/>
        <v>67.391032487499999</v>
      </c>
      <c r="O386">
        <v>5.9251530000000008</v>
      </c>
      <c r="P386">
        <f t="shared" si="17"/>
        <v>5.9251530000000008</v>
      </c>
      <c r="S386">
        <f t="shared" si="18"/>
        <v>1.34782064975</v>
      </c>
    </row>
    <row r="387" spans="1:19">
      <c r="A387" s="9">
        <v>41850</v>
      </c>
      <c r="B387" s="7" t="s">
        <v>24</v>
      </c>
      <c r="C387">
        <v>54</v>
      </c>
      <c r="D387" t="s">
        <v>60</v>
      </c>
      <c r="F387">
        <v>3.79</v>
      </c>
      <c r="J387">
        <f>200+231+269+282+297+307+320</f>
        <v>1906</v>
      </c>
      <c r="K387">
        <v>7</v>
      </c>
      <c r="L387">
        <v>320</v>
      </c>
      <c r="N387" t="str">
        <f t="shared" si="16"/>
        <v>NA</v>
      </c>
      <c r="O387">
        <v>66.179143000000039</v>
      </c>
      <c r="P387">
        <f t="shared" si="17"/>
        <v>66.179143000000039</v>
      </c>
      <c r="S387">
        <f t="shared" si="18"/>
        <v>11.28152822975</v>
      </c>
    </row>
    <row r="388" spans="1:19">
      <c r="A388" s="9">
        <v>41850</v>
      </c>
      <c r="B388" s="7" t="s">
        <v>24</v>
      </c>
      <c r="C388">
        <v>54</v>
      </c>
      <c r="D388" t="s">
        <v>60</v>
      </c>
      <c r="F388">
        <v>2.67</v>
      </c>
      <c r="J388">
        <f>230+290</f>
        <v>520</v>
      </c>
      <c r="K388">
        <v>2</v>
      </c>
      <c r="L388">
        <v>290</v>
      </c>
      <c r="N388" t="str">
        <f t="shared" si="16"/>
        <v>NA</v>
      </c>
      <c r="O388" t="s">
        <v>64</v>
      </c>
      <c r="P388" t="str">
        <f t="shared" si="17"/>
        <v xml:space="preserve"> </v>
      </c>
      <c r="S388">
        <f t="shared" si="18"/>
        <v>5.5990202377499996</v>
      </c>
    </row>
    <row r="389" spans="1:19">
      <c r="A389" s="9">
        <v>41850</v>
      </c>
      <c r="B389" s="7" t="s">
        <v>24</v>
      </c>
      <c r="C389">
        <v>54</v>
      </c>
      <c r="D389" t="s">
        <v>60</v>
      </c>
      <c r="F389">
        <v>3.97</v>
      </c>
      <c r="J389">
        <f>83+121+191+188+191+226+189+270</f>
        <v>1459</v>
      </c>
      <c r="K389">
        <v>8</v>
      </c>
      <c r="L389">
        <v>270</v>
      </c>
      <c r="N389" t="str">
        <f t="shared" ref="N389:N452" si="19">IF(OR(D389="S. acutus", D389="S. tabernaemontani", D389="S. californicus"),(1/3)*(3.14159)*((F389/2)^2)*E389,"NA")</f>
        <v>NA</v>
      </c>
      <c r="O389">
        <v>32.310555000000015</v>
      </c>
      <c r="P389">
        <f t="shared" ref="P389:P452" si="20">IF(O389&gt;0,O389," ")</f>
        <v>32.310555000000015</v>
      </c>
      <c r="S389">
        <f t="shared" ref="S389:S452" si="21">3.14159*((F389/2)^2)</f>
        <v>12.378571457750001</v>
      </c>
    </row>
    <row r="390" spans="1:19">
      <c r="A390" s="9">
        <v>41850</v>
      </c>
      <c r="B390" s="7" t="s">
        <v>24</v>
      </c>
      <c r="C390">
        <v>54</v>
      </c>
      <c r="D390" t="s">
        <v>60</v>
      </c>
      <c r="F390">
        <v>2.65</v>
      </c>
      <c r="J390">
        <f>81+138+230</f>
        <v>449</v>
      </c>
      <c r="K390">
        <v>3</v>
      </c>
      <c r="L390">
        <v>230</v>
      </c>
      <c r="N390" t="str">
        <f t="shared" si="19"/>
        <v>NA</v>
      </c>
      <c r="O390" t="s">
        <v>64</v>
      </c>
      <c r="P390" t="str">
        <f t="shared" si="20"/>
        <v xml:space="preserve"> </v>
      </c>
      <c r="S390">
        <f t="shared" si="21"/>
        <v>5.5154539437499999</v>
      </c>
    </row>
    <row r="391" spans="1:19">
      <c r="A391" s="9">
        <v>41850</v>
      </c>
      <c r="B391" s="7" t="s">
        <v>24</v>
      </c>
      <c r="C391">
        <v>54</v>
      </c>
      <c r="D391" t="s">
        <v>60</v>
      </c>
      <c r="F391">
        <v>1.35</v>
      </c>
      <c r="J391">
        <f>122+168+209</f>
        <v>499</v>
      </c>
      <c r="K391">
        <v>3</v>
      </c>
      <c r="L391">
        <v>209</v>
      </c>
      <c r="N391" t="str">
        <f t="shared" si="19"/>
        <v>NA</v>
      </c>
      <c r="O391" t="s">
        <v>64</v>
      </c>
      <c r="P391" t="str">
        <f t="shared" si="20"/>
        <v xml:space="preserve"> </v>
      </c>
      <c r="S391">
        <f t="shared" si="21"/>
        <v>1.4313869437500002</v>
      </c>
    </row>
    <row r="392" spans="1:19">
      <c r="A392" s="9">
        <v>41850</v>
      </c>
      <c r="B392" s="7" t="s">
        <v>24</v>
      </c>
      <c r="C392">
        <v>54</v>
      </c>
      <c r="D392" t="s">
        <v>19</v>
      </c>
      <c r="F392">
        <v>5.68</v>
      </c>
      <c r="J392">
        <f>294+329+359+384+398+403+481</f>
        <v>2648</v>
      </c>
      <c r="K392">
        <v>7</v>
      </c>
      <c r="L392">
        <v>481</v>
      </c>
      <c r="N392" t="str">
        <f t="shared" si="19"/>
        <v>NA</v>
      </c>
      <c r="O392">
        <v>87.244908000000038</v>
      </c>
      <c r="P392">
        <f t="shared" si="20"/>
        <v>87.244908000000038</v>
      </c>
      <c r="S392">
        <f t="shared" si="21"/>
        <v>25.338808303999997</v>
      </c>
    </row>
    <row r="393" spans="1:19">
      <c r="A393" s="9">
        <v>41850</v>
      </c>
      <c r="B393" s="7" t="s">
        <v>24</v>
      </c>
      <c r="C393">
        <v>54</v>
      </c>
      <c r="D393" t="s">
        <v>19</v>
      </c>
      <c r="F393">
        <v>1.4</v>
      </c>
      <c r="J393">
        <f>21+46</f>
        <v>67</v>
      </c>
      <c r="K393">
        <v>2</v>
      </c>
      <c r="L393">
        <v>46</v>
      </c>
      <c r="N393" t="str">
        <f t="shared" si="19"/>
        <v>NA</v>
      </c>
      <c r="O393">
        <v>11.416592999999999</v>
      </c>
      <c r="P393">
        <f t="shared" si="20"/>
        <v>11.416592999999999</v>
      </c>
      <c r="S393">
        <f t="shared" si="21"/>
        <v>1.5393790999999997</v>
      </c>
    </row>
    <row r="394" spans="1:19">
      <c r="A394" s="9">
        <v>41850</v>
      </c>
      <c r="B394" s="7" t="s">
        <v>24</v>
      </c>
      <c r="C394">
        <v>54</v>
      </c>
      <c r="D394" t="s">
        <v>19</v>
      </c>
      <c r="F394">
        <v>4.5</v>
      </c>
      <c r="J394">
        <f>130+192+210+223+258+269+311</f>
        <v>1593</v>
      </c>
      <c r="K394">
        <v>7</v>
      </c>
      <c r="L394">
        <v>311</v>
      </c>
      <c r="N394" t="str">
        <f t="shared" si="19"/>
        <v>NA</v>
      </c>
      <c r="O394">
        <v>39.545033000000025</v>
      </c>
      <c r="P394">
        <f t="shared" si="20"/>
        <v>39.545033000000025</v>
      </c>
      <c r="S394">
        <f t="shared" si="21"/>
        <v>15.904299374999999</v>
      </c>
    </row>
    <row r="395" spans="1:19">
      <c r="A395" s="9">
        <v>41850</v>
      </c>
      <c r="B395" s="7" t="s">
        <v>24</v>
      </c>
      <c r="C395">
        <v>54</v>
      </c>
      <c r="D395" t="s">
        <v>19</v>
      </c>
      <c r="F395">
        <v>2.38</v>
      </c>
      <c r="J395">
        <f>63+116+131+147+228</f>
        <v>685</v>
      </c>
      <c r="K395">
        <v>5</v>
      </c>
      <c r="L395">
        <v>228</v>
      </c>
      <c r="N395" t="str">
        <f t="shared" si="19"/>
        <v>NA</v>
      </c>
      <c r="O395" t="s">
        <v>64</v>
      </c>
      <c r="P395" t="str">
        <f t="shared" si="20"/>
        <v xml:space="preserve"> </v>
      </c>
      <c r="S395">
        <f t="shared" si="21"/>
        <v>4.4488055989999999</v>
      </c>
    </row>
    <row r="396" spans="1:19">
      <c r="A396" s="9">
        <v>41850</v>
      </c>
      <c r="B396" s="7" t="s">
        <v>24</v>
      </c>
      <c r="C396">
        <v>54</v>
      </c>
      <c r="D396" t="s">
        <v>19</v>
      </c>
      <c r="F396">
        <v>2.31</v>
      </c>
      <c r="J396">
        <f>69+131</f>
        <v>200</v>
      </c>
      <c r="K396">
        <v>2</v>
      </c>
      <c r="L396">
        <v>131</v>
      </c>
      <c r="N396" t="str">
        <f t="shared" si="19"/>
        <v>NA</v>
      </c>
      <c r="O396" t="s">
        <v>64</v>
      </c>
      <c r="P396" t="str">
        <f t="shared" si="20"/>
        <v xml:space="preserve"> </v>
      </c>
      <c r="S396">
        <f t="shared" si="21"/>
        <v>4.1909595997500002</v>
      </c>
    </row>
    <row r="397" spans="1:19">
      <c r="A397" s="9">
        <v>41850</v>
      </c>
      <c r="B397" s="7" t="s">
        <v>24</v>
      </c>
      <c r="C397">
        <v>54</v>
      </c>
      <c r="D397" t="s">
        <v>19</v>
      </c>
      <c r="F397">
        <v>2.1800000000000002</v>
      </c>
      <c r="J397">
        <f>24+123+164+116+248+253</f>
        <v>928</v>
      </c>
      <c r="K397">
        <v>6</v>
      </c>
      <c r="L397">
        <v>253</v>
      </c>
      <c r="N397" t="str">
        <f t="shared" si="19"/>
        <v>NA</v>
      </c>
      <c r="O397">
        <v>1.6925210000000064</v>
      </c>
      <c r="P397">
        <f t="shared" si="20"/>
        <v>1.6925210000000064</v>
      </c>
      <c r="S397">
        <f t="shared" si="21"/>
        <v>3.7325230790000004</v>
      </c>
    </row>
    <row r="398" spans="1:19">
      <c r="A398" s="9">
        <v>41850</v>
      </c>
      <c r="B398" s="7" t="s">
        <v>24</v>
      </c>
      <c r="C398">
        <v>54</v>
      </c>
      <c r="D398" t="s">
        <v>19</v>
      </c>
      <c r="F398">
        <v>1.8</v>
      </c>
      <c r="J398">
        <f>114+252+268+303</f>
        <v>937</v>
      </c>
      <c r="K398">
        <v>4</v>
      </c>
      <c r="L398">
        <v>303</v>
      </c>
      <c r="N398" t="str">
        <f t="shared" si="19"/>
        <v>NA</v>
      </c>
      <c r="O398">
        <v>1.5187720000000198</v>
      </c>
      <c r="P398">
        <f t="shared" si="20"/>
        <v>1.5187720000000198</v>
      </c>
      <c r="S398">
        <f t="shared" si="21"/>
        <v>2.5446879</v>
      </c>
    </row>
    <row r="399" spans="1:19">
      <c r="A399" s="9">
        <v>41850</v>
      </c>
      <c r="B399" s="7" t="s">
        <v>24</v>
      </c>
      <c r="C399">
        <v>54</v>
      </c>
      <c r="D399" t="s">
        <v>19</v>
      </c>
      <c r="F399">
        <v>3.9</v>
      </c>
      <c r="J399">
        <f>292+323+342+364+378</f>
        <v>1699</v>
      </c>
      <c r="K399">
        <v>5</v>
      </c>
      <c r="L399">
        <v>378</v>
      </c>
      <c r="N399" t="str">
        <f t="shared" si="19"/>
        <v>NA</v>
      </c>
      <c r="O399">
        <v>43.344354000000017</v>
      </c>
      <c r="P399">
        <f t="shared" si="20"/>
        <v>43.344354000000017</v>
      </c>
      <c r="S399">
        <f t="shared" si="21"/>
        <v>11.945895974999999</v>
      </c>
    </row>
    <row r="400" spans="1:19">
      <c r="A400" s="9">
        <v>41850</v>
      </c>
      <c r="B400" s="7" t="s">
        <v>24</v>
      </c>
      <c r="C400">
        <v>54</v>
      </c>
      <c r="D400" t="s">
        <v>19</v>
      </c>
      <c r="F400">
        <v>3.78</v>
      </c>
      <c r="J400">
        <f>169+221+248+312+325+353+367+388+383</f>
        <v>2766</v>
      </c>
      <c r="K400">
        <v>9</v>
      </c>
      <c r="L400">
        <v>388</v>
      </c>
      <c r="N400" t="str">
        <f t="shared" si="19"/>
        <v>NA</v>
      </c>
      <c r="O400">
        <v>112.27907700000003</v>
      </c>
      <c r="P400">
        <f t="shared" si="20"/>
        <v>112.27907700000003</v>
      </c>
      <c r="S400">
        <f t="shared" si="21"/>
        <v>11.222073639</v>
      </c>
    </row>
    <row r="401" spans="1:19">
      <c r="A401" s="9">
        <v>41850</v>
      </c>
      <c r="B401" s="7" t="s">
        <v>24</v>
      </c>
      <c r="C401">
        <v>54</v>
      </c>
      <c r="D401" t="s">
        <v>19</v>
      </c>
      <c r="F401">
        <v>3.78</v>
      </c>
      <c r="J401">
        <f>70+135+137+207+243+276</f>
        <v>1068</v>
      </c>
      <c r="K401">
        <v>6</v>
      </c>
      <c r="L401">
        <v>276</v>
      </c>
      <c r="N401" t="str">
        <f t="shared" si="19"/>
        <v>NA</v>
      </c>
      <c r="O401">
        <v>7.8895860000000013</v>
      </c>
      <c r="P401">
        <f t="shared" si="20"/>
        <v>7.8895860000000013</v>
      </c>
      <c r="S401">
        <f t="shared" si="21"/>
        <v>11.222073639</v>
      </c>
    </row>
    <row r="402" spans="1:19">
      <c r="A402" s="9">
        <v>41850</v>
      </c>
      <c r="B402" s="7" t="s">
        <v>24</v>
      </c>
      <c r="C402">
        <v>54</v>
      </c>
      <c r="D402" t="s">
        <v>19</v>
      </c>
      <c r="F402">
        <v>2.23</v>
      </c>
      <c r="J402">
        <f>174+171+234+302+315</f>
        <v>1196</v>
      </c>
      <c r="K402">
        <v>5</v>
      </c>
      <c r="L402">
        <v>315</v>
      </c>
      <c r="N402" t="str">
        <f t="shared" si="19"/>
        <v>NA</v>
      </c>
      <c r="O402">
        <v>15.164024000000005</v>
      </c>
      <c r="P402">
        <f t="shared" si="20"/>
        <v>15.164024000000005</v>
      </c>
      <c r="S402">
        <f t="shared" si="21"/>
        <v>3.9057032277500001</v>
      </c>
    </row>
    <row r="403" spans="1:19">
      <c r="A403" s="9">
        <v>41850</v>
      </c>
      <c r="B403" s="7" t="s">
        <v>24</v>
      </c>
      <c r="C403">
        <v>54</v>
      </c>
      <c r="D403" t="s">
        <v>19</v>
      </c>
      <c r="F403">
        <v>2.94</v>
      </c>
      <c r="J403">
        <f>37+38+73+146+160+194+210</f>
        <v>858</v>
      </c>
      <c r="K403">
        <v>7</v>
      </c>
      <c r="L403">
        <v>210</v>
      </c>
      <c r="N403" t="str">
        <f t="shared" si="19"/>
        <v>NA</v>
      </c>
      <c r="O403">
        <v>1.0608530000000016</v>
      </c>
      <c r="P403">
        <f t="shared" si="20"/>
        <v>1.0608530000000016</v>
      </c>
      <c r="S403">
        <f t="shared" si="21"/>
        <v>6.7886618309999989</v>
      </c>
    </row>
    <row r="404" spans="1:19">
      <c r="A404" s="9">
        <v>41850</v>
      </c>
      <c r="B404" s="7" t="s">
        <v>24</v>
      </c>
      <c r="C404">
        <v>54</v>
      </c>
      <c r="D404" t="s">
        <v>19</v>
      </c>
      <c r="F404">
        <v>0.97</v>
      </c>
      <c r="J404">
        <f>36+71+123+125</f>
        <v>355</v>
      </c>
      <c r="K404">
        <v>4</v>
      </c>
      <c r="L404">
        <v>125</v>
      </c>
      <c r="N404" t="str">
        <f t="shared" si="19"/>
        <v>NA</v>
      </c>
      <c r="O404">
        <v>0.57497199999999538</v>
      </c>
      <c r="P404">
        <f t="shared" si="20"/>
        <v>0.57497199999999538</v>
      </c>
      <c r="S404">
        <f t="shared" si="21"/>
        <v>0.7389805077499999</v>
      </c>
    </row>
    <row r="405" spans="1:19">
      <c r="A405" s="9">
        <v>41850</v>
      </c>
      <c r="B405" s="7" t="s">
        <v>24</v>
      </c>
      <c r="C405">
        <v>54</v>
      </c>
      <c r="D405" t="s">
        <v>19</v>
      </c>
      <c r="F405">
        <v>1.31</v>
      </c>
      <c r="J405">
        <f>82+98+121+123</f>
        <v>424</v>
      </c>
      <c r="K405">
        <v>4</v>
      </c>
      <c r="L405">
        <v>123</v>
      </c>
      <c r="N405" t="str">
        <f t="shared" si="19"/>
        <v>NA</v>
      </c>
      <c r="O405">
        <v>7.6465570000000049</v>
      </c>
      <c r="P405">
        <f t="shared" si="20"/>
        <v>7.6465570000000049</v>
      </c>
      <c r="S405">
        <f t="shared" si="21"/>
        <v>1.34782064975</v>
      </c>
    </row>
    <row r="406" spans="1:19">
      <c r="A406" s="9">
        <v>41850</v>
      </c>
      <c r="B406" s="7" t="s">
        <v>24</v>
      </c>
      <c r="C406">
        <v>54</v>
      </c>
      <c r="D406" t="s">
        <v>19</v>
      </c>
      <c r="F406">
        <v>0.93</v>
      </c>
      <c r="J406">
        <f>175+216</f>
        <v>391</v>
      </c>
      <c r="K406">
        <v>2</v>
      </c>
      <c r="L406">
        <v>216</v>
      </c>
      <c r="N406" t="str">
        <f t="shared" si="19"/>
        <v>NA</v>
      </c>
      <c r="O406" t="s">
        <v>64</v>
      </c>
      <c r="P406" t="str">
        <f t="shared" si="20"/>
        <v xml:space="preserve"> </v>
      </c>
      <c r="S406">
        <f t="shared" si="21"/>
        <v>0.67929029775000005</v>
      </c>
    </row>
    <row r="407" spans="1:19">
      <c r="A407" s="9">
        <v>41850</v>
      </c>
      <c r="B407" s="7" t="s">
        <v>24</v>
      </c>
      <c r="C407">
        <v>54</v>
      </c>
      <c r="D407" t="s">
        <v>19</v>
      </c>
      <c r="F407">
        <v>2.98</v>
      </c>
      <c r="J407">
        <f>111+136+217+272+317+377</f>
        <v>1430</v>
      </c>
      <c r="K407">
        <v>6</v>
      </c>
      <c r="L407">
        <v>377</v>
      </c>
      <c r="N407" t="str">
        <f t="shared" si="19"/>
        <v>NA</v>
      </c>
      <c r="O407">
        <v>11.403151000000001</v>
      </c>
      <c r="P407">
        <f t="shared" si="20"/>
        <v>11.403151000000001</v>
      </c>
      <c r="S407">
        <f t="shared" si="21"/>
        <v>6.9746439589999998</v>
      </c>
    </row>
    <row r="408" spans="1:19">
      <c r="A408" s="9">
        <v>41850</v>
      </c>
      <c r="B408" s="7" t="s">
        <v>24</v>
      </c>
      <c r="C408">
        <v>54</v>
      </c>
      <c r="D408" t="s">
        <v>19</v>
      </c>
      <c r="F408">
        <v>3.96</v>
      </c>
      <c r="J408">
        <f>54+97+100+146+153+195+209+348</f>
        <v>1302</v>
      </c>
      <c r="K408">
        <v>8</v>
      </c>
      <c r="L408">
        <v>348</v>
      </c>
      <c r="N408" t="str">
        <f t="shared" si="19"/>
        <v>NA</v>
      </c>
      <c r="O408" t="s">
        <v>64</v>
      </c>
      <c r="P408" t="str">
        <f t="shared" si="20"/>
        <v xml:space="preserve"> </v>
      </c>
      <c r="S408">
        <f t="shared" si="21"/>
        <v>12.316289436</v>
      </c>
    </row>
    <row r="409" spans="1:19">
      <c r="A409" s="9">
        <v>41850</v>
      </c>
      <c r="B409" s="7" t="s">
        <v>24</v>
      </c>
      <c r="C409">
        <v>54</v>
      </c>
      <c r="D409" t="s">
        <v>19</v>
      </c>
      <c r="F409">
        <v>1.52</v>
      </c>
      <c r="J409">
        <f>179+179+233+282</f>
        <v>873</v>
      </c>
      <c r="K409">
        <v>4</v>
      </c>
      <c r="L409">
        <v>282</v>
      </c>
      <c r="N409" t="str">
        <f t="shared" si="19"/>
        <v>NA</v>
      </c>
      <c r="O409">
        <v>1.8445970000000145</v>
      </c>
      <c r="P409">
        <f t="shared" si="20"/>
        <v>1.8445970000000145</v>
      </c>
      <c r="S409">
        <f t="shared" si="21"/>
        <v>1.8145823839999999</v>
      </c>
    </row>
    <row r="410" spans="1:19">
      <c r="A410" s="9">
        <v>41850</v>
      </c>
      <c r="B410" s="7" t="s">
        <v>24</v>
      </c>
      <c r="C410">
        <v>54</v>
      </c>
      <c r="D410" t="s">
        <v>19</v>
      </c>
      <c r="F410">
        <v>3.69</v>
      </c>
      <c r="J410">
        <f>267+281+294+308+322</f>
        <v>1472</v>
      </c>
      <c r="K410">
        <v>5</v>
      </c>
      <c r="L410">
        <v>322</v>
      </c>
      <c r="N410" t="str">
        <f t="shared" si="19"/>
        <v>NA</v>
      </c>
      <c r="O410">
        <v>38.931689000000013</v>
      </c>
      <c r="P410">
        <f t="shared" si="20"/>
        <v>38.931689000000013</v>
      </c>
      <c r="S410">
        <f t="shared" si="21"/>
        <v>10.69405089975</v>
      </c>
    </row>
    <row r="411" spans="1:19">
      <c r="A411" s="39">
        <v>41835</v>
      </c>
      <c r="B411" s="7" t="s">
        <v>29</v>
      </c>
      <c r="C411">
        <v>13</v>
      </c>
      <c r="D411" s="40" t="s">
        <v>62</v>
      </c>
      <c r="E411">
        <v>162</v>
      </c>
      <c r="F411">
        <v>1.68</v>
      </c>
      <c r="N411">
        <f t="shared" si="19"/>
        <v>119.70211881599998</v>
      </c>
      <c r="O411">
        <v>6.7664130000000009</v>
      </c>
      <c r="P411">
        <f t="shared" si="20"/>
        <v>6.7664130000000009</v>
      </c>
      <c r="S411">
        <f t="shared" si="21"/>
        <v>2.2167059039999994</v>
      </c>
    </row>
    <row r="412" spans="1:19">
      <c r="A412" s="39">
        <v>41835</v>
      </c>
      <c r="B412" s="7" t="s">
        <v>29</v>
      </c>
      <c r="C412">
        <v>13</v>
      </c>
      <c r="D412" s="40" t="s">
        <v>62</v>
      </c>
      <c r="E412">
        <v>185</v>
      </c>
      <c r="F412">
        <v>1.69</v>
      </c>
      <c r="N412">
        <f t="shared" si="19"/>
        <v>138.32905098458332</v>
      </c>
      <c r="O412">
        <v>8.3788279999999986</v>
      </c>
      <c r="P412">
        <f t="shared" si="20"/>
        <v>8.3788279999999986</v>
      </c>
      <c r="S412">
        <f t="shared" si="21"/>
        <v>2.2431737997499996</v>
      </c>
    </row>
    <row r="413" spans="1:19">
      <c r="A413" s="39">
        <v>41835</v>
      </c>
      <c r="B413" s="7" t="s">
        <v>29</v>
      </c>
      <c r="C413">
        <v>13</v>
      </c>
      <c r="D413" s="40" t="s">
        <v>62</v>
      </c>
      <c r="E413">
        <v>115</v>
      </c>
      <c r="F413">
        <v>1.05</v>
      </c>
      <c r="N413">
        <f t="shared" si="19"/>
        <v>33.192861843750002</v>
      </c>
      <c r="O413">
        <v>3.4714780000000003</v>
      </c>
      <c r="P413">
        <f t="shared" si="20"/>
        <v>3.4714780000000003</v>
      </c>
      <c r="S413">
        <f t="shared" si="21"/>
        <v>0.86590074375000003</v>
      </c>
    </row>
    <row r="414" spans="1:19">
      <c r="A414" s="39">
        <v>41835</v>
      </c>
      <c r="B414" s="7" t="s">
        <v>29</v>
      </c>
      <c r="C414">
        <v>13</v>
      </c>
      <c r="D414" s="40" t="s">
        <v>62</v>
      </c>
      <c r="E414">
        <v>248</v>
      </c>
      <c r="F414">
        <v>1.24</v>
      </c>
      <c r="G414">
        <v>5</v>
      </c>
      <c r="N414">
        <f t="shared" si="19"/>
        <v>99.830514869333328</v>
      </c>
      <c r="O414">
        <v>12.764393226255917</v>
      </c>
      <c r="P414">
        <f t="shared" si="20"/>
        <v>12.764393226255917</v>
      </c>
      <c r="S414">
        <f t="shared" si="21"/>
        <v>1.207627196</v>
      </c>
    </row>
    <row r="415" spans="1:19">
      <c r="A415" s="39">
        <v>41835</v>
      </c>
      <c r="B415" s="7" t="s">
        <v>29</v>
      </c>
      <c r="C415">
        <v>13</v>
      </c>
      <c r="D415" s="40" t="s">
        <v>62</v>
      </c>
      <c r="E415">
        <v>217</v>
      </c>
      <c r="F415">
        <v>2.0099999999999998</v>
      </c>
      <c r="N415">
        <f t="shared" si="19"/>
        <v>229.51977447524993</v>
      </c>
      <c r="O415">
        <v>10.622188000000001</v>
      </c>
      <c r="P415">
        <f t="shared" si="20"/>
        <v>10.622188000000001</v>
      </c>
      <c r="S415">
        <f t="shared" si="21"/>
        <v>3.1730844397499989</v>
      </c>
    </row>
    <row r="416" spans="1:19">
      <c r="A416" s="39">
        <v>41835</v>
      </c>
      <c r="B416" s="7" t="s">
        <v>29</v>
      </c>
      <c r="C416">
        <v>13</v>
      </c>
      <c r="D416" s="40" t="s">
        <v>62</v>
      </c>
      <c r="E416">
        <v>171</v>
      </c>
      <c r="F416">
        <v>1.67</v>
      </c>
      <c r="N416">
        <f t="shared" si="19"/>
        <v>124.85252000174999</v>
      </c>
      <c r="O416">
        <v>7.3973579999999997</v>
      </c>
      <c r="P416">
        <f t="shared" si="20"/>
        <v>7.3973579999999997</v>
      </c>
      <c r="S416">
        <f t="shared" si="21"/>
        <v>2.1903950877499998</v>
      </c>
    </row>
    <row r="417" spans="1:19">
      <c r="A417" s="39">
        <v>41835</v>
      </c>
      <c r="B417" s="7" t="s">
        <v>29</v>
      </c>
      <c r="C417">
        <v>13</v>
      </c>
      <c r="D417" s="40" t="s">
        <v>62</v>
      </c>
      <c r="E417">
        <v>185</v>
      </c>
      <c r="F417">
        <v>1.46</v>
      </c>
      <c r="N417">
        <f t="shared" si="19"/>
        <v>103.23945417833332</v>
      </c>
      <c r="O417">
        <v>8.3788279999999986</v>
      </c>
      <c r="P417">
        <f t="shared" si="20"/>
        <v>8.3788279999999986</v>
      </c>
      <c r="S417">
        <f t="shared" si="21"/>
        <v>1.6741533109999998</v>
      </c>
    </row>
    <row r="418" spans="1:19">
      <c r="A418" s="39">
        <v>41835</v>
      </c>
      <c r="B418" s="7" t="s">
        <v>29</v>
      </c>
      <c r="C418">
        <v>13</v>
      </c>
      <c r="D418" s="40" t="s">
        <v>62</v>
      </c>
      <c r="E418">
        <v>167</v>
      </c>
      <c r="F418">
        <v>1.46</v>
      </c>
      <c r="N418">
        <f t="shared" si="19"/>
        <v>93.194534312333317</v>
      </c>
      <c r="O418">
        <v>7.1169380000000002</v>
      </c>
      <c r="P418">
        <f t="shared" si="20"/>
        <v>7.1169380000000002</v>
      </c>
      <c r="S418">
        <f t="shared" si="21"/>
        <v>1.6741533109999998</v>
      </c>
    </row>
    <row r="419" spans="1:19">
      <c r="A419" s="39">
        <v>41835</v>
      </c>
      <c r="B419" s="7" t="s">
        <v>29</v>
      </c>
      <c r="C419">
        <v>23</v>
      </c>
      <c r="D419" t="s">
        <v>19</v>
      </c>
      <c r="F419">
        <v>9.2799999999999994</v>
      </c>
      <c r="J419">
        <f>99+68+111+134+141+145+154+160+167+170+175+182+184+185</f>
        <v>2075</v>
      </c>
      <c r="K419">
        <v>14</v>
      </c>
      <c r="L419">
        <v>185</v>
      </c>
      <c r="N419" t="str">
        <f t="shared" si="19"/>
        <v>NA</v>
      </c>
      <c r="O419">
        <v>73.535342000000014</v>
      </c>
      <c r="P419">
        <f t="shared" si="20"/>
        <v>73.535342000000014</v>
      </c>
      <c r="S419">
        <f t="shared" si="21"/>
        <v>67.637176063999988</v>
      </c>
    </row>
    <row r="420" spans="1:19">
      <c r="A420" s="39">
        <v>41835</v>
      </c>
      <c r="B420" s="7" t="s">
        <v>29</v>
      </c>
      <c r="C420">
        <v>23</v>
      </c>
      <c r="D420" t="s">
        <v>19</v>
      </c>
      <c r="F420">
        <v>2.35</v>
      </c>
      <c r="J420">
        <f>31+47+63+79+96+103+115</f>
        <v>534</v>
      </c>
      <c r="K420">
        <v>7</v>
      </c>
      <c r="L420">
        <v>115</v>
      </c>
      <c r="N420" t="str">
        <f t="shared" si="19"/>
        <v>NA</v>
      </c>
      <c r="O420" t="s">
        <v>64</v>
      </c>
      <c r="P420" t="str">
        <f t="shared" si="20"/>
        <v xml:space="preserve"> </v>
      </c>
      <c r="S420">
        <f t="shared" si="21"/>
        <v>4.3373576937500005</v>
      </c>
    </row>
    <row r="421" spans="1:19">
      <c r="A421" s="9">
        <v>41835</v>
      </c>
      <c r="B421" s="7" t="s">
        <v>29</v>
      </c>
      <c r="C421">
        <v>23</v>
      </c>
      <c r="D421" t="s">
        <v>19</v>
      </c>
      <c r="F421">
        <v>0.98</v>
      </c>
      <c r="J421">
        <f>36+50+63+70+85</f>
        <v>304</v>
      </c>
      <c r="K421">
        <v>5</v>
      </c>
      <c r="L421">
        <v>85</v>
      </c>
      <c r="N421" t="str">
        <f t="shared" si="19"/>
        <v>NA</v>
      </c>
      <c r="O421">
        <v>0.82091400000000192</v>
      </c>
      <c r="P421">
        <f t="shared" si="20"/>
        <v>0.82091400000000192</v>
      </c>
      <c r="S421">
        <f t="shared" si="21"/>
        <v>0.7542957589999999</v>
      </c>
    </row>
    <row r="422" spans="1:19">
      <c r="A422" s="9">
        <v>41835</v>
      </c>
      <c r="B422" s="7" t="s">
        <v>29</v>
      </c>
      <c r="C422">
        <v>29</v>
      </c>
      <c r="N422" t="str">
        <f t="shared" si="19"/>
        <v>NA</v>
      </c>
      <c r="O422" t="s">
        <v>64</v>
      </c>
      <c r="P422" t="str">
        <f t="shared" si="20"/>
        <v xml:space="preserve"> </v>
      </c>
      <c r="S422">
        <f t="shared" si="21"/>
        <v>0</v>
      </c>
    </row>
    <row r="423" spans="1:19">
      <c r="A423" s="9">
        <v>41835</v>
      </c>
      <c r="B423" s="7" t="s">
        <v>29</v>
      </c>
      <c r="C423">
        <v>45</v>
      </c>
      <c r="D423" t="s">
        <v>19</v>
      </c>
      <c r="E423">
        <v>232</v>
      </c>
      <c r="F423">
        <v>12.17</v>
      </c>
      <c r="H423">
        <v>40</v>
      </c>
      <c r="I423">
        <v>2.5</v>
      </c>
      <c r="N423" t="str">
        <f t="shared" si="19"/>
        <v>NA</v>
      </c>
      <c r="O423">
        <v>287.64146929000003</v>
      </c>
      <c r="P423">
        <f t="shared" si="20"/>
        <v>287.64146929000003</v>
      </c>
      <c r="S423">
        <f t="shared" si="21"/>
        <v>116.32435978775</v>
      </c>
    </row>
    <row r="424" spans="1:19">
      <c r="A424" s="9">
        <v>41835</v>
      </c>
      <c r="B424" s="7" t="s">
        <v>29</v>
      </c>
      <c r="C424">
        <v>45</v>
      </c>
      <c r="D424" t="s">
        <v>19</v>
      </c>
      <c r="F424">
        <v>5.72</v>
      </c>
      <c r="J424">
        <f>145+141+167+178+181+197+209+222+223+236+247</f>
        <v>2146</v>
      </c>
      <c r="K424">
        <v>11</v>
      </c>
      <c r="L424">
        <v>247</v>
      </c>
      <c r="N424" t="str">
        <f t="shared" si="19"/>
        <v>NA</v>
      </c>
      <c r="O424">
        <v>82.581816000000032</v>
      </c>
      <c r="P424">
        <f t="shared" si="20"/>
        <v>82.581816000000032</v>
      </c>
      <c r="S424">
        <f t="shared" si="21"/>
        <v>25.696949563999997</v>
      </c>
    </row>
    <row r="425" spans="1:19">
      <c r="A425" s="9">
        <v>41835</v>
      </c>
      <c r="B425" s="7" t="s">
        <v>29</v>
      </c>
      <c r="C425">
        <v>55</v>
      </c>
      <c r="D425" t="s">
        <v>19</v>
      </c>
      <c r="F425">
        <v>1.58</v>
      </c>
      <c r="J425">
        <f>52+53+73+80</f>
        <v>258</v>
      </c>
      <c r="K425">
        <v>4</v>
      </c>
      <c r="L425">
        <v>80</v>
      </c>
      <c r="N425" t="str">
        <f t="shared" si="19"/>
        <v>NA</v>
      </c>
      <c r="O425">
        <v>5.0367619999999995</v>
      </c>
      <c r="P425">
        <f t="shared" si="20"/>
        <v>5.0367619999999995</v>
      </c>
      <c r="S425">
        <f t="shared" si="21"/>
        <v>1.9606663190000002</v>
      </c>
    </row>
    <row r="426" spans="1:19">
      <c r="A426" s="9">
        <v>41835</v>
      </c>
      <c r="B426" s="7" t="s">
        <v>29</v>
      </c>
      <c r="C426">
        <v>55</v>
      </c>
      <c r="D426" t="s">
        <v>19</v>
      </c>
      <c r="F426">
        <v>2.5</v>
      </c>
      <c r="J426">
        <f>52+72+79+96+110+113+124</f>
        <v>646</v>
      </c>
      <c r="K426">
        <v>7</v>
      </c>
      <c r="L426">
        <v>124</v>
      </c>
      <c r="N426" t="str">
        <f t="shared" si="19"/>
        <v>NA</v>
      </c>
      <c r="O426">
        <v>7.0918630000000036</v>
      </c>
      <c r="P426">
        <f t="shared" si="20"/>
        <v>7.0918630000000036</v>
      </c>
      <c r="S426">
        <f t="shared" si="21"/>
        <v>4.9087343749999999</v>
      </c>
    </row>
    <row r="427" spans="1:19">
      <c r="A427" s="39">
        <v>41835</v>
      </c>
      <c r="B427" s="7" t="s">
        <v>27</v>
      </c>
      <c r="C427">
        <v>20</v>
      </c>
      <c r="D427" s="40" t="s">
        <v>60</v>
      </c>
      <c r="E427">
        <v>250</v>
      </c>
      <c r="F427">
        <v>2.2400000000000002</v>
      </c>
      <c r="H427">
        <v>33</v>
      </c>
      <c r="I427">
        <v>2</v>
      </c>
      <c r="N427" t="str">
        <f t="shared" si="19"/>
        <v>NA</v>
      </c>
      <c r="O427">
        <v>86.580266680000022</v>
      </c>
      <c r="P427">
        <f t="shared" si="20"/>
        <v>86.580266680000022</v>
      </c>
      <c r="S427">
        <f t="shared" si="21"/>
        <v>3.9408104960000006</v>
      </c>
    </row>
    <row r="428" spans="1:19">
      <c r="A428" s="39">
        <v>41835</v>
      </c>
      <c r="B428" s="7" t="s">
        <v>27</v>
      </c>
      <c r="C428">
        <v>20</v>
      </c>
      <c r="D428" s="40" t="s">
        <v>60</v>
      </c>
      <c r="F428">
        <v>1.39</v>
      </c>
      <c r="J428">
        <f>118+150+151+178+180+190+200</f>
        <v>1167</v>
      </c>
      <c r="K428">
        <v>7</v>
      </c>
      <c r="L428">
        <v>200</v>
      </c>
      <c r="N428" t="str">
        <f t="shared" si="19"/>
        <v>NA</v>
      </c>
      <c r="O428">
        <v>33.04359800000001</v>
      </c>
      <c r="P428">
        <f t="shared" si="20"/>
        <v>33.04359800000001</v>
      </c>
      <c r="S428">
        <f t="shared" si="21"/>
        <v>1.5174665097499997</v>
      </c>
    </row>
    <row r="429" spans="1:19">
      <c r="A429" s="39">
        <v>41835</v>
      </c>
      <c r="B429" s="7" t="s">
        <v>27</v>
      </c>
      <c r="C429">
        <v>20</v>
      </c>
      <c r="D429" s="40" t="s">
        <v>60</v>
      </c>
      <c r="F429">
        <v>3.52</v>
      </c>
      <c r="J429">
        <f>122+124+140+160+184+205+232+254+266</f>
        <v>1687</v>
      </c>
      <c r="K429">
        <v>9</v>
      </c>
      <c r="L429">
        <v>266</v>
      </c>
      <c r="N429" t="str">
        <f t="shared" si="19"/>
        <v>NA</v>
      </c>
      <c r="O429">
        <v>47.869322000000018</v>
      </c>
      <c r="P429">
        <f t="shared" si="20"/>
        <v>47.869322000000018</v>
      </c>
      <c r="S429">
        <f t="shared" si="21"/>
        <v>9.7313891839999993</v>
      </c>
    </row>
    <row r="430" spans="1:19">
      <c r="A430" s="39">
        <v>41835</v>
      </c>
      <c r="B430" s="7" t="s">
        <v>27</v>
      </c>
      <c r="C430">
        <v>20</v>
      </c>
      <c r="D430" s="40" t="s">
        <v>19</v>
      </c>
      <c r="F430">
        <v>2.58</v>
      </c>
      <c r="J430">
        <f>51+54+98+105+120</f>
        <v>428</v>
      </c>
      <c r="K430">
        <v>5</v>
      </c>
      <c r="L430">
        <v>120</v>
      </c>
      <c r="N430" t="str">
        <f t="shared" si="19"/>
        <v>NA</v>
      </c>
      <c r="O430">
        <v>1.9029590000000027</v>
      </c>
      <c r="P430">
        <f t="shared" si="20"/>
        <v>1.9029590000000027</v>
      </c>
      <c r="S430">
        <f t="shared" si="21"/>
        <v>5.2279199190000005</v>
      </c>
    </row>
    <row r="431" spans="1:19">
      <c r="A431" s="39">
        <v>41835</v>
      </c>
      <c r="B431" s="7" t="s">
        <v>27</v>
      </c>
      <c r="C431">
        <v>20</v>
      </c>
      <c r="D431" s="40" t="s">
        <v>19</v>
      </c>
      <c r="E431">
        <v>227</v>
      </c>
      <c r="F431">
        <v>3.85</v>
      </c>
      <c r="H431">
        <v>28</v>
      </c>
      <c r="I431">
        <v>2.5</v>
      </c>
      <c r="N431" t="str">
        <f t="shared" si="19"/>
        <v>NA</v>
      </c>
      <c r="O431">
        <v>114.69108045000002</v>
      </c>
      <c r="P431">
        <f t="shared" si="20"/>
        <v>114.69108045000002</v>
      </c>
      <c r="S431">
        <f t="shared" si="21"/>
        <v>11.641554443750001</v>
      </c>
    </row>
    <row r="432" spans="1:19">
      <c r="A432" s="39">
        <v>41835</v>
      </c>
      <c r="B432" s="7" t="s">
        <v>27</v>
      </c>
      <c r="C432">
        <v>20</v>
      </c>
      <c r="D432" s="40" t="s">
        <v>19</v>
      </c>
      <c r="F432">
        <v>6.51</v>
      </c>
      <c r="J432">
        <f>166+179+187+183+203+210+217</f>
        <v>1345</v>
      </c>
      <c r="K432">
        <v>7</v>
      </c>
      <c r="L432">
        <v>217</v>
      </c>
      <c r="N432" t="str">
        <f t="shared" si="19"/>
        <v>NA</v>
      </c>
      <c r="O432">
        <v>44.610823000000003</v>
      </c>
      <c r="P432">
        <f t="shared" si="20"/>
        <v>44.610823000000003</v>
      </c>
      <c r="S432">
        <f t="shared" si="21"/>
        <v>33.285224589750001</v>
      </c>
    </row>
    <row r="433" spans="1:19">
      <c r="A433" s="39">
        <v>41835</v>
      </c>
      <c r="B433" s="7" t="s">
        <v>27</v>
      </c>
      <c r="C433">
        <v>23</v>
      </c>
      <c r="D433" s="40" t="s">
        <v>62</v>
      </c>
      <c r="E433">
        <v>58</v>
      </c>
      <c r="F433">
        <v>1.96</v>
      </c>
      <c r="N433">
        <f t="shared" si="19"/>
        <v>58.332205362666656</v>
      </c>
      <c r="O433" t="s">
        <v>64</v>
      </c>
      <c r="P433" t="str">
        <f t="shared" si="20"/>
        <v xml:space="preserve"> </v>
      </c>
      <c r="S433">
        <f t="shared" si="21"/>
        <v>3.0171830359999996</v>
      </c>
    </row>
    <row r="434" spans="1:19">
      <c r="A434" s="39">
        <v>41835</v>
      </c>
      <c r="B434" s="7" t="s">
        <v>27</v>
      </c>
      <c r="C434">
        <v>23</v>
      </c>
      <c r="D434" s="40" t="s">
        <v>62</v>
      </c>
      <c r="E434">
        <v>140</v>
      </c>
      <c r="F434">
        <v>1.05</v>
      </c>
      <c r="N434">
        <f t="shared" si="19"/>
        <v>40.408701375</v>
      </c>
      <c r="O434">
        <v>5.2241030000000004</v>
      </c>
      <c r="P434">
        <f t="shared" si="20"/>
        <v>5.2241030000000004</v>
      </c>
      <c r="S434">
        <f t="shared" si="21"/>
        <v>0.86590074375000003</v>
      </c>
    </row>
    <row r="435" spans="1:19">
      <c r="A435" s="39">
        <v>41835</v>
      </c>
      <c r="B435" s="7" t="s">
        <v>27</v>
      </c>
      <c r="C435">
        <v>23</v>
      </c>
      <c r="D435" s="40" t="s">
        <v>62</v>
      </c>
      <c r="E435">
        <v>35</v>
      </c>
      <c r="F435">
        <v>0.57999999999999996</v>
      </c>
      <c r="N435">
        <f t="shared" si="19"/>
        <v>3.0824233883333325</v>
      </c>
      <c r="O435" t="s">
        <v>64</v>
      </c>
      <c r="P435" t="str">
        <f t="shared" si="20"/>
        <v xml:space="preserve"> </v>
      </c>
      <c r="S435">
        <f t="shared" si="21"/>
        <v>0.26420771899999995</v>
      </c>
    </row>
    <row r="436" spans="1:19">
      <c r="A436" s="39">
        <v>41835</v>
      </c>
      <c r="B436" s="7" t="s">
        <v>27</v>
      </c>
      <c r="C436">
        <v>23</v>
      </c>
      <c r="D436" s="40" t="s">
        <v>62</v>
      </c>
      <c r="E436">
        <v>201</v>
      </c>
      <c r="F436">
        <v>1.08</v>
      </c>
      <c r="N436">
        <f t="shared" si="19"/>
        <v>61.377872148000002</v>
      </c>
      <c r="O436">
        <v>9.500508</v>
      </c>
      <c r="P436">
        <f t="shared" si="20"/>
        <v>9.500508</v>
      </c>
      <c r="S436">
        <f t="shared" si="21"/>
        <v>0.91608764400000009</v>
      </c>
    </row>
    <row r="437" spans="1:19">
      <c r="A437" s="39">
        <v>41835</v>
      </c>
      <c r="B437" s="7" t="s">
        <v>27</v>
      </c>
      <c r="C437">
        <v>23</v>
      </c>
      <c r="D437" s="40" t="s">
        <v>19</v>
      </c>
      <c r="F437">
        <v>4.75</v>
      </c>
      <c r="J437">
        <f>119+150+160+182+109</f>
        <v>720</v>
      </c>
      <c r="K437">
        <v>5</v>
      </c>
      <c r="L437">
        <v>182</v>
      </c>
      <c r="N437" t="str">
        <f t="shared" si="19"/>
        <v>NA</v>
      </c>
      <c r="O437">
        <v>10.602229000000008</v>
      </c>
      <c r="P437">
        <f t="shared" si="20"/>
        <v>10.602229000000008</v>
      </c>
      <c r="S437">
        <f t="shared" si="21"/>
        <v>17.720531093750001</v>
      </c>
    </row>
    <row r="438" spans="1:19">
      <c r="A438" s="39">
        <v>41835</v>
      </c>
      <c r="B438" s="7" t="s">
        <v>27</v>
      </c>
      <c r="C438">
        <v>32</v>
      </c>
      <c r="D438" s="40" t="s">
        <v>60</v>
      </c>
      <c r="F438">
        <v>2.6</v>
      </c>
      <c r="J438">
        <f>111+166+210+214+228</f>
        <v>929</v>
      </c>
      <c r="K438">
        <v>5</v>
      </c>
      <c r="L438">
        <v>228</v>
      </c>
      <c r="N438" t="str">
        <f t="shared" si="19"/>
        <v>NA</v>
      </c>
      <c r="O438">
        <v>16.339754000000013</v>
      </c>
      <c r="P438">
        <f t="shared" si="20"/>
        <v>16.339754000000013</v>
      </c>
      <c r="S438">
        <f t="shared" si="21"/>
        <v>5.3092871000000006</v>
      </c>
    </row>
    <row r="439" spans="1:19">
      <c r="A439" s="39">
        <v>41835</v>
      </c>
      <c r="B439" s="7" t="s">
        <v>27</v>
      </c>
      <c r="C439">
        <v>32</v>
      </c>
      <c r="D439" s="40" t="s">
        <v>60</v>
      </c>
      <c r="F439">
        <v>2.4500000000000002</v>
      </c>
      <c r="J439">
        <f>59+120+152+161+167+187+207+217</f>
        <v>1270</v>
      </c>
      <c r="K439">
        <v>8</v>
      </c>
      <c r="L439">
        <v>217</v>
      </c>
      <c r="N439" t="str">
        <f t="shared" si="19"/>
        <v>NA</v>
      </c>
      <c r="O439">
        <v>30.55684500000001</v>
      </c>
      <c r="P439">
        <f t="shared" si="20"/>
        <v>30.55684500000001</v>
      </c>
      <c r="S439">
        <f t="shared" si="21"/>
        <v>4.7143484937500011</v>
      </c>
    </row>
    <row r="440" spans="1:19">
      <c r="A440" s="39">
        <v>41835</v>
      </c>
      <c r="B440" s="7" t="s">
        <v>27</v>
      </c>
      <c r="C440">
        <v>32</v>
      </c>
      <c r="D440" s="40" t="s">
        <v>60</v>
      </c>
      <c r="F440">
        <v>4.3</v>
      </c>
      <c r="J440">
        <f>34+42+44+44+44+161+213+256</f>
        <v>838</v>
      </c>
      <c r="K440">
        <v>8</v>
      </c>
      <c r="L440">
        <v>256</v>
      </c>
      <c r="N440" t="str">
        <f t="shared" si="19"/>
        <v>NA</v>
      </c>
      <c r="O440" t="s">
        <v>64</v>
      </c>
      <c r="P440" t="str">
        <f t="shared" si="20"/>
        <v xml:space="preserve"> </v>
      </c>
      <c r="S440">
        <f t="shared" si="21"/>
        <v>14.521999774999998</v>
      </c>
    </row>
    <row r="441" spans="1:19">
      <c r="A441" s="39">
        <v>41835</v>
      </c>
      <c r="B441" s="7" t="s">
        <v>27</v>
      </c>
      <c r="C441">
        <v>32</v>
      </c>
      <c r="D441" s="40" t="s">
        <v>60</v>
      </c>
      <c r="E441">
        <v>252</v>
      </c>
      <c r="F441">
        <v>3.3</v>
      </c>
      <c r="H441">
        <v>34</v>
      </c>
      <c r="I441">
        <v>2.5</v>
      </c>
      <c r="N441" t="str">
        <f t="shared" si="19"/>
        <v>NA</v>
      </c>
      <c r="O441">
        <v>117.27485929999997</v>
      </c>
      <c r="P441">
        <f t="shared" si="20"/>
        <v>117.27485929999997</v>
      </c>
      <c r="S441">
        <f t="shared" si="21"/>
        <v>8.5529787749999979</v>
      </c>
    </row>
    <row r="442" spans="1:19">
      <c r="A442" s="39">
        <v>41835</v>
      </c>
      <c r="B442" s="7" t="s">
        <v>27</v>
      </c>
      <c r="C442">
        <v>32</v>
      </c>
      <c r="D442" s="40" t="s">
        <v>19</v>
      </c>
      <c r="F442">
        <v>9.1199999999999992</v>
      </c>
      <c r="J442">
        <f>132+103+177+181+214+246+257+262+281+295+311+316</f>
        <v>2775</v>
      </c>
      <c r="K442">
        <v>12</v>
      </c>
      <c r="L442">
        <v>316</v>
      </c>
      <c r="N442" t="str">
        <f t="shared" si="19"/>
        <v>NA</v>
      </c>
      <c r="O442">
        <v>113.74545300000005</v>
      </c>
      <c r="P442">
        <f t="shared" si="20"/>
        <v>113.74545300000005</v>
      </c>
      <c r="S442">
        <f t="shared" si="21"/>
        <v>65.324965823999989</v>
      </c>
    </row>
    <row r="443" spans="1:19">
      <c r="A443" s="39">
        <v>41835</v>
      </c>
      <c r="B443" s="7" t="s">
        <v>27</v>
      </c>
      <c r="C443">
        <v>32</v>
      </c>
      <c r="D443" s="40" t="s">
        <v>19</v>
      </c>
      <c r="F443">
        <v>8.1199999999999992</v>
      </c>
      <c r="J443">
        <f>82+145+185+171+226+255+250+278+295+315+323+336</f>
        <v>2861</v>
      </c>
      <c r="K443">
        <v>12</v>
      </c>
      <c r="L443">
        <v>336</v>
      </c>
      <c r="N443" t="str">
        <f t="shared" si="19"/>
        <v>NA</v>
      </c>
      <c r="O443">
        <v>115.78348300000005</v>
      </c>
      <c r="P443">
        <f t="shared" si="20"/>
        <v>115.78348300000005</v>
      </c>
      <c r="S443">
        <f t="shared" si="21"/>
        <v>51.784712923999983</v>
      </c>
    </row>
    <row r="444" spans="1:19">
      <c r="A444" s="39">
        <v>41835</v>
      </c>
      <c r="B444" s="7" t="s">
        <v>27</v>
      </c>
      <c r="C444">
        <v>32</v>
      </c>
      <c r="D444" s="40" t="s">
        <v>19</v>
      </c>
      <c r="F444">
        <v>2.84</v>
      </c>
      <c r="J444">
        <f>75+135+136+175+176+205+204</f>
        <v>1106</v>
      </c>
      <c r="K444">
        <v>7</v>
      </c>
      <c r="L444">
        <v>205</v>
      </c>
      <c r="N444" t="str">
        <f t="shared" si="19"/>
        <v>NA</v>
      </c>
      <c r="O444">
        <v>25.818318000000012</v>
      </c>
      <c r="P444">
        <f t="shared" si="20"/>
        <v>25.818318000000012</v>
      </c>
      <c r="S444">
        <f t="shared" si="21"/>
        <v>6.3347020759999992</v>
      </c>
    </row>
    <row r="445" spans="1:19">
      <c r="A445" s="39">
        <v>41835</v>
      </c>
      <c r="B445" s="7" t="s">
        <v>27</v>
      </c>
      <c r="C445">
        <v>32</v>
      </c>
      <c r="D445" s="40" t="s">
        <v>19</v>
      </c>
      <c r="F445">
        <v>7.47</v>
      </c>
      <c r="J445">
        <f>116+197+131+148+164+187+193+198+209</f>
        <v>1543</v>
      </c>
      <c r="K445">
        <v>9</v>
      </c>
      <c r="L445">
        <v>209</v>
      </c>
      <c r="N445" t="str">
        <f t="shared" si="19"/>
        <v>NA</v>
      </c>
      <c r="O445">
        <v>51.539567000000019</v>
      </c>
      <c r="P445">
        <f t="shared" si="20"/>
        <v>51.539567000000019</v>
      </c>
      <c r="S445">
        <f t="shared" si="21"/>
        <v>43.825887357749998</v>
      </c>
    </row>
    <row r="446" spans="1:19">
      <c r="A446" s="39">
        <v>41835</v>
      </c>
      <c r="B446" s="7" t="s">
        <v>27</v>
      </c>
      <c r="C446">
        <v>53</v>
      </c>
      <c r="D446" s="40" t="s">
        <v>62</v>
      </c>
      <c r="F446">
        <v>1.08</v>
      </c>
      <c r="J446">
        <f>40</f>
        <v>40</v>
      </c>
      <c r="K446">
        <v>1</v>
      </c>
      <c r="L446">
        <v>40</v>
      </c>
      <c r="N446">
        <f t="shared" si="19"/>
        <v>0</v>
      </c>
      <c r="O446" t="s">
        <v>64</v>
      </c>
      <c r="P446" t="str">
        <f t="shared" si="20"/>
        <v xml:space="preserve"> </v>
      </c>
      <c r="S446">
        <f t="shared" si="21"/>
        <v>0.91608764400000009</v>
      </c>
    </row>
    <row r="447" spans="1:19">
      <c r="A447" s="39">
        <v>41835</v>
      </c>
      <c r="B447" s="7" t="s">
        <v>27</v>
      </c>
      <c r="C447">
        <v>53</v>
      </c>
      <c r="D447" s="40" t="s">
        <v>19</v>
      </c>
      <c r="F447">
        <v>7.49</v>
      </c>
      <c r="J447">
        <f>262+281+294+311+330+342+354+355+171+229</f>
        <v>2929</v>
      </c>
      <c r="K447">
        <v>10</v>
      </c>
      <c r="L447">
        <v>355</v>
      </c>
      <c r="N447" t="str">
        <f t="shared" si="19"/>
        <v>NA</v>
      </c>
      <c r="O447">
        <v>130.47987400000005</v>
      </c>
      <c r="P447">
        <f t="shared" si="20"/>
        <v>130.47987400000005</v>
      </c>
      <c r="S447">
        <f t="shared" si="21"/>
        <v>44.060878289750001</v>
      </c>
    </row>
    <row r="448" spans="1:19">
      <c r="A448" s="39">
        <v>41835</v>
      </c>
      <c r="B448" s="7" t="s">
        <v>27</v>
      </c>
      <c r="C448">
        <v>53</v>
      </c>
      <c r="D448" s="40" t="s">
        <v>19</v>
      </c>
      <c r="F448">
        <v>2.85</v>
      </c>
      <c r="J448">
        <f>68+121+129+196+208+250+283+290+293+66</f>
        <v>1904</v>
      </c>
      <c r="K448">
        <v>10</v>
      </c>
      <c r="L448">
        <v>293</v>
      </c>
      <c r="N448" t="str">
        <f t="shared" si="19"/>
        <v>NA</v>
      </c>
      <c r="O448">
        <v>53.05818900000002</v>
      </c>
      <c r="P448">
        <f t="shared" si="20"/>
        <v>53.05818900000002</v>
      </c>
      <c r="S448">
        <f t="shared" si="21"/>
        <v>6.3793911937500001</v>
      </c>
    </row>
    <row r="449" spans="1:19">
      <c r="A449" s="39">
        <v>41835</v>
      </c>
      <c r="B449" s="7" t="s">
        <v>27</v>
      </c>
      <c r="C449">
        <v>53</v>
      </c>
      <c r="D449" s="40" t="s">
        <v>19</v>
      </c>
      <c r="F449">
        <v>3.81</v>
      </c>
      <c r="J449">
        <f>150+183+225+250+275+296+307</f>
        <v>1686</v>
      </c>
      <c r="K449">
        <v>7</v>
      </c>
      <c r="L449">
        <v>307</v>
      </c>
      <c r="N449" t="str">
        <f t="shared" si="19"/>
        <v>NA</v>
      </c>
      <c r="O449">
        <v>49.469228000000008</v>
      </c>
      <c r="P449">
        <f t="shared" si="20"/>
        <v>49.469228000000008</v>
      </c>
      <c r="S449">
        <f t="shared" si="21"/>
        <v>11.400908649749999</v>
      </c>
    </row>
    <row r="450" spans="1:19">
      <c r="A450" s="39">
        <v>41835</v>
      </c>
      <c r="B450" s="7" t="s">
        <v>27</v>
      </c>
      <c r="C450">
        <v>53</v>
      </c>
      <c r="D450" s="40" t="s">
        <v>19</v>
      </c>
      <c r="F450">
        <v>8.18</v>
      </c>
      <c r="J450">
        <f>162+227+227+251+291+304+316+330</f>
        <v>2108</v>
      </c>
      <c r="K450">
        <v>8</v>
      </c>
      <c r="L450">
        <v>330</v>
      </c>
      <c r="N450" t="str">
        <f t="shared" si="19"/>
        <v>NA</v>
      </c>
      <c r="O450">
        <v>75.082850000000036</v>
      </c>
      <c r="P450">
        <f t="shared" si="20"/>
        <v>75.082850000000036</v>
      </c>
      <c r="S450">
        <f t="shared" si="21"/>
        <v>52.552831678999993</v>
      </c>
    </row>
    <row r="451" spans="1:19">
      <c r="A451" s="39">
        <v>41835</v>
      </c>
      <c r="B451" s="7" t="s">
        <v>27</v>
      </c>
      <c r="C451">
        <v>53</v>
      </c>
      <c r="D451" s="40" t="s">
        <v>19</v>
      </c>
      <c r="F451">
        <v>9.51</v>
      </c>
      <c r="J451">
        <f>166+172+216+255+271+276+288+320+338+356+377</f>
        <v>3035</v>
      </c>
      <c r="K451">
        <v>11</v>
      </c>
      <c r="L451">
        <v>377</v>
      </c>
      <c r="N451" t="str">
        <f t="shared" si="19"/>
        <v>NA</v>
      </c>
      <c r="O451">
        <v>126.76816100000002</v>
      </c>
      <c r="P451">
        <f t="shared" si="20"/>
        <v>126.76816100000002</v>
      </c>
      <c r="S451">
        <f t="shared" si="21"/>
        <v>71.031428439750002</v>
      </c>
    </row>
    <row r="452" spans="1:19">
      <c r="A452" s="39">
        <v>41835</v>
      </c>
      <c r="B452" s="7" t="s">
        <v>27</v>
      </c>
      <c r="C452">
        <v>53</v>
      </c>
      <c r="D452" s="40" t="s">
        <v>19</v>
      </c>
      <c r="F452">
        <v>0.98</v>
      </c>
      <c r="J452">
        <f>137+183+210+218</f>
        <v>748</v>
      </c>
      <c r="K452">
        <v>4</v>
      </c>
      <c r="L452">
        <v>218</v>
      </c>
      <c r="N452" t="str">
        <f t="shared" si="19"/>
        <v>NA</v>
      </c>
      <c r="O452">
        <v>9.4049020000000141</v>
      </c>
      <c r="P452">
        <f t="shared" si="20"/>
        <v>9.4049020000000141</v>
      </c>
      <c r="S452">
        <f t="shared" si="21"/>
        <v>0.7542957589999999</v>
      </c>
    </row>
    <row r="453" spans="1:19">
      <c r="A453" s="39">
        <v>41835</v>
      </c>
      <c r="B453" s="7" t="s">
        <v>27</v>
      </c>
      <c r="C453">
        <v>53</v>
      </c>
      <c r="D453" s="40" t="s">
        <v>19</v>
      </c>
      <c r="F453">
        <v>1.47</v>
      </c>
      <c r="J453">
        <f>22+34</f>
        <v>56</v>
      </c>
      <c r="K453">
        <v>2</v>
      </c>
      <c r="L453">
        <v>34</v>
      </c>
      <c r="N453" t="str">
        <f t="shared" ref="N453:N516" si="22">IF(OR(D453="S. acutus", D453="S. tabernaemontani", D453="S. californicus"),(1/3)*(3.14159)*((F453/2)^2)*E453,"NA")</f>
        <v>NA</v>
      </c>
      <c r="O453">
        <v>14.000228</v>
      </c>
      <c r="P453">
        <f t="shared" ref="P453:P516" si="23">IF(O453&gt;0,O453," ")</f>
        <v>14.000228</v>
      </c>
      <c r="S453">
        <f t="shared" ref="S453:S516" si="24">3.14159*((F453/2)^2)</f>
        <v>1.6971654577499997</v>
      </c>
    </row>
    <row r="454" spans="1:19">
      <c r="A454" s="39">
        <v>41835</v>
      </c>
      <c r="B454" s="7" t="s">
        <v>27</v>
      </c>
      <c r="C454">
        <v>53</v>
      </c>
      <c r="D454" s="40" t="s">
        <v>19</v>
      </c>
      <c r="F454">
        <v>1.86</v>
      </c>
      <c r="J454">
        <f>38+38+90+210</f>
        <v>376</v>
      </c>
      <c r="K454">
        <v>4</v>
      </c>
      <c r="L454">
        <v>210</v>
      </c>
      <c r="N454" t="str">
        <f t="shared" si="22"/>
        <v>NA</v>
      </c>
      <c r="O454" t="s">
        <v>64</v>
      </c>
      <c r="P454" t="str">
        <f t="shared" si="23"/>
        <v xml:space="preserve"> </v>
      </c>
      <c r="S454">
        <f t="shared" si="24"/>
        <v>2.7171611910000002</v>
      </c>
    </row>
    <row r="455" spans="1:19">
      <c r="A455" s="39">
        <v>41835</v>
      </c>
      <c r="B455" s="7" t="s">
        <v>27</v>
      </c>
      <c r="C455">
        <v>53</v>
      </c>
      <c r="D455" s="40" t="s">
        <v>19</v>
      </c>
      <c r="F455">
        <v>1.86</v>
      </c>
      <c r="J455">
        <f>90+195+229+259</f>
        <v>773</v>
      </c>
      <c r="K455">
        <v>4</v>
      </c>
      <c r="L455">
        <v>259</v>
      </c>
      <c r="N455" t="str">
        <f t="shared" si="22"/>
        <v>NA</v>
      </c>
      <c r="O455" t="s">
        <v>64</v>
      </c>
      <c r="P455" t="str">
        <f t="shared" si="23"/>
        <v xml:space="preserve"> </v>
      </c>
      <c r="S455">
        <f t="shared" si="24"/>
        <v>2.7171611910000002</v>
      </c>
    </row>
    <row r="456" spans="1:19">
      <c r="A456" s="39">
        <v>41835</v>
      </c>
      <c r="B456" s="7" t="s">
        <v>27</v>
      </c>
      <c r="C456">
        <v>56</v>
      </c>
      <c r="D456" s="40" t="s">
        <v>62</v>
      </c>
      <c r="E456">
        <v>107</v>
      </c>
      <c r="F456">
        <v>1.17</v>
      </c>
      <c r="G456">
        <v>5</v>
      </c>
      <c r="N456">
        <f t="shared" si="22"/>
        <v>38.346326079749986</v>
      </c>
      <c r="O456">
        <v>5.3550459114614215</v>
      </c>
      <c r="P456">
        <f t="shared" si="23"/>
        <v>5.3550459114614215</v>
      </c>
      <c r="S456">
        <f t="shared" si="24"/>
        <v>1.0751306377499998</v>
      </c>
    </row>
    <row r="457" spans="1:19">
      <c r="A457" s="39">
        <v>41835</v>
      </c>
      <c r="B457" s="7" t="s">
        <v>27</v>
      </c>
      <c r="C457">
        <v>56</v>
      </c>
      <c r="D457" s="40" t="s">
        <v>62</v>
      </c>
      <c r="E457">
        <v>256</v>
      </c>
      <c r="F457">
        <v>2.35</v>
      </c>
      <c r="G457">
        <v>1</v>
      </c>
      <c r="N457">
        <f t="shared" si="22"/>
        <v>370.12118986666667</v>
      </c>
      <c r="O457">
        <v>21.776053022777546</v>
      </c>
      <c r="P457">
        <f t="shared" si="23"/>
        <v>21.776053022777546</v>
      </c>
      <c r="S457">
        <f t="shared" si="24"/>
        <v>4.3373576937500005</v>
      </c>
    </row>
    <row r="458" spans="1:19">
      <c r="A458" s="39">
        <v>41835</v>
      </c>
      <c r="B458" s="7" t="s">
        <v>27</v>
      </c>
      <c r="C458">
        <v>56</v>
      </c>
      <c r="D458" s="40" t="s">
        <v>60</v>
      </c>
      <c r="F458">
        <v>3.02</v>
      </c>
      <c r="J458">
        <f>77+162+209+234+265+266+62+77</f>
        <v>1352</v>
      </c>
      <c r="K458">
        <v>8</v>
      </c>
      <c r="L458">
        <v>266</v>
      </c>
      <c r="N458" t="str">
        <f t="shared" si="22"/>
        <v>NA</v>
      </c>
      <c r="O458">
        <v>23.483749999999993</v>
      </c>
      <c r="P458">
        <f t="shared" si="23"/>
        <v>23.483749999999993</v>
      </c>
      <c r="S458">
        <f t="shared" si="24"/>
        <v>7.1631393589999997</v>
      </c>
    </row>
    <row r="459" spans="1:19">
      <c r="A459" s="39">
        <v>41835</v>
      </c>
      <c r="B459" s="7" t="s">
        <v>27</v>
      </c>
      <c r="C459">
        <v>56</v>
      </c>
      <c r="D459" s="40" t="s">
        <v>60</v>
      </c>
      <c r="E459">
        <v>207</v>
      </c>
      <c r="F459">
        <v>4.54</v>
      </c>
      <c r="H459">
        <v>28.5</v>
      </c>
      <c r="I459">
        <v>1</v>
      </c>
      <c r="N459" t="str">
        <f t="shared" si="22"/>
        <v>NA</v>
      </c>
      <c r="O459">
        <v>96.156577279999993</v>
      </c>
      <c r="P459">
        <f t="shared" si="23"/>
        <v>96.156577279999993</v>
      </c>
      <c r="S459">
        <f t="shared" si="24"/>
        <v>16.188299110999999</v>
      </c>
    </row>
    <row r="460" spans="1:19">
      <c r="A460" s="39">
        <v>41835</v>
      </c>
      <c r="B460" s="7" t="s">
        <v>27</v>
      </c>
      <c r="C460">
        <v>56</v>
      </c>
      <c r="D460" s="40" t="s">
        <v>60</v>
      </c>
      <c r="F460">
        <v>1.7</v>
      </c>
      <c r="J460">
        <f>67+170+229</f>
        <v>466</v>
      </c>
      <c r="K460">
        <v>3</v>
      </c>
      <c r="L460">
        <v>229</v>
      </c>
      <c r="N460" t="str">
        <f t="shared" si="22"/>
        <v>NA</v>
      </c>
      <c r="O460" t="s">
        <v>64</v>
      </c>
      <c r="P460" t="str">
        <f t="shared" si="23"/>
        <v xml:space="preserve"> </v>
      </c>
      <c r="S460">
        <f t="shared" si="24"/>
        <v>2.2697987749999995</v>
      </c>
    </row>
    <row r="461" spans="1:19">
      <c r="A461" s="39">
        <v>41835</v>
      </c>
      <c r="B461" s="7" t="s">
        <v>27</v>
      </c>
      <c r="C461">
        <v>56</v>
      </c>
      <c r="D461" s="40" t="s">
        <v>19</v>
      </c>
      <c r="F461">
        <v>8.7799999999999994</v>
      </c>
      <c r="J461">
        <f>110+212+266+277+263+315+351+374+396+407+420</f>
        <v>3391</v>
      </c>
      <c r="K461">
        <v>11</v>
      </c>
      <c r="L461">
        <v>420</v>
      </c>
      <c r="N461" t="str">
        <f t="shared" si="22"/>
        <v>NA</v>
      </c>
      <c r="O461">
        <v>147.191406</v>
      </c>
      <c r="P461">
        <f t="shared" si="23"/>
        <v>147.191406</v>
      </c>
      <c r="S461">
        <f t="shared" si="24"/>
        <v>60.545036638999996</v>
      </c>
    </row>
    <row r="462" spans="1:19">
      <c r="A462" s="39">
        <v>41835</v>
      </c>
      <c r="B462" s="7" t="s">
        <v>27</v>
      </c>
      <c r="C462">
        <v>56</v>
      </c>
      <c r="D462" s="40" t="s">
        <v>19</v>
      </c>
      <c r="F462">
        <v>2.06</v>
      </c>
      <c r="J462">
        <f>95+108+146+157+184+187</f>
        <v>877</v>
      </c>
      <c r="K462">
        <v>6</v>
      </c>
      <c r="L462">
        <v>187</v>
      </c>
      <c r="N462" t="str">
        <f t="shared" si="22"/>
        <v>NA</v>
      </c>
      <c r="O462">
        <v>16.793185999999999</v>
      </c>
      <c r="P462">
        <f t="shared" si="23"/>
        <v>16.793185999999999</v>
      </c>
      <c r="S462">
        <f t="shared" si="24"/>
        <v>3.3329128309999998</v>
      </c>
    </row>
    <row r="463" spans="1:19">
      <c r="A463" s="39">
        <v>41835</v>
      </c>
      <c r="B463" s="7" t="s">
        <v>27</v>
      </c>
      <c r="C463">
        <v>56</v>
      </c>
      <c r="D463" s="40" t="s">
        <v>19</v>
      </c>
      <c r="F463">
        <v>3.58</v>
      </c>
      <c r="J463">
        <f>116+141+166+193+208+224+231+237</f>
        <v>1516</v>
      </c>
      <c r="K463">
        <v>8</v>
      </c>
      <c r="L463">
        <v>237</v>
      </c>
      <c r="N463" t="str">
        <f t="shared" si="22"/>
        <v>NA</v>
      </c>
      <c r="O463">
        <v>47.595675000000021</v>
      </c>
      <c r="P463">
        <f t="shared" si="23"/>
        <v>47.595675000000021</v>
      </c>
      <c r="S463">
        <f t="shared" si="24"/>
        <v>10.065968519</v>
      </c>
    </row>
    <row r="464" spans="1:19">
      <c r="A464" s="39">
        <v>41835</v>
      </c>
      <c r="B464" s="7" t="s">
        <v>27</v>
      </c>
      <c r="C464">
        <v>56</v>
      </c>
      <c r="D464" s="40" t="s">
        <v>19</v>
      </c>
      <c r="F464">
        <v>2.8</v>
      </c>
      <c r="J464">
        <f>90+115+146+156+195+214+228</f>
        <v>1144</v>
      </c>
      <c r="K464">
        <v>7</v>
      </c>
      <c r="L464">
        <v>228</v>
      </c>
      <c r="N464" t="str">
        <f t="shared" si="22"/>
        <v>NA</v>
      </c>
      <c r="O464">
        <v>22.452373000000016</v>
      </c>
      <c r="P464">
        <f t="shared" si="23"/>
        <v>22.452373000000016</v>
      </c>
      <c r="S464">
        <f t="shared" si="24"/>
        <v>6.1575163999999987</v>
      </c>
    </row>
    <row r="465" spans="1:19">
      <c r="A465" s="39">
        <v>41835</v>
      </c>
      <c r="B465" s="7" t="s">
        <v>27</v>
      </c>
      <c r="C465">
        <v>56</v>
      </c>
      <c r="D465" s="40" t="s">
        <v>19</v>
      </c>
      <c r="F465">
        <v>9.91</v>
      </c>
      <c r="J465">
        <f>112+211+258+271+288+297+314+319+324+331+163</f>
        <v>2888</v>
      </c>
      <c r="K465">
        <v>11</v>
      </c>
      <c r="L465">
        <v>331</v>
      </c>
      <c r="N465" t="str">
        <f t="shared" si="22"/>
        <v>NA</v>
      </c>
      <c r="O465">
        <v>126.84344600000006</v>
      </c>
      <c r="P465">
        <f t="shared" si="23"/>
        <v>126.84344600000006</v>
      </c>
      <c r="S465">
        <f t="shared" si="24"/>
        <v>77.132396219749992</v>
      </c>
    </row>
    <row r="466" spans="1:19">
      <c r="A466" s="9">
        <v>41838</v>
      </c>
      <c r="B466" s="7" t="s">
        <v>26</v>
      </c>
      <c r="C466">
        <v>12</v>
      </c>
      <c r="D466" t="s">
        <v>60</v>
      </c>
      <c r="F466">
        <v>4.32</v>
      </c>
      <c r="J466">
        <f>97+143+178+215+238+239+252+141+177+238</f>
        <v>1918</v>
      </c>
      <c r="K466">
        <v>10</v>
      </c>
      <c r="L466">
        <v>252</v>
      </c>
      <c r="N466" t="str">
        <f t="shared" si="22"/>
        <v>NA</v>
      </c>
      <c r="O466">
        <v>66.72180400000002</v>
      </c>
      <c r="P466">
        <f t="shared" si="23"/>
        <v>66.72180400000002</v>
      </c>
      <c r="S466">
        <f t="shared" si="24"/>
        <v>14.657402304000001</v>
      </c>
    </row>
    <row r="467" spans="1:19">
      <c r="A467" s="9">
        <v>41838</v>
      </c>
      <c r="B467" s="7" t="s">
        <v>26</v>
      </c>
      <c r="C467">
        <v>12</v>
      </c>
      <c r="D467" t="s">
        <v>60</v>
      </c>
      <c r="E467">
        <v>217</v>
      </c>
      <c r="F467">
        <v>3.98</v>
      </c>
      <c r="H467">
        <v>24</v>
      </c>
      <c r="I467">
        <v>2.5</v>
      </c>
      <c r="N467" t="str">
        <f t="shared" si="22"/>
        <v>NA</v>
      </c>
      <c r="O467">
        <v>110.43554186000003</v>
      </c>
      <c r="P467">
        <f t="shared" si="23"/>
        <v>110.43554186000003</v>
      </c>
      <c r="S467">
        <f t="shared" si="24"/>
        <v>12.441010559</v>
      </c>
    </row>
    <row r="468" spans="1:19">
      <c r="A468" s="9">
        <v>41838</v>
      </c>
      <c r="B468" s="7" t="s">
        <v>26</v>
      </c>
      <c r="C468">
        <v>12</v>
      </c>
      <c r="D468" t="s">
        <v>60</v>
      </c>
      <c r="F468">
        <v>2.9</v>
      </c>
      <c r="J468">
        <f>148+205+216+235+251+235+235+245+243+250</f>
        <v>2263</v>
      </c>
      <c r="K468">
        <v>9</v>
      </c>
      <c r="L468">
        <v>251</v>
      </c>
      <c r="N468" t="str">
        <f t="shared" si="22"/>
        <v>NA</v>
      </c>
      <c r="O468">
        <v>106.39087700000002</v>
      </c>
      <c r="P468">
        <f t="shared" si="23"/>
        <v>106.39087700000002</v>
      </c>
      <c r="S468">
        <f t="shared" si="24"/>
        <v>6.6051929749999996</v>
      </c>
    </row>
    <row r="469" spans="1:19">
      <c r="A469" s="9">
        <v>41838</v>
      </c>
      <c r="B469" s="7" t="s">
        <v>26</v>
      </c>
      <c r="C469">
        <v>12</v>
      </c>
      <c r="D469" t="s">
        <v>19</v>
      </c>
      <c r="F469">
        <v>5.85</v>
      </c>
      <c r="J469">
        <f>141+167+195+220+222+229+240+257+260+277</f>
        <v>2208</v>
      </c>
      <c r="K469">
        <v>10</v>
      </c>
      <c r="L469">
        <v>277</v>
      </c>
      <c r="N469" t="str">
        <f t="shared" si="22"/>
        <v>NA</v>
      </c>
      <c r="O469">
        <v>86.379628999999994</v>
      </c>
      <c r="P469">
        <f t="shared" si="23"/>
        <v>86.379628999999994</v>
      </c>
      <c r="S469">
        <f t="shared" si="24"/>
        <v>26.878265943749998</v>
      </c>
    </row>
    <row r="470" spans="1:19">
      <c r="A470" s="9">
        <v>41838</v>
      </c>
      <c r="B470" s="7" t="s">
        <v>26</v>
      </c>
      <c r="C470">
        <v>12</v>
      </c>
      <c r="D470" t="s">
        <v>19</v>
      </c>
      <c r="E470">
        <v>225</v>
      </c>
      <c r="F470">
        <v>3.41</v>
      </c>
      <c r="H470">
        <v>24.5</v>
      </c>
      <c r="I470">
        <v>2.5</v>
      </c>
      <c r="N470" t="str">
        <f t="shared" si="22"/>
        <v>NA</v>
      </c>
      <c r="O470">
        <v>102.35180686999999</v>
      </c>
      <c r="P470">
        <f t="shared" si="23"/>
        <v>102.35180686999999</v>
      </c>
      <c r="S470">
        <f t="shared" si="24"/>
        <v>9.1326806697500018</v>
      </c>
    </row>
    <row r="471" spans="1:19">
      <c r="A471" s="9">
        <v>41838</v>
      </c>
      <c r="B471" s="7" t="s">
        <v>26</v>
      </c>
      <c r="C471">
        <v>12</v>
      </c>
      <c r="D471" t="s">
        <v>19</v>
      </c>
      <c r="F471">
        <v>4.6500000000000004</v>
      </c>
      <c r="J471">
        <f>100+104+153+220+236+240+256+262</f>
        <v>1571</v>
      </c>
      <c r="K471">
        <v>8</v>
      </c>
      <c r="L471">
        <v>262</v>
      </c>
      <c r="N471" t="str">
        <f t="shared" si="22"/>
        <v>NA</v>
      </c>
      <c r="O471">
        <v>45.22107500000002</v>
      </c>
      <c r="P471">
        <f t="shared" si="23"/>
        <v>45.22107500000002</v>
      </c>
      <c r="S471">
        <f t="shared" si="24"/>
        <v>16.982257443750001</v>
      </c>
    </row>
    <row r="472" spans="1:19">
      <c r="A472" s="9">
        <v>41838</v>
      </c>
      <c r="B472" s="7" t="s">
        <v>26</v>
      </c>
      <c r="C472">
        <v>12</v>
      </c>
      <c r="D472" t="s">
        <v>19</v>
      </c>
      <c r="F472">
        <v>0.75</v>
      </c>
      <c r="J472">
        <f>27+53+78</f>
        <v>158</v>
      </c>
      <c r="K472">
        <v>3</v>
      </c>
      <c r="L472">
        <v>78</v>
      </c>
      <c r="N472" t="str">
        <f t="shared" si="22"/>
        <v>NA</v>
      </c>
      <c r="O472">
        <v>3.2861049999999992</v>
      </c>
      <c r="P472">
        <f t="shared" si="23"/>
        <v>3.2861049999999992</v>
      </c>
      <c r="S472">
        <f t="shared" si="24"/>
        <v>0.44178609375</v>
      </c>
    </row>
    <row r="473" spans="1:19">
      <c r="A473" s="9">
        <v>41838</v>
      </c>
      <c r="B473" s="7" t="s">
        <v>26</v>
      </c>
      <c r="C473">
        <v>12</v>
      </c>
      <c r="D473" t="s">
        <v>19</v>
      </c>
      <c r="F473">
        <v>5.04</v>
      </c>
      <c r="J473">
        <f>78+139+140+147+178+212+233+233+257+259+260+268</f>
        <v>2404</v>
      </c>
      <c r="K473">
        <v>12</v>
      </c>
      <c r="L473">
        <v>268</v>
      </c>
      <c r="N473" t="str">
        <f t="shared" si="22"/>
        <v>NA</v>
      </c>
      <c r="O473">
        <v>93.422108000000009</v>
      </c>
      <c r="P473">
        <f t="shared" si="23"/>
        <v>93.422108000000009</v>
      </c>
      <c r="S473">
        <f t="shared" si="24"/>
        <v>19.950353136</v>
      </c>
    </row>
    <row r="474" spans="1:19">
      <c r="A474" s="9">
        <v>41838</v>
      </c>
      <c r="B474" s="7" t="s">
        <v>26</v>
      </c>
      <c r="C474">
        <v>12</v>
      </c>
      <c r="D474" t="s">
        <v>19</v>
      </c>
      <c r="F474">
        <v>7.14</v>
      </c>
      <c r="J474">
        <f>130+171+198+188+211+218+233+244+257+260+278+108+187+178+219</f>
        <v>3080</v>
      </c>
      <c r="K474">
        <v>15</v>
      </c>
      <c r="L474">
        <v>278</v>
      </c>
      <c r="N474" t="str">
        <f t="shared" si="22"/>
        <v>NA</v>
      </c>
      <c r="O474">
        <v>132.720979</v>
      </c>
      <c r="P474">
        <f t="shared" si="23"/>
        <v>132.720979</v>
      </c>
      <c r="S474">
        <f t="shared" si="24"/>
        <v>40.039250390999996</v>
      </c>
    </row>
    <row r="475" spans="1:19">
      <c r="A475" s="9">
        <v>41838</v>
      </c>
      <c r="B475" s="7" t="s">
        <v>26</v>
      </c>
      <c r="C475">
        <v>12</v>
      </c>
      <c r="D475" t="s">
        <v>19</v>
      </c>
      <c r="F475">
        <v>0.9</v>
      </c>
      <c r="J475">
        <f>44+61+78</f>
        <v>183</v>
      </c>
      <c r="K475">
        <v>3</v>
      </c>
      <c r="L475">
        <v>78</v>
      </c>
      <c r="N475" t="str">
        <f t="shared" si="22"/>
        <v>NA</v>
      </c>
      <c r="O475">
        <v>5.6299799999999998</v>
      </c>
      <c r="P475">
        <f t="shared" si="23"/>
        <v>5.6299799999999998</v>
      </c>
      <c r="S475">
        <f t="shared" si="24"/>
        <v>0.636171975</v>
      </c>
    </row>
    <row r="476" spans="1:19">
      <c r="A476" s="9">
        <v>41838</v>
      </c>
      <c r="B476" s="7" t="s">
        <v>26</v>
      </c>
      <c r="C476">
        <v>12</v>
      </c>
      <c r="D476" t="s">
        <v>19</v>
      </c>
      <c r="F476">
        <v>0.74</v>
      </c>
      <c r="J476">
        <f>32+51+54</f>
        <v>137</v>
      </c>
      <c r="K476">
        <v>3</v>
      </c>
      <c r="L476">
        <v>54</v>
      </c>
      <c r="N476" t="str">
        <f t="shared" si="22"/>
        <v>NA</v>
      </c>
      <c r="O476">
        <v>8.5471299999999992</v>
      </c>
      <c r="P476">
        <f t="shared" si="23"/>
        <v>8.5471299999999992</v>
      </c>
      <c r="S476">
        <f t="shared" si="24"/>
        <v>0.43008367099999995</v>
      </c>
    </row>
    <row r="477" spans="1:19">
      <c r="A477" s="9">
        <v>41838</v>
      </c>
      <c r="B477" s="7" t="s">
        <v>26</v>
      </c>
      <c r="C477">
        <v>12</v>
      </c>
      <c r="D477" t="s">
        <v>19</v>
      </c>
      <c r="F477">
        <v>0.96</v>
      </c>
      <c r="J477">
        <f>44+57+67+77+90+91+115</f>
        <v>541</v>
      </c>
      <c r="K477">
        <v>7</v>
      </c>
      <c r="L477">
        <v>115</v>
      </c>
      <c r="N477" t="str">
        <f t="shared" si="22"/>
        <v>NA</v>
      </c>
      <c r="O477" t="s">
        <v>64</v>
      </c>
      <c r="P477" t="str">
        <f t="shared" si="23"/>
        <v xml:space="preserve"> </v>
      </c>
      <c r="S477">
        <f t="shared" si="24"/>
        <v>0.7238223359999999</v>
      </c>
    </row>
    <row r="478" spans="1:19">
      <c r="A478" s="9">
        <v>41838</v>
      </c>
      <c r="B478" s="7" t="s">
        <v>26</v>
      </c>
      <c r="C478">
        <v>12</v>
      </c>
      <c r="D478" t="s">
        <v>19</v>
      </c>
      <c r="F478">
        <v>1.1299999999999999</v>
      </c>
      <c r="J478">
        <f>57+129+135+159+189</f>
        <v>669</v>
      </c>
      <c r="K478">
        <v>5</v>
      </c>
      <c r="L478">
        <v>189</v>
      </c>
      <c r="N478" t="str">
        <f t="shared" si="22"/>
        <v>NA</v>
      </c>
      <c r="O478">
        <v>3.7120090000000019</v>
      </c>
      <c r="P478">
        <f t="shared" si="23"/>
        <v>3.7120090000000019</v>
      </c>
      <c r="S478">
        <f t="shared" si="24"/>
        <v>1.0028740677499997</v>
      </c>
    </row>
    <row r="479" spans="1:19">
      <c r="A479" s="9">
        <v>41838</v>
      </c>
      <c r="B479" s="7" t="s">
        <v>26</v>
      </c>
      <c r="C479">
        <v>12</v>
      </c>
      <c r="D479" t="s">
        <v>19</v>
      </c>
      <c r="F479">
        <v>1.83</v>
      </c>
      <c r="J479">
        <f>63+97+125+127+143+154</f>
        <v>709</v>
      </c>
      <c r="K479">
        <v>6</v>
      </c>
      <c r="L479">
        <v>154</v>
      </c>
      <c r="N479" t="str">
        <f t="shared" si="22"/>
        <v>NA</v>
      </c>
      <c r="O479">
        <v>10.983431000000003</v>
      </c>
      <c r="P479">
        <f t="shared" si="23"/>
        <v>10.983431000000003</v>
      </c>
      <c r="S479">
        <f t="shared" si="24"/>
        <v>2.6302176877500001</v>
      </c>
    </row>
    <row r="480" spans="1:19">
      <c r="A480" s="9">
        <v>41838</v>
      </c>
      <c r="B480" s="7" t="s">
        <v>26</v>
      </c>
      <c r="C480">
        <v>14</v>
      </c>
      <c r="D480" t="s">
        <v>19</v>
      </c>
      <c r="E480">
        <v>205</v>
      </c>
      <c r="F480">
        <v>5.01</v>
      </c>
      <c r="H480">
        <v>30</v>
      </c>
      <c r="I480">
        <v>2.5</v>
      </c>
      <c r="N480" t="str">
        <f t="shared" si="22"/>
        <v>NA</v>
      </c>
      <c r="O480">
        <v>132.21117217</v>
      </c>
      <c r="P480">
        <f t="shared" si="23"/>
        <v>132.21117217</v>
      </c>
      <c r="S480">
        <f t="shared" si="24"/>
        <v>19.713555789749996</v>
      </c>
    </row>
    <row r="481" spans="1:19">
      <c r="A481" s="9">
        <v>41838</v>
      </c>
      <c r="B481" s="7" t="s">
        <v>26</v>
      </c>
      <c r="C481">
        <v>14</v>
      </c>
      <c r="D481" t="s">
        <v>19</v>
      </c>
      <c r="F481">
        <v>5.05</v>
      </c>
      <c r="J481">
        <f>166+197+198+215+220+241+241+243</f>
        <v>1721</v>
      </c>
      <c r="K481">
        <v>8</v>
      </c>
      <c r="L481">
        <v>243</v>
      </c>
      <c r="N481" t="str">
        <f t="shared" si="22"/>
        <v>NA</v>
      </c>
      <c r="O481">
        <v>65.007980000000032</v>
      </c>
      <c r="P481">
        <f t="shared" si="23"/>
        <v>65.007980000000032</v>
      </c>
      <c r="S481">
        <f t="shared" si="24"/>
        <v>20.029599743749998</v>
      </c>
    </row>
    <row r="482" spans="1:19">
      <c r="A482" s="9">
        <v>41838</v>
      </c>
      <c r="B482" s="7" t="s">
        <v>26</v>
      </c>
      <c r="C482">
        <v>14</v>
      </c>
      <c r="D482" t="s">
        <v>19</v>
      </c>
      <c r="F482">
        <v>1.23</v>
      </c>
      <c r="J482">
        <f>37+42+41</f>
        <v>120</v>
      </c>
      <c r="K482">
        <v>3</v>
      </c>
      <c r="L482">
        <v>42</v>
      </c>
      <c r="N482" t="str">
        <f t="shared" si="22"/>
        <v>NA</v>
      </c>
      <c r="O482">
        <v>10.568234999999998</v>
      </c>
      <c r="P482">
        <f t="shared" si="23"/>
        <v>10.568234999999998</v>
      </c>
      <c r="S482">
        <f t="shared" si="24"/>
        <v>1.1882278777499999</v>
      </c>
    </row>
    <row r="483" spans="1:19">
      <c r="A483" s="9">
        <v>41838</v>
      </c>
      <c r="B483" s="7" t="s">
        <v>26</v>
      </c>
      <c r="C483">
        <v>14</v>
      </c>
      <c r="D483" t="s">
        <v>19</v>
      </c>
      <c r="F483">
        <v>1.0900000000000001</v>
      </c>
      <c r="J483">
        <f>97+122</f>
        <v>219</v>
      </c>
      <c r="K483">
        <v>2</v>
      </c>
      <c r="L483">
        <v>122</v>
      </c>
      <c r="N483" t="str">
        <f t="shared" si="22"/>
        <v>NA</v>
      </c>
      <c r="O483">
        <v>2.7727330000000023</v>
      </c>
      <c r="P483">
        <f t="shared" si="23"/>
        <v>2.7727330000000023</v>
      </c>
      <c r="S483">
        <f t="shared" si="24"/>
        <v>0.93313076975000009</v>
      </c>
    </row>
    <row r="484" spans="1:19">
      <c r="A484" s="9">
        <v>41838</v>
      </c>
      <c r="B484" s="7" t="s">
        <v>26</v>
      </c>
      <c r="C484">
        <v>14</v>
      </c>
      <c r="D484" t="s">
        <v>19</v>
      </c>
      <c r="F484">
        <v>4.95</v>
      </c>
      <c r="J484">
        <f>98+110+152+156+167+200+212+215</f>
        <v>1310</v>
      </c>
      <c r="K484">
        <v>8</v>
      </c>
      <c r="L484">
        <v>215</v>
      </c>
      <c r="N484" t="str">
        <f t="shared" si="22"/>
        <v>NA</v>
      </c>
      <c r="O484">
        <v>34.909535000000012</v>
      </c>
      <c r="P484">
        <f t="shared" si="23"/>
        <v>34.909535000000012</v>
      </c>
      <c r="S484">
        <f t="shared" si="24"/>
        <v>19.244202243749999</v>
      </c>
    </row>
    <row r="485" spans="1:19">
      <c r="A485" s="9">
        <v>41838</v>
      </c>
      <c r="B485" s="7" t="s">
        <v>26</v>
      </c>
      <c r="C485">
        <v>14</v>
      </c>
      <c r="D485" t="s">
        <v>19</v>
      </c>
      <c r="F485">
        <v>6.04</v>
      </c>
      <c r="J485">
        <f>69+129+140+152+170+212+230+213+244+263+275</f>
        <v>2097</v>
      </c>
      <c r="K485">
        <v>11</v>
      </c>
      <c r="L485">
        <v>275</v>
      </c>
      <c r="N485" t="str">
        <f t="shared" si="22"/>
        <v>NA</v>
      </c>
      <c r="O485">
        <v>69.552961000000039</v>
      </c>
      <c r="P485">
        <f t="shared" si="23"/>
        <v>69.552961000000039</v>
      </c>
      <c r="S485">
        <f t="shared" si="24"/>
        <v>28.652557435999999</v>
      </c>
    </row>
    <row r="486" spans="1:19">
      <c r="A486" s="9">
        <v>41838</v>
      </c>
      <c r="B486" s="7" t="s">
        <v>26</v>
      </c>
      <c r="C486">
        <v>14</v>
      </c>
      <c r="D486" t="s">
        <v>19</v>
      </c>
      <c r="F486">
        <v>3.98</v>
      </c>
      <c r="J486">
        <f>75+130+166+208+211+237+241+250</f>
        <v>1518</v>
      </c>
      <c r="K486">
        <v>8</v>
      </c>
      <c r="L486">
        <v>250</v>
      </c>
      <c r="N486" t="str">
        <f t="shared" si="22"/>
        <v>NA</v>
      </c>
      <c r="O486">
        <v>43.867000000000026</v>
      </c>
      <c r="P486">
        <f t="shared" si="23"/>
        <v>43.867000000000026</v>
      </c>
      <c r="S486">
        <f t="shared" si="24"/>
        <v>12.441010559</v>
      </c>
    </row>
    <row r="487" spans="1:19">
      <c r="A487" s="9">
        <v>41838</v>
      </c>
      <c r="B487" s="7" t="s">
        <v>26</v>
      </c>
      <c r="C487">
        <v>14</v>
      </c>
      <c r="D487" t="s">
        <v>19</v>
      </c>
      <c r="F487">
        <v>3.92</v>
      </c>
      <c r="J487">
        <f>94+156+181+194+236+238+249</f>
        <v>1348</v>
      </c>
      <c r="K487">
        <v>7</v>
      </c>
      <c r="L487">
        <v>249</v>
      </c>
      <c r="N487" t="str">
        <f t="shared" si="22"/>
        <v>NA</v>
      </c>
      <c r="O487">
        <v>35.252248000000016</v>
      </c>
      <c r="P487">
        <f t="shared" si="23"/>
        <v>35.252248000000016</v>
      </c>
      <c r="S487">
        <f t="shared" si="24"/>
        <v>12.068732143999998</v>
      </c>
    </row>
    <row r="488" spans="1:19">
      <c r="A488" s="9">
        <v>41838</v>
      </c>
      <c r="B488" s="7" t="s">
        <v>26</v>
      </c>
      <c r="C488">
        <v>14</v>
      </c>
      <c r="D488" t="s">
        <v>19</v>
      </c>
      <c r="F488">
        <v>4.72</v>
      </c>
      <c r="J488">
        <f>114+188+199+228+252+250+267+274+279</f>
        <v>2051</v>
      </c>
      <c r="K488">
        <v>9</v>
      </c>
      <c r="L488">
        <v>279</v>
      </c>
      <c r="N488" t="str">
        <f t="shared" si="22"/>
        <v>NA</v>
      </c>
      <c r="O488">
        <v>78.079957000000007</v>
      </c>
      <c r="P488">
        <f t="shared" si="23"/>
        <v>78.079957000000007</v>
      </c>
      <c r="S488">
        <f t="shared" si="24"/>
        <v>17.497399663999996</v>
      </c>
    </row>
    <row r="489" spans="1:19">
      <c r="A489" s="9">
        <v>41838</v>
      </c>
      <c r="B489" s="7" t="s">
        <v>26</v>
      </c>
      <c r="C489">
        <v>17</v>
      </c>
      <c r="D489" t="s">
        <v>60</v>
      </c>
      <c r="E489">
        <v>208</v>
      </c>
      <c r="F489">
        <v>3.97</v>
      </c>
      <c r="H489">
        <v>30</v>
      </c>
      <c r="I489">
        <v>2.5</v>
      </c>
      <c r="N489" t="str">
        <f t="shared" si="22"/>
        <v>NA</v>
      </c>
      <c r="O489">
        <v>113.08928709</v>
      </c>
      <c r="P489">
        <f t="shared" si="23"/>
        <v>113.08928709</v>
      </c>
      <c r="S489">
        <f t="shared" si="24"/>
        <v>12.378571457750001</v>
      </c>
    </row>
    <row r="490" spans="1:19">
      <c r="A490" s="9">
        <v>41838</v>
      </c>
      <c r="B490" s="7" t="s">
        <v>26</v>
      </c>
      <c r="N490" t="str">
        <f t="shared" si="22"/>
        <v>NA</v>
      </c>
      <c r="O490" t="s">
        <v>64</v>
      </c>
      <c r="P490" t="str">
        <f t="shared" si="23"/>
        <v xml:space="preserve"> </v>
      </c>
      <c r="S490">
        <f t="shared" si="24"/>
        <v>0</v>
      </c>
    </row>
    <row r="491" spans="1:19">
      <c r="A491" s="9">
        <v>41841</v>
      </c>
      <c r="B491" s="7" t="s">
        <v>21</v>
      </c>
      <c r="C491">
        <v>23</v>
      </c>
      <c r="D491" t="s">
        <v>60</v>
      </c>
      <c r="F491">
        <v>2.0299999999999998</v>
      </c>
      <c r="J491">
        <f>57+65+64+110+167</f>
        <v>463</v>
      </c>
      <c r="K491">
        <v>5</v>
      </c>
      <c r="L491">
        <v>167</v>
      </c>
      <c r="N491" t="str">
        <f t="shared" si="22"/>
        <v>NA</v>
      </c>
      <c r="O491" t="s">
        <v>64</v>
      </c>
      <c r="P491" t="str">
        <f t="shared" si="23"/>
        <v xml:space="preserve"> </v>
      </c>
      <c r="S491">
        <f t="shared" si="24"/>
        <v>3.2365445577499989</v>
      </c>
    </row>
    <row r="492" spans="1:19">
      <c r="A492" s="9">
        <v>41841</v>
      </c>
      <c r="B492" s="7" t="s">
        <v>21</v>
      </c>
      <c r="C492">
        <v>23</v>
      </c>
      <c r="D492" t="s">
        <v>60</v>
      </c>
      <c r="F492">
        <v>1.1000000000000001</v>
      </c>
      <c r="J492">
        <f>25+72+70+114+130+154</f>
        <v>565</v>
      </c>
      <c r="K492">
        <v>6</v>
      </c>
      <c r="L492">
        <v>154</v>
      </c>
      <c r="N492" t="str">
        <f t="shared" si="22"/>
        <v>NA</v>
      </c>
      <c r="O492" t="s">
        <v>64</v>
      </c>
      <c r="P492" t="str">
        <f t="shared" si="23"/>
        <v xml:space="preserve"> </v>
      </c>
      <c r="S492">
        <f t="shared" si="24"/>
        <v>0.95033097500000008</v>
      </c>
    </row>
    <row r="493" spans="1:19">
      <c r="A493" s="9">
        <v>41841</v>
      </c>
      <c r="B493" s="7" t="s">
        <v>21</v>
      </c>
      <c r="C493">
        <v>23</v>
      </c>
      <c r="D493" t="s">
        <v>19</v>
      </c>
      <c r="F493">
        <v>0.99</v>
      </c>
      <c r="J493">
        <f>21+29+32+34</f>
        <v>116</v>
      </c>
      <c r="K493">
        <v>4</v>
      </c>
      <c r="L493">
        <v>43</v>
      </c>
      <c r="N493" t="str">
        <f t="shared" si="22"/>
        <v>NA</v>
      </c>
      <c r="O493">
        <v>2.8696170000000016</v>
      </c>
      <c r="P493">
        <f t="shared" si="23"/>
        <v>2.8696170000000016</v>
      </c>
      <c r="S493">
        <f t="shared" si="24"/>
        <v>0.76976808975</v>
      </c>
    </row>
    <row r="494" spans="1:19">
      <c r="A494" s="9">
        <v>41841</v>
      </c>
      <c r="B494" s="7" t="s">
        <v>21</v>
      </c>
      <c r="C494">
        <v>23</v>
      </c>
      <c r="D494" t="s">
        <v>19</v>
      </c>
      <c r="F494">
        <v>2.62</v>
      </c>
      <c r="J494">
        <f>87+105+108</f>
        <v>300</v>
      </c>
      <c r="K494">
        <v>3</v>
      </c>
      <c r="L494">
        <v>108</v>
      </c>
      <c r="N494" t="str">
        <f t="shared" si="22"/>
        <v>NA</v>
      </c>
      <c r="O494">
        <v>7.5619650000000007</v>
      </c>
      <c r="P494">
        <f t="shared" si="23"/>
        <v>7.5619650000000007</v>
      </c>
      <c r="S494">
        <f t="shared" si="24"/>
        <v>5.3912825990000002</v>
      </c>
    </row>
    <row r="495" spans="1:19">
      <c r="A495" s="9">
        <v>41841</v>
      </c>
      <c r="B495" s="7" t="s">
        <v>21</v>
      </c>
      <c r="C495">
        <v>23</v>
      </c>
      <c r="D495" t="s">
        <v>19</v>
      </c>
      <c r="F495">
        <v>0.98</v>
      </c>
      <c r="J495">
        <f>89+97</f>
        <v>186</v>
      </c>
      <c r="K495">
        <v>2</v>
      </c>
      <c r="L495">
        <v>97</v>
      </c>
      <c r="N495" t="str">
        <f t="shared" si="22"/>
        <v>NA</v>
      </c>
      <c r="O495">
        <v>7.2099429999999955</v>
      </c>
      <c r="P495">
        <f t="shared" si="23"/>
        <v>7.2099429999999955</v>
      </c>
      <c r="S495">
        <f t="shared" si="24"/>
        <v>0.7542957589999999</v>
      </c>
    </row>
    <row r="496" spans="1:19">
      <c r="A496" s="9">
        <v>41841</v>
      </c>
      <c r="B496" s="7" t="s">
        <v>21</v>
      </c>
      <c r="C496">
        <v>23</v>
      </c>
      <c r="D496" t="s">
        <v>19</v>
      </c>
      <c r="F496">
        <v>4.4800000000000004</v>
      </c>
      <c r="J496">
        <f>105+127+132+133+173+211+239+263</f>
        <v>1383</v>
      </c>
      <c r="K496">
        <v>8</v>
      </c>
      <c r="L496">
        <v>263</v>
      </c>
      <c r="N496" t="str">
        <f t="shared" si="22"/>
        <v>NA</v>
      </c>
      <c r="O496">
        <v>27.293890000000026</v>
      </c>
      <c r="P496">
        <f t="shared" si="23"/>
        <v>27.293890000000026</v>
      </c>
      <c r="S496">
        <f t="shared" si="24"/>
        <v>15.763241984000002</v>
      </c>
    </row>
    <row r="497" spans="1:19">
      <c r="A497" s="9">
        <v>41841</v>
      </c>
      <c r="B497" s="7" t="s">
        <v>21</v>
      </c>
      <c r="C497">
        <v>23</v>
      </c>
      <c r="D497" t="s">
        <v>19</v>
      </c>
      <c r="F497">
        <v>1.46</v>
      </c>
      <c r="J497">
        <f>70+79+103+117+32</f>
        <v>401</v>
      </c>
      <c r="K497">
        <v>5</v>
      </c>
      <c r="L497">
        <v>117</v>
      </c>
      <c r="N497" t="str">
        <f t="shared" si="22"/>
        <v>NA</v>
      </c>
      <c r="O497">
        <v>0.27530900000000713</v>
      </c>
      <c r="P497">
        <f t="shared" si="23"/>
        <v>0.27530900000000713</v>
      </c>
      <c r="S497">
        <f t="shared" si="24"/>
        <v>1.6741533109999998</v>
      </c>
    </row>
    <row r="498" spans="1:19">
      <c r="A498" s="9">
        <v>41841</v>
      </c>
      <c r="B498" s="7" t="s">
        <v>21</v>
      </c>
      <c r="C498">
        <v>23</v>
      </c>
      <c r="D498" t="s">
        <v>19</v>
      </c>
      <c r="F498">
        <v>1.1100000000000001</v>
      </c>
      <c r="J498">
        <f>69+82</f>
        <v>151</v>
      </c>
      <c r="K498">
        <v>2</v>
      </c>
      <c r="L498">
        <v>82</v>
      </c>
      <c r="N498" t="str">
        <f t="shared" si="22"/>
        <v>NA</v>
      </c>
      <c r="O498">
        <v>8.4471929999999986</v>
      </c>
      <c r="P498">
        <f t="shared" si="23"/>
        <v>8.4471929999999986</v>
      </c>
      <c r="S498">
        <f t="shared" si="24"/>
        <v>0.96768825975000017</v>
      </c>
    </row>
    <row r="499" spans="1:19">
      <c r="A499" s="9">
        <v>41841</v>
      </c>
      <c r="B499" s="7" t="s">
        <v>21</v>
      </c>
      <c r="C499">
        <v>23</v>
      </c>
      <c r="D499" t="s">
        <v>19</v>
      </c>
      <c r="F499">
        <v>6.67</v>
      </c>
      <c r="J499">
        <f>68+136+165+185+201+225+240+246+273+283+282+311</f>
        <v>2615</v>
      </c>
      <c r="K499">
        <v>12</v>
      </c>
      <c r="L499">
        <v>311</v>
      </c>
      <c r="N499" t="str">
        <f t="shared" si="22"/>
        <v>NA</v>
      </c>
      <c r="O499">
        <v>100.25087800000003</v>
      </c>
      <c r="P499">
        <f t="shared" si="23"/>
        <v>100.25087800000003</v>
      </c>
      <c r="S499">
        <f t="shared" si="24"/>
        <v>34.941470837749996</v>
      </c>
    </row>
    <row r="500" spans="1:19">
      <c r="A500" s="9">
        <v>41841</v>
      </c>
      <c r="B500" s="7" t="s">
        <v>21</v>
      </c>
      <c r="C500">
        <v>23</v>
      </c>
      <c r="D500" t="s">
        <v>19</v>
      </c>
      <c r="F500">
        <v>1.38</v>
      </c>
      <c r="J500">
        <f>33+70+79+104+117</f>
        <v>403</v>
      </c>
      <c r="K500">
        <v>5</v>
      </c>
      <c r="L500">
        <v>117</v>
      </c>
      <c r="N500" t="str">
        <f t="shared" si="22"/>
        <v>NA</v>
      </c>
      <c r="O500">
        <v>0.4628190000000032</v>
      </c>
      <c r="P500">
        <f t="shared" si="23"/>
        <v>0.4628190000000032</v>
      </c>
      <c r="S500">
        <f t="shared" si="24"/>
        <v>1.4957109989999997</v>
      </c>
    </row>
    <row r="501" spans="1:19">
      <c r="A501" s="9">
        <v>41841</v>
      </c>
      <c r="B501" s="7" t="s">
        <v>21</v>
      </c>
      <c r="C501">
        <v>23</v>
      </c>
      <c r="D501" t="s">
        <v>19</v>
      </c>
      <c r="F501">
        <v>0.96</v>
      </c>
      <c r="J501">
        <f>40+42+42</f>
        <v>124</v>
      </c>
      <c r="K501">
        <v>3</v>
      </c>
      <c r="L501">
        <v>42</v>
      </c>
      <c r="N501" t="str">
        <f t="shared" si="22"/>
        <v>NA</v>
      </c>
      <c r="O501">
        <v>10.943255000000001</v>
      </c>
      <c r="P501">
        <f t="shared" si="23"/>
        <v>10.943255000000001</v>
      </c>
      <c r="S501">
        <f t="shared" si="24"/>
        <v>0.7238223359999999</v>
      </c>
    </row>
    <row r="502" spans="1:19">
      <c r="A502" s="9">
        <v>41841</v>
      </c>
      <c r="B502" s="7" t="s">
        <v>21</v>
      </c>
      <c r="C502">
        <v>23</v>
      </c>
      <c r="D502" t="s">
        <v>19</v>
      </c>
      <c r="F502">
        <v>0.87</v>
      </c>
      <c r="J502">
        <f>17+30+46+49</f>
        <v>142</v>
      </c>
      <c r="K502">
        <v>4</v>
      </c>
      <c r="L502">
        <v>49</v>
      </c>
      <c r="N502" t="str">
        <f t="shared" si="22"/>
        <v>NA</v>
      </c>
      <c r="O502">
        <v>3.4997770000000017</v>
      </c>
      <c r="P502">
        <f t="shared" si="23"/>
        <v>3.4997770000000017</v>
      </c>
      <c r="S502">
        <f t="shared" si="24"/>
        <v>0.59446736774999998</v>
      </c>
    </row>
    <row r="503" spans="1:19">
      <c r="A503" s="9">
        <v>41841</v>
      </c>
      <c r="B503" s="7" t="s">
        <v>21</v>
      </c>
      <c r="C503">
        <v>23</v>
      </c>
      <c r="D503" t="s">
        <v>19</v>
      </c>
      <c r="F503">
        <v>6.22</v>
      </c>
      <c r="J503">
        <f>148+161+164+188+111+130+137+148+158+161+174+185+183</f>
        <v>2048</v>
      </c>
      <c r="K503">
        <v>13</v>
      </c>
      <c r="L503">
        <v>188</v>
      </c>
      <c r="N503" t="str">
        <f t="shared" si="22"/>
        <v>NA</v>
      </c>
      <c r="O503">
        <v>77.122575000000012</v>
      </c>
      <c r="P503">
        <f t="shared" si="23"/>
        <v>77.122575000000012</v>
      </c>
      <c r="S503">
        <f t="shared" si="24"/>
        <v>30.385772638999995</v>
      </c>
    </row>
    <row r="504" spans="1:19">
      <c r="A504" s="9">
        <v>41841</v>
      </c>
      <c r="B504" s="7" t="s">
        <v>21</v>
      </c>
      <c r="C504">
        <v>23</v>
      </c>
      <c r="D504" t="s">
        <v>19</v>
      </c>
      <c r="F504">
        <v>0.88</v>
      </c>
      <c r="J504">
        <f>22+33+38+48+59</f>
        <v>200</v>
      </c>
      <c r="K504">
        <v>5</v>
      </c>
      <c r="L504">
        <v>59</v>
      </c>
      <c r="N504" t="str">
        <f t="shared" si="22"/>
        <v>NA</v>
      </c>
      <c r="O504" t="s">
        <v>64</v>
      </c>
      <c r="P504" t="str">
        <f t="shared" si="23"/>
        <v xml:space="preserve"> </v>
      </c>
      <c r="S504">
        <f t="shared" si="24"/>
        <v>0.60821182399999996</v>
      </c>
    </row>
    <row r="505" spans="1:19">
      <c r="A505" s="9">
        <v>41841</v>
      </c>
      <c r="B505" s="7" t="s">
        <v>21</v>
      </c>
      <c r="C505">
        <v>23</v>
      </c>
      <c r="D505" t="s">
        <v>19</v>
      </c>
      <c r="F505">
        <v>2.15</v>
      </c>
      <c r="J505">
        <f>32+51+64+65+119</f>
        <v>331</v>
      </c>
      <c r="K505">
        <v>5</v>
      </c>
      <c r="L505">
        <v>119</v>
      </c>
      <c r="N505" t="str">
        <f t="shared" si="22"/>
        <v>NA</v>
      </c>
      <c r="O505" t="s">
        <v>64</v>
      </c>
      <c r="P505" t="str">
        <f t="shared" si="23"/>
        <v xml:space="preserve"> </v>
      </c>
      <c r="S505">
        <f t="shared" si="24"/>
        <v>3.6304999437499994</v>
      </c>
    </row>
    <row r="506" spans="1:19">
      <c r="A506" s="9">
        <v>41841</v>
      </c>
      <c r="B506" s="7" t="s">
        <v>21</v>
      </c>
      <c r="C506">
        <v>23</v>
      </c>
      <c r="D506" t="s">
        <v>19</v>
      </c>
      <c r="F506">
        <v>3.32</v>
      </c>
      <c r="J506">
        <f>10+10+19+25+70+34+71+126+166</f>
        <v>531</v>
      </c>
      <c r="K506">
        <v>9</v>
      </c>
      <c r="L506">
        <v>166</v>
      </c>
      <c r="N506" t="str">
        <f t="shared" si="22"/>
        <v>NA</v>
      </c>
      <c r="O506" t="s">
        <v>64</v>
      </c>
      <c r="P506" t="str">
        <f t="shared" si="23"/>
        <v xml:space="preserve"> </v>
      </c>
      <c r="S506">
        <f t="shared" si="24"/>
        <v>8.6569654039999993</v>
      </c>
    </row>
    <row r="507" spans="1:19">
      <c r="A507" s="9">
        <v>41841</v>
      </c>
      <c r="B507" s="7" t="s">
        <v>21</v>
      </c>
      <c r="C507">
        <v>23</v>
      </c>
      <c r="D507" t="s">
        <v>19</v>
      </c>
      <c r="F507">
        <v>1.33</v>
      </c>
      <c r="J507">
        <f>21+30+31+31+37</f>
        <v>150</v>
      </c>
      <c r="K507">
        <v>5</v>
      </c>
      <c r="L507">
        <v>37</v>
      </c>
      <c r="N507" t="str">
        <f t="shared" si="22"/>
        <v>NA</v>
      </c>
      <c r="O507">
        <v>0.84240399999999482</v>
      </c>
      <c r="P507">
        <f t="shared" si="23"/>
        <v>0.84240399999999482</v>
      </c>
      <c r="S507">
        <f t="shared" si="24"/>
        <v>1.3892896377500001</v>
      </c>
    </row>
    <row r="508" spans="1:19">
      <c r="A508" s="9">
        <v>41841</v>
      </c>
      <c r="B508" s="7" t="s">
        <v>21</v>
      </c>
      <c r="C508">
        <v>23</v>
      </c>
      <c r="D508" t="s">
        <v>19</v>
      </c>
      <c r="F508">
        <v>6.56</v>
      </c>
      <c r="J508">
        <f>105+187+222+236+243+249+257+263+276+145</f>
        <v>2183</v>
      </c>
      <c r="K508">
        <v>10</v>
      </c>
      <c r="L508">
        <v>276</v>
      </c>
      <c r="N508" t="str">
        <f t="shared" si="22"/>
        <v>NA</v>
      </c>
      <c r="O508">
        <v>84.33699900000002</v>
      </c>
      <c r="P508">
        <f t="shared" si="23"/>
        <v>84.33699900000002</v>
      </c>
      <c r="S508">
        <f t="shared" si="24"/>
        <v>33.798481855999995</v>
      </c>
    </row>
    <row r="509" spans="1:19">
      <c r="A509" s="9">
        <v>41841</v>
      </c>
      <c r="B509" s="7" t="s">
        <v>21</v>
      </c>
      <c r="C509">
        <v>23</v>
      </c>
      <c r="D509" t="s">
        <v>19</v>
      </c>
      <c r="F509">
        <v>5.64</v>
      </c>
      <c r="J509">
        <f>129+130+130+133+151+165+175+196+212+226+232</f>
        <v>1879</v>
      </c>
      <c r="K509">
        <v>11</v>
      </c>
      <c r="L509">
        <v>232</v>
      </c>
      <c r="N509" t="str">
        <f t="shared" si="22"/>
        <v>NA</v>
      </c>
      <c r="O509">
        <v>62.067906000000015</v>
      </c>
      <c r="P509">
        <f t="shared" si="23"/>
        <v>62.067906000000015</v>
      </c>
      <c r="S509">
        <f t="shared" si="24"/>
        <v>24.983180315999995</v>
      </c>
    </row>
    <row r="510" spans="1:19">
      <c r="A510" s="9">
        <v>41841</v>
      </c>
      <c r="B510" s="7" t="s">
        <v>21</v>
      </c>
      <c r="C510">
        <v>24</v>
      </c>
      <c r="D510" t="s">
        <v>60</v>
      </c>
      <c r="F510">
        <v>2.77</v>
      </c>
      <c r="J510">
        <f>56+107+168+171+209+216+242+248</f>
        <v>1417</v>
      </c>
      <c r="K510">
        <v>8</v>
      </c>
      <c r="L510">
        <v>248</v>
      </c>
      <c r="N510" t="str">
        <f t="shared" si="22"/>
        <v>NA</v>
      </c>
      <c r="O510">
        <v>35.000235000000025</v>
      </c>
      <c r="P510">
        <f t="shared" si="23"/>
        <v>35.000235000000025</v>
      </c>
      <c r="S510">
        <f t="shared" si="24"/>
        <v>6.0262764777499997</v>
      </c>
    </row>
    <row r="511" spans="1:19">
      <c r="A511" s="9">
        <v>41841</v>
      </c>
      <c r="B511" s="7" t="s">
        <v>21</v>
      </c>
      <c r="C511">
        <v>24</v>
      </c>
      <c r="D511" t="s">
        <v>60</v>
      </c>
      <c r="F511">
        <v>1.8</v>
      </c>
      <c r="J511">
        <f>60+121+141+187+222+222</f>
        <v>953</v>
      </c>
      <c r="K511">
        <v>6</v>
      </c>
      <c r="L511">
        <v>222</v>
      </c>
      <c r="N511" t="str">
        <f t="shared" si="22"/>
        <v>NA</v>
      </c>
      <c r="O511">
        <v>13.374991000000001</v>
      </c>
      <c r="P511">
        <f t="shared" si="23"/>
        <v>13.374991000000001</v>
      </c>
      <c r="S511">
        <f t="shared" si="24"/>
        <v>2.5446879</v>
      </c>
    </row>
    <row r="512" spans="1:19">
      <c r="A512" s="9">
        <v>41841</v>
      </c>
      <c r="B512" s="7" t="s">
        <v>21</v>
      </c>
      <c r="C512">
        <v>24</v>
      </c>
      <c r="D512" t="s">
        <v>60</v>
      </c>
      <c r="E512">
        <v>290</v>
      </c>
      <c r="F512">
        <v>3.3</v>
      </c>
      <c r="H512">
        <v>35.5</v>
      </c>
      <c r="I512">
        <v>3</v>
      </c>
      <c r="N512" t="str">
        <f t="shared" si="22"/>
        <v>NA</v>
      </c>
      <c r="O512">
        <v>138.9555962</v>
      </c>
      <c r="P512">
        <f t="shared" si="23"/>
        <v>138.9555962</v>
      </c>
      <c r="S512">
        <f t="shared" si="24"/>
        <v>8.5529787749999979</v>
      </c>
    </row>
    <row r="513" spans="1:19">
      <c r="A513" s="9">
        <v>41841</v>
      </c>
      <c r="B513" s="7" t="s">
        <v>21</v>
      </c>
      <c r="C513">
        <v>24</v>
      </c>
      <c r="D513" t="s">
        <v>60</v>
      </c>
      <c r="E513">
        <v>259</v>
      </c>
      <c r="F513">
        <v>1.84</v>
      </c>
      <c r="H513">
        <v>22</v>
      </c>
      <c r="I513">
        <v>2.5</v>
      </c>
      <c r="N513" t="str">
        <f t="shared" si="22"/>
        <v>NA</v>
      </c>
      <c r="O513">
        <v>80.115377480000006</v>
      </c>
      <c r="P513">
        <f t="shared" si="23"/>
        <v>80.115377480000006</v>
      </c>
      <c r="S513">
        <f t="shared" si="24"/>
        <v>2.659041776</v>
      </c>
    </row>
    <row r="514" spans="1:19">
      <c r="A514" s="9">
        <v>41841</v>
      </c>
      <c r="B514" s="7" t="s">
        <v>21</v>
      </c>
      <c r="C514">
        <v>24</v>
      </c>
      <c r="D514" t="s">
        <v>60</v>
      </c>
      <c r="F514">
        <v>2.23</v>
      </c>
      <c r="J514">
        <f>86+117+121+180+236+269</f>
        <v>1009</v>
      </c>
      <c r="K514">
        <v>6</v>
      </c>
      <c r="L514">
        <v>264</v>
      </c>
      <c r="N514" t="str">
        <f t="shared" si="22"/>
        <v>NA</v>
      </c>
      <c r="O514">
        <v>5.9729810000000114</v>
      </c>
      <c r="P514">
        <f t="shared" si="23"/>
        <v>5.9729810000000114</v>
      </c>
      <c r="S514">
        <f t="shared" si="24"/>
        <v>3.9057032277500001</v>
      </c>
    </row>
    <row r="515" spans="1:19">
      <c r="A515" s="9">
        <v>41841</v>
      </c>
      <c r="B515" s="7" t="s">
        <v>21</v>
      </c>
      <c r="C515">
        <v>24</v>
      </c>
      <c r="D515" t="s">
        <v>60</v>
      </c>
      <c r="F515">
        <v>2.31</v>
      </c>
      <c r="J515">
        <f>156+168+221+238+249+252</f>
        <v>1284</v>
      </c>
      <c r="K515">
        <v>6</v>
      </c>
      <c r="L515">
        <v>252</v>
      </c>
      <c r="N515" t="str">
        <f t="shared" si="22"/>
        <v>NA</v>
      </c>
      <c r="O515">
        <v>35.370546000000012</v>
      </c>
      <c r="P515">
        <f t="shared" si="23"/>
        <v>35.370546000000012</v>
      </c>
      <c r="S515">
        <f t="shared" si="24"/>
        <v>4.1909595997500002</v>
      </c>
    </row>
    <row r="516" spans="1:19">
      <c r="A516" s="9">
        <v>41841</v>
      </c>
      <c r="B516" s="7" t="s">
        <v>21</v>
      </c>
      <c r="C516">
        <v>24</v>
      </c>
      <c r="D516" t="s">
        <v>60</v>
      </c>
      <c r="E516">
        <v>271</v>
      </c>
      <c r="F516">
        <v>2.56</v>
      </c>
      <c r="H516">
        <v>33.5</v>
      </c>
      <c r="I516">
        <v>2.5</v>
      </c>
      <c r="N516" t="str">
        <f t="shared" si="22"/>
        <v>NA</v>
      </c>
      <c r="O516">
        <v>108.32891542000002</v>
      </c>
      <c r="P516">
        <f t="shared" si="23"/>
        <v>108.32891542000002</v>
      </c>
      <c r="S516">
        <f t="shared" si="24"/>
        <v>5.147181056</v>
      </c>
    </row>
    <row r="517" spans="1:19">
      <c r="A517" s="9">
        <v>41841</v>
      </c>
      <c r="B517" s="7" t="s">
        <v>21</v>
      </c>
      <c r="C517">
        <v>24</v>
      </c>
      <c r="D517" t="s">
        <v>19</v>
      </c>
      <c r="E517">
        <v>219</v>
      </c>
      <c r="F517">
        <v>2.95</v>
      </c>
      <c r="H517">
        <v>28</v>
      </c>
      <c r="I517">
        <v>2</v>
      </c>
      <c r="N517" t="str">
        <f t="shared" ref="N517:N563" si="25">IF(OR(D517="S. acutus", D517="S. tabernaemontani", D517="S. californicus"),(1/3)*(3.14159)*((F517/2)^2)*E517,"NA")</f>
        <v>NA</v>
      </c>
      <c r="O517">
        <v>86.185487550000005</v>
      </c>
      <c r="P517">
        <f t="shared" ref="P517:P563" si="26">IF(O517&gt;0,O517," ")</f>
        <v>86.185487550000005</v>
      </c>
      <c r="S517">
        <f t="shared" ref="S517:S563" si="27">3.14159*((F517/2)^2)</f>
        <v>6.8349217437499998</v>
      </c>
    </row>
    <row r="518" spans="1:19">
      <c r="A518" s="9">
        <v>41841</v>
      </c>
      <c r="B518" s="7" t="s">
        <v>21</v>
      </c>
      <c r="C518">
        <v>24</v>
      </c>
      <c r="D518" t="s">
        <v>19</v>
      </c>
      <c r="F518">
        <v>1.49</v>
      </c>
      <c r="J518">
        <f>43+56+76+86</f>
        <v>261</v>
      </c>
      <c r="K518">
        <v>4</v>
      </c>
      <c r="L518">
        <v>86</v>
      </c>
      <c r="N518" t="str">
        <f t="shared" si="25"/>
        <v>NA</v>
      </c>
      <c r="O518">
        <v>3.5105570000000021</v>
      </c>
      <c r="P518">
        <f t="shared" si="26"/>
        <v>3.5105570000000021</v>
      </c>
      <c r="S518">
        <f t="shared" si="27"/>
        <v>1.7436609897499999</v>
      </c>
    </row>
    <row r="519" spans="1:19">
      <c r="A519" s="9">
        <v>41841</v>
      </c>
      <c r="B519" s="7" t="s">
        <v>21</v>
      </c>
      <c r="C519">
        <v>24</v>
      </c>
      <c r="D519" t="s">
        <v>19</v>
      </c>
      <c r="F519">
        <v>2.88</v>
      </c>
      <c r="J519">
        <f>128+132+157+168+200+219+229</f>
        <v>1233</v>
      </c>
      <c r="K519">
        <v>7</v>
      </c>
      <c r="L519">
        <v>229</v>
      </c>
      <c r="N519" t="str">
        <f t="shared" si="25"/>
        <v>NA</v>
      </c>
      <c r="O519">
        <v>30.49532300000002</v>
      </c>
      <c r="P519">
        <f t="shared" si="26"/>
        <v>30.49532300000002</v>
      </c>
      <c r="S519">
        <f t="shared" si="27"/>
        <v>6.5144010239999997</v>
      </c>
    </row>
    <row r="520" spans="1:19">
      <c r="A520" s="9">
        <v>41841</v>
      </c>
      <c r="B520" s="7" t="s">
        <v>21</v>
      </c>
      <c r="C520">
        <v>24</v>
      </c>
      <c r="D520" t="s">
        <v>19</v>
      </c>
      <c r="F520">
        <v>1.23</v>
      </c>
      <c r="J520">
        <f>42+58+58</f>
        <v>158</v>
      </c>
      <c r="K520">
        <v>3</v>
      </c>
      <c r="L520">
        <v>58</v>
      </c>
      <c r="N520" t="str">
        <f t="shared" si="25"/>
        <v>NA</v>
      </c>
      <c r="O520">
        <v>9.3110049999999944</v>
      </c>
      <c r="P520">
        <f t="shared" si="26"/>
        <v>9.3110049999999944</v>
      </c>
      <c r="S520">
        <f t="shared" si="27"/>
        <v>1.1882278777499999</v>
      </c>
    </row>
    <row r="521" spans="1:19">
      <c r="A521" s="9">
        <v>41841</v>
      </c>
      <c r="B521" s="7" t="s">
        <v>21</v>
      </c>
      <c r="C521">
        <v>24</v>
      </c>
      <c r="D521" t="s">
        <v>19</v>
      </c>
      <c r="F521">
        <v>1.25</v>
      </c>
      <c r="J521">
        <f>70+100+127+129+27</f>
        <v>453</v>
      </c>
      <c r="K521">
        <v>5</v>
      </c>
      <c r="L521">
        <v>127</v>
      </c>
      <c r="N521" t="str">
        <f t="shared" si="25"/>
        <v>NA</v>
      </c>
      <c r="O521">
        <v>2.1381190000000032</v>
      </c>
      <c r="P521">
        <f t="shared" si="26"/>
        <v>2.1381190000000032</v>
      </c>
      <c r="S521">
        <f t="shared" si="27"/>
        <v>1.22718359375</v>
      </c>
    </row>
    <row r="522" spans="1:19">
      <c r="A522" s="9">
        <v>41841</v>
      </c>
      <c r="B522" s="7" t="s">
        <v>21</v>
      </c>
      <c r="C522">
        <v>24</v>
      </c>
      <c r="D522" t="s">
        <v>19</v>
      </c>
      <c r="F522">
        <v>5.26</v>
      </c>
      <c r="J522">
        <f>32+72+80+81+107+107+139+156+176+182+217+240+243+278</f>
        <v>2110</v>
      </c>
      <c r="K522">
        <v>14</v>
      </c>
      <c r="L522">
        <v>278</v>
      </c>
      <c r="N522" t="str">
        <f t="shared" si="25"/>
        <v>NA</v>
      </c>
      <c r="O522">
        <v>48.800982000000026</v>
      </c>
      <c r="P522">
        <f t="shared" si="26"/>
        <v>48.800982000000026</v>
      </c>
      <c r="S522">
        <f t="shared" si="27"/>
        <v>21.730063870999995</v>
      </c>
    </row>
    <row r="523" spans="1:19">
      <c r="A523" s="9">
        <v>41841</v>
      </c>
      <c r="B523" s="7" t="s">
        <v>21</v>
      </c>
      <c r="C523">
        <v>24</v>
      </c>
      <c r="D523" t="s">
        <v>19</v>
      </c>
      <c r="F523">
        <v>1.55</v>
      </c>
      <c r="J523">
        <f>30+76+81+82+103</f>
        <v>372</v>
      </c>
      <c r="K523">
        <v>5</v>
      </c>
      <c r="L523">
        <v>103</v>
      </c>
      <c r="N523" t="str">
        <f t="shared" si="25"/>
        <v>NA</v>
      </c>
      <c r="O523">
        <v>1.7738440000000004</v>
      </c>
      <c r="P523">
        <f t="shared" si="26"/>
        <v>1.7738440000000004</v>
      </c>
      <c r="S523">
        <f t="shared" si="27"/>
        <v>1.8869174937500002</v>
      </c>
    </row>
    <row r="524" spans="1:19">
      <c r="A524" s="9">
        <v>41841</v>
      </c>
      <c r="B524" s="7" t="s">
        <v>21</v>
      </c>
      <c r="C524">
        <v>24</v>
      </c>
      <c r="D524" t="s">
        <v>19</v>
      </c>
      <c r="F524">
        <v>2.52</v>
      </c>
      <c r="J524">
        <f>74+133+149+151+204+259+300+320</f>
        <v>1590</v>
      </c>
      <c r="K524">
        <v>8</v>
      </c>
      <c r="L524">
        <v>320</v>
      </c>
      <c r="N524" t="str">
        <f t="shared" si="25"/>
        <v>NA</v>
      </c>
      <c r="O524">
        <v>29.530210000000004</v>
      </c>
      <c r="P524">
        <f t="shared" si="26"/>
        <v>29.530210000000004</v>
      </c>
      <c r="S524">
        <f t="shared" si="27"/>
        <v>4.9875882840000001</v>
      </c>
    </row>
    <row r="525" spans="1:19">
      <c r="A525" s="9">
        <v>41841</v>
      </c>
      <c r="B525" s="7" t="s">
        <v>21</v>
      </c>
      <c r="C525">
        <v>24</v>
      </c>
      <c r="D525" t="s">
        <v>19</v>
      </c>
      <c r="F525">
        <v>6.62</v>
      </c>
      <c r="J525">
        <f>103+147+213+242+270+284+300+304+311+311+309</f>
        <v>2794</v>
      </c>
      <c r="K525">
        <v>11</v>
      </c>
      <c r="L525">
        <v>311</v>
      </c>
      <c r="N525" t="str">
        <f t="shared" si="25"/>
        <v>NA</v>
      </c>
      <c r="O525">
        <v>124.05537600000005</v>
      </c>
      <c r="P525">
        <f t="shared" si="26"/>
        <v>124.05537600000005</v>
      </c>
      <c r="S525">
        <f t="shared" si="27"/>
        <v>34.419574199000003</v>
      </c>
    </row>
    <row r="526" spans="1:19">
      <c r="A526" s="9">
        <v>41841</v>
      </c>
      <c r="B526" s="7" t="s">
        <v>21</v>
      </c>
      <c r="C526">
        <v>24</v>
      </c>
      <c r="D526" t="s">
        <v>19</v>
      </c>
      <c r="F526">
        <v>2.02</v>
      </c>
      <c r="J526">
        <f>87+81+112+178</f>
        <v>458</v>
      </c>
      <c r="K526">
        <v>4</v>
      </c>
      <c r="L526">
        <v>178</v>
      </c>
      <c r="N526" t="str">
        <f t="shared" si="25"/>
        <v>NA</v>
      </c>
      <c r="O526" t="s">
        <v>64</v>
      </c>
      <c r="P526" t="str">
        <f t="shared" si="26"/>
        <v xml:space="preserve"> </v>
      </c>
      <c r="S526">
        <f t="shared" si="27"/>
        <v>3.2047359589999997</v>
      </c>
    </row>
    <row r="527" spans="1:19">
      <c r="A527" s="9">
        <v>41841</v>
      </c>
      <c r="B527" s="7" t="s">
        <v>21</v>
      </c>
      <c r="C527">
        <v>24</v>
      </c>
      <c r="D527" t="s">
        <v>19</v>
      </c>
      <c r="F527">
        <v>2.44</v>
      </c>
      <c r="J527">
        <f>80+85+85+116+138+136+159+189+190+196+227</f>
        <v>1601</v>
      </c>
      <c r="K527">
        <v>11</v>
      </c>
      <c r="L527">
        <v>227</v>
      </c>
      <c r="N527" t="str">
        <f t="shared" si="25"/>
        <v>NA</v>
      </c>
      <c r="O527">
        <v>37.510241000000001</v>
      </c>
      <c r="P527">
        <f t="shared" si="26"/>
        <v>37.510241000000001</v>
      </c>
      <c r="S527">
        <f t="shared" si="27"/>
        <v>4.6759425559999999</v>
      </c>
    </row>
    <row r="528" spans="1:19">
      <c r="A528" s="9">
        <v>41841</v>
      </c>
      <c r="B528" s="7" t="s">
        <v>21</v>
      </c>
      <c r="C528">
        <v>24</v>
      </c>
      <c r="D528" t="s">
        <v>19</v>
      </c>
      <c r="F528">
        <v>1.9</v>
      </c>
      <c r="J528">
        <f>60+90+90</f>
        <v>240</v>
      </c>
      <c r="K528">
        <v>3</v>
      </c>
      <c r="L528">
        <v>90</v>
      </c>
      <c r="N528" t="str">
        <f t="shared" si="25"/>
        <v>NA</v>
      </c>
      <c r="O528">
        <v>7.3590749999999971</v>
      </c>
      <c r="P528">
        <f t="shared" si="26"/>
        <v>7.3590749999999971</v>
      </c>
      <c r="S528">
        <f t="shared" si="27"/>
        <v>2.835284975</v>
      </c>
    </row>
    <row r="529" spans="1:19">
      <c r="A529" s="9">
        <v>41841</v>
      </c>
      <c r="B529" s="7" t="s">
        <v>21</v>
      </c>
      <c r="C529">
        <v>24</v>
      </c>
      <c r="D529" t="s">
        <v>19</v>
      </c>
      <c r="F529">
        <v>3.23</v>
      </c>
      <c r="J529">
        <f>119+151+190+223+257+264+275+290</f>
        <v>1769</v>
      </c>
      <c r="K529">
        <v>9</v>
      </c>
      <c r="L529">
        <v>290</v>
      </c>
      <c r="N529" t="str">
        <f t="shared" si="25"/>
        <v>NA</v>
      </c>
      <c r="O529">
        <v>48.327352000000012</v>
      </c>
      <c r="P529">
        <f t="shared" si="26"/>
        <v>48.327352000000012</v>
      </c>
      <c r="S529">
        <f t="shared" si="27"/>
        <v>8.1939735777500005</v>
      </c>
    </row>
    <row r="530" spans="1:19">
      <c r="A530" s="9">
        <v>41841</v>
      </c>
      <c r="B530" s="7" t="s">
        <v>21</v>
      </c>
      <c r="C530">
        <v>27</v>
      </c>
      <c r="D530" t="s">
        <v>19</v>
      </c>
      <c r="F530">
        <v>1.95</v>
      </c>
      <c r="J530">
        <f>27+71+75+95+96+117</f>
        <v>481</v>
      </c>
      <c r="K530">
        <v>6</v>
      </c>
      <c r="L530">
        <v>117</v>
      </c>
      <c r="N530" t="str">
        <f t="shared" si="25"/>
        <v>NA</v>
      </c>
      <c r="O530">
        <v>0.75335600000000369</v>
      </c>
      <c r="P530">
        <f t="shared" si="26"/>
        <v>0.75335600000000369</v>
      </c>
      <c r="S530">
        <f t="shared" si="27"/>
        <v>2.9864739937499998</v>
      </c>
    </row>
    <row r="531" spans="1:19">
      <c r="A531" s="9">
        <v>41841</v>
      </c>
      <c r="B531" s="7" t="s">
        <v>21</v>
      </c>
      <c r="C531">
        <v>27</v>
      </c>
      <c r="D531" t="s">
        <v>19</v>
      </c>
      <c r="F531">
        <v>2.4300000000000002</v>
      </c>
      <c r="J531">
        <f>44+62+81+87+92+54+113+120+140+159</f>
        <v>952</v>
      </c>
      <c r="K531">
        <v>10</v>
      </c>
      <c r="L531">
        <v>159</v>
      </c>
      <c r="N531" t="str">
        <f t="shared" si="25"/>
        <v>NA</v>
      </c>
      <c r="O531">
        <v>4.1702590000000086</v>
      </c>
      <c r="P531">
        <f t="shared" si="26"/>
        <v>4.1702590000000086</v>
      </c>
      <c r="S531">
        <f t="shared" si="27"/>
        <v>4.6376936977500005</v>
      </c>
    </row>
    <row r="532" spans="1:19">
      <c r="A532" s="9">
        <v>41841</v>
      </c>
      <c r="B532" s="7" t="s">
        <v>21</v>
      </c>
      <c r="C532">
        <v>27</v>
      </c>
      <c r="D532" t="s">
        <v>19</v>
      </c>
      <c r="F532">
        <v>1.1499999999999999</v>
      </c>
      <c r="J532">
        <f>23+31+47+54+73</f>
        <v>228</v>
      </c>
      <c r="K532">
        <v>5</v>
      </c>
      <c r="L532">
        <v>73</v>
      </c>
      <c r="N532" t="str">
        <f t="shared" si="25"/>
        <v>NA</v>
      </c>
      <c r="O532" t="s">
        <v>64</v>
      </c>
      <c r="P532" t="str">
        <f t="shared" si="26"/>
        <v xml:space="preserve"> </v>
      </c>
      <c r="S532">
        <f t="shared" si="27"/>
        <v>1.0386881937499999</v>
      </c>
    </row>
    <row r="533" spans="1:19">
      <c r="A533" s="9">
        <v>41841</v>
      </c>
      <c r="B533" s="7" t="s">
        <v>21</v>
      </c>
      <c r="C533">
        <v>27</v>
      </c>
      <c r="D533" t="s">
        <v>19</v>
      </c>
      <c r="F533">
        <v>1.19</v>
      </c>
      <c r="J533">
        <f>36+64+78+101</f>
        <v>279</v>
      </c>
      <c r="K533">
        <v>4</v>
      </c>
      <c r="L533">
        <v>101</v>
      </c>
      <c r="N533" t="str">
        <f t="shared" si="25"/>
        <v>NA</v>
      </c>
      <c r="O533">
        <v>0.67947199999999697</v>
      </c>
      <c r="P533">
        <f t="shared" si="26"/>
        <v>0.67947199999999697</v>
      </c>
      <c r="S533">
        <f t="shared" si="27"/>
        <v>1.11220139975</v>
      </c>
    </row>
    <row r="534" spans="1:19">
      <c r="A534" s="9">
        <v>41841</v>
      </c>
      <c r="B534" s="7" t="s">
        <v>21</v>
      </c>
      <c r="C534">
        <v>27</v>
      </c>
      <c r="D534" t="s">
        <v>19</v>
      </c>
      <c r="F534">
        <v>1.82</v>
      </c>
      <c r="J534">
        <f>55+63+66+67+145</f>
        <v>396</v>
      </c>
      <c r="K534">
        <v>5</v>
      </c>
      <c r="L534">
        <v>145</v>
      </c>
      <c r="N534" t="str">
        <f t="shared" si="25"/>
        <v>NA</v>
      </c>
      <c r="O534" t="s">
        <v>64</v>
      </c>
      <c r="P534" t="str">
        <f t="shared" si="26"/>
        <v xml:space="preserve"> </v>
      </c>
      <c r="S534">
        <f t="shared" si="27"/>
        <v>2.6015506790000003</v>
      </c>
    </row>
    <row r="535" spans="1:19">
      <c r="A535" s="9">
        <v>41841</v>
      </c>
      <c r="B535" s="7" t="s">
        <v>21</v>
      </c>
      <c r="C535">
        <v>27</v>
      </c>
      <c r="D535" t="s">
        <v>19</v>
      </c>
      <c r="F535">
        <v>2.2999999999999998</v>
      </c>
      <c r="J535">
        <f>34+69+90+110+118+136</f>
        <v>557</v>
      </c>
      <c r="K535">
        <v>6</v>
      </c>
      <c r="L535">
        <v>136</v>
      </c>
      <c r="N535" t="str">
        <f t="shared" si="25"/>
        <v>NA</v>
      </c>
      <c r="O535">
        <v>2.1550810000000027</v>
      </c>
      <c r="P535">
        <f t="shared" si="26"/>
        <v>2.1550810000000027</v>
      </c>
      <c r="S535">
        <f t="shared" si="27"/>
        <v>4.1547527749999995</v>
      </c>
    </row>
    <row r="536" spans="1:19">
      <c r="A536" s="9">
        <v>41841</v>
      </c>
      <c r="B536" s="7" t="s">
        <v>21</v>
      </c>
      <c r="C536">
        <v>27</v>
      </c>
      <c r="D536" t="s">
        <v>19</v>
      </c>
      <c r="F536">
        <v>0.92</v>
      </c>
      <c r="J536">
        <f>20+41+42+57</f>
        <v>160</v>
      </c>
      <c r="K536">
        <v>4</v>
      </c>
      <c r="L536">
        <v>57</v>
      </c>
      <c r="N536" t="str">
        <f t="shared" si="25"/>
        <v>NA</v>
      </c>
      <c r="O536">
        <v>2.7774070000000002</v>
      </c>
      <c r="P536">
        <f t="shared" si="26"/>
        <v>2.7774070000000002</v>
      </c>
      <c r="S536">
        <f t="shared" si="27"/>
        <v>0.66476044400000001</v>
      </c>
    </row>
    <row r="537" spans="1:19">
      <c r="A537" s="9">
        <v>41841</v>
      </c>
      <c r="B537" s="7" t="s">
        <v>21</v>
      </c>
      <c r="C537">
        <v>27</v>
      </c>
      <c r="D537" t="s">
        <v>19</v>
      </c>
      <c r="E537">
        <v>264</v>
      </c>
      <c r="F537">
        <v>9.1</v>
      </c>
      <c r="H537">
        <v>38.5</v>
      </c>
      <c r="I537">
        <v>2.5</v>
      </c>
      <c r="N537" t="str">
        <f t="shared" si="25"/>
        <v>NA</v>
      </c>
      <c r="O537">
        <v>236.83296819999998</v>
      </c>
      <c r="P537">
        <f t="shared" si="26"/>
        <v>236.83296819999998</v>
      </c>
      <c r="S537">
        <f t="shared" si="27"/>
        <v>65.038766974999987</v>
      </c>
    </row>
    <row r="538" spans="1:19">
      <c r="A538" s="9">
        <v>41841</v>
      </c>
      <c r="B538" s="7" t="s">
        <v>21</v>
      </c>
      <c r="C538">
        <v>27</v>
      </c>
      <c r="D538" t="s">
        <v>19</v>
      </c>
      <c r="E538">
        <v>223</v>
      </c>
      <c r="F538">
        <v>8.36</v>
      </c>
      <c r="H538">
        <v>41.5</v>
      </c>
      <c r="I538">
        <v>2.5</v>
      </c>
      <c r="N538" t="str">
        <f t="shared" si="25"/>
        <v>NA</v>
      </c>
      <c r="O538">
        <v>212.90975001999993</v>
      </c>
      <c r="P538">
        <f t="shared" si="26"/>
        <v>212.90975001999993</v>
      </c>
      <c r="S538">
        <f t="shared" si="27"/>
        <v>54.89111711599999</v>
      </c>
    </row>
    <row r="539" spans="1:19">
      <c r="A539" s="9">
        <v>41841</v>
      </c>
      <c r="B539" s="7" t="s">
        <v>21</v>
      </c>
      <c r="C539">
        <v>27</v>
      </c>
      <c r="D539" t="s">
        <v>19</v>
      </c>
      <c r="F539">
        <v>0.75</v>
      </c>
      <c r="J539">
        <f>27+31+43</f>
        <v>101</v>
      </c>
      <c r="K539">
        <v>3</v>
      </c>
      <c r="L539">
        <v>43</v>
      </c>
      <c r="N539" t="str">
        <f t="shared" si="25"/>
        <v>NA</v>
      </c>
      <c r="O539">
        <v>8.4856449999999981</v>
      </c>
      <c r="P539">
        <f t="shared" si="26"/>
        <v>8.4856449999999981</v>
      </c>
      <c r="S539">
        <f t="shared" si="27"/>
        <v>0.44178609375</v>
      </c>
    </row>
    <row r="540" spans="1:19">
      <c r="A540" s="9">
        <v>41841</v>
      </c>
      <c r="B540" s="7" t="s">
        <v>21</v>
      </c>
      <c r="C540">
        <v>27</v>
      </c>
      <c r="D540" t="s">
        <v>19</v>
      </c>
      <c r="F540">
        <v>5.23</v>
      </c>
      <c r="J540">
        <f>122+145+215+240+248+259+270+283</f>
        <v>1782</v>
      </c>
      <c r="K540">
        <v>8</v>
      </c>
      <c r="L540">
        <v>283</v>
      </c>
      <c r="N540" t="str">
        <f t="shared" si="25"/>
        <v>NA</v>
      </c>
      <c r="O540">
        <v>58.677235000000017</v>
      </c>
      <c r="P540">
        <f t="shared" si="26"/>
        <v>58.677235000000017</v>
      </c>
      <c r="S540">
        <f t="shared" si="27"/>
        <v>21.482899277750004</v>
      </c>
    </row>
    <row r="541" spans="1:19">
      <c r="A541" s="9">
        <v>41841</v>
      </c>
      <c r="B541" s="7" t="s">
        <v>21</v>
      </c>
      <c r="C541">
        <v>27</v>
      </c>
      <c r="D541" t="s">
        <v>19</v>
      </c>
      <c r="F541">
        <v>3.37</v>
      </c>
      <c r="J541">
        <f>116+149+127+180+204+225+238+246</f>
        <v>1485</v>
      </c>
      <c r="K541">
        <v>8</v>
      </c>
      <c r="L541">
        <v>246</v>
      </c>
      <c r="N541" t="str">
        <f t="shared" si="25"/>
        <v>NA</v>
      </c>
      <c r="O541">
        <v>41.978065000000022</v>
      </c>
      <c r="P541">
        <f t="shared" si="26"/>
        <v>41.978065000000022</v>
      </c>
      <c r="S541">
        <f t="shared" si="27"/>
        <v>8.9196808677500012</v>
      </c>
    </row>
    <row r="542" spans="1:19">
      <c r="A542" s="9">
        <v>41841</v>
      </c>
      <c r="B542" s="7" t="s">
        <v>21</v>
      </c>
      <c r="C542">
        <v>27</v>
      </c>
      <c r="D542" t="s">
        <v>19</v>
      </c>
      <c r="F542">
        <v>0.74</v>
      </c>
      <c r="J542">
        <f>45+61+81+44+112</f>
        <v>343</v>
      </c>
      <c r="K542">
        <v>5</v>
      </c>
      <c r="L542">
        <v>112</v>
      </c>
      <c r="N542" t="str">
        <f t="shared" si="25"/>
        <v>NA</v>
      </c>
      <c r="O542" t="s">
        <v>64</v>
      </c>
      <c r="P542" t="str">
        <f t="shared" si="26"/>
        <v xml:space="preserve"> </v>
      </c>
      <c r="S542">
        <f t="shared" si="27"/>
        <v>0.43008367099999995</v>
      </c>
    </row>
    <row r="543" spans="1:19">
      <c r="A543" s="9">
        <v>41841</v>
      </c>
      <c r="B543" s="7" t="s">
        <v>21</v>
      </c>
      <c r="C543">
        <v>27</v>
      </c>
      <c r="D543" t="s">
        <v>19</v>
      </c>
      <c r="F543">
        <v>2.14</v>
      </c>
      <c r="J543">
        <f>130+214+246+270+284+292</f>
        <v>1436</v>
      </c>
      <c r="K543">
        <v>6</v>
      </c>
      <c r="L543">
        <v>292</v>
      </c>
      <c r="N543" t="str">
        <f t="shared" si="25"/>
        <v>NA</v>
      </c>
      <c r="O543">
        <v>37.571506000000007</v>
      </c>
      <c r="P543">
        <f t="shared" si="26"/>
        <v>37.571506000000007</v>
      </c>
      <c r="S543">
        <f t="shared" si="27"/>
        <v>3.5968063909999999</v>
      </c>
    </row>
    <row r="544" spans="1:19">
      <c r="A544" s="9">
        <v>41841</v>
      </c>
      <c r="B544" s="7" t="s">
        <v>21</v>
      </c>
      <c r="C544">
        <v>27</v>
      </c>
      <c r="D544" t="s">
        <v>19</v>
      </c>
      <c r="F544">
        <v>2.2000000000000002</v>
      </c>
      <c r="J544">
        <f>53+87+89+125+156+156</f>
        <v>666</v>
      </c>
      <c r="K544">
        <v>6</v>
      </c>
      <c r="L544">
        <v>156</v>
      </c>
      <c r="N544" t="str">
        <f t="shared" si="25"/>
        <v>NA</v>
      </c>
      <c r="O544">
        <v>6.3494760000000028</v>
      </c>
      <c r="P544">
        <f t="shared" si="26"/>
        <v>6.3494760000000028</v>
      </c>
      <c r="S544">
        <f t="shared" si="27"/>
        <v>3.8013239000000003</v>
      </c>
    </row>
    <row r="545" spans="1:19">
      <c r="A545" s="9">
        <v>41841</v>
      </c>
      <c r="B545" s="7" t="s">
        <v>21</v>
      </c>
      <c r="C545">
        <v>27</v>
      </c>
      <c r="D545" t="s">
        <v>19</v>
      </c>
      <c r="F545">
        <v>5.54</v>
      </c>
      <c r="J545">
        <f>160+177+203+246+258+260+266+268</f>
        <v>1838</v>
      </c>
      <c r="K545">
        <v>8</v>
      </c>
      <c r="L545">
        <v>268</v>
      </c>
      <c r="N545" t="str">
        <f t="shared" si="25"/>
        <v>NA</v>
      </c>
      <c r="O545">
        <v>68.44619000000003</v>
      </c>
      <c r="P545">
        <f t="shared" si="26"/>
        <v>68.44619000000003</v>
      </c>
      <c r="S545">
        <f t="shared" si="27"/>
        <v>24.105105910999999</v>
      </c>
    </row>
    <row r="546" spans="1:19">
      <c r="A546" s="9">
        <v>41841</v>
      </c>
      <c r="B546" s="7" t="s">
        <v>21</v>
      </c>
      <c r="C546">
        <v>27</v>
      </c>
      <c r="D546" t="s">
        <v>19</v>
      </c>
      <c r="F546">
        <v>2.74</v>
      </c>
      <c r="J546">
        <f>83+118+117+268+270+293</f>
        <v>1149</v>
      </c>
      <c r="K546">
        <v>6</v>
      </c>
      <c r="L546">
        <v>293</v>
      </c>
      <c r="N546" t="str">
        <f t="shared" si="25"/>
        <v>NA</v>
      </c>
      <c r="O546">
        <v>10.362576000000011</v>
      </c>
      <c r="P546">
        <f t="shared" si="26"/>
        <v>10.362576000000011</v>
      </c>
      <c r="S546">
        <f t="shared" si="27"/>
        <v>5.8964502710000009</v>
      </c>
    </row>
    <row r="547" spans="1:19">
      <c r="A547" s="9">
        <v>41841</v>
      </c>
      <c r="B547" s="7" t="s">
        <v>21</v>
      </c>
      <c r="C547">
        <v>27</v>
      </c>
      <c r="D547" t="s">
        <v>19</v>
      </c>
      <c r="E547">
        <v>233</v>
      </c>
      <c r="F547">
        <v>4.0599999999999996</v>
      </c>
      <c r="H547">
        <v>30</v>
      </c>
      <c r="I547">
        <v>2.5</v>
      </c>
      <c r="N547" t="str">
        <f t="shared" si="25"/>
        <v>NA</v>
      </c>
      <c r="O547">
        <v>122.42006362000001</v>
      </c>
      <c r="P547">
        <f t="shared" si="26"/>
        <v>122.42006362000001</v>
      </c>
      <c r="S547">
        <f t="shared" si="27"/>
        <v>12.946178230999996</v>
      </c>
    </row>
    <row r="548" spans="1:19">
      <c r="A548" s="9">
        <v>41841</v>
      </c>
      <c r="B548" s="7" t="s">
        <v>21</v>
      </c>
      <c r="C548">
        <v>27</v>
      </c>
      <c r="D548" t="s">
        <v>19</v>
      </c>
      <c r="F548">
        <v>4.0199999999999996</v>
      </c>
      <c r="J548">
        <f>84+136+154+169+197+213+212+236+245+249</f>
        <v>1895</v>
      </c>
      <c r="K548">
        <v>10</v>
      </c>
      <c r="L548">
        <v>249</v>
      </c>
      <c r="N548" t="str">
        <f t="shared" si="25"/>
        <v>NA</v>
      </c>
      <c r="O548">
        <v>65.46917400000001</v>
      </c>
      <c r="P548">
        <f t="shared" si="26"/>
        <v>65.46917400000001</v>
      </c>
      <c r="S548">
        <f t="shared" si="27"/>
        <v>12.692337758999996</v>
      </c>
    </row>
    <row r="549" spans="1:19">
      <c r="A549" s="9">
        <v>41841</v>
      </c>
      <c r="B549" s="7" t="s">
        <v>21</v>
      </c>
      <c r="C549">
        <v>27</v>
      </c>
      <c r="D549" t="s">
        <v>19</v>
      </c>
      <c r="F549">
        <v>1.55</v>
      </c>
      <c r="J549">
        <f>87+83+103+113+137+147</f>
        <v>670</v>
      </c>
      <c r="K549">
        <v>6</v>
      </c>
      <c r="L549">
        <v>147</v>
      </c>
      <c r="N549" t="str">
        <f t="shared" si="25"/>
        <v>NA</v>
      </c>
      <c r="O549">
        <v>9.4357010000000017</v>
      </c>
      <c r="P549">
        <f t="shared" si="26"/>
        <v>9.4357010000000017</v>
      </c>
      <c r="S549">
        <f t="shared" si="27"/>
        <v>1.8869174937500002</v>
      </c>
    </row>
    <row r="550" spans="1:19">
      <c r="A550" s="9">
        <v>41841</v>
      </c>
      <c r="B550" s="7" t="s">
        <v>21</v>
      </c>
      <c r="C550">
        <v>40</v>
      </c>
      <c r="D550" t="s">
        <v>60</v>
      </c>
      <c r="F550">
        <v>1.27</v>
      </c>
      <c r="J550">
        <f>142+147+210+269+299</f>
        <v>1067</v>
      </c>
      <c r="K550">
        <v>5</v>
      </c>
      <c r="L550">
        <v>299</v>
      </c>
      <c r="N550" t="str">
        <f t="shared" si="25"/>
        <v>NA</v>
      </c>
      <c r="O550">
        <v>7.8895490000000095</v>
      </c>
      <c r="P550">
        <f t="shared" si="26"/>
        <v>7.8895490000000095</v>
      </c>
      <c r="S550">
        <f t="shared" si="27"/>
        <v>1.26676762775</v>
      </c>
    </row>
    <row r="551" spans="1:19">
      <c r="A551" s="9">
        <v>41841</v>
      </c>
      <c r="B551" s="7" t="s">
        <v>21</v>
      </c>
      <c r="C551">
        <v>40</v>
      </c>
      <c r="D551" t="s">
        <v>60</v>
      </c>
      <c r="F551">
        <v>1.86</v>
      </c>
      <c r="J551">
        <f>190+192+218+221+240+252</f>
        <v>1313</v>
      </c>
      <c r="K551">
        <v>6</v>
      </c>
      <c r="L551">
        <v>252</v>
      </c>
      <c r="N551" t="str">
        <f t="shared" si="25"/>
        <v>NA</v>
      </c>
      <c r="O551">
        <v>38.089441000000015</v>
      </c>
      <c r="P551">
        <f t="shared" si="26"/>
        <v>38.089441000000015</v>
      </c>
      <c r="S551">
        <f t="shared" si="27"/>
        <v>2.7171611910000002</v>
      </c>
    </row>
    <row r="552" spans="1:19">
      <c r="A552" s="9">
        <v>41841</v>
      </c>
      <c r="B552" s="7" t="s">
        <v>21</v>
      </c>
      <c r="C552">
        <v>40</v>
      </c>
      <c r="D552" t="s">
        <v>60</v>
      </c>
      <c r="E552">
        <v>307</v>
      </c>
      <c r="F552">
        <v>2.99</v>
      </c>
      <c r="H552">
        <v>21</v>
      </c>
      <c r="I552">
        <v>2</v>
      </c>
      <c r="N552" t="str">
        <f t="shared" si="25"/>
        <v>NA</v>
      </c>
      <c r="O552">
        <v>107.18626243</v>
      </c>
      <c r="P552">
        <f t="shared" si="26"/>
        <v>107.18626243</v>
      </c>
      <c r="S552">
        <f t="shared" si="27"/>
        <v>7.0215321897500003</v>
      </c>
    </row>
    <row r="553" spans="1:19">
      <c r="A553" s="9">
        <v>41841</v>
      </c>
      <c r="B553" s="7" t="s">
        <v>21</v>
      </c>
      <c r="C553">
        <v>40</v>
      </c>
      <c r="D553" t="s">
        <v>60</v>
      </c>
      <c r="E553">
        <v>331</v>
      </c>
      <c r="F553">
        <v>4.21</v>
      </c>
      <c r="H553">
        <v>33</v>
      </c>
      <c r="I553">
        <v>3</v>
      </c>
      <c r="N553" t="str">
        <f t="shared" si="25"/>
        <v>NA</v>
      </c>
      <c r="O553">
        <v>166.61863836999999</v>
      </c>
      <c r="P553">
        <f t="shared" si="26"/>
        <v>166.61863836999999</v>
      </c>
      <c r="S553">
        <f t="shared" si="27"/>
        <v>13.92046382975</v>
      </c>
    </row>
    <row r="554" spans="1:19">
      <c r="A554" s="9">
        <v>41841</v>
      </c>
      <c r="B554" s="7" t="s">
        <v>21</v>
      </c>
      <c r="C554">
        <v>40</v>
      </c>
      <c r="D554" t="s">
        <v>60</v>
      </c>
      <c r="E554">
        <v>333</v>
      </c>
      <c r="F554">
        <v>4.2699999999999996</v>
      </c>
      <c r="H554">
        <v>33</v>
      </c>
      <c r="I554">
        <v>2.5</v>
      </c>
      <c r="N554" t="str">
        <f t="shared" si="25"/>
        <v>NA</v>
      </c>
      <c r="O554">
        <v>159.64438379000001</v>
      </c>
      <c r="P554">
        <f t="shared" si="26"/>
        <v>159.64438379000001</v>
      </c>
      <c r="S554">
        <f t="shared" si="27"/>
        <v>14.320074077749997</v>
      </c>
    </row>
    <row r="555" spans="1:19">
      <c r="A555" s="9">
        <v>41841</v>
      </c>
      <c r="B555" s="7" t="s">
        <v>21</v>
      </c>
      <c r="C555">
        <v>40</v>
      </c>
      <c r="D555" t="s">
        <v>60</v>
      </c>
      <c r="E555">
        <v>2.99</v>
      </c>
      <c r="F555">
        <v>1.98</v>
      </c>
      <c r="H555">
        <v>26.5</v>
      </c>
      <c r="I555">
        <v>2.5</v>
      </c>
      <c r="N555" t="str">
        <f t="shared" si="25"/>
        <v>NA</v>
      </c>
      <c r="O555">
        <v>9.200805717999998</v>
      </c>
      <c r="P555">
        <f t="shared" si="26"/>
        <v>9.200805717999998</v>
      </c>
      <c r="S555">
        <f t="shared" si="27"/>
        <v>3.079072359</v>
      </c>
    </row>
    <row r="556" spans="1:19">
      <c r="A556" s="9">
        <v>41841</v>
      </c>
      <c r="B556" s="7" t="s">
        <v>21</v>
      </c>
      <c r="C556">
        <v>40</v>
      </c>
      <c r="D556" t="s">
        <v>19</v>
      </c>
      <c r="F556">
        <v>6.7</v>
      </c>
      <c r="J556">
        <f>182+225+282+357+426+445+460+195</f>
        <v>2572</v>
      </c>
      <c r="K556">
        <v>8</v>
      </c>
      <c r="L556">
        <v>460</v>
      </c>
      <c r="N556" t="str">
        <f t="shared" si="25"/>
        <v>NA</v>
      </c>
      <c r="O556">
        <v>79.423320000000018</v>
      </c>
      <c r="P556">
        <f t="shared" si="26"/>
        <v>79.423320000000018</v>
      </c>
      <c r="S556">
        <f t="shared" si="27"/>
        <v>35.256493774999996</v>
      </c>
    </row>
    <row r="557" spans="1:19">
      <c r="A557" s="9">
        <v>41841</v>
      </c>
      <c r="B557" s="7" t="s">
        <v>21</v>
      </c>
      <c r="C557">
        <v>40</v>
      </c>
      <c r="D557" t="s">
        <v>19</v>
      </c>
      <c r="F557">
        <v>2.39</v>
      </c>
      <c r="J557">
        <f>157+175+178+228+242+250</f>
        <v>1230</v>
      </c>
      <c r="K557">
        <v>6</v>
      </c>
      <c r="L557">
        <v>250</v>
      </c>
      <c r="N557" t="str">
        <f t="shared" si="25"/>
        <v>NA</v>
      </c>
      <c r="O557">
        <v>30.910266</v>
      </c>
      <c r="P557">
        <f t="shared" si="26"/>
        <v>30.910266</v>
      </c>
      <c r="S557">
        <f t="shared" si="27"/>
        <v>4.4862690597500006</v>
      </c>
    </row>
    <row r="558" spans="1:19">
      <c r="A558" s="9">
        <v>41841</v>
      </c>
      <c r="B558" s="7" t="s">
        <v>21</v>
      </c>
      <c r="C558">
        <v>40</v>
      </c>
      <c r="D558" t="s">
        <v>19</v>
      </c>
      <c r="F558">
        <v>5.42</v>
      </c>
      <c r="J558">
        <f>232+239+282+316+344+381+410+422+433</f>
        <v>3059</v>
      </c>
      <c r="K558">
        <v>9</v>
      </c>
      <c r="L558">
        <v>433</v>
      </c>
      <c r="N558" t="str">
        <f t="shared" si="25"/>
        <v>NA</v>
      </c>
      <c r="O558">
        <v>126.19326700000002</v>
      </c>
      <c r="P558">
        <f t="shared" si="26"/>
        <v>126.19326700000002</v>
      </c>
      <c r="S558">
        <f t="shared" si="27"/>
        <v>23.072151119000001</v>
      </c>
    </row>
    <row r="559" spans="1:19">
      <c r="A559" s="9">
        <v>41841</v>
      </c>
      <c r="B559" s="7" t="s">
        <v>21</v>
      </c>
      <c r="C559">
        <v>40</v>
      </c>
      <c r="D559" t="s">
        <v>19</v>
      </c>
      <c r="F559">
        <v>2.2799999999999998</v>
      </c>
      <c r="J559">
        <f>105+1+192+267+272</f>
        <v>837</v>
      </c>
      <c r="K559">
        <v>4</v>
      </c>
      <c r="L559">
        <v>272</v>
      </c>
      <c r="N559" t="str">
        <f t="shared" si="25"/>
        <v>NA</v>
      </c>
      <c r="O559">
        <v>1.4818670000000154</v>
      </c>
      <c r="P559">
        <f t="shared" si="26"/>
        <v>1.4818670000000154</v>
      </c>
      <c r="S559">
        <f t="shared" si="27"/>
        <v>4.0828103639999993</v>
      </c>
    </row>
    <row r="560" spans="1:19">
      <c r="A560" s="9">
        <v>41841</v>
      </c>
      <c r="B560" s="7" t="s">
        <v>21</v>
      </c>
      <c r="C560">
        <v>40</v>
      </c>
      <c r="D560" t="s">
        <v>19</v>
      </c>
      <c r="F560">
        <v>5.0999999999999996</v>
      </c>
      <c r="J560">
        <f>132+216+217+339+374+401+440+441</f>
        <v>2560</v>
      </c>
      <c r="K560">
        <v>8</v>
      </c>
      <c r="L560">
        <v>441</v>
      </c>
      <c r="N560" t="str">
        <f t="shared" si="25"/>
        <v>NA</v>
      </c>
      <c r="O560">
        <v>84.021915000000035</v>
      </c>
      <c r="P560">
        <f t="shared" si="26"/>
        <v>84.021915000000035</v>
      </c>
      <c r="S560">
        <f t="shared" si="27"/>
        <v>20.428188974999998</v>
      </c>
    </row>
    <row r="561" spans="1:19">
      <c r="A561" s="9">
        <v>41841</v>
      </c>
      <c r="B561" s="7" t="s">
        <v>21</v>
      </c>
      <c r="C561">
        <v>40</v>
      </c>
      <c r="D561" t="s">
        <v>19</v>
      </c>
      <c r="E561">
        <v>313</v>
      </c>
      <c r="F561">
        <v>2.89</v>
      </c>
      <c r="H561">
        <v>28</v>
      </c>
      <c r="I561">
        <v>2.5</v>
      </c>
      <c r="N561" t="str">
        <f t="shared" si="25"/>
        <v>NA</v>
      </c>
      <c r="O561">
        <v>122.33262532999998</v>
      </c>
      <c r="P561">
        <f t="shared" si="26"/>
        <v>122.33262532999998</v>
      </c>
      <c r="S561">
        <f t="shared" si="27"/>
        <v>6.55971845975</v>
      </c>
    </row>
    <row r="562" spans="1:19">
      <c r="A562" s="9">
        <v>41841</v>
      </c>
      <c r="B562" s="7" t="s">
        <v>21</v>
      </c>
      <c r="C562">
        <v>40</v>
      </c>
      <c r="D562" t="s">
        <v>19</v>
      </c>
      <c r="F562">
        <v>3.04</v>
      </c>
      <c r="J562">
        <f>136+143+172+202+228+249+288+295+326</f>
        <v>2039</v>
      </c>
      <c r="K562">
        <v>7</v>
      </c>
      <c r="L562">
        <v>326</v>
      </c>
      <c r="N562" t="str">
        <f t="shared" si="25"/>
        <v>NA</v>
      </c>
      <c r="O562">
        <v>76.841088000000013</v>
      </c>
      <c r="P562">
        <f t="shared" si="26"/>
        <v>76.841088000000013</v>
      </c>
      <c r="S562">
        <f t="shared" si="27"/>
        <v>7.2583295359999997</v>
      </c>
    </row>
    <row r="563" spans="1:19">
      <c r="A563" s="9">
        <v>41841</v>
      </c>
      <c r="B563" s="7" t="s">
        <v>21</v>
      </c>
      <c r="C563">
        <v>40</v>
      </c>
      <c r="D563" t="s">
        <v>19</v>
      </c>
      <c r="F563">
        <v>2.7</v>
      </c>
      <c r="J563">
        <f>141+180+263+261+281+313</f>
        <v>1439</v>
      </c>
      <c r="K563">
        <v>6</v>
      </c>
      <c r="L563">
        <v>313</v>
      </c>
      <c r="N563" t="str">
        <f t="shared" si="25"/>
        <v>NA</v>
      </c>
      <c r="O563">
        <v>31.526626</v>
      </c>
      <c r="P563">
        <f t="shared" si="26"/>
        <v>31.526626</v>
      </c>
      <c r="S563">
        <f t="shared" si="27"/>
        <v>5.7255477750000008</v>
      </c>
    </row>
    <row r="564" spans="1:19">
      <c r="A564" s="6"/>
    </row>
    <row r="565" spans="1:19">
      <c r="A565" s="9"/>
      <c r="Q565" s="7" t="s">
        <v>66</v>
      </c>
      <c r="S565">
        <f>SUM(S4:S563)</f>
        <v>5125.3853328979994</v>
      </c>
    </row>
    <row r="566" spans="1:19">
      <c r="A566" s="6"/>
    </row>
    <row r="567" spans="1:19">
      <c r="A567" s="9"/>
    </row>
    <row r="568" spans="1:19">
      <c r="A568" s="6"/>
    </row>
    <row r="569" spans="1:19">
      <c r="A569" s="10"/>
    </row>
    <row r="570" spans="1:19">
      <c r="A570" s="6"/>
    </row>
    <row r="571" spans="1:19">
      <c r="A571" s="10"/>
    </row>
    <row r="572" spans="1:19">
      <c r="A572" s="6"/>
    </row>
    <row r="573" spans="1:19">
      <c r="A573" s="6"/>
    </row>
    <row r="574" spans="1:19">
      <c r="A574" s="10"/>
    </row>
    <row r="575" spans="1:19">
      <c r="A575" s="10"/>
    </row>
    <row r="576" spans="1:19">
      <c r="A576" s="10"/>
    </row>
    <row r="577" spans="1:1">
      <c r="A577" s="6"/>
    </row>
    <row r="578" spans="1:1">
      <c r="A578" s="10"/>
    </row>
    <row r="579" spans="1:1">
      <c r="A579" s="6"/>
    </row>
    <row r="580" spans="1:1">
      <c r="A580" s="10"/>
    </row>
    <row r="581" spans="1:1">
      <c r="A581" s="6"/>
    </row>
    <row r="582" spans="1:1">
      <c r="A582" s="10"/>
    </row>
    <row r="583" spans="1:1">
      <c r="A583" s="6"/>
    </row>
    <row r="584" spans="1:1">
      <c r="A584" s="10"/>
    </row>
    <row r="585" spans="1:1">
      <c r="A585" s="10"/>
    </row>
    <row r="586" spans="1:1">
      <c r="A586" s="6"/>
    </row>
    <row r="587" spans="1:1">
      <c r="A587" s="10"/>
    </row>
    <row r="588" spans="1:1">
      <c r="A588" s="6"/>
    </row>
    <row r="589" spans="1:1">
      <c r="A589" s="6"/>
    </row>
    <row r="590" spans="1:1">
      <c r="A590" s="10"/>
    </row>
    <row r="591" spans="1:1">
      <c r="A591" s="6"/>
    </row>
    <row r="592" spans="1:1">
      <c r="A592" s="10"/>
    </row>
    <row r="593" spans="1:1">
      <c r="A593" s="6"/>
    </row>
    <row r="594" spans="1:1">
      <c r="A594" s="10"/>
    </row>
    <row r="595" spans="1:1">
      <c r="A595" s="6"/>
    </row>
    <row r="596" spans="1:1">
      <c r="A596" s="10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4">
      <c r="A609" s="9"/>
    </row>
    <row r="610" spans="1:4">
      <c r="A610" s="9"/>
    </row>
    <row r="611" spans="1:4">
      <c r="A611" s="9"/>
    </row>
    <row r="612" spans="1:4">
      <c r="A612" s="9"/>
    </row>
    <row r="613" spans="1:4">
      <c r="A613" s="9"/>
    </row>
    <row r="614" spans="1:4">
      <c r="A614" s="9"/>
    </row>
    <row r="615" spans="1:4">
      <c r="A615" s="9"/>
    </row>
    <row r="616" spans="1:4">
      <c r="A616" s="9"/>
    </row>
    <row r="617" spans="1:4">
      <c r="A617" s="9"/>
      <c r="D617" s="8"/>
    </row>
    <row r="618" spans="1:4">
      <c r="A618" s="9"/>
    </row>
    <row r="619" spans="1:4">
      <c r="A619" s="9"/>
    </row>
    <row r="620" spans="1:4">
      <c r="A620" s="9"/>
      <c r="D620" s="8"/>
    </row>
    <row r="621" spans="1:4">
      <c r="A621" s="9"/>
    </row>
    <row r="622" spans="1:4">
      <c r="A622" s="9"/>
    </row>
    <row r="623" spans="1:4">
      <c r="A623" s="9"/>
    </row>
    <row r="624" spans="1:4">
      <c r="A624" s="9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</sheetData>
  <sortState ref="A4:L563">
    <sortCondition ref="B4:B563"/>
    <sortCondition ref="C4:C563"/>
    <sortCondition ref="D4:D563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R52" sqref="R52"/>
    </sheetView>
  </sheetViews>
  <sheetFormatPr baseColWidth="10" defaultRowHeight="15" x14ac:dyDescent="0"/>
  <sheetData>
    <row r="1" spans="1:34" ht="20" thickBot="1">
      <c r="A1" s="44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1"/>
      <c r="AA1" s="11"/>
    </row>
    <row r="2" spans="1:34" ht="99" thickTop="1">
      <c r="A2" s="12" t="s">
        <v>31</v>
      </c>
      <c r="B2" s="12" t="s">
        <v>4</v>
      </c>
      <c r="C2" s="4" t="s">
        <v>32</v>
      </c>
      <c r="D2" s="13" t="s">
        <v>33</v>
      </c>
      <c r="E2" s="12" t="s">
        <v>34</v>
      </c>
      <c r="F2" s="4" t="s">
        <v>35</v>
      </c>
      <c r="G2" s="4" t="s">
        <v>33</v>
      </c>
      <c r="H2" s="12" t="s">
        <v>36</v>
      </c>
      <c r="I2" s="4" t="s">
        <v>37</v>
      </c>
      <c r="J2" s="4" t="s">
        <v>33</v>
      </c>
      <c r="K2" s="12" t="s">
        <v>38</v>
      </c>
      <c r="L2" s="4" t="s">
        <v>39</v>
      </c>
      <c r="M2" s="14" t="s">
        <v>33</v>
      </c>
      <c r="N2" s="12" t="s">
        <v>40</v>
      </c>
      <c r="O2" s="4" t="s">
        <v>41</v>
      </c>
      <c r="P2" s="4" t="s">
        <v>33</v>
      </c>
      <c r="Q2" s="12" t="s">
        <v>42</v>
      </c>
      <c r="R2" s="4" t="s">
        <v>43</v>
      </c>
      <c r="S2" s="14" t="s">
        <v>33</v>
      </c>
      <c r="T2" s="12" t="s">
        <v>44</v>
      </c>
      <c r="U2" s="4" t="s">
        <v>45</v>
      </c>
      <c r="V2" s="4" t="s">
        <v>33</v>
      </c>
      <c r="W2" s="12" t="s">
        <v>46</v>
      </c>
      <c r="X2" s="12" t="s">
        <v>47</v>
      </c>
      <c r="Y2" s="12" t="s">
        <v>48</v>
      </c>
      <c r="Z2" s="12" t="s">
        <v>49</v>
      </c>
      <c r="AA2" s="12" t="s">
        <v>50</v>
      </c>
      <c r="AB2" s="12" t="s">
        <v>51</v>
      </c>
      <c r="AC2" s="12" t="s">
        <v>52</v>
      </c>
      <c r="AD2" s="12" t="s">
        <v>53</v>
      </c>
      <c r="AE2" s="12" t="s">
        <v>54</v>
      </c>
      <c r="AF2" s="15" t="s">
        <v>55</v>
      </c>
      <c r="AG2" s="15" t="s">
        <v>56</v>
      </c>
      <c r="AH2" s="15" t="s">
        <v>57</v>
      </c>
    </row>
    <row r="3" spans="1:34">
      <c r="A3" s="16" t="s">
        <v>25</v>
      </c>
      <c r="B3" s="17">
        <f>'Plant Measurments'!C4</f>
        <v>14</v>
      </c>
      <c r="C3" s="18">
        <f>SUM('Plant Measurments'!O4:O22)</f>
        <v>162.52643899999995</v>
      </c>
      <c r="D3" s="19"/>
      <c r="E3" s="17">
        <f>C3*4</f>
        <v>650.10575599999981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Measurments'!O25:O32)</f>
        <v>422.03173661000005</v>
      </c>
      <c r="S3" s="20"/>
      <c r="T3" s="17">
        <f>R3*4</f>
        <v>1688.1269464400002</v>
      </c>
      <c r="U3" s="18">
        <f>SUM('Plant Measurments'!O23:O24)</f>
        <v>152.34269176999999</v>
      </c>
      <c r="V3" s="20"/>
      <c r="W3" s="17">
        <f>U3*4</f>
        <v>609.37076707999995</v>
      </c>
      <c r="X3" s="17">
        <f>SUM(W3,T3,Q3,N3,K3,H3,E3)</f>
        <v>2947.6034695200001</v>
      </c>
      <c r="Y3" s="21">
        <f>AVERAGE(X3:X7)</f>
        <v>1610.0633277680001</v>
      </c>
      <c r="Z3" s="22">
        <f>E3+Q3</f>
        <v>650.10575599999981</v>
      </c>
      <c r="AA3" s="22">
        <f>W3+T3</f>
        <v>2297.4977135200002</v>
      </c>
      <c r="AB3">
        <f>IF(X3&gt;0,(Q3+E3)/X3," ")</f>
        <v>0.22055400691527402</v>
      </c>
      <c r="AC3">
        <f>IF(X3&gt;0,H3/X3," ")</f>
        <v>0</v>
      </c>
      <c r="AD3">
        <f>IF(X3&gt;0,K3/X3," ")</f>
        <v>0</v>
      </c>
      <c r="AE3">
        <f>IF(X3&gt;0,(W3+T3)/X3," ")</f>
        <v>0.77944599308472595</v>
      </c>
      <c r="AF3">
        <f>210336.2801/10</f>
        <v>21033.62801</v>
      </c>
      <c r="AG3">
        <f>AF3/5</f>
        <v>4206.7256020000004</v>
      </c>
      <c r="AH3">
        <f>(AG3*X3)/1000</f>
        <v>12399.758979773813</v>
      </c>
    </row>
    <row r="4" spans="1:34">
      <c r="A4" s="23" t="s">
        <v>25</v>
      </c>
      <c r="B4" s="24">
        <f>'Plant Measurments'!C33</f>
        <v>30</v>
      </c>
      <c r="C4" s="25"/>
      <c r="D4" s="26"/>
      <c r="E4" s="17">
        <f t="shared" ref="E4:E52" si="0">C4*4</f>
        <v>0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Measurments'!O33:O46)</f>
        <v>336.09236700000002</v>
      </c>
      <c r="S4" s="27"/>
      <c r="T4" s="17">
        <f t="shared" ref="T4:T52" si="5">R4*4</f>
        <v>1344.3694680000001</v>
      </c>
      <c r="U4" s="25"/>
      <c r="V4" s="27"/>
      <c r="W4" s="17">
        <f t="shared" ref="W4:W52" si="6">U4*4</f>
        <v>0</v>
      </c>
      <c r="X4" s="24">
        <f t="shared" ref="X4:X52" si="7">SUM(W4,T4,Q4,N4,K4,H4,E4)</f>
        <v>1344.3694680000001</v>
      </c>
      <c r="Y4" s="28"/>
      <c r="Z4" s="22">
        <f t="shared" ref="Z4:Z52" si="8">E4+Q4</f>
        <v>0</v>
      </c>
      <c r="AA4" s="22">
        <f t="shared" ref="AA4:AA52" si="9">W4+T4</f>
        <v>1344.3694680000001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5655.3934595827213</v>
      </c>
    </row>
    <row r="5" spans="1:34">
      <c r="A5" s="23" t="s">
        <v>25</v>
      </c>
      <c r="B5" s="24">
        <f>'Plant Measurments'!C47</f>
        <v>32</v>
      </c>
      <c r="C5" s="25"/>
      <c r="D5" s="26"/>
      <c r="E5" s="17">
        <f t="shared" si="0"/>
        <v>0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Measurments'!O47:O50)</f>
        <v>237.46768600000007</v>
      </c>
      <c r="S5" s="27"/>
      <c r="T5" s="17">
        <f t="shared" si="5"/>
        <v>949.87074400000029</v>
      </c>
      <c r="U5" s="25"/>
      <c r="V5" s="27"/>
      <c r="W5" s="17">
        <f t="shared" si="6"/>
        <v>0</v>
      </c>
      <c r="X5" s="24">
        <f t="shared" si="7"/>
        <v>949.87074400000029</v>
      </c>
      <c r="Y5" s="28"/>
      <c r="Z5" s="22">
        <f t="shared" si="8"/>
        <v>0</v>
      </c>
      <c r="AA5" s="22">
        <f t="shared" si="9"/>
        <v>949.87074400000029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3995.8455773755895</v>
      </c>
    </row>
    <row r="6" spans="1:34">
      <c r="A6" s="23" t="s">
        <v>25</v>
      </c>
      <c r="B6" s="24">
        <f>'Plant Measurments'!C51</f>
        <v>33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>
        <f>SUM('Plant Measurments'!O53)</f>
        <v>58.005533000000007</v>
      </c>
      <c r="S6" s="27"/>
      <c r="T6" s="17">
        <f t="shared" si="5"/>
        <v>232.02213200000003</v>
      </c>
      <c r="U6" s="25">
        <f>SUM('Plant Measurments'!O51:O52)</f>
        <v>175.88554004999997</v>
      </c>
      <c r="V6" s="27"/>
      <c r="W6" s="17">
        <f t="shared" si="6"/>
        <v>703.5421601999999</v>
      </c>
      <c r="X6" s="24">
        <f t="shared" si="7"/>
        <v>935.56429219999995</v>
      </c>
      <c r="Y6" s="28"/>
      <c r="Z6" s="22">
        <f t="shared" si="8"/>
        <v>0</v>
      </c>
      <c r="AA6" s="22">
        <f t="shared" si="9"/>
        <v>935.56429219999995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3935.6622603147489</v>
      </c>
    </row>
    <row r="7" spans="1:34">
      <c r="A7" s="29" t="s">
        <v>25</v>
      </c>
      <c r="B7" s="30">
        <f>'Plant Measurments'!C54</f>
        <v>41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Measurments'!O55:O61)</f>
        <v>313.31537110000005</v>
      </c>
      <c r="S7" s="33"/>
      <c r="T7" s="17">
        <f t="shared" si="5"/>
        <v>1253.2614844000002</v>
      </c>
      <c r="U7" s="31">
        <f>SUM('Plant Measurments'!O54)</f>
        <v>154.91179518000001</v>
      </c>
      <c r="V7" s="33"/>
      <c r="W7" s="17">
        <f t="shared" si="6"/>
        <v>619.64718072000005</v>
      </c>
      <c r="X7" s="30">
        <f t="shared" si="7"/>
        <v>1872.9086651200003</v>
      </c>
      <c r="Y7" s="34"/>
      <c r="Z7" s="22">
        <f t="shared" si="8"/>
        <v>0</v>
      </c>
      <c r="AA7" s="22">
        <f t="shared" si="9"/>
        <v>1872.9086651200003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7878.8128317679502</v>
      </c>
    </row>
    <row r="8" spans="1:34">
      <c r="A8" s="16" t="s">
        <v>28</v>
      </c>
      <c r="B8" s="17">
        <f>'Plant Measurments'!C62</f>
        <v>38</v>
      </c>
      <c r="C8" s="18">
        <f>SUM('Plant Measurments'!O62:O67)</f>
        <v>48.779155911853358</v>
      </c>
      <c r="D8" s="19"/>
      <c r="E8" s="17">
        <f t="shared" si="0"/>
        <v>195.11662364741343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Measurments'!O68)</f>
        <v>38.862551000000018</v>
      </c>
      <c r="S8" s="20"/>
      <c r="T8" s="17">
        <f t="shared" si="5"/>
        <v>155.45020400000007</v>
      </c>
      <c r="U8" s="18"/>
      <c r="V8" s="20"/>
      <c r="W8" s="17">
        <f t="shared" si="6"/>
        <v>0</v>
      </c>
      <c r="X8" s="17">
        <f t="shared" si="7"/>
        <v>350.5668276474135</v>
      </c>
      <c r="Y8" s="21">
        <f>AVERAGE(X8:X12)</f>
        <v>1363.6869172010811</v>
      </c>
      <c r="Z8" s="22">
        <f t="shared" si="8"/>
        <v>195.11662364741343</v>
      </c>
      <c r="AA8" s="22">
        <f t="shared" si="9"/>
        <v>155.45020400000007</v>
      </c>
      <c r="AB8">
        <f t="shared" si="10"/>
        <v>0.55657469064259024</v>
      </c>
      <c r="AC8">
        <f t="shared" si="11"/>
        <v>0</v>
      </c>
      <c r="AD8">
        <f t="shared" si="12"/>
        <v>0</v>
      </c>
      <c r="AE8">
        <f t="shared" si="13"/>
        <v>0.4434253093574097</v>
      </c>
      <c r="AF8">
        <f t="shared" si="14"/>
        <v>21033.62801</v>
      </c>
      <c r="AG8">
        <f t="shared" si="15"/>
        <v>4206.7256020000004</v>
      </c>
      <c r="AH8">
        <f t="shared" si="16"/>
        <v>1474.7384490762961</v>
      </c>
    </row>
    <row r="9" spans="1:34">
      <c r="A9" s="23" t="s">
        <v>28</v>
      </c>
      <c r="B9" s="24">
        <f>'Plant Measurments'!C69</f>
        <v>39</v>
      </c>
      <c r="C9" s="25">
        <f>SUM('Plant Measurments'!O69:O109)</f>
        <v>326.2181178539555</v>
      </c>
      <c r="D9" s="26"/>
      <c r="E9" s="17">
        <f t="shared" si="0"/>
        <v>1304.872471415822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/>
      <c r="S9" s="27"/>
      <c r="T9" s="17">
        <f t="shared" si="5"/>
        <v>0</v>
      </c>
      <c r="U9" s="25"/>
      <c r="V9" s="27"/>
      <c r="W9" s="17">
        <f t="shared" si="6"/>
        <v>0</v>
      </c>
      <c r="X9" s="24">
        <f>SUM(W9,T9,Q9,N9,K9,H9,E9)</f>
        <v>1304.872471415822</v>
      </c>
      <c r="Y9" s="28"/>
      <c r="Z9" s="22">
        <f t="shared" si="8"/>
        <v>1304.872471415822</v>
      </c>
      <c r="AA9" s="22">
        <f t="shared" si="9"/>
        <v>0</v>
      </c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21033.62801</v>
      </c>
      <c r="AG9">
        <f t="shared" si="15"/>
        <v>4206.7256020000004</v>
      </c>
      <c r="AH9">
        <f t="shared" si="16"/>
        <v>5489.2404328499524</v>
      </c>
    </row>
    <row r="10" spans="1:34">
      <c r="A10" s="23" t="s">
        <v>28</v>
      </c>
      <c r="B10" s="24">
        <f>'Plant Measurments'!C110</f>
        <v>46</v>
      </c>
      <c r="C10" s="25">
        <f>SUM('Plant Measurments'!O110:O130)</f>
        <v>232.97638824554258</v>
      </c>
      <c r="D10" s="26"/>
      <c r="E10" s="17">
        <f t="shared" si="0"/>
        <v>931.90555298217032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>
        <f>SUM('Plant Measurments'!O131:O134)</f>
        <v>92.634362000000039</v>
      </c>
      <c r="S10" s="27"/>
      <c r="T10" s="17">
        <f t="shared" si="5"/>
        <v>370.53744800000015</v>
      </c>
      <c r="U10" s="25"/>
      <c r="V10" s="27"/>
      <c r="W10" s="17">
        <f t="shared" si="6"/>
        <v>0</v>
      </c>
      <c r="X10" s="24">
        <f t="shared" si="7"/>
        <v>1302.4430009821704</v>
      </c>
      <c r="Y10" s="28"/>
      <c r="Z10" s="22">
        <f t="shared" si="8"/>
        <v>931.90555298217032</v>
      </c>
      <c r="AA10" s="22">
        <f t="shared" si="9"/>
        <v>370.53744800000015</v>
      </c>
      <c r="AB10">
        <f t="shared" si="10"/>
        <v>0.71550582426979281</v>
      </c>
      <c r="AC10">
        <f t="shared" si="11"/>
        <v>0</v>
      </c>
      <c r="AD10">
        <f t="shared" si="12"/>
        <v>0</v>
      </c>
      <c r="AE10">
        <f t="shared" si="13"/>
        <v>0.2844941757302073</v>
      </c>
      <c r="AF10">
        <f t="shared" si="14"/>
        <v>21033.62801</v>
      </c>
      <c r="AG10">
        <f t="shared" si="15"/>
        <v>4206.7256020000004</v>
      </c>
      <c r="AH10">
        <f t="shared" si="16"/>
        <v>5479.020317377408</v>
      </c>
    </row>
    <row r="11" spans="1:34">
      <c r="A11" s="23" t="s">
        <v>28</v>
      </c>
      <c r="B11" s="24">
        <f>'Plant Measurments'!C135</f>
        <v>56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Measurments'!O135:O137)</f>
        <v>429.70075100000008</v>
      </c>
      <c r="S11" s="27"/>
      <c r="T11" s="17">
        <f t="shared" si="5"/>
        <v>1718.8030040000003</v>
      </c>
      <c r="U11" s="25"/>
      <c r="V11" s="27"/>
      <c r="W11" s="17">
        <f t="shared" si="6"/>
        <v>0</v>
      </c>
      <c r="X11" s="24">
        <f t="shared" si="7"/>
        <v>1718.8030040000003</v>
      </c>
      <c r="Y11" s="28"/>
      <c r="Z11" s="22">
        <f t="shared" si="8"/>
        <v>0</v>
      </c>
      <c r="AA11" s="22">
        <f t="shared" si="9"/>
        <v>1718.8030040000003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7230.532601721311</v>
      </c>
    </row>
    <row r="12" spans="1:34">
      <c r="A12" s="29" t="s">
        <v>28</v>
      </c>
      <c r="B12" s="30">
        <f>'Plant Measurments'!C138</f>
        <v>59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Measurments'!O138:O147)</f>
        <v>535.43732048999993</v>
      </c>
      <c r="S12" s="33"/>
      <c r="T12" s="17">
        <f t="shared" si="5"/>
        <v>2141.7492819599997</v>
      </c>
      <c r="U12" s="31"/>
      <c r="V12" s="33"/>
      <c r="W12" s="17">
        <f t="shared" si="6"/>
        <v>0</v>
      </c>
      <c r="X12" s="30">
        <f t="shared" si="7"/>
        <v>2141.7492819599997</v>
      </c>
      <c r="Y12" s="34"/>
      <c r="Z12" s="22">
        <f t="shared" si="8"/>
        <v>0</v>
      </c>
      <c r="AA12" s="22">
        <f t="shared" si="9"/>
        <v>2141.7492819599997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9009.7515374862469</v>
      </c>
    </row>
    <row r="13" spans="1:34">
      <c r="A13" s="35" t="s">
        <v>20</v>
      </c>
      <c r="B13" s="36">
        <f>'Plant Measurments'!C148</f>
        <v>13</v>
      </c>
      <c r="C13" s="18">
        <f>SUM('Plant Measurments'!O148:O157)</f>
        <v>101.59495000000001</v>
      </c>
      <c r="D13" s="19"/>
      <c r="E13" s="17">
        <f t="shared" si="0"/>
        <v>406.37980000000005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Measurments'!O158:O178)</f>
        <v>585.82860064000033</v>
      </c>
      <c r="S13" s="20"/>
      <c r="T13" s="17">
        <f t="shared" si="5"/>
        <v>2343.3144025600013</v>
      </c>
      <c r="U13" s="18"/>
      <c r="V13" s="20"/>
      <c r="W13" s="17">
        <f t="shared" si="6"/>
        <v>0</v>
      </c>
      <c r="X13" s="17">
        <f t="shared" si="7"/>
        <v>2749.6942025600015</v>
      </c>
      <c r="Y13" s="21">
        <f>AVERAGE(X13:X17)</f>
        <v>4563.4933176453314</v>
      </c>
      <c r="Z13" s="22">
        <f t="shared" si="8"/>
        <v>406.37980000000005</v>
      </c>
      <c r="AA13" s="22">
        <f t="shared" si="9"/>
        <v>2343.3144025600013</v>
      </c>
      <c r="AB13">
        <f t="shared" si="10"/>
        <v>0.14779090693854433</v>
      </c>
      <c r="AC13">
        <f t="shared" si="11"/>
        <v>0</v>
      </c>
      <c r="AD13">
        <f t="shared" si="12"/>
        <v>0</v>
      </c>
      <c r="AE13">
        <f t="shared" si="13"/>
        <v>0.85220909306145565</v>
      </c>
      <c r="AF13">
        <f t="shared" si="14"/>
        <v>21033.62801</v>
      </c>
      <c r="AG13">
        <f t="shared" si="15"/>
        <v>4206.7256020000004</v>
      </c>
      <c r="AH13">
        <f t="shared" si="16"/>
        <v>11567.208999580134</v>
      </c>
    </row>
    <row r="14" spans="1:34">
      <c r="A14" s="23" t="s">
        <v>20</v>
      </c>
      <c r="B14" s="24">
        <f>'Plant Measurments'!C179</f>
        <v>20</v>
      </c>
      <c r="C14" s="25"/>
      <c r="D14" s="26"/>
      <c r="E14" s="17">
        <f t="shared" si="0"/>
        <v>0</v>
      </c>
      <c r="F14" s="25"/>
      <c r="G14" s="27"/>
      <c r="H14" s="24">
        <f t="shared" si="17"/>
        <v>0</v>
      </c>
      <c r="I14" s="25"/>
      <c r="J14" s="27"/>
      <c r="K14" s="17">
        <f t="shared" si="2"/>
        <v>0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>
        <f>SUM('Plant Measurments'!O179:O186)</f>
        <v>520.42707800000017</v>
      </c>
      <c r="S14" s="27"/>
      <c r="T14" s="17">
        <f t="shared" si="5"/>
        <v>2081.7083120000007</v>
      </c>
      <c r="U14" s="25"/>
      <c r="V14" s="27"/>
      <c r="W14" s="17">
        <f t="shared" si="6"/>
        <v>0</v>
      </c>
      <c r="X14" s="24">
        <f t="shared" si="7"/>
        <v>2081.7083120000007</v>
      </c>
      <c r="Y14" s="28"/>
      <c r="Z14" s="22">
        <f t="shared" si="8"/>
        <v>0</v>
      </c>
      <c r="AA14" s="22">
        <f t="shared" si="9"/>
        <v>2081.7083120000007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8757.1756519866085</v>
      </c>
    </row>
    <row r="15" spans="1:34">
      <c r="A15" s="23" t="s">
        <v>20</v>
      </c>
      <c r="B15" s="24">
        <f>'Plant Measurments'!C187</f>
        <v>30</v>
      </c>
      <c r="C15" s="25">
        <f>SUM('Plant Measurments'!O187:O213)</f>
        <v>379.21250719066234</v>
      </c>
      <c r="D15" s="26"/>
      <c r="E15" s="17">
        <f t="shared" si="0"/>
        <v>1516.8500287626493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Measurments'!O214:O220)</f>
        <v>683.99331287000007</v>
      </c>
      <c r="S15" s="27"/>
      <c r="T15" s="17">
        <f t="shared" si="5"/>
        <v>2735.9732514800003</v>
      </c>
      <c r="U15" s="25"/>
      <c r="V15" s="27"/>
      <c r="W15" s="17">
        <f t="shared" si="6"/>
        <v>0</v>
      </c>
      <c r="X15" s="24">
        <f t="shared" si="7"/>
        <v>4252.8232802426501</v>
      </c>
      <c r="Y15" s="28"/>
      <c r="Z15" s="22">
        <f t="shared" si="8"/>
        <v>1516.8500287626493</v>
      </c>
      <c r="AA15" s="22">
        <f t="shared" si="9"/>
        <v>2735.9732514800003</v>
      </c>
      <c r="AB15">
        <f t="shared" si="10"/>
        <v>0.35666895349484251</v>
      </c>
      <c r="AC15">
        <f t="shared" si="11"/>
        <v>0</v>
      </c>
      <c r="AD15">
        <f t="shared" si="12"/>
        <v>0</v>
      </c>
      <c r="AE15">
        <f t="shared" si="13"/>
        <v>0.64333104650515738</v>
      </c>
      <c r="AF15">
        <f t="shared" si="14"/>
        <v>21033.62801</v>
      </c>
      <c r="AG15">
        <f t="shared" si="15"/>
        <v>4206.7256020000004</v>
      </c>
      <c r="AH15">
        <f t="shared" si="16"/>
        <v>17890.460573778379</v>
      </c>
    </row>
    <row r="16" spans="1:34">
      <c r="A16" s="23" t="s">
        <v>20</v>
      </c>
      <c r="B16" s="24">
        <f>'Plant Measurments'!C221</f>
        <v>44</v>
      </c>
      <c r="C16" s="25"/>
      <c r="D16" s="26"/>
      <c r="E16" s="17">
        <f t="shared" si="0"/>
        <v>0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Measurments'!O221:O240)</f>
        <v>2031.9669167</v>
      </c>
      <c r="S16" s="27"/>
      <c r="T16" s="17">
        <f t="shared" si="5"/>
        <v>8127.8676667999998</v>
      </c>
      <c r="U16" s="25"/>
      <c r="V16" s="27"/>
      <c r="W16" s="17">
        <f t="shared" si="6"/>
        <v>0</v>
      </c>
      <c r="X16" s="24">
        <f t="shared" si="7"/>
        <v>8127.8676667999998</v>
      </c>
      <c r="Y16" s="28"/>
      <c r="Z16" s="22">
        <f t="shared" si="8"/>
        <v>0</v>
      </c>
      <c r="AA16" s="22">
        <f t="shared" si="9"/>
        <v>8127.8676667999998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34191.70900359557</v>
      </c>
    </row>
    <row r="17" spans="1:34">
      <c r="A17" s="29" t="s">
        <v>20</v>
      </c>
      <c r="B17" s="30">
        <f>'Plant Measurments'!C241</f>
        <v>57</v>
      </c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Measurments'!O241:O258)</f>
        <v>1401.3432816560003</v>
      </c>
      <c r="S17" s="33"/>
      <c r="T17" s="17">
        <f t="shared" si="5"/>
        <v>5605.3731266240011</v>
      </c>
      <c r="U17" s="31"/>
      <c r="V17" s="33"/>
      <c r="W17" s="17">
        <f t="shared" si="6"/>
        <v>0</v>
      </c>
      <c r="X17" s="30">
        <f t="shared" si="7"/>
        <v>5605.3731266240011</v>
      </c>
      <c r="Y17" s="34"/>
      <c r="Z17" s="22">
        <f t="shared" si="8"/>
        <v>0</v>
      </c>
      <c r="AA17" s="22">
        <f t="shared" si="9"/>
        <v>5605.3731266240011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23580.266640531976</v>
      </c>
    </row>
    <row r="18" spans="1:34">
      <c r="A18" s="16" t="s">
        <v>22</v>
      </c>
      <c r="B18" s="17">
        <f>'Plant Measurments'!C259</f>
        <v>14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/>
      <c r="J18" s="20"/>
      <c r="K18" s="17">
        <f t="shared" si="2"/>
        <v>0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>
        <f>SUM('Plant Measurments'!O260:O277)</f>
        <v>1081.9151500300002</v>
      </c>
      <c r="S18" s="20"/>
      <c r="T18" s="17">
        <f t="shared" si="5"/>
        <v>4327.6606001200007</v>
      </c>
      <c r="U18" s="18">
        <f>SUM('Plant Measurments'!O259)</f>
        <v>112.48251490999999</v>
      </c>
      <c r="V18" s="20"/>
      <c r="W18" s="17">
        <f t="shared" si="6"/>
        <v>449.93005963999997</v>
      </c>
      <c r="X18" s="17">
        <f t="shared" si="7"/>
        <v>4777.5906597600006</v>
      </c>
      <c r="Y18" s="21">
        <f>AVERAGE(X18:X22)</f>
        <v>2139.8977181635651</v>
      </c>
      <c r="Z18" s="22">
        <f t="shared" si="8"/>
        <v>0</v>
      </c>
      <c r="AA18" s="22">
        <f t="shared" si="9"/>
        <v>4777.5906597600006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20098.012944288464</v>
      </c>
    </row>
    <row r="19" spans="1:34">
      <c r="A19" s="23" t="s">
        <v>22</v>
      </c>
      <c r="B19" s="24">
        <f>'Plant Measurments'!C278</f>
        <v>30</v>
      </c>
      <c r="C19" s="25">
        <f>SUM('Plant Measurments'!O278:O282)</f>
        <v>62.266101874456233</v>
      </c>
      <c r="D19" s="26"/>
      <c r="E19" s="17">
        <f t="shared" si="0"/>
        <v>249.06440749782493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>
        <f>SUM('Plant Measurments'!O283:O288)</f>
        <v>287.77593400000001</v>
      </c>
      <c r="S19" s="27"/>
      <c r="T19" s="17">
        <f t="shared" si="5"/>
        <v>1151.103736</v>
      </c>
      <c r="U19" s="25"/>
      <c r="V19" s="27"/>
      <c r="W19" s="17">
        <f t="shared" si="6"/>
        <v>0</v>
      </c>
      <c r="X19" s="24">
        <f t="shared" si="7"/>
        <v>1400.168143497825</v>
      </c>
      <c r="Y19" s="28"/>
      <c r="Z19" s="22">
        <f t="shared" si="8"/>
        <v>249.06440749782493</v>
      </c>
      <c r="AA19" s="22">
        <f t="shared" si="9"/>
        <v>1151.103736</v>
      </c>
      <c r="AB19">
        <f t="shared" si="10"/>
        <v>0.17788178416602565</v>
      </c>
      <c r="AC19">
        <f t="shared" si="11"/>
        <v>0</v>
      </c>
      <c r="AD19">
        <f t="shared" si="12"/>
        <v>0</v>
      </c>
      <c r="AE19">
        <f t="shared" si="13"/>
        <v>0.82211821583397438</v>
      </c>
      <c r="AF19">
        <f t="shared" si="14"/>
        <v>21033.62801</v>
      </c>
      <c r="AG19">
        <f t="shared" si="15"/>
        <v>4206.7256020000004</v>
      </c>
      <c r="AH19">
        <f t="shared" si="16"/>
        <v>5890.1231763571113</v>
      </c>
    </row>
    <row r="20" spans="1:34">
      <c r="A20" s="23" t="s">
        <v>22</v>
      </c>
      <c r="B20" s="24">
        <f>'Plant Measurments'!C289</f>
        <v>32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/>
      <c r="J20" s="27"/>
      <c r="K20" s="17">
        <f t="shared" si="2"/>
        <v>0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>
        <f>SUM('Plant Measurments'!O290:O292)</f>
        <v>211.63545700000003</v>
      </c>
      <c r="S20" s="27"/>
      <c r="T20" s="17">
        <f t="shared" si="5"/>
        <v>846.54182800000012</v>
      </c>
      <c r="U20" s="25">
        <f>SUM('Plant Measurments'!O289)</f>
        <v>101.36683364000001</v>
      </c>
      <c r="V20" s="27"/>
      <c r="W20" s="17">
        <f t="shared" si="6"/>
        <v>405.46733456000004</v>
      </c>
      <c r="X20" s="24">
        <f t="shared" si="7"/>
        <v>1252.0091625600003</v>
      </c>
      <c r="Y20" s="28"/>
      <c r="Z20" s="22">
        <f t="shared" si="8"/>
        <v>0</v>
      </c>
      <c r="AA20" s="22">
        <f t="shared" si="9"/>
        <v>1252.0091625600003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5266.8589980797342</v>
      </c>
    </row>
    <row r="21" spans="1:34">
      <c r="A21" s="23" t="s">
        <v>22</v>
      </c>
      <c r="B21" s="24">
        <f>'Plant Measurments'!C293</f>
        <v>33</v>
      </c>
      <c r="C21" s="25"/>
      <c r="D21" s="26"/>
      <c r="E21" s="17">
        <f t="shared" si="0"/>
        <v>0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Measurments'!O295:O301)</f>
        <v>255.58892900000006</v>
      </c>
      <c r="S21" s="27"/>
      <c r="T21" s="17">
        <f t="shared" si="5"/>
        <v>1022.3557160000003</v>
      </c>
      <c r="U21" s="25">
        <f>SUM('Plant Measurments'!O293:O294)</f>
        <v>137.09285425000002</v>
      </c>
      <c r="V21" s="27"/>
      <c r="W21" s="17">
        <f t="shared" si="6"/>
        <v>548.37141700000006</v>
      </c>
      <c r="X21" s="24">
        <f t="shared" si="7"/>
        <v>1570.7271330000003</v>
      </c>
      <c r="Y21" s="28"/>
      <c r="Z21" s="22">
        <f t="shared" si="8"/>
        <v>0</v>
      </c>
      <c r="AA21" s="22">
        <f t="shared" si="9"/>
        <v>1570.7271330000003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6607.6180441471606</v>
      </c>
    </row>
    <row r="22" spans="1:34">
      <c r="A22" s="29" t="s">
        <v>22</v>
      </c>
      <c r="B22" s="30">
        <f>'Plant Measurments'!C302</f>
        <v>41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Measurments'!O308:O315)</f>
        <v>316.67781700000006</v>
      </c>
      <c r="S22" s="33"/>
      <c r="T22" s="17">
        <f t="shared" si="5"/>
        <v>1266.7112680000002</v>
      </c>
      <c r="U22" s="31">
        <f>SUM('Plant Measurments'!O302:O307)</f>
        <v>108.07055600000007</v>
      </c>
      <c r="V22" s="33"/>
      <c r="W22" s="17">
        <f t="shared" si="6"/>
        <v>432.28222400000027</v>
      </c>
      <c r="X22" s="30">
        <f t="shared" si="7"/>
        <v>1698.9934920000005</v>
      </c>
      <c r="Y22" s="34"/>
      <c r="Z22" s="22">
        <f t="shared" si="8"/>
        <v>0</v>
      </c>
      <c r="AA22" s="22">
        <f t="shared" si="9"/>
        <v>1698.9934920000005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7147.1994204277853</v>
      </c>
    </row>
    <row r="23" spans="1:34">
      <c r="A23" s="16" t="s">
        <v>23</v>
      </c>
      <c r="B23" s="17">
        <f>'Plant Measurments'!C316</f>
        <v>7</v>
      </c>
      <c r="C23" s="18">
        <f>SUM('Plant Measurments'!O316:O323)</f>
        <v>57.573813208424951</v>
      </c>
      <c r="D23" s="19"/>
      <c r="E23" s="17">
        <f t="shared" si="0"/>
        <v>230.29525283369981</v>
      </c>
      <c r="F23" s="18"/>
      <c r="G23" s="20"/>
      <c r="H23" s="24">
        <f t="shared" si="17"/>
        <v>0</v>
      </c>
      <c r="I23" s="18"/>
      <c r="J23" s="20"/>
      <c r="K23" s="17">
        <f t="shared" si="2"/>
        <v>0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/>
      <c r="S23" s="20"/>
      <c r="T23" s="17">
        <f t="shared" si="5"/>
        <v>0</v>
      </c>
      <c r="U23" s="18"/>
      <c r="V23" s="20"/>
      <c r="W23" s="17">
        <f t="shared" si="6"/>
        <v>0</v>
      </c>
      <c r="X23" s="17">
        <f t="shared" si="7"/>
        <v>230.29525283369981</v>
      </c>
      <c r="Y23" s="21">
        <f>AVERAGE(X23:X27)</f>
        <v>640.34351653474005</v>
      </c>
      <c r="Z23" s="22">
        <f t="shared" si="8"/>
        <v>230.29525283369981</v>
      </c>
      <c r="AA23" s="22">
        <f t="shared" si="9"/>
        <v>0</v>
      </c>
      <c r="AB23">
        <f t="shared" si="10"/>
        <v>1</v>
      </c>
      <c r="AC23">
        <f t="shared" si="11"/>
        <v>0</v>
      </c>
      <c r="AD23">
        <f t="shared" si="12"/>
        <v>0</v>
      </c>
      <c r="AE23">
        <f t="shared" si="13"/>
        <v>0</v>
      </c>
      <c r="AF23">
        <f t="shared" si="14"/>
        <v>21033.62801</v>
      </c>
      <c r="AG23">
        <f t="shared" si="15"/>
        <v>4206.7256020000004</v>
      </c>
      <c r="AH23">
        <f t="shared" si="16"/>
        <v>968.78893611458818</v>
      </c>
    </row>
    <row r="24" spans="1:34">
      <c r="A24" s="23" t="s">
        <v>23</v>
      </c>
      <c r="B24" s="24">
        <f>'Plant Measurments'!C325</f>
        <v>14</v>
      </c>
      <c r="C24" s="25"/>
      <c r="D24" s="26"/>
      <c r="E24" s="17">
        <f t="shared" si="0"/>
        <v>0</v>
      </c>
      <c r="F24" s="25"/>
      <c r="G24" s="27"/>
      <c r="H24" s="24">
        <f t="shared" si="17"/>
        <v>0</v>
      </c>
      <c r="I24" s="25"/>
      <c r="J24" s="27"/>
      <c r="K24" s="17">
        <f t="shared" si="2"/>
        <v>0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Measurments'!O326:O333)</f>
        <v>381.30911900000007</v>
      </c>
      <c r="S24" s="27"/>
      <c r="T24" s="17">
        <f t="shared" si="5"/>
        <v>1525.2364760000003</v>
      </c>
      <c r="U24" s="25">
        <f>SUM('Plant Measurments'!O325)</f>
        <v>109.57349746</v>
      </c>
      <c r="V24" s="27"/>
      <c r="W24" s="17">
        <f t="shared" si="6"/>
        <v>438.29398983999999</v>
      </c>
      <c r="X24" s="24">
        <f t="shared" si="7"/>
        <v>1963.5304658400003</v>
      </c>
      <c r="Y24" s="28"/>
      <c r="Z24" s="22">
        <f t="shared" si="8"/>
        <v>0</v>
      </c>
      <c r="AA24" s="22">
        <f t="shared" si="9"/>
        <v>1963.5304658400003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8260.0338809561163</v>
      </c>
    </row>
    <row r="25" spans="1:34">
      <c r="A25" s="23" t="s">
        <v>23</v>
      </c>
      <c r="B25" s="24">
        <f>'Plant Measurments'!C334</f>
        <v>17</v>
      </c>
      <c r="C25" s="25"/>
      <c r="D25" s="26"/>
      <c r="E25" s="17">
        <f t="shared" si="0"/>
        <v>0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Measurments'!O334:O337)</f>
        <v>55.68179200000003</v>
      </c>
      <c r="S25" s="27"/>
      <c r="T25" s="17">
        <f t="shared" si="5"/>
        <v>222.72716800000012</v>
      </c>
      <c r="U25" s="25"/>
      <c r="V25" s="27"/>
      <c r="W25" s="17">
        <f t="shared" si="6"/>
        <v>0</v>
      </c>
      <c r="X25" s="24">
        <f t="shared" si="7"/>
        <v>222.72716800000012</v>
      </c>
      <c r="Y25" s="28"/>
      <c r="Z25" s="22">
        <f t="shared" si="8"/>
        <v>0</v>
      </c>
      <c r="AA25" s="22">
        <f t="shared" si="9"/>
        <v>222.72716800000012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936.95207988655579</v>
      </c>
    </row>
    <row r="26" spans="1:34">
      <c r="A26" s="23" t="s">
        <v>23</v>
      </c>
      <c r="B26" s="24">
        <f>'Plant Measurments'!C338</f>
        <v>30</v>
      </c>
      <c r="C26" s="25"/>
      <c r="D26" s="26"/>
      <c r="E26" s="17">
        <f t="shared" si="0"/>
        <v>0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SUM('Plant Measurments'!O338)</f>
        <v>24.985340000000008</v>
      </c>
      <c r="S26" s="27"/>
      <c r="T26" s="17">
        <f t="shared" si="5"/>
        <v>99.941360000000032</v>
      </c>
      <c r="U26" s="25"/>
      <c r="V26" s="27"/>
      <c r="W26" s="17">
        <f t="shared" si="6"/>
        <v>0</v>
      </c>
      <c r="X26" s="24">
        <f t="shared" si="7"/>
        <v>99.941360000000032</v>
      </c>
      <c r="Y26" s="28"/>
      <c r="Z26" s="22">
        <f t="shared" si="8"/>
        <v>0</v>
      </c>
      <c r="AA26" s="22">
        <f t="shared" si="9"/>
        <v>99.941360000000032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420.42587781069886</v>
      </c>
    </row>
    <row r="27" spans="1:34">
      <c r="A27" s="29" t="s">
        <v>23</v>
      </c>
      <c r="B27" s="30">
        <f>'Plant Measurments'!C339</f>
        <v>40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Measurments'!O339:O343)</f>
        <v>171.30583400000003</v>
      </c>
      <c r="S27" s="33"/>
      <c r="T27" s="17">
        <f t="shared" si="5"/>
        <v>685.22333600000013</v>
      </c>
      <c r="U27" s="31"/>
      <c r="V27" s="33"/>
      <c r="W27" s="17">
        <f t="shared" si="6"/>
        <v>0</v>
      </c>
      <c r="X27" s="30">
        <f t="shared" si="7"/>
        <v>685.22333600000013</v>
      </c>
      <c r="Y27" s="34"/>
      <c r="Z27" s="22">
        <f t="shared" si="8"/>
        <v>0</v>
      </c>
      <c r="AA27" s="22">
        <f t="shared" si="9"/>
        <v>685.22333600000013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2882.5465506390492</v>
      </c>
    </row>
    <row r="28" spans="1:34">
      <c r="A28" s="16" t="s">
        <v>24</v>
      </c>
      <c r="B28" s="36">
        <f>'Plant Measurments'!C344</f>
        <v>10</v>
      </c>
      <c r="C28" s="18">
        <f>SUM('Plant Measurments'!O344:O359)</f>
        <v>138.97802124563157</v>
      </c>
      <c r="D28" s="19"/>
      <c r="E28" s="17">
        <f t="shared" si="0"/>
        <v>555.91208498252627</v>
      </c>
      <c r="F28" s="18"/>
      <c r="G28" s="20"/>
      <c r="H28" s="24">
        <f t="shared" si="17"/>
        <v>0</v>
      </c>
      <c r="I28" s="18"/>
      <c r="J28" s="20"/>
      <c r="K28" s="17">
        <f t="shared" si="2"/>
        <v>0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/>
      <c r="S28" s="20"/>
      <c r="T28" s="17">
        <f t="shared" si="5"/>
        <v>0</v>
      </c>
      <c r="U28" s="18"/>
      <c r="V28" s="20"/>
      <c r="W28" s="17">
        <f t="shared" si="6"/>
        <v>0</v>
      </c>
      <c r="X28" s="17">
        <f t="shared" si="7"/>
        <v>555.91208498252627</v>
      </c>
      <c r="Y28" s="21">
        <f>AVERAGE(X28:X32)</f>
        <v>966.49054313895647</v>
      </c>
      <c r="Z28" s="22">
        <f t="shared" si="8"/>
        <v>555.91208498252627</v>
      </c>
      <c r="AA28" s="22">
        <f t="shared" si="9"/>
        <v>0</v>
      </c>
      <c r="AB28">
        <f t="shared" si="10"/>
        <v>1</v>
      </c>
      <c r="AC28">
        <f t="shared" si="11"/>
        <v>0</v>
      </c>
      <c r="AD28">
        <f t="shared" si="12"/>
        <v>0</v>
      </c>
      <c r="AE28">
        <f t="shared" si="13"/>
        <v>0</v>
      </c>
      <c r="AF28">
        <f t="shared" si="14"/>
        <v>21033.62801</v>
      </c>
      <c r="AG28">
        <f t="shared" si="15"/>
        <v>4206.7256020000004</v>
      </c>
      <c r="AH28">
        <f t="shared" si="16"/>
        <v>2338.5696003571929</v>
      </c>
    </row>
    <row r="29" spans="1:34">
      <c r="A29" s="23" t="s">
        <v>24</v>
      </c>
      <c r="B29" s="24">
        <f>'Plant Measurments'!C360</f>
        <v>27</v>
      </c>
      <c r="C29" s="25">
        <f>SUM('Plant Measurments'!O360:O368)</f>
        <v>76.56718618363513</v>
      </c>
      <c r="D29" s="26"/>
      <c r="E29" s="17">
        <f t="shared" si="0"/>
        <v>306.26874473454052</v>
      </c>
      <c r="F29" s="25"/>
      <c r="G29" s="27"/>
      <c r="H29" s="24">
        <f t="shared" si="17"/>
        <v>0</v>
      </c>
      <c r="I29" s="25"/>
      <c r="J29" s="27"/>
      <c r="K29" s="17">
        <f t="shared" si="2"/>
        <v>0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Measurments'!O369:O370)</f>
        <v>29.456262000000009</v>
      </c>
      <c r="S29" s="27"/>
      <c r="T29" s="17">
        <f t="shared" si="5"/>
        <v>117.82504800000004</v>
      </c>
      <c r="U29" s="25"/>
      <c r="V29" s="27"/>
      <c r="W29" s="17">
        <f t="shared" si="6"/>
        <v>0</v>
      </c>
      <c r="X29" s="24">
        <f t="shared" si="7"/>
        <v>424.09379273454056</v>
      </c>
      <c r="Y29" s="28"/>
      <c r="Z29" s="22">
        <f t="shared" si="8"/>
        <v>306.26874473454052</v>
      </c>
      <c r="AA29" s="22">
        <f t="shared" si="9"/>
        <v>117.82504800000004</v>
      </c>
      <c r="AB29">
        <f t="shared" si="10"/>
        <v>0.7221721939378819</v>
      </c>
      <c r="AC29">
        <f t="shared" si="11"/>
        <v>0</v>
      </c>
      <c r="AD29">
        <f t="shared" si="12"/>
        <v>0</v>
      </c>
      <c r="AE29">
        <f t="shared" si="13"/>
        <v>0.2778278060621181</v>
      </c>
      <c r="AF29">
        <f t="shared" si="14"/>
        <v>21033.62801</v>
      </c>
      <c r="AG29">
        <f t="shared" si="15"/>
        <v>4206.7256020000004</v>
      </c>
      <c r="AH29">
        <f t="shared" si="16"/>
        <v>1784.0462155456737</v>
      </c>
    </row>
    <row r="30" spans="1:34">
      <c r="A30" s="23" t="s">
        <v>24</v>
      </c>
      <c r="B30">
        <f>'Plant Measurments'!C371</f>
        <v>32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/>
      <c r="J30" s="27"/>
      <c r="K30" s="17">
        <f t="shared" si="2"/>
        <v>0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>
        <f>SUM('Plant Measurments'!O371:O377)</f>
        <v>254.40132600000007</v>
      </c>
      <c r="S30" s="27"/>
      <c r="T30" s="17">
        <f t="shared" si="5"/>
        <v>1017.6053040000003</v>
      </c>
      <c r="U30" s="25"/>
      <c r="V30" s="27"/>
      <c r="W30" s="17">
        <f t="shared" si="6"/>
        <v>0</v>
      </c>
      <c r="X30" s="24">
        <f t="shared" si="7"/>
        <v>1017.6053040000003</v>
      </c>
      <c r="Y30" s="28"/>
      <c r="Z30" s="22">
        <f t="shared" si="8"/>
        <v>0</v>
      </c>
      <c r="AA30" s="22">
        <f t="shared" si="9"/>
        <v>1017.6053040000003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1</v>
      </c>
      <c r="AF30">
        <f t="shared" si="14"/>
        <v>21033.62801</v>
      </c>
      <c r="AG30">
        <f t="shared" si="15"/>
        <v>4206.7256020000004</v>
      </c>
      <c r="AH30">
        <f t="shared" si="16"/>
        <v>4280.7862850677948</v>
      </c>
    </row>
    <row r="31" spans="1:34">
      <c r="A31" s="23" t="s">
        <v>24</v>
      </c>
      <c r="B31" s="24">
        <f>'Plant Measurments'!C378</f>
        <v>33</v>
      </c>
      <c r="C31" s="25"/>
      <c r="D31" s="26"/>
      <c r="E31" s="17">
        <f t="shared" si="0"/>
        <v>0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Measurments'!O378:O381)</f>
        <v>160.97753643000001</v>
      </c>
      <c r="S31" s="27"/>
      <c r="T31" s="17">
        <f t="shared" si="5"/>
        <v>643.91014572000006</v>
      </c>
      <c r="U31" s="25"/>
      <c r="V31" s="27"/>
      <c r="W31" s="17">
        <f t="shared" si="6"/>
        <v>0</v>
      </c>
      <c r="X31" s="24">
        <f t="shared" si="7"/>
        <v>643.91014572000006</v>
      </c>
      <c r="Y31" s="28"/>
      <c r="Z31" s="22">
        <f t="shared" si="8"/>
        <v>0</v>
      </c>
      <c r="AA31" s="22">
        <f t="shared" si="9"/>
        <v>643.91014572000006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21033.62801</v>
      </c>
      <c r="AG31">
        <f t="shared" si="15"/>
        <v>4206.7256020000004</v>
      </c>
      <c r="AH31">
        <f t="shared" si="16"/>
        <v>2708.7532953878754</v>
      </c>
    </row>
    <row r="32" spans="1:34">
      <c r="A32" s="29" t="s">
        <v>24</v>
      </c>
      <c r="B32" s="24">
        <f>'Plant Measurments'!C382</f>
        <v>54</v>
      </c>
      <c r="C32" s="31">
        <f>SUM('Plant Measurments'!O382:O386)</f>
        <v>67.686462064428596</v>
      </c>
      <c r="D32" s="32"/>
      <c r="E32" s="17">
        <f t="shared" si="0"/>
        <v>270.74584825771439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Measurments'!O392:O410)</f>
        <v>381.55668700000012</v>
      </c>
      <c r="S32" s="33"/>
      <c r="T32" s="17">
        <f t="shared" si="5"/>
        <v>1526.2267480000005</v>
      </c>
      <c r="U32" s="31">
        <f>SUM('Plant Measurments'!O387:O391)</f>
        <v>98.489698000000061</v>
      </c>
      <c r="V32" s="33"/>
      <c r="W32" s="17">
        <f t="shared" si="6"/>
        <v>393.95879200000024</v>
      </c>
      <c r="X32" s="30">
        <f t="shared" si="7"/>
        <v>2190.9313882577153</v>
      </c>
      <c r="Y32" s="34"/>
      <c r="Z32" s="22">
        <f t="shared" si="8"/>
        <v>270.74584825771439</v>
      </c>
      <c r="AA32" s="22">
        <f t="shared" si="9"/>
        <v>1920.1855400000009</v>
      </c>
      <c r="AB32">
        <f t="shared" si="10"/>
        <v>0.12357568553208707</v>
      </c>
      <c r="AC32">
        <f t="shared" si="11"/>
        <v>0</v>
      </c>
      <c r="AD32">
        <f t="shared" si="12"/>
        <v>0</v>
      </c>
      <c r="AE32">
        <f t="shared" si="13"/>
        <v>0.87642431446791291</v>
      </c>
      <c r="AF32">
        <f t="shared" si="14"/>
        <v>21033.62801</v>
      </c>
      <c r="AG32">
        <f t="shared" si="15"/>
        <v>4206.7256020000004</v>
      </c>
      <c r="AH32">
        <f t="shared" si="16"/>
        <v>9216.6471632091343</v>
      </c>
    </row>
    <row r="33" spans="1:34">
      <c r="A33" s="16" t="s">
        <v>29</v>
      </c>
      <c r="B33" s="17">
        <f>'Plant Measurments'!C411</f>
        <v>13</v>
      </c>
      <c r="C33" s="18">
        <f>SUM('Plant Measurments'!O411:O418)</f>
        <v>64.896424226255917</v>
      </c>
      <c r="D33" s="37"/>
      <c r="E33" s="17">
        <f t="shared" si="0"/>
        <v>259.58569690502367</v>
      </c>
      <c r="F33" s="18"/>
      <c r="G33" s="20"/>
      <c r="H33" s="24">
        <f t="shared" si="17"/>
        <v>0</v>
      </c>
      <c r="I33" s="18"/>
      <c r="J33" s="20"/>
      <c r="K33" s="17">
        <f t="shared" si="2"/>
        <v>0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/>
      <c r="S33" s="20"/>
      <c r="T33" s="17">
        <f t="shared" si="5"/>
        <v>0</v>
      </c>
      <c r="U33" s="18"/>
      <c r="V33" s="20"/>
      <c r="W33" s="17">
        <f t="shared" si="6"/>
        <v>0</v>
      </c>
      <c r="X33" s="17">
        <f t="shared" si="7"/>
        <v>259.58569690502367</v>
      </c>
      <c r="Y33" s="21">
        <f>AVERAGE(X33:X37)</f>
        <v>417.28367241300487</v>
      </c>
      <c r="Z33" s="22">
        <f t="shared" si="8"/>
        <v>259.58569690502367</v>
      </c>
      <c r="AA33" s="22">
        <f t="shared" si="9"/>
        <v>0</v>
      </c>
      <c r="AB33">
        <f t="shared" si="10"/>
        <v>1</v>
      </c>
      <c r="AC33">
        <f t="shared" si="11"/>
        <v>0</v>
      </c>
      <c r="AD33">
        <f t="shared" si="12"/>
        <v>0</v>
      </c>
      <c r="AE33">
        <f t="shared" si="13"/>
        <v>0</v>
      </c>
      <c r="AF33">
        <f t="shared" si="14"/>
        <v>21033.62801</v>
      </c>
      <c r="AG33">
        <f t="shared" si="15"/>
        <v>4206.7256020000004</v>
      </c>
      <c r="AH33">
        <f t="shared" si="16"/>
        <v>1092.0057970833752</v>
      </c>
    </row>
    <row r="34" spans="1:34">
      <c r="A34" s="23" t="s">
        <v>29</v>
      </c>
      <c r="B34" s="24">
        <f>'Plant Measurments'!C419</f>
        <v>23</v>
      </c>
      <c r="C34" s="25"/>
      <c r="D34" s="26"/>
      <c r="E34" s="17">
        <f t="shared" si="0"/>
        <v>0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>
        <f>SUM('Plant Measurments'!O419:O421)</f>
        <v>74.356256000000016</v>
      </c>
      <c r="S34" s="27"/>
      <c r="T34" s="17">
        <f t="shared" si="5"/>
        <v>297.42502400000006</v>
      </c>
      <c r="U34" s="25"/>
      <c r="V34" s="27"/>
      <c r="W34" s="17">
        <f t="shared" si="6"/>
        <v>0</v>
      </c>
      <c r="X34" s="24">
        <f t="shared" si="7"/>
        <v>297.42502400000006</v>
      </c>
      <c r="Y34" s="28"/>
      <c r="Z34" s="22">
        <f t="shared" si="8"/>
        <v>0</v>
      </c>
      <c r="AA34" s="22">
        <f t="shared" si="9"/>
        <v>297.42502400000006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1251.1854631362648</v>
      </c>
    </row>
    <row r="35" spans="1:34">
      <c r="A35" s="23" t="s">
        <v>29</v>
      </c>
      <c r="B35" s="24">
        <f>'Plant Measurments'!C422</f>
        <v>29</v>
      </c>
      <c r="C35" s="25"/>
      <c r="D35" s="26"/>
      <c r="E35" s="17">
        <f t="shared" si="0"/>
        <v>0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/>
      <c r="S35" s="27"/>
      <c r="T35" s="17">
        <f t="shared" si="5"/>
        <v>0</v>
      </c>
      <c r="U35" s="25"/>
      <c r="V35" s="27"/>
      <c r="W35" s="17">
        <f t="shared" si="6"/>
        <v>0</v>
      </c>
      <c r="X35" s="24">
        <f t="shared" si="7"/>
        <v>0</v>
      </c>
      <c r="Y35" s="28"/>
      <c r="Z35" s="22">
        <f t="shared" si="8"/>
        <v>0</v>
      </c>
      <c r="AA35" s="22">
        <f t="shared" si="9"/>
        <v>0</v>
      </c>
      <c r="AB35" t="str">
        <f t="shared" si="10"/>
        <v xml:space="preserve"> </v>
      </c>
      <c r="AC35" t="str">
        <f t="shared" si="11"/>
        <v xml:space="preserve"> </v>
      </c>
      <c r="AD35" t="str">
        <f t="shared" si="12"/>
        <v xml:space="preserve"> </v>
      </c>
      <c r="AE35" t="str">
        <f t="shared" si="13"/>
        <v xml:space="preserve"> </v>
      </c>
      <c r="AF35">
        <f t="shared" si="14"/>
        <v>21033.62801</v>
      </c>
      <c r="AG35">
        <f t="shared" si="15"/>
        <v>4206.7256020000004</v>
      </c>
      <c r="AH35">
        <f t="shared" si="16"/>
        <v>0</v>
      </c>
    </row>
    <row r="36" spans="1:34">
      <c r="A36" s="23" t="s">
        <v>29</v>
      </c>
      <c r="B36" s="24">
        <f>'Plant Measurments'!C423</f>
        <v>45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>
        <f>SUM('Plant Measurments'!O423:O424)</f>
        <v>370.22328529000004</v>
      </c>
      <c r="S36" s="27"/>
      <c r="T36" s="17">
        <f t="shared" si="5"/>
        <v>1480.8931411600001</v>
      </c>
      <c r="U36" s="25"/>
      <c r="V36" s="27"/>
      <c r="W36" s="17">
        <f t="shared" si="6"/>
        <v>0</v>
      </c>
      <c r="X36" s="24">
        <f t="shared" si="7"/>
        <v>1480.8931411600001</v>
      </c>
      <c r="Y36" s="28"/>
      <c r="Z36" s="22">
        <f t="shared" si="8"/>
        <v>0</v>
      </c>
      <c r="AA36" s="22">
        <f t="shared" si="9"/>
        <v>1480.8931411600001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6229.7110907439728</v>
      </c>
    </row>
    <row r="37" spans="1:34">
      <c r="A37" s="29" t="s">
        <v>29</v>
      </c>
      <c r="B37" s="30">
        <f>'Plant Measurments'!C425</f>
        <v>55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Measurments'!O425:O426)</f>
        <v>12.128625000000003</v>
      </c>
      <c r="S37" s="33"/>
      <c r="T37" s="17">
        <f t="shared" si="5"/>
        <v>48.514500000000012</v>
      </c>
      <c r="U37" s="31"/>
      <c r="V37" s="33"/>
      <c r="W37" s="17">
        <f t="shared" si="6"/>
        <v>0</v>
      </c>
      <c r="X37" s="30">
        <f t="shared" si="7"/>
        <v>48.514500000000012</v>
      </c>
      <c r="Y37" s="34"/>
      <c r="Z37" s="22">
        <f t="shared" si="8"/>
        <v>0</v>
      </c>
      <c r="AA37" s="22">
        <f t="shared" si="9"/>
        <v>48.514500000000012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204.08718921822907</v>
      </c>
    </row>
    <row r="38" spans="1:34">
      <c r="A38" s="16" t="s">
        <v>27</v>
      </c>
      <c r="B38" s="17">
        <f>'Plant Measurments'!C427</f>
        <v>20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>
        <f>SUM('Plant Measurments'!O430:O432)</f>
        <v>161.20486245000004</v>
      </c>
      <c r="S38" s="20"/>
      <c r="T38" s="17">
        <f t="shared" si="5"/>
        <v>644.81944980000014</v>
      </c>
      <c r="U38" s="18">
        <f>SUM('Plant Measurments'!O427:O429)</f>
        <v>167.49318668000004</v>
      </c>
      <c r="V38" s="20"/>
      <c r="W38" s="17">
        <f t="shared" si="6"/>
        <v>669.97274672000015</v>
      </c>
      <c r="X38" s="17">
        <f t="shared" si="7"/>
        <v>1314.7921965200003</v>
      </c>
      <c r="Y38" s="21">
        <f>AVERAGE(X38:X42)</f>
        <v>1432.7952901153915</v>
      </c>
      <c r="Z38" s="22">
        <f t="shared" si="8"/>
        <v>0</v>
      </c>
      <c r="AA38" s="22">
        <f t="shared" si="9"/>
        <v>1314.7921965200003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5530.9699944105005</v>
      </c>
    </row>
    <row r="39" spans="1:34">
      <c r="A39" s="23" t="s">
        <v>27</v>
      </c>
      <c r="B39" s="24">
        <f>'Plant Measurments'!C433</f>
        <v>23</v>
      </c>
      <c r="C39" s="25">
        <f>SUM('Plant Measurments'!O433:O436)</f>
        <v>14.724610999999999</v>
      </c>
      <c r="D39" s="26"/>
      <c r="E39" s="17">
        <f t="shared" si="0"/>
        <v>58.898443999999998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Measurments'!O437)</f>
        <v>10.602229000000008</v>
      </c>
      <c r="S39" s="27"/>
      <c r="T39" s="17">
        <f t="shared" si="5"/>
        <v>42.408916000000033</v>
      </c>
      <c r="U39" s="25"/>
      <c r="V39" s="27"/>
      <c r="W39" s="17">
        <f t="shared" si="6"/>
        <v>0</v>
      </c>
      <c r="X39" s="24">
        <f t="shared" si="7"/>
        <v>101.30736000000003</v>
      </c>
      <c r="Y39" s="28"/>
      <c r="Z39" s="22">
        <f t="shared" si="8"/>
        <v>58.898443999999998</v>
      </c>
      <c r="AA39" s="22">
        <f t="shared" si="9"/>
        <v>42.408916000000033</v>
      </c>
      <c r="AB39">
        <f t="shared" si="10"/>
        <v>0.5813836625492953</v>
      </c>
      <c r="AC39">
        <f t="shared" si="11"/>
        <v>0</v>
      </c>
      <c r="AD39">
        <f t="shared" si="12"/>
        <v>0</v>
      </c>
      <c r="AE39">
        <f t="shared" si="13"/>
        <v>0.41861633745070465</v>
      </c>
      <c r="AF39">
        <f t="shared" si="14"/>
        <v>21033.62801</v>
      </c>
      <c r="AG39">
        <f t="shared" si="15"/>
        <v>4206.7256020000004</v>
      </c>
      <c r="AH39">
        <f t="shared" si="16"/>
        <v>426.17226498303091</v>
      </c>
    </row>
    <row r="40" spans="1:34">
      <c r="A40" s="23" t="s">
        <v>27</v>
      </c>
      <c r="B40" s="24">
        <f>'Plant Measurments'!C438</f>
        <v>32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SUM('Plant Measurments'!O442:O445)</f>
        <v>306.88682100000011</v>
      </c>
      <c r="S40" s="27"/>
      <c r="T40" s="17">
        <f t="shared" si="5"/>
        <v>1227.5472840000004</v>
      </c>
      <c r="U40" s="25">
        <f>SUM('Plant Measurments'!O438:O441)</f>
        <v>164.17145829999998</v>
      </c>
      <c r="V40" s="27"/>
      <c r="W40" s="17">
        <f t="shared" si="6"/>
        <v>656.68583319999993</v>
      </c>
      <c r="X40" s="24">
        <f t="shared" si="7"/>
        <v>1884.2331172000004</v>
      </c>
      <c r="Y40" s="28"/>
      <c r="Z40" s="22">
        <f t="shared" si="8"/>
        <v>0</v>
      </c>
      <c r="AA40" s="22">
        <f t="shared" si="9"/>
        <v>1884.2331172000004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7926.4516942615091</v>
      </c>
    </row>
    <row r="41" spans="1:34">
      <c r="A41" s="23" t="s">
        <v>27</v>
      </c>
      <c r="B41" s="24">
        <f>'Plant Measurments'!C446</f>
        <v>53</v>
      </c>
      <c r="C41" s="25">
        <f>SUM('Plant Measurments'!O446)</f>
        <v>0</v>
      </c>
      <c r="D41" s="26"/>
      <c r="E41" s="17">
        <f t="shared" si="0"/>
        <v>0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Measurments'!O447:O455)</f>
        <v>458.26343200000014</v>
      </c>
      <c r="S41" s="27"/>
      <c r="T41" s="17">
        <f t="shared" si="5"/>
        <v>1833.0537280000005</v>
      </c>
      <c r="U41" s="25"/>
      <c r="V41" s="27"/>
      <c r="W41" s="17">
        <f t="shared" si="6"/>
        <v>0</v>
      </c>
      <c r="X41" s="24">
        <f t="shared" si="7"/>
        <v>1833.0537280000005</v>
      </c>
      <c r="Y41" s="28"/>
      <c r="Z41" s="22">
        <f t="shared" si="8"/>
        <v>0</v>
      </c>
      <c r="AA41" s="22">
        <f t="shared" si="9"/>
        <v>1833.0537280000005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7711.1540474191479</v>
      </c>
    </row>
    <row r="42" spans="1:34">
      <c r="A42" s="29" t="s">
        <v>27</v>
      </c>
      <c r="B42" s="30">
        <f>'Plant Measurments'!C456</f>
        <v>56</v>
      </c>
      <c r="C42" s="31">
        <f>SUM('Plant Measurments'!O456:O457)</f>
        <v>27.131098934238967</v>
      </c>
      <c r="D42" s="32"/>
      <c r="E42" s="17">
        <f>C42*4</f>
        <v>108.52439573695587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Measurments'!O461:O465)</f>
        <v>360.8760860000001</v>
      </c>
      <c r="S42" s="33"/>
      <c r="T42" s="17">
        <f t="shared" si="5"/>
        <v>1443.5043440000004</v>
      </c>
      <c r="U42" s="31">
        <f>SUM('Plant Measurments'!O458:O460)</f>
        <v>119.64032727999998</v>
      </c>
      <c r="V42" s="33"/>
      <c r="W42" s="17">
        <f t="shared" si="6"/>
        <v>478.56130911999992</v>
      </c>
      <c r="X42" s="30">
        <f t="shared" si="7"/>
        <v>2030.5900488569562</v>
      </c>
      <c r="Y42" s="34"/>
      <c r="Z42" s="22">
        <f t="shared" si="8"/>
        <v>108.52439573695587</v>
      </c>
      <c r="AA42" s="22">
        <f t="shared" si="9"/>
        <v>1922.0656531200002</v>
      </c>
      <c r="AB42">
        <f t="shared" si="10"/>
        <v>5.3444758974390508E-2</v>
      </c>
      <c r="AC42">
        <f t="shared" si="11"/>
        <v>0</v>
      </c>
      <c r="AD42">
        <f t="shared" si="12"/>
        <v>0</v>
      </c>
      <c r="AE42">
        <f t="shared" si="13"/>
        <v>0.9465552410256094</v>
      </c>
      <c r="AF42">
        <f t="shared" si="14"/>
        <v>21033.62801</v>
      </c>
      <c r="AG42">
        <f t="shared" si="15"/>
        <v>4206.7256020000004</v>
      </c>
      <c r="AH42">
        <f t="shared" si="16"/>
        <v>8542.1351456929897</v>
      </c>
    </row>
    <row r="43" spans="1:34">
      <c r="A43" s="16" t="s">
        <v>26</v>
      </c>
      <c r="B43" s="17">
        <f>'Plant Measurments'!C466</f>
        <v>12</v>
      </c>
      <c r="C43" s="18"/>
      <c r="D43" s="38"/>
      <c r="E43" s="17">
        <f t="shared" si="0"/>
        <v>0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>
        <f>SUM('Plant Measurments'!O469:O479)</f>
        <v>492.25425286999996</v>
      </c>
      <c r="S43" s="20"/>
      <c r="T43" s="17">
        <f t="shared" si="5"/>
        <v>1969.0170114799998</v>
      </c>
      <c r="U43" s="18">
        <f>SUM('Plant Measurments'!O466:O468)</f>
        <v>283.54822286000007</v>
      </c>
      <c r="V43" s="19"/>
      <c r="W43" s="17">
        <f t="shared" si="6"/>
        <v>1134.1928914400003</v>
      </c>
      <c r="X43" s="17">
        <f t="shared" si="7"/>
        <v>3103.2099029199999</v>
      </c>
      <c r="Y43" s="21">
        <f>AVERAGE(X43:X47)</f>
        <v>1088.8908671920001</v>
      </c>
      <c r="Z43" s="22">
        <f t="shared" si="8"/>
        <v>0</v>
      </c>
      <c r="AA43" s="22">
        <f t="shared" si="9"/>
        <v>3103.2099029199999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13054.352546993499</v>
      </c>
    </row>
    <row r="44" spans="1:34">
      <c r="A44" s="23" t="s">
        <v>26</v>
      </c>
      <c r="B44" s="24">
        <f>'Plant Measurments'!C480</f>
        <v>14</v>
      </c>
      <c r="C44" s="25"/>
      <c r="D44" s="26"/>
      <c r="E44" s="17">
        <f t="shared" si="0"/>
        <v>0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>
        <f>SUM('Plant Measurments'!O480:O488)</f>
        <v>472.22182117000011</v>
      </c>
      <c r="S44" s="27"/>
      <c r="T44" s="17">
        <f t="shared" si="5"/>
        <v>1888.8872846800004</v>
      </c>
      <c r="U44" s="25"/>
      <c r="V44" s="27"/>
      <c r="W44" s="17">
        <f t="shared" si="6"/>
        <v>0</v>
      </c>
      <c r="X44" s="24">
        <f t="shared" si="7"/>
        <v>1888.8872846800004</v>
      </c>
      <c r="Y44" s="28"/>
      <c r="Z44" s="22">
        <f t="shared" si="8"/>
        <v>0</v>
      </c>
      <c r="AA44" s="22">
        <f t="shared" si="9"/>
        <v>1888.8872846800004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7946.0304997556213</v>
      </c>
    </row>
    <row r="45" spans="1:34">
      <c r="A45" s="23" t="s">
        <v>26</v>
      </c>
      <c r="B45" s="24">
        <f>'Plant Measurments'!C489</f>
        <v>17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/>
      <c r="S45" s="27"/>
      <c r="T45" s="17">
        <f t="shared" si="5"/>
        <v>0</v>
      </c>
      <c r="U45" s="25">
        <f>SUM('Plant Measurments'!O489)</f>
        <v>113.08928709</v>
      </c>
      <c r="V45" s="27"/>
      <c r="W45" s="17">
        <f t="shared" si="6"/>
        <v>452.35714836</v>
      </c>
      <c r="X45" s="24">
        <f t="shared" si="7"/>
        <v>452.35714836</v>
      </c>
      <c r="Y45" s="28"/>
      <c r="Z45" s="22">
        <f t="shared" si="8"/>
        <v>0</v>
      </c>
      <c r="AA45" s="22">
        <f t="shared" si="9"/>
        <v>452.35714836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1902.9423972537245</v>
      </c>
    </row>
    <row r="46" spans="1:34">
      <c r="A46" s="23" t="s">
        <v>26</v>
      </c>
      <c r="B46" s="24" t="s">
        <v>63</v>
      </c>
      <c r="C46" s="25"/>
      <c r="D46" s="26"/>
      <c r="E46" s="17">
        <f t="shared" si="0"/>
        <v>0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/>
      <c r="S46" s="27"/>
      <c r="T46" s="17">
        <f t="shared" si="5"/>
        <v>0</v>
      </c>
      <c r="U46" s="25"/>
      <c r="V46" s="27"/>
      <c r="W46" s="17">
        <f t="shared" si="6"/>
        <v>0</v>
      </c>
      <c r="X46" s="24">
        <f t="shared" si="7"/>
        <v>0</v>
      </c>
      <c r="Y46" s="28"/>
      <c r="Z46" s="22">
        <f t="shared" si="8"/>
        <v>0</v>
      </c>
      <c r="AA46" s="22">
        <f t="shared" si="9"/>
        <v>0</v>
      </c>
      <c r="AB46" t="str">
        <f t="shared" si="10"/>
        <v xml:space="preserve"> </v>
      </c>
      <c r="AC46" t="str">
        <f t="shared" si="11"/>
        <v xml:space="preserve"> </v>
      </c>
      <c r="AD46" t="str">
        <f t="shared" si="12"/>
        <v xml:space="preserve"> </v>
      </c>
      <c r="AE46" t="str">
        <f t="shared" si="13"/>
        <v xml:space="preserve"> </v>
      </c>
      <c r="AF46">
        <f t="shared" si="14"/>
        <v>21033.62801</v>
      </c>
      <c r="AG46">
        <f t="shared" si="15"/>
        <v>4206.7256020000004</v>
      </c>
      <c r="AH46">
        <f t="shared" si="16"/>
        <v>0</v>
      </c>
    </row>
    <row r="47" spans="1:34">
      <c r="A47" s="29" t="s">
        <v>26</v>
      </c>
      <c r="B47" s="30" t="s">
        <v>63</v>
      </c>
      <c r="C47" s="31"/>
      <c r="D47" s="32"/>
      <c r="E47" s="17">
        <f t="shared" si="0"/>
        <v>0</v>
      </c>
      <c r="F47" s="31"/>
      <c r="G47" s="33"/>
      <c r="H47" s="30"/>
      <c r="I47" s="31"/>
      <c r="J47" s="33"/>
      <c r="K47" s="17">
        <f t="shared" si="2"/>
        <v>0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/>
      <c r="S47" s="33"/>
      <c r="T47" s="17">
        <f t="shared" si="5"/>
        <v>0</v>
      </c>
      <c r="U47" s="31"/>
      <c r="V47" s="33"/>
      <c r="W47" s="17">
        <f t="shared" si="6"/>
        <v>0</v>
      </c>
      <c r="X47" s="30">
        <f t="shared" si="7"/>
        <v>0</v>
      </c>
      <c r="Y47" s="34"/>
      <c r="Z47" s="22">
        <f t="shared" si="8"/>
        <v>0</v>
      </c>
      <c r="AA47" s="22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>
      <c r="A48" s="16" t="s">
        <v>21</v>
      </c>
      <c r="B48" s="17">
        <f>'Plant Measurments'!C491</f>
        <v>23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Measurments'!O569:O574)</f>
        <v>0</v>
      </c>
      <c r="J48" s="20"/>
      <c r="K48" s="17">
        <f t="shared" si="2"/>
        <v>0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>
        <f>SUM('Plant Measurments'!O493:O509)</f>
        <v>393.18453000000005</v>
      </c>
      <c r="S48" s="20"/>
      <c r="T48" s="17">
        <f t="shared" si="5"/>
        <v>1572.7381200000002</v>
      </c>
      <c r="U48" s="18">
        <f>SUM('Plant Measurments'!O491:O492)</f>
        <v>0</v>
      </c>
      <c r="V48" s="20"/>
      <c r="W48" s="17">
        <f t="shared" si="6"/>
        <v>0</v>
      </c>
      <c r="X48" s="17">
        <f t="shared" si="7"/>
        <v>1572.7381200000002</v>
      </c>
      <c r="Y48" s="21">
        <f>AVERAGE(X48:X52)</f>
        <v>2536.1077785024004</v>
      </c>
      <c r="Z48" s="22">
        <f>E48+Q48</f>
        <v>0</v>
      </c>
      <c r="AA48" s="22">
        <f t="shared" si="9"/>
        <v>1572.7381200000002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6616.0777146453493</v>
      </c>
    </row>
    <row r="49" spans="1:34">
      <c r="A49" s="23" t="s">
        <v>21</v>
      </c>
      <c r="B49" s="24">
        <f>'Plant Measurments'!C510</f>
        <v>24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>
        <f>SUM('Plant Measurments'!O517:O529)</f>
        <v>428.9975715500002</v>
      </c>
      <c r="S49" s="27"/>
      <c r="T49" s="17">
        <f t="shared" si="5"/>
        <v>1715.9902862000008</v>
      </c>
      <c r="U49" s="25">
        <f>SUM('Plant Measurments'!O510:O516)</f>
        <v>417.1186421000001</v>
      </c>
      <c r="V49" s="27"/>
      <c r="W49" s="17">
        <f t="shared" si="6"/>
        <v>1668.4745684000004</v>
      </c>
      <c r="X49" s="24">
        <f t="shared" si="7"/>
        <v>3384.4648546000012</v>
      </c>
      <c r="Y49" s="28"/>
      <c r="Z49" s="22">
        <f t="shared" si="8"/>
        <v>0</v>
      </c>
      <c r="AA49" s="22">
        <f t="shared" si="9"/>
        <v>3384.4648546000012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14237.514952915033</v>
      </c>
    </row>
    <row r="50" spans="1:34">
      <c r="A50" s="23" t="s">
        <v>21</v>
      </c>
      <c r="B50" s="24">
        <f>'Plant Measurments'!C530</f>
        <v>27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>
        <f>SUM('Plant Measurments'!O530:O549)</f>
        <v>889.47392484</v>
      </c>
      <c r="S50" s="27"/>
      <c r="T50" s="17">
        <f t="shared" si="5"/>
        <v>3557.89569936</v>
      </c>
      <c r="U50" s="25"/>
      <c r="V50" s="27"/>
      <c r="W50" s="17">
        <f t="shared" si="6"/>
        <v>0</v>
      </c>
      <c r="X50" s="24">
        <f t="shared" si="7"/>
        <v>3557.89569936</v>
      </c>
      <c r="Y50" s="28"/>
      <c r="Z50" s="22">
        <f t="shared" si="8"/>
        <v>0</v>
      </c>
      <c r="AA50" s="22">
        <f t="shared" si="9"/>
        <v>3557.89569936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14967.090927743409</v>
      </c>
    </row>
    <row r="51" spans="1:34">
      <c r="A51" s="23" t="s">
        <v>21</v>
      </c>
      <c r="B51" s="24">
        <f>'Plant Measurments'!C550</f>
        <v>40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/>
      <c r="J51" s="27"/>
      <c r="K51" s="17">
        <f t="shared" si="2"/>
        <v>0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Measurments'!O556:O563)</f>
        <v>552.73097433000009</v>
      </c>
      <c r="S51" s="27"/>
      <c r="T51" s="17">
        <f t="shared" si="5"/>
        <v>2210.9238973200004</v>
      </c>
      <c r="U51" s="25">
        <f>SUM('Plant Measurments'!O550:O555)</f>
        <v>488.62908030799997</v>
      </c>
      <c r="V51" s="27"/>
      <c r="W51" s="17">
        <f t="shared" si="6"/>
        <v>1954.5163212319999</v>
      </c>
      <c r="X51" s="24">
        <f t="shared" si="7"/>
        <v>4165.4402185520003</v>
      </c>
      <c r="Y51" s="28"/>
      <c r="Z51" s="22">
        <f t="shared" si="8"/>
        <v>0</v>
      </c>
      <c r="AA51" s="22">
        <f t="shared" si="9"/>
        <v>4165.4402185520003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17522.864010983176</v>
      </c>
    </row>
    <row r="52" spans="1:34">
      <c r="A52" s="29" t="s">
        <v>21</v>
      </c>
      <c r="B52" s="30" t="s">
        <v>63</v>
      </c>
      <c r="C52" s="31"/>
      <c r="D52" s="32"/>
      <c r="E52" s="17">
        <f t="shared" si="0"/>
        <v>0</v>
      </c>
      <c r="F52" s="31"/>
      <c r="G52" s="33"/>
      <c r="H52" s="30"/>
      <c r="I52" s="31"/>
      <c r="J52" s="33"/>
      <c r="K52" s="17">
        <f t="shared" si="2"/>
        <v>0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/>
      <c r="S52" s="33"/>
      <c r="T52" s="17">
        <f t="shared" si="5"/>
        <v>0</v>
      </c>
      <c r="U52" s="31"/>
      <c r="V52" s="33"/>
      <c r="W52" s="17">
        <f t="shared" si="6"/>
        <v>0</v>
      </c>
      <c r="X52" s="30">
        <f t="shared" si="7"/>
        <v>0</v>
      </c>
      <c r="Y52" s="34"/>
      <c r="Z52" s="22">
        <f t="shared" si="8"/>
        <v>0</v>
      </c>
      <c r="AA52" s="22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58</v>
      </c>
      <c r="AB53">
        <f>AVERAGE(AB3:AB52)</f>
        <v>0.16642505363958096</v>
      </c>
      <c r="AC53">
        <f t="shared" ref="AC53:AE53" si="18">AVERAGE(AC3:AC52)</f>
        <v>0</v>
      </c>
      <c r="AD53">
        <f t="shared" si="18"/>
        <v>0</v>
      </c>
      <c r="AE53">
        <f t="shared" si="18"/>
        <v>0.83357494636041884</v>
      </c>
      <c r="AG53" t="s">
        <v>59</v>
      </c>
      <c r="AH53">
        <f>SUM(AH3:AH52)</f>
        <v>352503.68552231241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2013-06-17T16:19:05Z</dcterms:created>
  <dcterms:modified xsi:type="dcterms:W3CDTF">2015-07-29T22:36:12Z</dcterms:modified>
</cp:coreProperties>
</file>