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" yWindow="0" windowWidth="28440" windowHeight="16100" tabRatio="500"/>
  </bookViews>
  <sheets>
    <sheet name="Plant Measur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67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4" i="1"/>
  <c r="I52" i="2"/>
  <c r="R51" i="2"/>
  <c r="R50" i="2"/>
  <c r="U50" i="2"/>
  <c r="U49" i="2"/>
  <c r="R49" i="2"/>
  <c r="R48" i="2"/>
  <c r="I46" i="2"/>
  <c r="R46" i="2"/>
  <c r="R45" i="2"/>
  <c r="I44" i="2"/>
  <c r="C44" i="2"/>
  <c r="R43" i="2"/>
  <c r="R42" i="2"/>
  <c r="R41" i="2"/>
  <c r="C40" i="2"/>
  <c r="R39" i="2"/>
  <c r="C39" i="2"/>
  <c r="R38" i="2"/>
  <c r="C38" i="2"/>
  <c r="R37" i="2"/>
  <c r="R36" i="2"/>
  <c r="R35" i="2"/>
  <c r="C33" i="2"/>
  <c r="R32" i="2"/>
  <c r="I32" i="2"/>
  <c r="I31" i="2"/>
  <c r="C30" i="2"/>
  <c r="R29" i="2"/>
  <c r="R28" i="2"/>
  <c r="I28" i="2"/>
  <c r="R27" i="2"/>
  <c r="I27" i="2"/>
  <c r="R26" i="2"/>
  <c r="R25" i="2"/>
  <c r="R24" i="2"/>
  <c r="C23" i="2"/>
  <c r="R22" i="2"/>
  <c r="R21" i="2"/>
  <c r="R20" i="2"/>
  <c r="R19" i="2"/>
  <c r="R18" i="2"/>
  <c r="O198" i="1"/>
  <c r="O199" i="1"/>
  <c r="R17" i="2"/>
  <c r="R16" i="2"/>
  <c r="R15" i="2"/>
  <c r="R14" i="2"/>
  <c r="R12" i="2"/>
  <c r="R11" i="2"/>
  <c r="R10" i="2"/>
  <c r="R9" i="2"/>
  <c r="R8" i="2"/>
  <c r="C8" i="2"/>
  <c r="R7" i="2"/>
  <c r="R6" i="2"/>
  <c r="R5" i="2"/>
  <c r="R4" i="2"/>
  <c r="R3" i="2"/>
  <c r="N352" i="1"/>
  <c r="N351" i="1"/>
  <c r="N350" i="1"/>
  <c r="N349" i="1"/>
  <c r="N348" i="1"/>
  <c r="N359" i="1"/>
  <c r="N358" i="1"/>
  <c r="N357" i="1"/>
  <c r="N356" i="1"/>
  <c r="N347" i="1"/>
  <c r="N355" i="1"/>
  <c r="N346" i="1"/>
  <c r="N354" i="1"/>
  <c r="N345" i="1"/>
  <c r="N344" i="1"/>
  <c r="N343" i="1"/>
  <c r="N342" i="1"/>
  <c r="N341" i="1"/>
  <c r="N340" i="1"/>
  <c r="N339" i="1"/>
  <c r="N338" i="1"/>
  <c r="N337" i="1"/>
  <c r="N353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65" i="1"/>
  <c r="N364" i="1"/>
  <c r="N363" i="1"/>
  <c r="N362" i="1"/>
  <c r="N361" i="1"/>
  <c r="N360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90" i="1"/>
  <c r="N389" i="1"/>
  <c r="N388" i="1"/>
  <c r="N387" i="1"/>
  <c r="N386" i="1"/>
  <c r="N385" i="1"/>
  <c r="N384" i="1"/>
  <c r="N383" i="1"/>
  <c r="N382" i="1"/>
  <c r="N381" i="1"/>
  <c r="N396" i="1"/>
  <c r="N392" i="1"/>
  <c r="N391" i="1"/>
  <c r="N395" i="1"/>
  <c r="N394" i="1"/>
  <c r="N39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83" i="1"/>
  <c r="N290" i="1"/>
  <c r="N289" i="1"/>
  <c r="N288" i="1"/>
  <c r="N287" i="1"/>
  <c r="N286" i="1"/>
  <c r="N285" i="1"/>
  <c r="N284" i="1"/>
  <c r="N297" i="1"/>
  <c r="N296" i="1"/>
  <c r="N295" i="1"/>
  <c r="N294" i="1"/>
  <c r="N293" i="1"/>
  <c r="N292" i="1"/>
  <c r="N29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6" i="1"/>
  <c r="N25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66" i="1"/>
  <c r="N65" i="1"/>
  <c r="N64" i="1"/>
  <c r="N63" i="1"/>
  <c r="N62" i="1"/>
  <c r="N61" i="1"/>
  <c r="N60" i="1"/>
  <c r="N59" i="1"/>
  <c r="N58" i="1"/>
  <c r="N522" i="1"/>
  <c r="N521" i="1"/>
  <c r="N520" i="1"/>
  <c r="N519" i="1"/>
  <c r="N518" i="1"/>
  <c r="N517" i="1"/>
  <c r="N516" i="1"/>
  <c r="N515" i="1"/>
  <c r="N514" i="1"/>
  <c r="N574" i="1"/>
  <c r="N573" i="1"/>
  <c r="N595" i="1"/>
  <c r="N594" i="1"/>
  <c r="N572" i="1"/>
  <c r="N571" i="1"/>
  <c r="N593" i="1"/>
  <c r="N570" i="1"/>
  <c r="N569" i="1"/>
  <c r="N568" i="1"/>
  <c r="N567" i="1"/>
  <c r="N592" i="1"/>
  <c r="N591" i="1"/>
  <c r="N566" i="1"/>
  <c r="N565" i="1"/>
  <c r="N564" i="1"/>
  <c r="N590" i="1"/>
  <c r="N563" i="1"/>
  <c r="N562" i="1"/>
  <c r="N589" i="1"/>
  <c r="N588" i="1"/>
  <c r="N561" i="1"/>
  <c r="N560" i="1"/>
  <c r="N559" i="1"/>
  <c r="N558" i="1"/>
  <c r="N557" i="1"/>
  <c r="N556" i="1"/>
  <c r="N587" i="1"/>
  <c r="N586" i="1"/>
  <c r="N555" i="1"/>
  <c r="N554" i="1"/>
  <c r="N585" i="1"/>
  <c r="N584" i="1"/>
  <c r="N583" i="1"/>
  <c r="N582" i="1"/>
  <c r="N553" i="1"/>
  <c r="N581" i="1"/>
  <c r="N552" i="1"/>
  <c r="N551" i="1"/>
  <c r="N580" i="1"/>
  <c r="N550" i="1"/>
  <c r="N549" i="1"/>
  <c r="N548" i="1"/>
  <c r="N547" i="1"/>
  <c r="N546" i="1"/>
  <c r="N545" i="1"/>
  <c r="N579" i="1"/>
  <c r="N578" i="1"/>
  <c r="N544" i="1"/>
  <c r="N543" i="1"/>
  <c r="N542" i="1"/>
  <c r="N541" i="1"/>
  <c r="N540" i="1"/>
  <c r="N539" i="1"/>
  <c r="N577" i="1"/>
  <c r="N538" i="1"/>
  <c r="N537" i="1"/>
  <c r="N536" i="1"/>
  <c r="N535" i="1"/>
  <c r="N534" i="1"/>
  <c r="N533" i="1"/>
  <c r="N532" i="1"/>
  <c r="N576" i="1"/>
  <c r="N531" i="1"/>
  <c r="N575" i="1"/>
  <c r="N530" i="1"/>
  <c r="N529" i="1"/>
  <c r="N528" i="1"/>
  <c r="N527" i="1"/>
  <c r="N526" i="1"/>
  <c r="N525" i="1"/>
  <c r="N524" i="1"/>
  <c r="N523" i="1"/>
  <c r="N601" i="1"/>
  <c r="N600" i="1"/>
  <c r="N599" i="1"/>
  <c r="N598" i="1"/>
  <c r="N597" i="1"/>
  <c r="N596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17" i="1"/>
  <c r="N602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57" i="1"/>
  <c r="N656" i="1"/>
  <c r="N655" i="1"/>
  <c r="N645" i="1"/>
  <c r="N654" i="1"/>
  <c r="N653" i="1"/>
  <c r="N652" i="1"/>
  <c r="N644" i="1"/>
  <c r="N651" i="1"/>
  <c r="N650" i="1"/>
  <c r="N643" i="1"/>
  <c r="N642" i="1"/>
  <c r="N649" i="1"/>
  <c r="N648" i="1"/>
  <c r="N647" i="1"/>
  <c r="N641" i="1"/>
  <c r="N646" i="1"/>
  <c r="N688" i="1"/>
  <c r="N660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59" i="1"/>
  <c r="N667" i="1"/>
  <c r="N666" i="1"/>
  <c r="N658" i="1"/>
  <c r="N665" i="1"/>
  <c r="N664" i="1"/>
  <c r="N663" i="1"/>
  <c r="N662" i="1"/>
  <c r="N661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401" i="1"/>
  <c r="N400" i="1"/>
  <c r="N399" i="1"/>
  <c r="N398" i="1"/>
  <c r="N397" i="1"/>
  <c r="N402" i="1"/>
  <c r="N405" i="1"/>
  <c r="N404" i="1"/>
  <c r="N403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34" i="1"/>
  <c r="N433" i="1"/>
  <c r="N432" i="1"/>
  <c r="N431" i="1"/>
  <c r="N224" i="1"/>
  <c r="N223" i="1"/>
  <c r="N222" i="1"/>
  <c r="N221" i="1"/>
  <c r="N220" i="1"/>
  <c r="N219" i="1"/>
  <c r="N218" i="1"/>
  <c r="N217" i="1"/>
  <c r="N229" i="1"/>
  <c r="N228" i="1"/>
  <c r="N227" i="1"/>
  <c r="N226" i="1"/>
  <c r="N225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53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445" i="1"/>
  <c r="N444" i="1"/>
  <c r="N443" i="1"/>
  <c r="N442" i="1"/>
  <c r="N438" i="1"/>
  <c r="N437" i="1"/>
  <c r="N436" i="1"/>
  <c r="N435" i="1"/>
  <c r="N441" i="1"/>
  <c r="N440" i="1"/>
  <c r="N439" i="1"/>
  <c r="N468" i="1"/>
  <c r="N467" i="1"/>
  <c r="N452" i="1"/>
  <c r="N451" i="1"/>
  <c r="N466" i="1"/>
  <c r="N450" i="1"/>
  <c r="N465" i="1"/>
  <c r="N449" i="1"/>
  <c r="N464" i="1"/>
  <c r="N448" i="1"/>
  <c r="N447" i="1"/>
  <c r="N463" i="1"/>
  <c r="N446" i="1"/>
  <c r="N462" i="1"/>
  <c r="N461" i="1"/>
  <c r="N460" i="1"/>
  <c r="N459" i="1"/>
  <c r="N458" i="1"/>
  <c r="N457" i="1"/>
  <c r="N456" i="1"/>
  <c r="N455" i="1"/>
  <c r="N454" i="1"/>
  <c r="N453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504" i="1"/>
  <c r="N503" i="1"/>
  <c r="N502" i="1"/>
  <c r="N501" i="1"/>
  <c r="N500" i="1"/>
  <c r="N513" i="1"/>
  <c r="N512" i="1"/>
  <c r="N511" i="1"/>
  <c r="N510" i="1"/>
  <c r="N509" i="1"/>
  <c r="N508" i="1"/>
  <c r="N507" i="1"/>
  <c r="N506" i="1"/>
  <c r="N505" i="1"/>
  <c r="N99" i="1"/>
  <c r="N98" i="1"/>
  <c r="N97" i="1"/>
  <c r="N69" i="1"/>
  <c r="N96" i="1"/>
  <c r="N95" i="1"/>
  <c r="N94" i="1"/>
  <c r="N93" i="1"/>
  <c r="N92" i="1"/>
  <c r="N91" i="1"/>
  <c r="N90" i="1"/>
  <c r="N89" i="1"/>
  <c r="N88" i="1"/>
  <c r="N87" i="1"/>
  <c r="N68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67" i="1"/>
  <c r="N71" i="1"/>
  <c r="N70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135" i="1"/>
  <c r="N134" i="1"/>
  <c r="N133" i="1"/>
  <c r="N132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55" i="1"/>
  <c r="N154" i="1"/>
  <c r="N153" i="1"/>
  <c r="N152" i="1"/>
  <c r="N151" i="1"/>
  <c r="N150" i="1"/>
  <c r="N149" i="1"/>
  <c r="N148" i="1"/>
  <c r="N156" i="1"/>
  <c r="N159" i="1"/>
  <c r="N158" i="1"/>
  <c r="N157" i="1"/>
  <c r="N177" i="1"/>
  <c r="N176" i="1"/>
  <c r="N175" i="1"/>
  <c r="N174" i="1"/>
  <c r="N173" i="1"/>
  <c r="N172" i="1"/>
  <c r="N171" i="1"/>
  <c r="N170" i="1"/>
  <c r="N161" i="1"/>
  <c r="N160" i="1"/>
  <c r="N169" i="1"/>
  <c r="N168" i="1"/>
  <c r="N167" i="1"/>
  <c r="N166" i="1"/>
  <c r="N165" i="1"/>
  <c r="N164" i="1"/>
  <c r="N163" i="1"/>
  <c r="N162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J199" i="1"/>
  <c r="J198" i="1"/>
  <c r="J200" i="1"/>
  <c r="J201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57" i="1"/>
  <c r="J158" i="1"/>
  <c r="J148" i="1"/>
  <c r="J149" i="1"/>
  <c r="J150" i="1"/>
  <c r="J151" i="1"/>
  <c r="J152" i="1"/>
  <c r="J153" i="1"/>
  <c r="J154" i="1"/>
  <c r="J15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32" i="1"/>
  <c r="J133" i="1"/>
  <c r="J134" i="1"/>
  <c r="J135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505" i="1"/>
  <c r="J506" i="1"/>
  <c r="J507" i="1"/>
  <c r="J508" i="1"/>
  <c r="J509" i="1"/>
  <c r="J510" i="1"/>
  <c r="J511" i="1"/>
  <c r="J512" i="1"/>
  <c r="J513" i="1"/>
  <c r="J500" i="1"/>
  <c r="J502" i="1"/>
  <c r="J503" i="1"/>
  <c r="J504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39" i="1"/>
  <c r="J440" i="1"/>
  <c r="J441" i="1"/>
  <c r="J443" i="1"/>
  <c r="J444" i="1"/>
  <c r="J445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25" i="1"/>
  <c r="J226" i="1"/>
  <c r="J227" i="1"/>
  <c r="J228" i="1"/>
  <c r="J229" i="1"/>
  <c r="J217" i="1"/>
  <c r="J218" i="1"/>
  <c r="J219" i="1"/>
  <c r="J220" i="1"/>
  <c r="J221" i="1"/>
  <c r="J222" i="1"/>
  <c r="J223" i="1"/>
  <c r="J224" i="1"/>
  <c r="J431" i="1"/>
  <c r="J432" i="1"/>
  <c r="J433" i="1"/>
  <c r="J434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6" i="1"/>
  <c r="J427" i="1"/>
  <c r="J428" i="1"/>
  <c r="J429" i="1"/>
  <c r="J430" i="1"/>
  <c r="J403" i="1"/>
  <c r="J404" i="1"/>
  <c r="J405" i="1"/>
  <c r="J689" i="1"/>
  <c r="J690" i="1"/>
  <c r="J691" i="1"/>
  <c r="J692" i="1"/>
  <c r="J693" i="1"/>
  <c r="J694" i="1"/>
  <c r="J695" i="1"/>
  <c r="J696" i="1"/>
  <c r="J697" i="1"/>
  <c r="J698" i="1"/>
  <c r="J699" i="1"/>
  <c r="J701" i="1"/>
  <c r="J702" i="1"/>
  <c r="J703" i="1"/>
  <c r="J661" i="1"/>
  <c r="J662" i="1"/>
  <c r="J663" i="1"/>
  <c r="J664" i="1"/>
  <c r="J665" i="1"/>
  <c r="J658" i="1"/>
  <c r="J666" i="1"/>
  <c r="J667" i="1"/>
  <c r="J659" i="1"/>
  <c r="J668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6" i="1"/>
  <c r="J687" i="1"/>
  <c r="J660" i="1"/>
  <c r="J688" i="1"/>
  <c r="J646" i="1"/>
  <c r="J641" i="1"/>
  <c r="J647" i="1"/>
  <c r="J648" i="1"/>
  <c r="J649" i="1"/>
  <c r="J642" i="1"/>
  <c r="J643" i="1"/>
  <c r="J650" i="1"/>
  <c r="J651" i="1"/>
  <c r="J644" i="1"/>
  <c r="J652" i="1"/>
  <c r="J653" i="1"/>
  <c r="J654" i="1"/>
  <c r="J645" i="1"/>
  <c r="J655" i="1"/>
  <c r="J656" i="1"/>
  <c r="J65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17" i="1"/>
  <c r="J596" i="1"/>
  <c r="J597" i="1"/>
  <c r="J598" i="1"/>
  <c r="J599" i="1"/>
  <c r="J600" i="1"/>
  <c r="J601" i="1"/>
  <c r="J514" i="1"/>
  <c r="J515" i="1"/>
  <c r="J516" i="1"/>
  <c r="J517" i="1"/>
  <c r="J518" i="1"/>
  <c r="J519" i="1"/>
  <c r="J520" i="1"/>
  <c r="J521" i="1"/>
  <c r="J522" i="1"/>
  <c r="J58" i="1"/>
  <c r="J59" i="1"/>
  <c r="J60" i="1"/>
  <c r="J61" i="1"/>
  <c r="J62" i="1"/>
  <c r="J63" i="1"/>
  <c r="J64" i="1"/>
  <c r="J65" i="1"/>
  <c r="J66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5" i="1"/>
  <c r="J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01" i="1"/>
  <c r="J302" i="1"/>
  <c r="J303" i="1"/>
  <c r="J304" i="1"/>
  <c r="J305" i="1"/>
  <c r="J306" i="1"/>
  <c r="J307" i="1"/>
  <c r="J308" i="1"/>
  <c r="J309" i="1"/>
  <c r="J310" i="1"/>
  <c r="J291" i="1"/>
  <c r="J292" i="1"/>
  <c r="J293" i="1"/>
  <c r="J294" i="1"/>
  <c r="J295" i="1"/>
  <c r="J296" i="1"/>
  <c r="J297" i="1"/>
  <c r="J284" i="1"/>
  <c r="J285" i="1"/>
  <c r="J286" i="1"/>
  <c r="J287" i="1"/>
  <c r="J288" i="1"/>
  <c r="J289" i="1"/>
  <c r="J290" i="1"/>
  <c r="J283" i="1"/>
  <c r="J396" i="1"/>
  <c r="J360" i="1"/>
  <c r="J361" i="1"/>
  <c r="J362" i="1"/>
  <c r="J363" i="1"/>
  <c r="J364" i="1"/>
  <c r="J365" i="1"/>
  <c r="J353" i="1"/>
  <c r="J354" i="1"/>
  <c r="J355" i="1"/>
  <c r="J356" i="1"/>
  <c r="J357" i="1"/>
  <c r="J358" i="1"/>
  <c r="J359" i="1"/>
  <c r="F478" i="1"/>
  <c r="F477" i="1"/>
  <c r="F476" i="1"/>
  <c r="F475" i="1"/>
  <c r="F474" i="1"/>
  <c r="F473" i="1"/>
  <c r="F472" i="1"/>
  <c r="F471" i="1"/>
  <c r="F470" i="1"/>
  <c r="F469" i="1"/>
  <c r="F504" i="1"/>
  <c r="F503" i="1"/>
  <c r="F502" i="1"/>
  <c r="F501" i="1"/>
  <c r="F500" i="1"/>
  <c r="F513" i="1"/>
  <c r="F512" i="1"/>
  <c r="F511" i="1"/>
  <c r="F510" i="1"/>
  <c r="F509" i="1"/>
  <c r="F508" i="1"/>
  <c r="F507" i="1"/>
  <c r="F506" i="1"/>
  <c r="F505" i="1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</calcChain>
</file>

<file path=xl/comments1.xml><?xml version="1.0" encoding="utf-8"?>
<comments xmlns="http://schemas.openxmlformats.org/spreadsheetml/2006/main">
  <authors>
    <author>chris sanchez</author>
  </authors>
  <commentList>
    <comment ref="O199" authorId="0">
      <text>
        <r>
          <rPr>
            <b/>
            <sz val="9"/>
            <color indexed="81"/>
            <rFont val="Calibri"/>
            <family val="2"/>
          </rPr>
          <t>chris sanchez:</t>
        </r>
        <r>
          <rPr>
            <sz val="9"/>
            <color indexed="81"/>
            <rFont val="Calibri"/>
            <family val="2"/>
          </rPr>
          <t xml:space="preserve">
FORMULA IS HERE</t>
        </r>
      </text>
    </comment>
  </commentList>
</comments>
</file>

<file path=xl/sharedStrings.xml><?xml version="1.0" encoding="utf-8"?>
<sst xmlns="http://schemas.openxmlformats.org/spreadsheetml/2006/main" count="1724" uniqueCount="68">
  <si>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</si>
  <si>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</si>
  <si>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</si>
  <si>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</si>
  <si>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</si>
  <si>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</si>
  <si>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</si>
  <si>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</si>
  <si>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</si>
  <si>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</si>
  <si>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</si>
  <si>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</si>
  <si>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</si>
  <si>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</si>
  <si>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</si>
  <si>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</si>
  <si>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</si>
  <si>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</si>
  <si>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</si>
  <si>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</si>
  <si>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M-1-E</t>
  </si>
  <si>
    <t>M-5</t>
  </si>
  <si>
    <t>M-1-W</t>
  </si>
  <si>
    <t>M-2</t>
  </si>
  <si>
    <t>M-3</t>
  </si>
  <si>
    <t>C-1</t>
  </si>
  <si>
    <t>M-4-S</t>
  </si>
  <si>
    <t>M-4-N</t>
  </si>
  <si>
    <t>C-2</t>
  </si>
  <si>
    <t>M-4-C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</si>
  <si>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</si>
  <si>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</si>
  <si>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</si>
  <si>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</si>
  <si>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</si>
  <si>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</si>
  <si>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</si>
  <si>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</si>
  <si>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</si>
  <si>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</si>
  <si>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</si>
  <si>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</si>
  <si>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</si>
  <si>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</si>
  <si>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</si>
  <si>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</si>
  <si>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</si>
  <si>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</si>
  <si>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</si>
  <si>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</si>
  <si>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</si>
  <si>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</si>
  <si>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</si>
  <si>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</si>
  <si>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</si>
  <si>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</si>
  <si>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</si>
  <si>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</si>
  <si>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</si>
  <si>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</si>
  <si>
    <t>T. domingensis</t>
  </si>
  <si>
    <t>S. acutus</t>
  </si>
  <si>
    <t>THATCHED</t>
  </si>
  <si>
    <t>S. californicus</t>
  </si>
  <si>
    <t xml:space="preserve"> </t>
  </si>
  <si>
    <t>THATCH</t>
  </si>
  <si>
    <t>stgem area (cms)</t>
  </si>
  <si>
    <t>total stem area=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</si>
</sst>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5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0" fontId="0" fillId="0" borderId="0" xfId="0" applyNumberFormat="1"/>
    <xf numFmtId="0" fontId="0" fillId="0" borderId="0" xfId="0" quotePrefix="1"/>
    <xf numFmtId="0" fontId="7" fillId="2" borderId="16" xfId="144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5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3"/>
  <sheetViews>
    <sheetView tabSelected="1" workbookViewId="0">
      <pane ySplit="3580" topLeftCell="A759" activePane="bottomLeft"/>
      <selection activeCell="S4" sqref="S4:S765"/>
      <selection pane="bottomLeft" activeCell="Q767" sqref="Q767"/>
    </sheetView>
  </sheetViews>
  <sheetFormatPr baseColWidth="10" defaultRowHeight="15" x14ac:dyDescent="0"/>
  <cols>
    <col min="2" max="2" width="10.83203125" style="7"/>
    <col min="4" max="4" width="15.6640625" bestFit="1" customWidth="1"/>
    <col min="5" max="5" width="0.5" customWidth="1"/>
    <col min="6" max="6" width="11.33203125" customWidth="1"/>
    <col min="7" max="7" width="11.83203125" customWidth="1"/>
    <col min="8" max="8" width="9.1640625" customWidth="1"/>
    <col min="9" max="9" width="8.33203125" customWidth="1"/>
    <col min="10" max="10" width="12.33203125" customWidth="1"/>
    <col min="11" max="11" width="12.5" customWidth="1"/>
    <col min="12" max="12" width="15.1640625" customWidth="1"/>
    <col min="13" max="13" width="19.33203125" customWidth="1"/>
    <col min="14" max="14" width="13.33203125" customWidth="1"/>
    <col min="18" max="18" width="2.5" customWidth="1"/>
  </cols>
  <sheetData>
    <row r="1" spans="1:19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  <c r="Q1" s="1"/>
    </row>
    <row r="2" spans="1:19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</row>
    <row r="3" spans="1:19" ht="61" customHeight="1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S3" s="4" t="s">
        <v>66</v>
      </c>
    </row>
    <row r="4" spans="1:19">
      <c r="A4" s="6">
        <v>42094</v>
      </c>
      <c r="B4" t="s">
        <v>25</v>
      </c>
      <c r="C4">
        <v>2</v>
      </c>
      <c r="D4" t="s">
        <v>19</v>
      </c>
      <c r="F4">
        <v>0.67999999999999994</v>
      </c>
      <c r="J4">
        <f>SUM(50,83,113,115)</f>
        <v>361</v>
      </c>
      <c r="K4">
        <v>4</v>
      </c>
      <c r="L4">
        <v>115</v>
      </c>
      <c r="N4" t="str">
        <f t="shared" ref="N4:N67" si="0">IF(OR(D4="S. acutus", D4="S. tabernaemontani", D4="S. californicus"),(1/3)*(3.14159)*((F4/2)^2)*E4,"NA")</f>
        <v>NA</v>
      </c>
      <c r="O4">
        <v>4.1499520000000025</v>
      </c>
      <c r="S4">
        <f>3.14159*((F4/2)^2)</f>
        <v>0.36316780399999993</v>
      </c>
    </row>
    <row r="5" spans="1:19">
      <c r="A5" s="6">
        <v>42094</v>
      </c>
      <c r="B5" t="s">
        <v>25</v>
      </c>
      <c r="C5">
        <v>2</v>
      </c>
      <c r="D5" t="s">
        <v>19</v>
      </c>
      <c r="F5">
        <v>3.1900000000000004</v>
      </c>
      <c r="J5">
        <f>SUM(55,104,104,142,173,174,194,196)</f>
        <v>1142</v>
      </c>
      <c r="K5">
        <v>8</v>
      </c>
      <c r="L5">
        <v>196</v>
      </c>
      <c r="N5" t="str">
        <f t="shared" si="0"/>
        <v>NA</v>
      </c>
      <c r="O5">
        <v>24.88235000000001</v>
      </c>
      <c r="S5">
        <f t="shared" ref="S5:S68" si="1">3.14159*((F5/2)^2)</f>
        <v>7.992283499750001</v>
      </c>
    </row>
    <row r="6" spans="1:19">
      <c r="A6" s="6">
        <v>42094</v>
      </c>
      <c r="B6" t="s">
        <v>25</v>
      </c>
      <c r="C6">
        <v>2</v>
      </c>
      <c r="D6" t="s">
        <v>19</v>
      </c>
      <c r="F6">
        <v>1.63</v>
      </c>
      <c r="J6">
        <f>SUM(38,83,100,116,120,136)</f>
        <v>593</v>
      </c>
      <c r="K6">
        <v>6</v>
      </c>
      <c r="L6">
        <v>136</v>
      </c>
      <c r="N6" t="str">
        <f t="shared" si="0"/>
        <v>NA</v>
      </c>
      <c r="O6">
        <v>5.530261000000003</v>
      </c>
      <c r="S6">
        <f t="shared" si="1"/>
        <v>2.0867226177499996</v>
      </c>
    </row>
    <row r="7" spans="1:19">
      <c r="A7" s="6">
        <v>42094</v>
      </c>
      <c r="B7" t="s">
        <v>25</v>
      </c>
      <c r="C7">
        <v>2</v>
      </c>
      <c r="D7" t="s">
        <v>19</v>
      </c>
      <c r="F7">
        <v>0.49</v>
      </c>
      <c r="J7">
        <f>SUM(68,81,104,115)</f>
        <v>368</v>
      </c>
      <c r="K7">
        <v>4</v>
      </c>
      <c r="L7">
        <v>115</v>
      </c>
      <c r="N7" t="str">
        <f t="shared" si="0"/>
        <v>NA</v>
      </c>
      <c r="O7">
        <v>4.8062369999999994</v>
      </c>
      <c r="S7">
        <f t="shared" si="1"/>
        <v>0.18857393974999997</v>
      </c>
    </row>
    <row r="8" spans="1:19">
      <c r="A8" s="6">
        <v>42094</v>
      </c>
      <c r="B8" t="s">
        <v>25</v>
      </c>
      <c r="C8">
        <v>2</v>
      </c>
      <c r="D8" t="s">
        <v>19</v>
      </c>
      <c r="F8">
        <v>1.63</v>
      </c>
      <c r="J8">
        <f>SUM(75,113,112,138,141,151,153,179)</f>
        <v>1062</v>
      </c>
      <c r="K8">
        <v>8</v>
      </c>
      <c r="L8">
        <v>179</v>
      </c>
      <c r="N8" t="str">
        <f t="shared" si="0"/>
        <v>NA</v>
      </c>
      <c r="O8">
        <v>22.503115000000008</v>
      </c>
      <c r="S8">
        <f t="shared" si="1"/>
        <v>2.0867226177499996</v>
      </c>
    </row>
    <row r="9" spans="1:19">
      <c r="A9" s="6">
        <v>42094</v>
      </c>
      <c r="B9" t="s">
        <v>25</v>
      </c>
      <c r="C9">
        <v>2</v>
      </c>
      <c r="D9" t="s">
        <v>19</v>
      </c>
      <c r="F9">
        <v>2.1100000000000003</v>
      </c>
      <c r="J9">
        <f>SUM(61,95,130,128,146,158,174)</f>
        <v>892</v>
      </c>
      <c r="K9">
        <v>7</v>
      </c>
      <c r="L9">
        <v>174</v>
      </c>
      <c r="N9" t="str">
        <f t="shared" si="0"/>
        <v>NA</v>
      </c>
      <c r="O9">
        <v>15.093343000000012</v>
      </c>
      <c r="S9">
        <f t="shared" si="1"/>
        <v>3.496668209750001</v>
      </c>
    </row>
    <row r="10" spans="1:19">
      <c r="A10" s="6">
        <v>42094</v>
      </c>
      <c r="B10" t="s">
        <v>25</v>
      </c>
      <c r="C10">
        <v>2</v>
      </c>
      <c r="D10" t="s">
        <v>19</v>
      </c>
      <c r="F10">
        <v>0.79999999999999993</v>
      </c>
      <c r="J10">
        <f>SUM(43,43,36,87,104,110)</f>
        <v>423</v>
      </c>
      <c r="K10">
        <v>6</v>
      </c>
      <c r="L10">
        <v>110</v>
      </c>
      <c r="N10" t="str">
        <f t="shared" si="0"/>
        <v>NA</v>
      </c>
      <c r="O10" t="s">
        <v>64</v>
      </c>
      <c r="S10">
        <f t="shared" si="1"/>
        <v>0.50265439999999995</v>
      </c>
    </row>
    <row r="11" spans="1:19">
      <c r="A11" s="6">
        <v>42094</v>
      </c>
      <c r="B11" t="s">
        <v>25</v>
      </c>
      <c r="C11">
        <v>2</v>
      </c>
      <c r="D11" t="s">
        <v>19</v>
      </c>
      <c r="F11">
        <v>1.21</v>
      </c>
      <c r="J11">
        <f>SUM(32,59,72,97,103,118,130)</f>
        <v>611</v>
      </c>
      <c r="K11">
        <v>7</v>
      </c>
      <c r="L11">
        <v>130</v>
      </c>
      <c r="N11" t="str">
        <f t="shared" si="0"/>
        <v>NA</v>
      </c>
      <c r="O11">
        <v>2.0029680000000027</v>
      </c>
      <c r="S11">
        <f t="shared" si="1"/>
        <v>1.1499004797499999</v>
      </c>
    </row>
    <row r="12" spans="1:19">
      <c r="A12" s="6">
        <v>42094</v>
      </c>
      <c r="B12" t="s">
        <v>25</v>
      </c>
      <c r="C12">
        <v>2</v>
      </c>
      <c r="D12" t="s">
        <v>19</v>
      </c>
      <c r="F12">
        <v>0.59</v>
      </c>
      <c r="J12">
        <f>SUM(32,63,68,98,101)</f>
        <v>362</v>
      </c>
      <c r="K12">
        <v>5</v>
      </c>
      <c r="L12">
        <v>101</v>
      </c>
      <c r="N12" t="str">
        <f t="shared" si="0"/>
        <v>NA</v>
      </c>
      <c r="O12">
        <v>1.4387839999999983</v>
      </c>
      <c r="S12">
        <f t="shared" si="1"/>
        <v>0.27339686974999994</v>
      </c>
    </row>
    <row r="13" spans="1:19">
      <c r="A13" s="6">
        <v>42094</v>
      </c>
      <c r="B13" t="s">
        <v>25</v>
      </c>
      <c r="C13">
        <v>2</v>
      </c>
      <c r="D13" t="s">
        <v>19</v>
      </c>
      <c r="F13">
        <v>0.39</v>
      </c>
      <c r="J13">
        <f>SUM(34,42,53,66)</f>
        <v>195</v>
      </c>
      <c r="K13">
        <v>4</v>
      </c>
      <c r="L13">
        <v>66</v>
      </c>
      <c r="N13" t="str">
        <f t="shared" si="0"/>
        <v>NA</v>
      </c>
      <c r="O13">
        <v>3.3476269999999992</v>
      </c>
      <c r="S13">
        <f t="shared" si="1"/>
        <v>0.11945895975000001</v>
      </c>
    </row>
    <row r="14" spans="1:19">
      <c r="A14" s="6">
        <v>42094</v>
      </c>
      <c r="B14" t="s">
        <v>25</v>
      </c>
      <c r="C14">
        <v>2</v>
      </c>
      <c r="D14" t="s">
        <v>19</v>
      </c>
      <c r="F14">
        <v>0.73</v>
      </c>
      <c r="J14">
        <f>SUM(33,26,46,69,71,64,76,82,98)</f>
        <v>565</v>
      </c>
      <c r="K14">
        <v>9</v>
      </c>
      <c r="L14">
        <v>98</v>
      </c>
      <c r="N14" t="str">
        <f t="shared" si="0"/>
        <v>NA</v>
      </c>
      <c r="O14" t="s">
        <v>64</v>
      </c>
      <c r="S14">
        <f t="shared" si="1"/>
        <v>0.41853832774999994</v>
      </c>
    </row>
    <row r="15" spans="1:19">
      <c r="A15" s="6">
        <v>42094</v>
      </c>
      <c r="B15" t="s">
        <v>25</v>
      </c>
      <c r="C15">
        <v>2</v>
      </c>
      <c r="D15" t="s">
        <v>19</v>
      </c>
      <c r="F15">
        <v>0.43999999999999995</v>
      </c>
      <c r="J15">
        <f>SUM(29,60,62,79)</f>
        <v>230</v>
      </c>
      <c r="K15">
        <v>4</v>
      </c>
      <c r="L15">
        <v>79</v>
      </c>
      <c r="N15" t="str">
        <f t="shared" si="0"/>
        <v>NA</v>
      </c>
      <c r="O15">
        <v>2.7128670000000028</v>
      </c>
      <c r="S15">
        <f t="shared" si="1"/>
        <v>0.15205295599999996</v>
      </c>
    </row>
    <row r="16" spans="1:19">
      <c r="A16" s="6">
        <v>42094</v>
      </c>
      <c r="B16" t="s">
        <v>25</v>
      </c>
      <c r="C16">
        <v>2</v>
      </c>
      <c r="D16" t="s">
        <v>19</v>
      </c>
      <c r="F16">
        <v>0.49</v>
      </c>
      <c r="J16">
        <f>SUM(40,55,86,100)</f>
        <v>281</v>
      </c>
      <c r="K16">
        <v>4</v>
      </c>
      <c r="L16">
        <v>100</v>
      </c>
      <c r="N16" t="str">
        <f t="shared" si="0"/>
        <v>NA</v>
      </c>
      <c r="O16">
        <v>1.1682270000000017</v>
      </c>
      <c r="S16">
        <f t="shared" si="1"/>
        <v>0.18857393974999997</v>
      </c>
    </row>
    <row r="17" spans="1:19">
      <c r="A17" s="6">
        <v>42094</v>
      </c>
      <c r="B17" t="s">
        <v>25</v>
      </c>
      <c r="C17">
        <v>2</v>
      </c>
      <c r="D17" t="s">
        <v>19</v>
      </c>
      <c r="F17">
        <v>0.61</v>
      </c>
      <c r="J17">
        <f>SUM(55,49,63,92,106)</f>
        <v>365</v>
      </c>
      <c r="K17">
        <v>5</v>
      </c>
      <c r="L17">
        <v>106</v>
      </c>
      <c r="N17" t="str">
        <f t="shared" si="0"/>
        <v>NA</v>
      </c>
      <c r="O17">
        <v>0.21382400000000246</v>
      </c>
      <c r="S17">
        <f t="shared" si="1"/>
        <v>0.29224640974999999</v>
      </c>
    </row>
    <row r="18" spans="1:19">
      <c r="A18" s="6">
        <v>42094</v>
      </c>
      <c r="B18" t="s">
        <v>25</v>
      </c>
      <c r="C18">
        <v>2</v>
      </c>
      <c r="D18" t="s">
        <v>19</v>
      </c>
      <c r="F18">
        <v>1.59</v>
      </c>
      <c r="J18">
        <f>SUM(43,55,80,80,91,121)</f>
        <v>470</v>
      </c>
      <c r="K18">
        <v>6</v>
      </c>
      <c r="L18">
        <v>121</v>
      </c>
      <c r="N18" t="str">
        <f t="shared" si="0"/>
        <v>NA</v>
      </c>
      <c r="O18" t="s">
        <v>64</v>
      </c>
      <c r="S18">
        <f t="shared" si="1"/>
        <v>1.9855634197500001</v>
      </c>
    </row>
    <row r="19" spans="1:19">
      <c r="A19" s="6">
        <v>42094</v>
      </c>
      <c r="B19" t="s">
        <v>25</v>
      </c>
      <c r="C19">
        <v>2</v>
      </c>
      <c r="D19" t="s">
        <v>19</v>
      </c>
      <c r="F19">
        <v>1.1399999999999999</v>
      </c>
      <c r="J19">
        <f>SUM(53,94,103,113,120)</f>
        <v>483</v>
      </c>
      <c r="K19">
        <v>5</v>
      </c>
      <c r="L19">
        <v>120</v>
      </c>
      <c r="N19" t="str">
        <f t="shared" si="0"/>
        <v>NA</v>
      </c>
      <c r="O19">
        <v>7.0594839999999976</v>
      </c>
      <c r="S19">
        <f t="shared" si="1"/>
        <v>1.0207025909999998</v>
      </c>
    </row>
    <row r="20" spans="1:19">
      <c r="A20" s="6">
        <v>42094</v>
      </c>
      <c r="B20" t="s">
        <v>25</v>
      </c>
      <c r="C20">
        <v>2</v>
      </c>
      <c r="D20" t="s">
        <v>19</v>
      </c>
      <c r="F20">
        <v>2.5500000000000003</v>
      </c>
      <c r="J20">
        <f>SUM(64,97,97,118,120,124,130,141)</f>
        <v>891</v>
      </c>
      <c r="K20">
        <v>8</v>
      </c>
      <c r="L20">
        <v>141</v>
      </c>
      <c r="N20" t="str">
        <f t="shared" si="0"/>
        <v>NA</v>
      </c>
      <c r="O20">
        <v>17.918320000000008</v>
      </c>
      <c r="S20">
        <f t="shared" si="1"/>
        <v>5.1070472437500012</v>
      </c>
    </row>
    <row r="21" spans="1:19">
      <c r="A21" s="6">
        <v>42094</v>
      </c>
      <c r="B21" t="s">
        <v>25</v>
      </c>
      <c r="C21">
        <v>2</v>
      </c>
      <c r="D21" t="s">
        <v>19</v>
      </c>
      <c r="F21">
        <v>3.1900000000000004</v>
      </c>
      <c r="J21">
        <f>SUM(58,87,98,125,127,139,157,158,176,183)</f>
        <v>1308</v>
      </c>
      <c r="K21">
        <v>10</v>
      </c>
      <c r="L21">
        <v>183</v>
      </c>
      <c r="N21" t="str">
        <f t="shared" si="0"/>
        <v>NA</v>
      </c>
      <c r="O21">
        <v>30.317159000000004</v>
      </c>
      <c r="S21">
        <f t="shared" si="1"/>
        <v>7.992283499750001</v>
      </c>
    </row>
    <row r="22" spans="1:19">
      <c r="A22" s="6">
        <v>42094</v>
      </c>
      <c r="B22" t="s">
        <v>25</v>
      </c>
      <c r="C22">
        <v>2</v>
      </c>
      <c r="D22" t="s">
        <v>19</v>
      </c>
      <c r="F22">
        <v>1.49</v>
      </c>
      <c r="J22">
        <f>SUM(57,57,90,100,112,116,133)</f>
        <v>665</v>
      </c>
      <c r="K22">
        <v>7</v>
      </c>
      <c r="L22">
        <v>133</v>
      </c>
      <c r="N22" t="str">
        <f t="shared" si="0"/>
        <v>NA</v>
      </c>
      <c r="O22">
        <v>6.1620030000000057</v>
      </c>
      <c r="S22">
        <f t="shared" si="1"/>
        <v>1.7436609897499999</v>
      </c>
    </row>
    <row r="23" spans="1:19">
      <c r="A23" s="6">
        <v>42094</v>
      </c>
      <c r="B23" t="s">
        <v>25</v>
      </c>
      <c r="C23">
        <v>2</v>
      </c>
      <c r="D23" t="s">
        <v>19</v>
      </c>
      <c r="F23">
        <v>2.41</v>
      </c>
      <c r="J23">
        <f>SUM(67,92,108,126,126,144,159,160)</f>
        <v>982</v>
      </c>
      <c r="K23">
        <v>8</v>
      </c>
      <c r="L23">
        <v>160</v>
      </c>
      <c r="N23" t="str">
        <f t="shared" si="0"/>
        <v>NA</v>
      </c>
      <c r="O23">
        <v>20.72637000000001</v>
      </c>
      <c r="S23">
        <f t="shared" si="1"/>
        <v>4.5616672197500003</v>
      </c>
    </row>
    <row r="24" spans="1:19">
      <c r="A24" s="6">
        <v>42094</v>
      </c>
      <c r="B24" t="s">
        <v>25</v>
      </c>
      <c r="C24">
        <v>2</v>
      </c>
      <c r="D24" t="s">
        <v>19</v>
      </c>
      <c r="F24">
        <v>0.89</v>
      </c>
      <c r="J24">
        <f>SUM(56,63,93,97,116,127)</f>
        <v>552</v>
      </c>
      <c r="K24">
        <v>6</v>
      </c>
      <c r="L24">
        <v>127</v>
      </c>
      <c r="N24" t="str">
        <f t="shared" si="0"/>
        <v>NA</v>
      </c>
      <c r="O24">
        <v>4.3975110000000015</v>
      </c>
      <c r="S24">
        <f t="shared" si="1"/>
        <v>0.62211335975000004</v>
      </c>
    </row>
    <row r="25" spans="1:19">
      <c r="A25" s="6">
        <v>42094</v>
      </c>
      <c r="B25" t="s">
        <v>25</v>
      </c>
      <c r="C25">
        <v>18</v>
      </c>
      <c r="D25" t="s">
        <v>19</v>
      </c>
      <c r="F25">
        <v>0.41000000000000003</v>
      </c>
      <c r="J25">
        <f>SUM(47,64,66)</f>
        <v>177</v>
      </c>
      <c r="K25">
        <v>3</v>
      </c>
      <c r="L25">
        <v>66</v>
      </c>
      <c r="N25" t="str">
        <f t="shared" si="0"/>
        <v>NA</v>
      </c>
      <c r="O25">
        <v>8.6823899999999981</v>
      </c>
      <c r="S25">
        <f t="shared" si="1"/>
        <v>0.13202531975000001</v>
      </c>
    </row>
    <row r="26" spans="1:19">
      <c r="A26" s="6">
        <v>42094</v>
      </c>
      <c r="B26" t="s">
        <v>25</v>
      </c>
      <c r="C26">
        <v>18</v>
      </c>
      <c r="D26" t="s">
        <v>19</v>
      </c>
      <c r="F26">
        <v>2.48</v>
      </c>
      <c r="J26">
        <f>SUM(70,143,175,186,190,200,213,220,243,247)</f>
        <v>1887</v>
      </c>
      <c r="K26">
        <v>10</v>
      </c>
      <c r="L26">
        <v>247</v>
      </c>
      <c r="N26" t="str">
        <f t="shared" si="0"/>
        <v>NA</v>
      </c>
      <c r="O26">
        <v>65.321624000000014</v>
      </c>
      <c r="S26">
        <f t="shared" si="1"/>
        <v>4.8305087840000001</v>
      </c>
    </row>
    <row r="27" spans="1:19">
      <c r="A27" s="6">
        <v>42094</v>
      </c>
      <c r="B27" t="s">
        <v>25</v>
      </c>
      <c r="C27">
        <v>20</v>
      </c>
      <c r="D27" t="s">
        <v>19</v>
      </c>
      <c r="F27">
        <v>2.39</v>
      </c>
      <c r="J27">
        <f>SUM(74,95,102,122,134,154,154,169)</f>
        <v>1004</v>
      </c>
      <c r="K27">
        <v>8</v>
      </c>
      <c r="L27">
        <v>169</v>
      </c>
      <c r="N27" t="str">
        <f t="shared" si="0"/>
        <v>NA</v>
      </c>
      <c r="O27">
        <v>20.077775000000003</v>
      </c>
      <c r="S27">
        <f t="shared" si="1"/>
        <v>4.4862690597500006</v>
      </c>
    </row>
    <row r="28" spans="1:19">
      <c r="A28" s="6">
        <v>42094</v>
      </c>
      <c r="B28" t="s">
        <v>25</v>
      </c>
      <c r="C28">
        <v>20</v>
      </c>
      <c r="D28" t="s">
        <v>19</v>
      </c>
      <c r="F28">
        <v>1.93</v>
      </c>
      <c r="J28">
        <f>SUM(42,78,85,107,115,137,143,154)</f>
        <v>861</v>
      </c>
      <c r="K28">
        <v>8</v>
      </c>
      <c r="L28">
        <v>154</v>
      </c>
      <c r="N28" t="str">
        <f t="shared" si="0"/>
        <v>NA</v>
      </c>
      <c r="O28">
        <v>11.189485000000005</v>
      </c>
      <c r="S28">
        <f t="shared" si="1"/>
        <v>2.92552714775</v>
      </c>
    </row>
    <row r="29" spans="1:19">
      <c r="A29" s="6">
        <v>42094</v>
      </c>
      <c r="B29" t="s">
        <v>25</v>
      </c>
      <c r="C29">
        <v>20</v>
      </c>
      <c r="D29" t="s">
        <v>19</v>
      </c>
      <c r="F29">
        <v>2.0300000000000002</v>
      </c>
      <c r="J29">
        <f>SUM(43,74,82,100,103,124,130,148)</f>
        <v>804</v>
      </c>
      <c r="K29">
        <v>8</v>
      </c>
      <c r="L29">
        <v>148</v>
      </c>
      <c r="N29" t="str">
        <f t="shared" si="0"/>
        <v>NA</v>
      </c>
      <c r="O29">
        <v>7.6529199999999946</v>
      </c>
      <c r="S29">
        <f t="shared" si="1"/>
        <v>3.2365445577500003</v>
      </c>
    </row>
    <row r="30" spans="1:19">
      <c r="A30" s="6">
        <v>42094</v>
      </c>
      <c r="B30" t="s">
        <v>25</v>
      </c>
      <c r="C30">
        <v>20</v>
      </c>
      <c r="D30" t="s">
        <v>19</v>
      </c>
      <c r="F30">
        <v>3.31</v>
      </c>
      <c r="J30">
        <f>SUM(75,98,100,121,134,143,164,131,165)</f>
        <v>1131</v>
      </c>
      <c r="K30">
        <v>9</v>
      </c>
      <c r="L30">
        <v>165</v>
      </c>
      <c r="N30" t="str">
        <f t="shared" si="0"/>
        <v>NA</v>
      </c>
      <c r="O30">
        <v>26.167287000000002</v>
      </c>
      <c r="S30">
        <f t="shared" si="1"/>
        <v>8.6048935497500008</v>
      </c>
    </row>
    <row r="31" spans="1:19">
      <c r="A31" s="6">
        <v>42094</v>
      </c>
      <c r="B31" t="s">
        <v>25</v>
      </c>
      <c r="C31">
        <v>20</v>
      </c>
      <c r="D31" t="s">
        <v>19</v>
      </c>
      <c r="F31">
        <v>0.85</v>
      </c>
      <c r="J31">
        <f>SUM(34,52,67,87,90)</f>
        <v>330</v>
      </c>
      <c r="K31">
        <v>5</v>
      </c>
      <c r="L31">
        <v>90</v>
      </c>
      <c r="N31" t="str">
        <f t="shared" si="0"/>
        <v>NA</v>
      </c>
      <c r="O31">
        <v>1.752319</v>
      </c>
      <c r="S31">
        <f t="shared" si="1"/>
        <v>0.56744969374999987</v>
      </c>
    </row>
    <row r="32" spans="1:19">
      <c r="A32" s="6">
        <v>42094</v>
      </c>
      <c r="B32" t="s">
        <v>25</v>
      </c>
      <c r="C32">
        <v>20</v>
      </c>
      <c r="D32" t="s">
        <v>19</v>
      </c>
      <c r="F32">
        <v>1.17</v>
      </c>
      <c r="J32">
        <f>SUM(48,63,74,82,94,106)</f>
        <v>467</v>
      </c>
      <c r="K32">
        <v>6</v>
      </c>
      <c r="L32">
        <v>106</v>
      </c>
      <c r="N32" t="str">
        <f t="shared" si="0"/>
        <v>NA</v>
      </c>
      <c r="O32">
        <v>2.7544809999999984</v>
      </c>
      <c r="S32">
        <f t="shared" si="1"/>
        <v>1.0751306377499998</v>
      </c>
    </row>
    <row r="33" spans="1:19">
      <c r="A33" s="6">
        <v>42094</v>
      </c>
      <c r="B33" t="s">
        <v>25</v>
      </c>
      <c r="C33">
        <v>20</v>
      </c>
      <c r="D33" t="s">
        <v>19</v>
      </c>
      <c r="F33">
        <v>1.1299999999999999</v>
      </c>
      <c r="J33">
        <f>SUM(64,87,103,109,123)</f>
        <v>486</v>
      </c>
      <c r="K33">
        <v>5</v>
      </c>
      <c r="L33">
        <v>123</v>
      </c>
      <c r="N33" t="str">
        <f t="shared" si="0"/>
        <v>NA</v>
      </c>
      <c r="O33">
        <v>6.4370140000000049</v>
      </c>
      <c r="S33">
        <f t="shared" si="1"/>
        <v>1.0028740677499997</v>
      </c>
    </row>
    <row r="34" spans="1:19">
      <c r="A34" s="6">
        <v>42094</v>
      </c>
      <c r="B34" t="s">
        <v>25</v>
      </c>
      <c r="C34">
        <v>20</v>
      </c>
      <c r="D34" t="s">
        <v>19</v>
      </c>
      <c r="F34">
        <v>1.26</v>
      </c>
      <c r="J34">
        <f>SUM(47,69,78,103,110,129)</f>
        <v>536</v>
      </c>
      <c r="K34">
        <v>6</v>
      </c>
      <c r="L34">
        <v>129</v>
      </c>
      <c r="N34" t="str">
        <f t="shared" si="0"/>
        <v>NA</v>
      </c>
      <c r="O34">
        <v>2.2949410000000015</v>
      </c>
      <c r="S34">
        <f t="shared" si="1"/>
        <v>1.246897071</v>
      </c>
    </row>
    <row r="35" spans="1:19">
      <c r="A35" s="6">
        <v>42094</v>
      </c>
      <c r="B35" t="s">
        <v>25</v>
      </c>
      <c r="C35">
        <v>20</v>
      </c>
      <c r="D35" t="s">
        <v>19</v>
      </c>
      <c r="F35">
        <v>1</v>
      </c>
      <c r="J35">
        <f>SUM(35,54,68,82,96,114,122)</f>
        <v>571</v>
      </c>
      <c r="K35">
        <v>7</v>
      </c>
      <c r="L35">
        <v>122</v>
      </c>
      <c r="N35" t="str">
        <f t="shared" si="0"/>
        <v>NA</v>
      </c>
      <c r="O35">
        <v>0.66272800000000842</v>
      </c>
      <c r="S35">
        <f t="shared" si="1"/>
        <v>0.78539749999999997</v>
      </c>
    </row>
    <row r="36" spans="1:19">
      <c r="A36" s="6">
        <v>42094</v>
      </c>
      <c r="B36" t="s">
        <v>25</v>
      </c>
      <c r="C36">
        <v>20</v>
      </c>
      <c r="D36" t="s">
        <v>19</v>
      </c>
      <c r="F36">
        <v>2.1300000000000003</v>
      </c>
      <c r="J36">
        <f>SUM(31,98,122,127,139,155,158)</f>
        <v>830</v>
      </c>
      <c r="K36">
        <v>7</v>
      </c>
      <c r="L36">
        <v>158</v>
      </c>
      <c r="N36" t="str">
        <f t="shared" si="0"/>
        <v>NA</v>
      </c>
      <c r="O36">
        <v>14.100453000000016</v>
      </c>
      <c r="S36">
        <f t="shared" si="1"/>
        <v>3.5632699177500009</v>
      </c>
    </row>
    <row r="37" spans="1:19">
      <c r="A37" s="6">
        <v>42094</v>
      </c>
      <c r="B37" t="s">
        <v>25</v>
      </c>
      <c r="C37">
        <v>20</v>
      </c>
      <c r="D37" t="s">
        <v>19</v>
      </c>
      <c r="F37">
        <v>1.1399999999999999</v>
      </c>
      <c r="J37">
        <f>SUM(61,75,99,115,146)</f>
        <v>496</v>
      </c>
      <c r="K37">
        <v>5</v>
      </c>
      <c r="L37">
        <v>146</v>
      </c>
      <c r="N37" t="str">
        <f t="shared" si="0"/>
        <v>NA</v>
      </c>
      <c r="O37">
        <v>0.44592900000000668</v>
      </c>
      <c r="S37">
        <f t="shared" si="1"/>
        <v>1.0207025909999998</v>
      </c>
    </row>
    <row r="38" spans="1:19">
      <c r="A38" s="6">
        <v>42094</v>
      </c>
      <c r="B38" t="s">
        <v>25</v>
      </c>
      <c r="C38">
        <v>20</v>
      </c>
      <c r="D38" t="s">
        <v>19</v>
      </c>
      <c r="F38">
        <v>0.92999999999999994</v>
      </c>
      <c r="J38">
        <f>SUM(64,78,86,34)</f>
        <v>262</v>
      </c>
      <c r="K38">
        <v>4</v>
      </c>
      <c r="L38">
        <v>86</v>
      </c>
      <c r="N38" t="str">
        <f t="shared" si="0"/>
        <v>NA</v>
      </c>
      <c r="O38">
        <v>3.6043120000000002</v>
      </c>
      <c r="S38">
        <f t="shared" si="1"/>
        <v>0.67929029774999994</v>
      </c>
    </row>
    <row r="39" spans="1:19">
      <c r="A39" s="6">
        <v>42094</v>
      </c>
      <c r="B39" t="s">
        <v>25</v>
      </c>
      <c r="C39">
        <v>20</v>
      </c>
      <c r="D39" t="s">
        <v>19</v>
      </c>
      <c r="F39">
        <v>1.57</v>
      </c>
      <c r="J39">
        <f>SUM(48,83,92,115,131,140)</f>
        <v>609</v>
      </c>
      <c r="K39">
        <v>6</v>
      </c>
      <c r="L39">
        <v>140</v>
      </c>
      <c r="N39" t="str">
        <f t="shared" si="0"/>
        <v>NA</v>
      </c>
      <c r="O39">
        <v>5.8253610000000009</v>
      </c>
      <c r="S39">
        <f t="shared" si="1"/>
        <v>1.93592629775</v>
      </c>
    </row>
    <row r="40" spans="1:19">
      <c r="A40" s="6">
        <v>42094</v>
      </c>
      <c r="B40" t="s">
        <v>25</v>
      </c>
      <c r="C40">
        <v>20</v>
      </c>
      <c r="D40" t="s">
        <v>19</v>
      </c>
      <c r="F40">
        <v>0.32999999999999996</v>
      </c>
      <c r="J40">
        <f>SUM(17,25,31)</f>
        <v>73</v>
      </c>
      <c r="K40">
        <v>3</v>
      </c>
      <c r="L40">
        <v>31</v>
      </c>
      <c r="N40" t="str">
        <f t="shared" si="0"/>
        <v>NA</v>
      </c>
      <c r="O40">
        <v>9.475444999999997</v>
      </c>
      <c r="S40">
        <f t="shared" si="1"/>
        <v>8.5529787749999975E-2</v>
      </c>
    </row>
    <row r="41" spans="1:19">
      <c r="A41" s="6">
        <v>42094</v>
      </c>
      <c r="B41" t="s">
        <v>25</v>
      </c>
      <c r="C41">
        <v>22</v>
      </c>
      <c r="D41" t="s">
        <v>19</v>
      </c>
      <c r="F41">
        <v>2.5700000000000003</v>
      </c>
      <c r="J41">
        <f>SUM(68,95,109,112,122,137,147)</f>
        <v>790</v>
      </c>
      <c r="K41">
        <v>7</v>
      </c>
      <c r="L41">
        <v>147</v>
      </c>
      <c r="N41" t="str">
        <f t="shared" si="0"/>
        <v>NA</v>
      </c>
      <c r="O41">
        <v>13.663948000000005</v>
      </c>
      <c r="S41">
        <f t="shared" si="1"/>
        <v>5.1874719477500006</v>
      </c>
    </row>
    <row r="42" spans="1:19">
      <c r="A42" s="6">
        <v>42094</v>
      </c>
      <c r="B42" t="s">
        <v>25</v>
      </c>
      <c r="C42">
        <v>22</v>
      </c>
      <c r="D42" t="s">
        <v>19</v>
      </c>
      <c r="F42">
        <v>2.31</v>
      </c>
      <c r="J42">
        <f>SUM(82,93,113,114,140,145,160)</f>
        <v>847</v>
      </c>
      <c r="K42">
        <v>7</v>
      </c>
      <c r="L42">
        <v>160</v>
      </c>
      <c r="N42" t="str">
        <f t="shared" si="0"/>
        <v>NA</v>
      </c>
      <c r="O42">
        <v>15.091798000000011</v>
      </c>
      <c r="S42">
        <f t="shared" si="1"/>
        <v>4.1909595997500002</v>
      </c>
    </row>
    <row r="43" spans="1:19">
      <c r="A43" s="6">
        <v>42094</v>
      </c>
      <c r="B43" t="s">
        <v>25</v>
      </c>
      <c r="C43">
        <v>22</v>
      </c>
      <c r="D43" t="s">
        <v>19</v>
      </c>
      <c r="F43">
        <v>2.0900000000000003</v>
      </c>
      <c r="J43">
        <f>SUM(69,53,81,103,131,143,154)</f>
        <v>734</v>
      </c>
      <c r="K43">
        <v>7</v>
      </c>
      <c r="L43">
        <v>154</v>
      </c>
      <c r="N43" t="str">
        <f t="shared" si="0"/>
        <v>NA</v>
      </c>
      <c r="O43">
        <v>6.3049530000000047</v>
      </c>
      <c r="S43">
        <f t="shared" si="1"/>
        <v>3.4306948197500007</v>
      </c>
    </row>
    <row r="44" spans="1:19">
      <c r="A44" s="6">
        <v>42094</v>
      </c>
      <c r="B44" t="s">
        <v>25</v>
      </c>
      <c r="C44">
        <v>22</v>
      </c>
      <c r="D44" t="s">
        <v>19</v>
      </c>
      <c r="F44">
        <v>1.97</v>
      </c>
      <c r="J44">
        <f>SUM(51,54,89,97,118,129,144,153)</f>
        <v>835</v>
      </c>
      <c r="K44">
        <v>8</v>
      </c>
      <c r="L44">
        <v>153</v>
      </c>
      <c r="N44" t="str">
        <f t="shared" si="0"/>
        <v>NA</v>
      </c>
      <c r="O44">
        <v>9.0531000000000006</v>
      </c>
      <c r="S44">
        <f t="shared" si="1"/>
        <v>3.04804915775</v>
      </c>
    </row>
    <row r="45" spans="1:19">
      <c r="A45" s="6">
        <v>42094</v>
      </c>
      <c r="B45" t="s">
        <v>25</v>
      </c>
      <c r="C45">
        <v>22</v>
      </c>
      <c r="D45" t="s">
        <v>19</v>
      </c>
      <c r="F45">
        <v>1.73</v>
      </c>
      <c r="J45">
        <f>SUM(71,81,103,103,125,128,141)</f>
        <v>752</v>
      </c>
      <c r="K45">
        <v>7</v>
      </c>
      <c r="L45">
        <v>141</v>
      </c>
      <c r="N45" t="str">
        <f t="shared" si="0"/>
        <v>NA</v>
      </c>
      <c r="O45">
        <v>11.908728000000004</v>
      </c>
      <c r="S45">
        <f t="shared" si="1"/>
        <v>2.3506161777500001</v>
      </c>
    </row>
    <row r="46" spans="1:19">
      <c r="A46" s="6">
        <v>42094</v>
      </c>
      <c r="B46" t="s">
        <v>25</v>
      </c>
      <c r="C46">
        <v>22</v>
      </c>
      <c r="D46" t="s">
        <v>19</v>
      </c>
      <c r="F46">
        <v>4</v>
      </c>
      <c r="J46">
        <f>SUM(85,50,87,121,126,150,157,168,181,196,198)</f>
        <v>1519</v>
      </c>
      <c r="K46">
        <v>11</v>
      </c>
      <c r="L46">
        <v>198</v>
      </c>
      <c r="N46" t="str">
        <f t="shared" si="0"/>
        <v>NA</v>
      </c>
      <c r="O46">
        <v>38.558436000000015</v>
      </c>
      <c r="S46">
        <f t="shared" si="1"/>
        <v>12.56636</v>
      </c>
    </row>
    <row r="47" spans="1:19">
      <c r="A47" s="6">
        <v>42094</v>
      </c>
      <c r="B47" t="s">
        <v>25</v>
      </c>
      <c r="C47">
        <v>22</v>
      </c>
      <c r="D47" t="s">
        <v>19</v>
      </c>
      <c r="F47">
        <v>3.48</v>
      </c>
      <c r="J47">
        <f>SUM(50,82,80,106,116,128,143,154,170,173)</f>
        <v>1202</v>
      </c>
      <c r="K47">
        <v>10</v>
      </c>
      <c r="L47">
        <v>173</v>
      </c>
      <c r="N47" t="str">
        <f t="shared" si="0"/>
        <v>NA</v>
      </c>
      <c r="O47">
        <v>23.391579000000007</v>
      </c>
      <c r="S47">
        <f t="shared" si="1"/>
        <v>9.5114778839999996</v>
      </c>
    </row>
    <row r="48" spans="1:19">
      <c r="A48" s="6">
        <v>42094</v>
      </c>
      <c r="B48" t="s">
        <v>25</v>
      </c>
      <c r="C48">
        <v>22</v>
      </c>
      <c r="D48" t="s">
        <v>19</v>
      </c>
      <c r="F48">
        <v>1.9999999999999998</v>
      </c>
      <c r="J48">
        <f>SUM(46,68,81,108,116,133,135)</f>
        <v>687</v>
      </c>
      <c r="K48">
        <v>7</v>
      </c>
      <c r="L48">
        <v>135</v>
      </c>
      <c r="N48" t="str">
        <f t="shared" si="0"/>
        <v>NA</v>
      </c>
      <c r="O48">
        <v>7.6221230000000162</v>
      </c>
      <c r="S48">
        <f t="shared" si="1"/>
        <v>3.141589999999999</v>
      </c>
    </row>
    <row r="49" spans="1:19">
      <c r="A49" s="6">
        <v>42094</v>
      </c>
      <c r="B49" t="s">
        <v>25</v>
      </c>
      <c r="C49">
        <v>22</v>
      </c>
      <c r="D49" t="s">
        <v>19</v>
      </c>
      <c r="F49">
        <v>4.1399999999999997</v>
      </c>
      <c r="J49">
        <f>SUM(62,45,71,95,129,136,145,156,163,178,181)</f>
        <v>1361</v>
      </c>
      <c r="K49">
        <v>11</v>
      </c>
      <c r="L49">
        <v>181</v>
      </c>
      <c r="N49" t="str">
        <f t="shared" si="0"/>
        <v>NA</v>
      </c>
      <c r="O49">
        <v>28.86631100000001</v>
      </c>
      <c r="S49">
        <f t="shared" si="1"/>
        <v>13.461398990999998</v>
      </c>
    </row>
    <row r="50" spans="1:19">
      <c r="A50" s="6">
        <v>42094</v>
      </c>
      <c r="B50" t="s">
        <v>25</v>
      </c>
      <c r="C50">
        <v>22</v>
      </c>
      <c r="D50" t="s">
        <v>19</v>
      </c>
      <c r="F50">
        <v>1.78</v>
      </c>
      <c r="J50">
        <f>SUM(51,42,69,84,95,116,115,122)</f>
        <v>694</v>
      </c>
      <c r="K50">
        <v>8</v>
      </c>
      <c r="L50">
        <v>122</v>
      </c>
      <c r="N50" t="str">
        <f t="shared" si="0"/>
        <v>NA</v>
      </c>
      <c r="O50">
        <v>5.1722400000000093</v>
      </c>
      <c r="S50">
        <f t="shared" si="1"/>
        <v>2.4884534390000002</v>
      </c>
    </row>
    <row r="51" spans="1:19">
      <c r="A51" s="6">
        <v>42094</v>
      </c>
      <c r="B51" t="s">
        <v>25</v>
      </c>
      <c r="C51">
        <v>22</v>
      </c>
      <c r="D51" t="s">
        <v>19</v>
      </c>
      <c r="F51">
        <v>1.56</v>
      </c>
      <c r="J51">
        <f>SUM(62,56,92,96,118,118,141)</f>
        <v>683</v>
      </c>
      <c r="K51">
        <v>7</v>
      </c>
      <c r="L51">
        <v>141</v>
      </c>
      <c r="N51" t="str">
        <f t="shared" si="0"/>
        <v>NA</v>
      </c>
      <c r="O51">
        <v>5.4396330000000077</v>
      </c>
      <c r="S51">
        <f t="shared" si="1"/>
        <v>1.9113433560000002</v>
      </c>
    </row>
    <row r="52" spans="1:19">
      <c r="A52" s="6">
        <v>42094</v>
      </c>
      <c r="B52" t="s">
        <v>25</v>
      </c>
      <c r="C52">
        <v>22</v>
      </c>
      <c r="D52" t="s">
        <v>19</v>
      </c>
      <c r="F52">
        <v>0.95</v>
      </c>
      <c r="J52">
        <f>SUM(63,67,90,57,108,111)</f>
        <v>496</v>
      </c>
      <c r="K52">
        <v>6</v>
      </c>
      <c r="L52">
        <v>111</v>
      </c>
      <c r="N52" t="str">
        <f t="shared" si="0"/>
        <v>NA</v>
      </c>
      <c r="O52">
        <v>3.9671510000000012</v>
      </c>
      <c r="S52">
        <f t="shared" si="1"/>
        <v>0.70882124375</v>
      </c>
    </row>
    <row r="53" spans="1:19">
      <c r="A53" s="6">
        <v>42094</v>
      </c>
      <c r="B53" t="s">
        <v>25</v>
      </c>
      <c r="C53">
        <v>22</v>
      </c>
      <c r="D53" t="s">
        <v>19</v>
      </c>
      <c r="F53">
        <v>1.72</v>
      </c>
      <c r="J53">
        <f>SUM(74,78,93,106,118,125,137,146)</f>
        <v>877</v>
      </c>
      <c r="K53">
        <v>8</v>
      </c>
      <c r="L53">
        <v>146</v>
      </c>
      <c r="N53" t="str">
        <f t="shared" si="0"/>
        <v>NA</v>
      </c>
      <c r="O53">
        <v>15.099525</v>
      </c>
      <c r="S53">
        <f t="shared" si="1"/>
        <v>2.3235199639999995</v>
      </c>
    </row>
    <row r="54" spans="1:19">
      <c r="A54" s="6">
        <v>42094</v>
      </c>
      <c r="B54" t="s">
        <v>25</v>
      </c>
      <c r="C54">
        <v>22</v>
      </c>
      <c r="D54" t="s">
        <v>19</v>
      </c>
      <c r="F54">
        <v>1.46</v>
      </c>
      <c r="J54">
        <f>SUM(55,54,90,97,115,129,135)</f>
        <v>675</v>
      </c>
      <c r="K54">
        <v>7</v>
      </c>
      <c r="L54">
        <v>135</v>
      </c>
      <c r="N54" t="str">
        <f t="shared" si="0"/>
        <v>NA</v>
      </c>
      <c r="O54">
        <v>6.4970630000000114</v>
      </c>
      <c r="S54">
        <f t="shared" si="1"/>
        <v>1.6741533109999998</v>
      </c>
    </row>
    <row r="55" spans="1:19">
      <c r="A55" s="6">
        <v>42094</v>
      </c>
      <c r="B55" t="s">
        <v>25</v>
      </c>
      <c r="C55">
        <v>22</v>
      </c>
      <c r="D55" t="s">
        <v>19</v>
      </c>
      <c r="F55">
        <v>1.69</v>
      </c>
      <c r="J55">
        <f>SUM(31,59,69,79,93,104,121,137,140)</f>
        <v>833</v>
      </c>
      <c r="K55">
        <v>9</v>
      </c>
      <c r="L55">
        <v>140</v>
      </c>
      <c r="N55" t="str">
        <f t="shared" si="0"/>
        <v>NA</v>
      </c>
      <c r="O55">
        <v>5.7594220000000007</v>
      </c>
      <c r="S55">
        <f t="shared" si="1"/>
        <v>2.2431737997499996</v>
      </c>
    </row>
    <row r="56" spans="1:19">
      <c r="A56" s="6">
        <v>42094</v>
      </c>
      <c r="B56" t="s">
        <v>25</v>
      </c>
      <c r="C56">
        <v>22</v>
      </c>
      <c r="D56" t="s">
        <v>19</v>
      </c>
      <c r="F56">
        <v>2.0100000000000002</v>
      </c>
      <c r="J56">
        <f>SUM(60,65,96,105,125,133,150,159)</f>
        <v>893</v>
      </c>
      <c r="K56">
        <v>8</v>
      </c>
      <c r="L56">
        <v>159</v>
      </c>
      <c r="N56" t="str">
        <f t="shared" si="0"/>
        <v>NA</v>
      </c>
      <c r="O56">
        <v>12.683420000000012</v>
      </c>
      <c r="S56">
        <f t="shared" si="1"/>
        <v>3.1730844397500002</v>
      </c>
    </row>
    <row r="57" spans="1:19">
      <c r="A57" s="6">
        <v>42094</v>
      </c>
      <c r="B57" t="s">
        <v>25</v>
      </c>
      <c r="C57">
        <v>22</v>
      </c>
      <c r="D57" t="s">
        <v>19</v>
      </c>
      <c r="F57">
        <v>2.3400000000000003</v>
      </c>
      <c r="J57">
        <f>SUM(68,88,94,113,115,143,143,160)</f>
        <v>924</v>
      </c>
      <c r="K57">
        <v>8</v>
      </c>
      <c r="L57">
        <v>160</v>
      </c>
      <c r="N57" t="str">
        <f t="shared" si="0"/>
        <v>NA</v>
      </c>
      <c r="O57">
        <v>15.288580000000003</v>
      </c>
      <c r="S57">
        <f t="shared" si="1"/>
        <v>4.3005225510000011</v>
      </c>
    </row>
    <row r="58" spans="1:19">
      <c r="A58" s="6">
        <v>42094</v>
      </c>
      <c r="B58" t="s">
        <v>25</v>
      </c>
      <c r="C58">
        <v>33</v>
      </c>
      <c r="D58" t="s">
        <v>19</v>
      </c>
      <c r="F58">
        <v>1.49</v>
      </c>
      <c r="J58">
        <f>SUM(53,73,97,100,115,120,112)</f>
        <v>670</v>
      </c>
      <c r="K58">
        <v>7</v>
      </c>
      <c r="L58">
        <v>120</v>
      </c>
      <c r="N58" t="str">
        <f t="shared" si="0"/>
        <v>NA</v>
      </c>
      <c r="O58">
        <v>10.546963000000005</v>
      </c>
      <c r="S58">
        <f t="shared" si="1"/>
        <v>1.7436609897499999</v>
      </c>
    </row>
    <row r="59" spans="1:19">
      <c r="A59" s="6">
        <v>42094</v>
      </c>
      <c r="B59" t="s">
        <v>25</v>
      </c>
      <c r="C59">
        <v>33</v>
      </c>
      <c r="D59" t="s">
        <v>19</v>
      </c>
      <c r="F59">
        <v>1.32</v>
      </c>
      <c r="J59">
        <f>SUM(32,53,56,74,79,76,84)</f>
        <v>454</v>
      </c>
      <c r="K59">
        <v>7</v>
      </c>
      <c r="L59">
        <v>84</v>
      </c>
      <c r="N59" t="str">
        <f t="shared" si="0"/>
        <v>NA</v>
      </c>
      <c r="O59">
        <v>1.1407030000000056</v>
      </c>
      <c r="S59">
        <f t="shared" si="1"/>
        <v>1.368476604</v>
      </c>
    </row>
    <row r="60" spans="1:19">
      <c r="A60" s="6">
        <v>42094</v>
      </c>
      <c r="B60" t="s">
        <v>25</v>
      </c>
      <c r="C60">
        <v>33</v>
      </c>
      <c r="D60" t="s">
        <v>19</v>
      </c>
      <c r="F60">
        <v>1.63</v>
      </c>
      <c r="J60">
        <f>SUM(37,63,78,88,103,112)</f>
        <v>481</v>
      </c>
      <c r="K60">
        <v>6</v>
      </c>
      <c r="L60">
        <v>112</v>
      </c>
      <c r="N60" t="str">
        <f t="shared" si="0"/>
        <v>NA</v>
      </c>
      <c r="O60">
        <v>2.2595809999999972</v>
      </c>
      <c r="S60">
        <f t="shared" si="1"/>
        <v>2.0867226177499996</v>
      </c>
    </row>
    <row r="61" spans="1:19">
      <c r="A61" s="6">
        <v>42094</v>
      </c>
      <c r="B61" t="s">
        <v>25</v>
      </c>
      <c r="C61">
        <v>33</v>
      </c>
      <c r="D61" t="s">
        <v>19</v>
      </c>
      <c r="F61">
        <v>1.42</v>
      </c>
      <c r="J61">
        <f>SUM(34,56,81,104,104,116)</f>
        <v>495</v>
      </c>
      <c r="K61">
        <v>6</v>
      </c>
      <c r="L61">
        <v>116</v>
      </c>
      <c r="N61" t="str">
        <f t="shared" si="0"/>
        <v>NA</v>
      </c>
      <c r="O61">
        <v>2.367170999999999</v>
      </c>
      <c r="S61">
        <f t="shared" si="1"/>
        <v>1.5836755189999998</v>
      </c>
    </row>
    <row r="62" spans="1:19">
      <c r="A62" s="6">
        <v>42094</v>
      </c>
      <c r="B62" t="s">
        <v>25</v>
      </c>
      <c r="C62">
        <v>33</v>
      </c>
      <c r="D62" t="s">
        <v>19</v>
      </c>
      <c r="F62">
        <v>1.49</v>
      </c>
      <c r="J62">
        <f>SUM(54,78,97,103,102)</f>
        <v>434</v>
      </c>
      <c r="K62">
        <v>5</v>
      </c>
      <c r="L62">
        <v>103</v>
      </c>
      <c r="N62" t="str">
        <f t="shared" si="0"/>
        <v>NA</v>
      </c>
      <c r="O62">
        <v>7.5866539999999993</v>
      </c>
      <c r="S62">
        <f t="shared" si="1"/>
        <v>1.7436609897499999</v>
      </c>
    </row>
    <row r="63" spans="1:19">
      <c r="A63" s="6">
        <v>42094</v>
      </c>
      <c r="B63" t="s">
        <v>25</v>
      </c>
      <c r="C63">
        <v>33</v>
      </c>
      <c r="D63" t="s">
        <v>19</v>
      </c>
      <c r="F63">
        <v>0.65</v>
      </c>
      <c r="J63">
        <f>SUM(32,45,54,62)</f>
        <v>193</v>
      </c>
      <c r="K63">
        <v>4</v>
      </c>
      <c r="L63">
        <v>62</v>
      </c>
      <c r="N63" t="str">
        <f t="shared" si="0"/>
        <v>NA</v>
      </c>
      <c r="O63">
        <v>4.3650969999999987</v>
      </c>
      <c r="S63">
        <f t="shared" si="1"/>
        <v>0.33183044375000004</v>
      </c>
    </row>
    <row r="64" spans="1:19">
      <c r="A64" s="6">
        <v>42094</v>
      </c>
      <c r="B64" t="s">
        <v>25</v>
      </c>
      <c r="C64">
        <v>33</v>
      </c>
      <c r="D64" t="s">
        <v>19</v>
      </c>
      <c r="F64">
        <v>1.4</v>
      </c>
      <c r="J64">
        <f>SUM(38,38,51,84,105,104)</f>
        <v>420</v>
      </c>
      <c r="K64">
        <v>6</v>
      </c>
      <c r="L64">
        <v>105</v>
      </c>
      <c r="N64" t="str">
        <f t="shared" si="0"/>
        <v>NA</v>
      </c>
      <c r="O64" t="s">
        <v>64</v>
      </c>
      <c r="S64">
        <f t="shared" si="1"/>
        <v>1.5393790999999997</v>
      </c>
    </row>
    <row r="65" spans="1:19">
      <c r="A65" s="6">
        <v>42094</v>
      </c>
      <c r="B65" t="s">
        <v>25</v>
      </c>
      <c r="C65">
        <v>33</v>
      </c>
      <c r="D65" t="s">
        <v>19</v>
      </c>
      <c r="F65">
        <v>1.82</v>
      </c>
      <c r="J65">
        <f>SUM(51,70,95,97,105,115,119)</f>
        <v>652</v>
      </c>
      <c r="K65">
        <v>7</v>
      </c>
      <c r="L65">
        <v>119</v>
      </c>
      <c r="N65" t="str">
        <f t="shared" si="0"/>
        <v>NA</v>
      </c>
      <c r="O65">
        <v>9.1606180000000066</v>
      </c>
      <c r="S65">
        <f t="shared" si="1"/>
        <v>2.6015506790000003</v>
      </c>
    </row>
    <row r="66" spans="1:19">
      <c r="A66" s="6">
        <v>42094</v>
      </c>
      <c r="B66" t="s">
        <v>25</v>
      </c>
      <c r="C66">
        <v>33</v>
      </c>
      <c r="D66" t="s">
        <v>19</v>
      </c>
      <c r="F66">
        <v>0.54999999999999993</v>
      </c>
      <c r="J66">
        <f>SUM(40,43,53)</f>
        <v>136</v>
      </c>
      <c r="K66">
        <v>3</v>
      </c>
      <c r="L66">
        <v>53</v>
      </c>
      <c r="N66" t="str">
        <f t="shared" si="0"/>
        <v>NA</v>
      </c>
      <c r="O66">
        <v>8.7546199999999956</v>
      </c>
      <c r="S66">
        <f t="shared" si="1"/>
        <v>0.23758274374999994</v>
      </c>
    </row>
    <row r="67" spans="1:19">
      <c r="A67" s="6">
        <v>42083</v>
      </c>
      <c r="B67" t="s">
        <v>28</v>
      </c>
      <c r="C67">
        <v>11</v>
      </c>
      <c r="D67" s="8" t="s">
        <v>61</v>
      </c>
      <c r="E67">
        <v>241</v>
      </c>
      <c r="F67">
        <v>1.56</v>
      </c>
      <c r="N67">
        <f t="shared" si="0"/>
        <v>153.544582932</v>
      </c>
      <c r="O67">
        <v>12.304708000000002</v>
      </c>
      <c r="S67">
        <f t="shared" si="1"/>
        <v>1.9113433560000002</v>
      </c>
    </row>
    <row r="68" spans="1:19">
      <c r="A68" s="6">
        <v>42083</v>
      </c>
      <c r="B68" t="s">
        <v>28</v>
      </c>
      <c r="C68">
        <v>11</v>
      </c>
      <c r="D68" s="8" t="s">
        <v>61</v>
      </c>
      <c r="E68">
        <v>96</v>
      </c>
      <c r="F68">
        <v>1.1299999999999999</v>
      </c>
      <c r="N68">
        <f t="shared" ref="N68:N131" si="2">IF(OR(D68="S. acutus", D68="S. tabernaemontani", D68="S. californicus"),(1/3)*(3.14159)*((F68/2)^2)*E68,"NA")</f>
        <v>32.091970167999989</v>
      </c>
      <c r="O68">
        <v>2.1394830000000002</v>
      </c>
      <c r="S68">
        <f t="shared" si="1"/>
        <v>1.0028740677499997</v>
      </c>
    </row>
    <row r="69" spans="1:19">
      <c r="A69" s="6">
        <v>42083</v>
      </c>
      <c r="B69" t="s">
        <v>28</v>
      </c>
      <c r="C69">
        <v>11</v>
      </c>
      <c r="D69" s="8" t="s">
        <v>61</v>
      </c>
      <c r="E69">
        <v>53</v>
      </c>
      <c r="F69">
        <v>0.85</v>
      </c>
      <c r="N69">
        <f t="shared" si="2"/>
        <v>10.024944589583331</v>
      </c>
      <c r="O69" t="s">
        <v>64</v>
      </c>
      <c r="S69">
        <f t="shared" ref="S69:S132" si="3">3.14159*((F69/2)^2)</f>
        <v>0.56744969374999987</v>
      </c>
    </row>
    <row r="70" spans="1:19">
      <c r="A70" s="6">
        <v>42083</v>
      </c>
      <c r="B70" t="s">
        <v>28</v>
      </c>
      <c r="C70">
        <v>11</v>
      </c>
      <c r="D70" t="s">
        <v>19</v>
      </c>
      <c r="F70">
        <v>2.57</v>
      </c>
      <c r="J70">
        <f>SUM(110,120,151,153,157,187)</f>
        <v>878</v>
      </c>
      <c r="K70">
        <v>6</v>
      </c>
      <c r="L70">
        <v>187</v>
      </c>
      <c r="N70" t="str">
        <f t="shared" si="2"/>
        <v>NA</v>
      </c>
      <c r="O70">
        <v>16.886941</v>
      </c>
      <c r="S70">
        <f t="shared" si="3"/>
        <v>5.1874719477499989</v>
      </c>
    </row>
    <row r="71" spans="1:19">
      <c r="A71" s="6">
        <v>42083</v>
      </c>
      <c r="B71" t="s">
        <v>28</v>
      </c>
      <c r="C71">
        <v>11</v>
      </c>
      <c r="D71" t="s">
        <v>19</v>
      </c>
      <c r="F71">
        <v>1.05</v>
      </c>
      <c r="J71">
        <f>SUM(22,36,50,57,69)</f>
        <v>234</v>
      </c>
      <c r="K71">
        <v>5</v>
      </c>
      <c r="L71">
        <v>69</v>
      </c>
      <c r="N71" t="str">
        <f t="shared" si="2"/>
        <v>NA</v>
      </c>
      <c r="O71" t="s">
        <v>64</v>
      </c>
      <c r="S71">
        <f t="shared" si="3"/>
        <v>0.86590074375000003</v>
      </c>
    </row>
    <row r="72" spans="1:19">
      <c r="A72" s="6">
        <v>42083</v>
      </c>
      <c r="B72" t="s">
        <v>28</v>
      </c>
      <c r="C72">
        <v>11</v>
      </c>
      <c r="D72" t="s">
        <v>19</v>
      </c>
      <c r="F72">
        <v>1.61</v>
      </c>
      <c r="J72">
        <f>SUM(54,89,105,118,131)</f>
        <v>497</v>
      </c>
      <c r="K72">
        <v>5</v>
      </c>
      <c r="L72">
        <v>131</v>
      </c>
      <c r="N72" t="str">
        <f t="shared" si="2"/>
        <v>NA</v>
      </c>
      <c r="O72">
        <v>5.0583590000000029</v>
      </c>
      <c r="S72">
        <f t="shared" si="3"/>
        <v>2.0358288597500001</v>
      </c>
    </row>
    <row r="73" spans="1:19">
      <c r="A73" s="6">
        <v>42083</v>
      </c>
      <c r="B73" t="s">
        <v>28</v>
      </c>
      <c r="C73">
        <v>11</v>
      </c>
      <c r="D73" t="s">
        <v>19</v>
      </c>
      <c r="F73">
        <v>1.66</v>
      </c>
      <c r="J73">
        <f>SUM(84,109,115,131)</f>
        <v>439</v>
      </c>
      <c r="K73">
        <v>4</v>
      </c>
      <c r="L73">
        <v>131</v>
      </c>
      <c r="N73" t="str">
        <f t="shared" si="2"/>
        <v>NA</v>
      </c>
      <c r="O73">
        <v>6.6429220000000022</v>
      </c>
      <c r="S73">
        <f t="shared" si="3"/>
        <v>2.1642413509999998</v>
      </c>
    </row>
    <row r="74" spans="1:19">
      <c r="A74" s="6">
        <v>42083</v>
      </c>
      <c r="B74" t="s">
        <v>28</v>
      </c>
      <c r="C74">
        <v>11</v>
      </c>
      <c r="D74" t="s">
        <v>19</v>
      </c>
      <c r="F74">
        <v>0.81</v>
      </c>
      <c r="J74">
        <f>SUM(33,37,50)</f>
        <v>120</v>
      </c>
      <c r="K74">
        <v>3</v>
      </c>
      <c r="L74">
        <v>50</v>
      </c>
      <c r="N74" t="str">
        <f t="shared" si="2"/>
        <v>NA</v>
      </c>
      <c r="O74">
        <v>8.1582749999999962</v>
      </c>
      <c r="S74">
        <f t="shared" si="3"/>
        <v>0.51529929975000011</v>
      </c>
    </row>
    <row r="75" spans="1:19">
      <c r="A75" s="6">
        <v>42083</v>
      </c>
      <c r="B75" t="s">
        <v>28</v>
      </c>
      <c r="C75">
        <v>11</v>
      </c>
      <c r="D75" t="s">
        <v>19</v>
      </c>
      <c r="F75">
        <v>0.67</v>
      </c>
      <c r="J75">
        <f>SUM(24,34,36)</f>
        <v>94</v>
      </c>
      <c r="K75">
        <v>3</v>
      </c>
      <c r="L75">
        <v>36</v>
      </c>
      <c r="N75" t="str">
        <f t="shared" si="2"/>
        <v>NA</v>
      </c>
      <c r="O75">
        <v>9.9380749999999978</v>
      </c>
      <c r="S75">
        <f t="shared" si="3"/>
        <v>0.35256493775000003</v>
      </c>
    </row>
    <row r="76" spans="1:19">
      <c r="A76" s="6">
        <v>42083</v>
      </c>
      <c r="B76" t="s">
        <v>28</v>
      </c>
      <c r="C76">
        <v>11</v>
      </c>
      <c r="D76" t="s">
        <v>19</v>
      </c>
      <c r="F76">
        <v>2.0499999999999998</v>
      </c>
      <c r="J76">
        <f>SUM(81,107,128,135,152,162)</f>
        <v>765</v>
      </c>
      <c r="K76">
        <v>6</v>
      </c>
      <c r="L76">
        <v>162</v>
      </c>
      <c r="N76" t="str">
        <f t="shared" si="2"/>
        <v>NA</v>
      </c>
      <c r="O76">
        <v>13.823751000000001</v>
      </c>
      <c r="S76">
        <f t="shared" si="3"/>
        <v>3.3006329937499994</v>
      </c>
    </row>
    <row r="77" spans="1:19">
      <c r="A77" s="6">
        <v>42083</v>
      </c>
      <c r="B77" t="s">
        <v>28</v>
      </c>
      <c r="C77">
        <v>11</v>
      </c>
      <c r="D77" t="s">
        <v>19</v>
      </c>
      <c r="F77">
        <v>1.47</v>
      </c>
      <c r="J77">
        <f>SUM(35,37,37)</f>
        <v>109</v>
      </c>
      <c r="K77">
        <v>3</v>
      </c>
      <c r="L77">
        <v>37</v>
      </c>
      <c r="N77" t="str">
        <f t="shared" si="2"/>
        <v>NA</v>
      </c>
      <c r="O77">
        <v>11.043154999999999</v>
      </c>
      <c r="S77">
        <f t="shared" si="3"/>
        <v>1.6971654577499997</v>
      </c>
    </row>
    <row r="78" spans="1:19">
      <c r="A78" s="6">
        <v>42083</v>
      </c>
      <c r="B78" t="s">
        <v>28</v>
      </c>
      <c r="C78">
        <v>11</v>
      </c>
      <c r="D78" t="s">
        <v>19</v>
      </c>
      <c r="F78">
        <v>1.6</v>
      </c>
      <c r="J78">
        <f>SUM(35,55,105,136,151,153)</f>
        <v>635</v>
      </c>
      <c r="K78">
        <v>6</v>
      </c>
      <c r="L78">
        <v>153</v>
      </c>
      <c r="N78" t="str">
        <f t="shared" si="2"/>
        <v>NA</v>
      </c>
      <c r="O78">
        <v>4.3468060000000008</v>
      </c>
      <c r="S78">
        <f t="shared" si="3"/>
        <v>2.0106176000000002</v>
      </c>
    </row>
    <row r="79" spans="1:19">
      <c r="A79" s="6">
        <v>42083</v>
      </c>
      <c r="B79" t="s">
        <v>28</v>
      </c>
      <c r="C79">
        <v>11</v>
      </c>
      <c r="D79" t="s">
        <v>19</v>
      </c>
      <c r="F79">
        <v>1.98</v>
      </c>
      <c r="J79">
        <f>SUM(31,73,110,136,145,160,167)</f>
        <v>822</v>
      </c>
      <c r="K79">
        <v>7</v>
      </c>
      <c r="L79">
        <v>167</v>
      </c>
      <c r="N79" t="str">
        <f t="shared" si="2"/>
        <v>NA</v>
      </c>
      <c r="O79">
        <v>10.639208000000004</v>
      </c>
      <c r="S79">
        <f t="shared" si="3"/>
        <v>3.079072359</v>
      </c>
    </row>
    <row r="80" spans="1:19">
      <c r="A80" s="6">
        <v>42083</v>
      </c>
      <c r="B80" t="s">
        <v>28</v>
      </c>
      <c r="C80">
        <v>11</v>
      </c>
      <c r="D80" t="s">
        <v>19</v>
      </c>
      <c r="F80">
        <v>1.67</v>
      </c>
      <c r="J80">
        <f>SUM(50,55,90,106,121,136,145)</f>
        <v>703</v>
      </c>
      <c r="K80">
        <v>7</v>
      </c>
      <c r="L80">
        <v>145</v>
      </c>
      <c r="N80" t="str">
        <f t="shared" si="2"/>
        <v>NA</v>
      </c>
      <c r="O80">
        <v>6.109753000000012</v>
      </c>
      <c r="S80">
        <f t="shared" si="3"/>
        <v>2.1903950877499998</v>
      </c>
    </row>
    <row r="81" spans="1:19">
      <c r="A81" s="6">
        <v>42083</v>
      </c>
      <c r="B81" t="s">
        <v>28</v>
      </c>
      <c r="C81">
        <v>11</v>
      </c>
      <c r="D81" t="s">
        <v>19</v>
      </c>
      <c r="F81">
        <v>0.69</v>
      </c>
      <c r="J81">
        <f>SUM(34,55,60)</f>
        <v>149</v>
      </c>
      <c r="K81">
        <v>3</v>
      </c>
      <c r="L81">
        <v>60</v>
      </c>
      <c r="N81" t="str">
        <f t="shared" si="2"/>
        <v>NA</v>
      </c>
      <c r="O81">
        <v>7.8647199999999984</v>
      </c>
      <c r="S81">
        <f t="shared" si="3"/>
        <v>0.37392774974999993</v>
      </c>
    </row>
    <row r="82" spans="1:19">
      <c r="A82" s="6">
        <v>42083</v>
      </c>
      <c r="B82" t="s">
        <v>28</v>
      </c>
      <c r="C82">
        <v>11</v>
      </c>
      <c r="D82" t="s">
        <v>19</v>
      </c>
      <c r="F82">
        <v>0.75</v>
      </c>
      <c r="J82">
        <f>SUM(15,26,30,40)</f>
        <v>111</v>
      </c>
      <c r="K82">
        <v>4</v>
      </c>
      <c r="L82">
        <v>40</v>
      </c>
      <c r="N82" t="str">
        <f t="shared" si="2"/>
        <v>NA</v>
      </c>
      <c r="O82">
        <v>3.3045770000000019</v>
      </c>
      <c r="S82">
        <f t="shared" si="3"/>
        <v>0.44178609375</v>
      </c>
    </row>
    <row r="83" spans="1:19">
      <c r="A83" s="6">
        <v>42083</v>
      </c>
      <c r="B83" t="s">
        <v>28</v>
      </c>
      <c r="C83">
        <v>11</v>
      </c>
      <c r="D83" t="s">
        <v>19</v>
      </c>
      <c r="F83">
        <v>1.1200000000000001</v>
      </c>
      <c r="J83">
        <f>SUM(70,70,94,107)</f>
        <v>341</v>
      </c>
      <c r="K83">
        <v>4</v>
      </c>
      <c r="L83">
        <v>107</v>
      </c>
      <c r="N83" t="str">
        <f t="shared" si="2"/>
        <v>NA</v>
      </c>
      <c r="O83">
        <v>4.6848119999999973</v>
      </c>
      <c r="S83">
        <f t="shared" si="3"/>
        <v>0.98520262400000014</v>
      </c>
    </row>
    <row r="84" spans="1:19">
      <c r="A84" s="6">
        <v>42083</v>
      </c>
      <c r="B84" t="s">
        <v>28</v>
      </c>
      <c r="C84">
        <v>11</v>
      </c>
      <c r="D84" t="s">
        <v>19</v>
      </c>
      <c r="F84">
        <v>1.65</v>
      </c>
      <c r="J84">
        <f>SUM(90,127,164,155,200)</f>
        <v>736</v>
      </c>
      <c r="K84">
        <v>5</v>
      </c>
      <c r="L84">
        <v>200</v>
      </c>
      <c r="N84" t="str">
        <f t="shared" si="2"/>
        <v>NA</v>
      </c>
      <c r="O84">
        <v>6.679899000000006</v>
      </c>
      <c r="S84">
        <f t="shared" si="3"/>
        <v>2.1382446937499995</v>
      </c>
    </row>
    <row r="85" spans="1:19">
      <c r="A85" s="6">
        <v>42083</v>
      </c>
      <c r="B85" t="s">
        <v>28</v>
      </c>
      <c r="C85">
        <v>11</v>
      </c>
      <c r="D85" t="s">
        <v>19</v>
      </c>
      <c r="F85">
        <v>1.54</v>
      </c>
      <c r="J85">
        <f>SUM(79,106,123,150,166)</f>
        <v>624</v>
      </c>
      <c r="K85">
        <v>5</v>
      </c>
      <c r="L85">
        <v>166</v>
      </c>
      <c r="N85" t="str">
        <f t="shared" si="2"/>
        <v>NA</v>
      </c>
      <c r="O85">
        <v>6.4216690000000014</v>
      </c>
      <c r="S85">
        <f t="shared" si="3"/>
        <v>1.8626487109999998</v>
      </c>
    </row>
    <row r="86" spans="1:19">
      <c r="A86" s="6">
        <v>42083</v>
      </c>
      <c r="B86" t="s">
        <v>28</v>
      </c>
      <c r="C86">
        <v>11</v>
      </c>
      <c r="D86" t="s">
        <v>19</v>
      </c>
      <c r="F86">
        <v>1.06</v>
      </c>
      <c r="J86">
        <f>SUM(69,95,104)</f>
        <v>268</v>
      </c>
      <c r="K86">
        <v>3</v>
      </c>
      <c r="L86">
        <v>104</v>
      </c>
      <c r="N86" t="str">
        <f t="shared" si="2"/>
        <v>NA</v>
      </c>
      <c r="O86">
        <v>5.7667850000000023</v>
      </c>
      <c r="S86">
        <f t="shared" si="3"/>
        <v>0.88247263100000006</v>
      </c>
    </row>
    <row r="87" spans="1:19">
      <c r="A87" s="6">
        <v>42083</v>
      </c>
      <c r="B87" t="s">
        <v>28</v>
      </c>
      <c r="C87">
        <v>11</v>
      </c>
      <c r="D87" t="s">
        <v>19</v>
      </c>
      <c r="F87">
        <v>1.96</v>
      </c>
      <c r="J87">
        <f>SUM(90,131,170,179,206)</f>
        <v>776</v>
      </c>
      <c r="K87">
        <v>5</v>
      </c>
      <c r="L87">
        <v>206</v>
      </c>
      <c r="N87" t="str">
        <f t="shared" si="2"/>
        <v>NA</v>
      </c>
      <c r="O87">
        <v>8.6226290000000105</v>
      </c>
      <c r="S87">
        <f t="shared" si="3"/>
        <v>3.0171830359999996</v>
      </c>
    </row>
    <row r="88" spans="1:19">
      <c r="A88" s="6">
        <v>42083</v>
      </c>
      <c r="B88" t="s">
        <v>28</v>
      </c>
      <c r="C88">
        <v>11</v>
      </c>
      <c r="D88" t="s">
        <v>19</v>
      </c>
      <c r="F88">
        <v>1.1499999999999999</v>
      </c>
      <c r="J88">
        <f>SUM(56,66,70,92)</f>
        <v>284</v>
      </c>
      <c r="K88">
        <v>4</v>
      </c>
      <c r="L88">
        <v>92</v>
      </c>
      <c r="N88" t="str">
        <f t="shared" si="2"/>
        <v>NA</v>
      </c>
      <c r="O88">
        <v>3.859452000000001</v>
      </c>
      <c r="S88">
        <f t="shared" si="3"/>
        <v>1.0386881937499999</v>
      </c>
    </row>
    <row r="89" spans="1:19">
      <c r="A89" s="6">
        <v>42083</v>
      </c>
      <c r="B89" t="s">
        <v>28</v>
      </c>
      <c r="C89">
        <v>11</v>
      </c>
      <c r="D89" t="s">
        <v>19</v>
      </c>
      <c r="F89">
        <v>0.28999999999999998</v>
      </c>
      <c r="J89">
        <f>SUM(14,25,30)</f>
        <v>69</v>
      </c>
      <c r="K89">
        <v>3</v>
      </c>
      <c r="L89">
        <v>30</v>
      </c>
      <c r="N89" t="str">
        <f t="shared" si="2"/>
        <v>NA</v>
      </c>
      <c r="O89">
        <v>9.4016699999999958</v>
      </c>
      <c r="S89">
        <f t="shared" si="3"/>
        <v>6.6051929749999988E-2</v>
      </c>
    </row>
    <row r="90" spans="1:19">
      <c r="A90" s="6">
        <v>42083</v>
      </c>
      <c r="B90" t="s">
        <v>28</v>
      </c>
      <c r="C90">
        <v>11</v>
      </c>
      <c r="D90" t="s">
        <v>19</v>
      </c>
      <c r="F90">
        <v>1.66</v>
      </c>
      <c r="J90">
        <f>SUM(55,85,93,109,118)</f>
        <v>460</v>
      </c>
      <c r="K90">
        <v>5</v>
      </c>
      <c r="L90">
        <v>118</v>
      </c>
      <c r="N90" t="str">
        <f t="shared" si="2"/>
        <v>NA</v>
      </c>
      <c r="O90">
        <v>5.5056090000000069</v>
      </c>
      <c r="S90">
        <f t="shared" si="3"/>
        <v>2.1642413509999998</v>
      </c>
    </row>
    <row r="91" spans="1:19">
      <c r="A91" s="6">
        <v>42083</v>
      </c>
      <c r="B91" t="s">
        <v>28</v>
      </c>
      <c r="C91">
        <v>11</v>
      </c>
      <c r="D91" t="s">
        <v>19</v>
      </c>
      <c r="F91">
        <v>1.1000000000000001</v>
      </c>
      <c r="J91">
        <f>SUM(44,72,73,84)</f>
        <v>273</v>
      </c>
      <c r="K91">
        <v>4</v>
      </c>
      <c r="L91">
        <v>84</v>
      </c>
      <c r="N91" t="str">
        <f t="shared" si="2"/>
        <v>NA</v>
      </c>
      <c r="O91">
        <v>5.2381069999999994</v>
      </c>
      <c r="S91">
        <f t="shared" si="3"/>
        <v>0.95033097500000008</v>
      </c>
    </row>
    <row r="92" spans="1:19">
      <c r="A92" s="6">
        <v>42083</v>
      </c>
      <c r="B92" t="s">
        <v>28</v>
      </c>
      <c r="C92">
        <v>11</v>
      </c>
      <c r="D92" t="s">
        <v>19</v>
      </c>
      <c r="F92">
        <v>0.99</v>
      </c>
      <c r="J92">
        <f>SUM(38,62,64,78)</f>
        <v>242</v>
      </c>
      <c r="K92">
        <v>4</v>
      </c>
      <c r="L92">
        <v>78</v>
      </c>
      <c r="N92" t="str">
        <f t="shared" si="2"/>
        <v>NA</v>
      </c>
      <c r="O92">
        <v>4.1391719999999985</v>
      </c>
      <c r="S92">
        <f t="shared" si="3"/>
        <v>0.76976808975</v>
      </c>
    </row>
    <row r="93" spans="1:19">
      <c r="A93" s="6">
        <v>42083</v>
      </c>
      <c r="B93" t="s">
        <v>28</v>
      </c>
      <c r="C93">
        <v>11</v>
      </c>
      <c r="D93" t="s">
        <v>19</v>
      </c>
      <c r="F93">
        <v>0.77</v>
      </c>
      <c r="J93">
        <f>SUM(38,45,56)</f>
        <v>139</v>
      </c>
      <c r="K93">
        <v>3</v>
      </c>
      <c r="L93">
        <v>56</v>
      </c>
      <c r="N93" t="str">
        <f t="shared" si="2"/>
        <v>NA</v>
      </c>
      <c r="O93">
        <v>8.1321499999999958</v>
      </c>
      <c r="S93">
        <f t="shared" si="3"/>
        <v>0.46566217774999996</v>
      </c>
    </row>
    <row r="94" spans="1:19">
      <c r="A94" s="6">
        <v>42083</v>
      </c>
      <c r="B94" t="s">
        <v>28</v>
      </c>
      <c r="C94">
        <v>11</v>
      </c>
      <c r="D94" t="s">
        <v>19</v>
      </c>
      <c r="F94">
        <v>1</v>
      </c>
      <c r="J94">
        <f>SUM(66,101,110)</f>
        <v>277</v>
      </c>
      <c r="K94">
        <v>3</v>
      </c>
      <c r="L94">
        <v>110</v>
      </c>
      <c r="N94" t="str">
        <f t="shared" si="2"/>
        <v>NA</v>
      </c>
      <c r="O94">
        <v>4.8031100000000002</v>
      </c>
      <c r="S94">
        <f t="shared" si="3"/>
        <v>0.78539749999999997</v>
      </c>
    </row>
    <row r="95" spans="1:19">
      <c r="A95" s="6">
        <v>42083</v>
      </c>
      <c r="B95" t="s">
        <v>28</v>
      </c>
      <c r="C95">
        <v>11</v>
      </c>
      <c r="D95" t="s">
        <v>19</v>
      </c>
      <c r="F95">
        <v>0.85</v>
      </c>
      <c r="J95">
        <f>SUM(48,56,72,92)</f>
        <v>268</v>
      </c>
      <c r="K95">
        <v>4</v>
      </c>
      <c r="L95">
        <v>92</v>
      </c>
      <c r="N95" t="str">
        <f t="shared" si="2"/>
        <v>NA</v>
      </c>
      <c r="O95">
        <v>2.3593720000000005</v>
      </c>
      <c r="S95">
        <f t="shared" si="3"/>
        <v>0.56744969374999987</v>
      </c>
    </row>
    <row r="96" spans="1:19">
      <c r="A96" s="6">
        <v>42083</v>
      </c>
      <c r="B96" t="s">
        <v>28</v>
      </c>
      <c r="C96">
        <v>11</v>
      </c>
      <c r="D96" t="s">
        <v>19</v>
      </c>
      <c r="F96">
        <v>1.26</v>
      </c>
      <c r="J96">
        <f>SUM(49,58,60,82)</f>
        <v>249</v>
      </c>
      <c r="K96">
        <v>4</v>
      </c>
      <c r="L96">
        <v>82</v>
      </c>
      <c r="N96" t="str">
        <f t="shared" si="2"/>
        <v>NA</v>
      </c>
      <c r="O96">
        <v>3.5904769999999999</v>
      </c>
      <c r="S96">
        <f t="shared" si="3"/>
        <v>1.246897071</v>
      </c>
    </row>
    <row r="97" spans="1:19">
      <c r="A97" s="6">
        <v>42083</v>
      </c>
      <c r="B97" t="s">
        <v>28</v>
      </c>
      <c r="C97">
        <v>11</v>
      </c>
      <c r="D97" t="s">
        <v>19</v>
      </c>
      <c r="F97">
        <v>1.28</v>
      </c>
      <c r="J97">
        <f>SUM(48,62,97,123,137)</f>
        <v>467</v>
      </c>
      <c r="K97">
        <v>5</v>
      </c>
      <c r="L97">
        <v>137</v>
      </c>
      <c r="N97" t="str">
        <f t="shared" si="2"/>
        <v>NA</v>
      </c>
      <c r="O97">
        <v>0.43823900000000293</v>
      </c>
      <c r="S97">
        <f t="shared" si="3"/>
        <v>1.286795264</v>
      </c>
    </row>
    <row r="98" spans="1:19">
      <c r="A98" s="6">
        <v>42083</v>
      </c>
      <c r="B98" t="s">
        <v>28</v>
      </c>
      <c r="C98">
        <v>11</v>
      </c>
      <c r="D98" t="s">
        <v>19</v>
      </c>
      <c r="F98">
        <v>1.1399999999999999</v>
      </c>
      <c r="J98">
        <f>SUM(51,100,108,130)</f>
        <v>389</v>
      </c>
      <c r="K98">
        <v>4</v>
      </c>
      <c r="L98">
        <v>130</v>
      </c>
      <c r="N98" t="str">
        <f t="shared" si="2"/>
        <v>NA</v>
      </c>
      <c r="O98">
        <v>2.2564169999999955</v>
      </c>
      <c r="S98">
        <f t="shared" si="3"/>
        <v>1.0207025909999998</v>
      </c>
    </row>
    <row r="99" spans="1:19">
      <c r="A99" s="6">
        <v>42083</v>
      </c>
      <c r="B99" t="s">
        <v>28</v>
      </c>
      <c r="C99">
        <v>11</v>
      </c>
      <c r="D99" t="s">
        <v>19</v>
      </c>
      <c r="F99">
        <v>2.02</v>
      </c>
      <c r="J99">
        <f>SUM(119,149,170,183)</f>
        <v>621</v>
      </c>
      <c r="K99">
        <v>4</v>
      </c>
      <c r="L99">
        <v>183</v>
      </c>
      <c r="N99" t="str">
        <f t="shared" si="2"/>
        <v>NA</v>
      </c>
      <c r="O99">
        <v>8.041592000000005</v>
      </c>
      <c r="S99">
        <f t="shared" si="3"/>
        <v>3.2047359589999997</v>
      </c>
    </row>
    <row r="100" spans="1:19">
      <c r="A100" s="6">
        <v>42083</v>
      </c>
      <c r="B100" t="s">
        <v>28</v>
      </c>
      <c r="C100">
        <v>20</v>
      </c>
      <c r="D100" t="s">
        <v>19</v>
      </c>
      <c r="F100">
        <v>1.52</v>
      </c>
      <c r="J100">
        <f>SUM(68,89,94)</f>
        <v>251</v>
      </c>
      <c r="K100">
        <v>3</v>
      </c>
      <c r="L100">
        <v>94</v>
      </c>
      <c r="N100" t="str">
        <f t="shared" si="2"/>
        <v>NA</v>
      </c>
      <c r="O100">
        <v>7.1853999999999978</v>
      </c>
      <c r="S100">
        <f t="shared" si="3"/>
        <v>1.8145823839999999</v>
      </c>
    </row>
    <row r="101" spans="1:19">
      <c r="A101" s="6">
        <v>42083</v>
      </c>
      <c r="B101" t="s">
        <v>28</v>
      </c>
      <c r="C101">
        <v>20</v>
      </c>
      <c r="D101" t="s">
        <v>19</v>
      </c>
      <c r="F101">
        <v>1.41</v>
      </c>
      <c r="J101">
        <f>SUM(28,62,66,86,96,107)</f>
        <v>445</v>
      </c>
      <c r="K101">
        <v>6</v>
      </c>
      <c r="L101">
        <v>107</v>
      </c>
      <c r="N101" t="str">
        <f t="shared" si="2"/>
        <v>NA</v>
      </c>
      <c r="O101">
        <v>0.39062599999999748</v>
      </c>
      <c r="S101">
        <f t="shared" si="3"/>
        <v>1.5614487697499997</v>
      </c>
    </row>
    <row r="102" spans="1:19">
      <c r="A102" s="6">
        <v>42083</v>
      </c>
      <c r="B102" t="s">
        <v>28</v>
      </c>
      <c r="C102">
        <v>20</v>
      </c>
      <c r="D102" t="s">
        <v>19</v>
      </c>
      <c r="F102">
        <v>1.03</v>
      </c>
      <c r="J102">
        <f>SUM(35,37,61,65,85)</f>
        <v>283</v>
      </c>
      <c r="K102">
        <v>5</v>
      </c>
      <c r="L102">
        <v>85</v>
      </c>
      <c r="N102" t="str">
        <f t="shared" si="2"/>
        <v>NA</v>
      </c>
      <c r="O102" t="s">
        <v>64</v>
      </c>
      <c r="S102">
        <f t="shared" si="3"/>
        <v>0.83322820774999995</v>
      </c>
    </row>
    <row r="103" spans="1:19">
      <c r="A103" s="6">
        <v>42083</v>
      </c>
      <c r="B103" t="s">
        <v>28</v>
      </c>
      <c r="C103">
        <v>20</v>
      </c>
      <c r="D103" t="s">
        <v>19</v>
      </c>
      <c r="F103">
        <v>1.31</v>
      </c>
      <c r="J103">
        <f>SUM(56,82,84,105,110)</f>
        <v>437</v>
      </c>
      <c r="K103">
        <v>5</v>
      </c>
      <c r="L103">
        <v>110</v>
      </c>
      <c r="N103" t="str">
        <f t="shared" si="2"/>
        <v>NA</v>
      </c>
      <c r="O103">
        <v>5.759204000000004</v>
      </c>
      <c r="S103">
        <f t="shared" si="3"/>
        <v>1.34782064975</v>
      </c>
    </row>
    <row r="104" spans="1:19">
      <c r="A104" s="6">
        <v>42083</v>
      </c>
      <c r="B104" t="s">
        <v>28</v>
      </c>
      <c r="C104">
        <v>20</v>
      </c>
      <c r="D104" t="s">
        <v>19</v>
      </c>
      <c r="F104">
        <v>2.2400000000000002</v>
      </c>
      <c r="J104">
        <f>SUM(87,107,109,126,126)</f>
        <v>555</v>
      </c>
      <c r="K104">
        <v>5</v>
      </c>
      <c r="L104">
        <v>126</v>
      </c>
      <c r="N104" t="str">
        <f t="shared" si="2"/>
        <v>NA</v>
      </c>
      <c r="O104">
        <v>12.002374000000003</v>
      </c>
      <c r="S104">
        <f t="shared" si="3"/>
        <v>3.9408104960000006</v>
      </c>
    </row>
    <row r="105" spans="1:19">
      <c r="A105" s="6">
        <v>42083</v>
      </c>
      <c r="B105" t="s">
        <v>28</v>
      </c>
      <c r="C105">
        <v>20</v>
      </c>
      <c r="D105" t="s">
        <v>19</v>
      </c>
      <c r="F105">
        <v>2.48</v>
      </c>
      <c r="J105">
        <f>SUM(69,84,92,107,109,116)</f>
        <v>577</v>
      </c>
      <c r="K105">
        <v>6</v>
      </c>
      <c r="L105">
        <v>116</v>
      </c>
      <c r="N105" t="str">
        <f t="shared" si="2"/>
        <v>NA</v>
      </c>
      <c r="O105">
        <v>10.055081000000001</v>
      </c>
      <c r="S105">
        <f t="shared" si="3"/>
        <v>4.8305087840000001</v>
      </c>
    </row>
    <row r="106" spans="1:19">
      <c r="A106" s="6">
        <v>42083</v>
      </c>
      <c r="B106" t="s">
        <v>28</v>
      </c>
      <c r="C106">
        <v>20</v>
      </c>
      <c r="D106" t="s">
        <v>19</v>
      </c>
      <c r="F106">
        <v>1.36</v>
      </c>
      <c r="J106">
        <f>SUM(52,74,93,94,103)</f>
        <v>416</v>
      </c>
      <c r="K106">
        <v>5</v>
      </c>
      <c r="L106">
        <v>103</v>
      </c>
      <c r="N106" t="str">
        <f t="shared" si="2"/>
        <v>NA</v>
      </c>
      <c r="O106">
        <v>5.8990639999999992</v>
      </c>
      <c r="S106">
        <f t="shared" si="3"/>
        <v>1.4526712160000002</v>
      </c>
    </row>
    <row r="107" spans="1:19">
      <c r="A107" s="6">
        <v>42083</v>
      </c>
      <c r="B107" t="s">
        <v>28</v>
      </c>
      <c r="C107">
        <v>20</v>
      </c>
      <c r="D107" t="s">
        <v>19</v>
      </c>
      <c r="F107">
        <v>1.41</v>
      </c>
      <c r="J107">
        <f>SUM(61,65,87,100,108,121)</f>
        <v>542</v>
      </c>
      <c r="K107">
        <v>6</v>
      </c>
      <c r="L107">
        <v>121</v>
      </c>
      <c r="N107" t="str">
        <f t="shared" si="2"/>
        <v>NA</v>
      </c>
      <c r="O107">
        <v>5.2674309999999949</v>
      </c>
      <c r="S107">
        <f t="shared" si="3"/>
        <v>1.5614487697499997</v>
      </c>
    </row>
    <row r="108" spans="1:19">
      <c r="A108" s="6">
        <v>42083</v>
      </c>
      <c r="B108" t="s">
        <v>28</v>
      </c>
      <c r="C108">
        <v>20</v>
      </c>
      <c r="D108" t="s">
        <v>19</v>
      </c>
      <c r="F108">
        <v>1.3</v>
      </c>
      <c r="J108">
        <f>SUM(53,92,100,118,126)</f>
        <v>489</v>
      </c>
      <c r="K108">
        <v>5</v>
      </c>
      <c r="L108">
        <v>126</v>
      </c>
      <c r="N108" t="str">
        <f t="shared" si="2"/>
        <v>NA</v>
      </c>
      <c r="O108">
        <v>5.814544000000005</v>
      </c>
      <c r="S108">
        <f t="shared" si="3"/>
        <v>1.3273217750000001</v>
      </c>
    </row>
    <row r="109" spans="1:19">
      <c r="A109" s="6">
        <v>42083</v>
      </c>
      <c r="B109" t="s">
        <v>28</v>
      </c>
      <c r="C109">
        <v>20</v>
      </c>
      <c r="D109" t="s">
        <v>19</v>
      </c>
      <c r="F109">
        <v>1.52</v>
      </c>
      <c r="J109">
        <f>SUM(80,88,109,111,123)</f>
        <v>511</v>
      </c>
      <c r="K109">
        <v>5</v>
      </c>
      <c r="L109">
        <v>123</v>
      </c>
      <c r="N109" t="str">
        <f t="shared" si="2"/>
        <v>NA</v>
      </c>
      <c r="O109">
        <v>8.7808890000000019</v>
      </c>
      <c r="S109">
        <f t="shared" si="3"/>
        <v>1.8145823839999999</v>
      </c>
    </row>
    <row r="110" spans="1:19">
      <c r="A110" s="6">
        <v>42083</v>
      </c>
      <c r="B110" t="s">
        <v>28</v>
      </c>
      <c r="C110">
        <v>20</v>
      </c>
      <c r="D110" t="s">
        <v>19</v>
      </c>
      <c r="F110">
        <v>1.61</v>
      </c>
      <c r="J110">
        <f>SUM(54,57,85,93)</f>
        <v>289</v>
      </c>
      <c r="K110">
        <v>4</v>
      </c>
      <c r="L110">
        <v>93</v>
      </c>
      <c r="N110" t="str">
        <f t="shared" si="2"/>
        <v>NA</v>
      </c>
      <c r="O110">
        <v>4.0269820000000003</v>
      </c>
      <c r="S110">
        <f t="shared" si="3"/>
        <v>2.0358288597500001</v>
      </c>
    </row>
    <row r="111" spans="1:19">
      <c r="A111" s="6">
        <v>42083</v>
      </c>
      <c r="B111" t="s">
        <v>28</v>
      </c>
      <c r="C111">
        <v>20</v>
      </c>
      <c r="D111" t="s">
        <v>19</v>
      </c>
      <c r="F111">
        <v>1.62</v>
      </c>
      <c r="J111">
        <f>SUM(41,84,91,114,113)</f>
        <v>443</v>
      </c>
      <c r="K111">
        <v>5</v>
      </c>
      <c r="L111">
        <v>114</v>
      </c>
      <c r="N111" t="str">
        <f t="shared" si="2"/>
        <v>NA</v>
      </c>
      <c r="O111">
        <v>5.1167540000000002</v>
      </c>
      <c r="S111">
        <f t="shared" si="3"/>
        <v>2.0611971990000004</v>
      </c>
    </row>
    <row r="112" spans="1:19">
      <c r="A112" s="6">
        <v>42083</v>
      </c>
      <c r="B112" t="s">
        <v>28</v>
      </c>
      <c r="C112">
        <v>20</v>
      </c>
      <c r="D112" t="s">
        <v>19</v>
      </c>
      <c r="F112">
        <v>1.65</v>
      </c>
      <c r="J112">
        <f>SUM(86,96,112,115,125)</f>
        <v>534</v>
      </c>
      <c r="K112">
        <v>5</v>
      </c>
      <c r="L112">
        <v>125</v>
      </c>
      <c r="N112" t="str">
        <f t="shared" si="2"/>
        <v>NA</v>
      </c>
      <c r="O112">
        <v>10.334764</v>
      </c>
      <c r="S112">
        <f t="shared" si="3"/>
        <v>2.1382446937499995</v>
      </c>
    </row>
    <row r="113" spans="1:19">
      <c r="A113" s="6">
        <v>42083</v>
      </c>
      <c r="B113" t="s">
        <v>28</v>
      </c>
      <c r="C113">
        <v>20</v>
      </c>
      <c r="D113" t="s">
        <v>19</v>
      </c>
      <c r="F113">
        <v>1.18</v>
      </c>
      <c r="J113">
        <f>SUM(41,76,84,97)</f>
        <v>298</v>
      </c>
      <c r="K113">
        <v>4</v>
      </c>
      <c r="L113">
        <v>97</v>
      </c>
      <c r="N113" t="str">
        <f t="shared" si="2"/>
        <v>NA</v>
      </c>
      <c r="O113">
        <v>3.6657969999999978</v>
      </c>
      <c r="S113">
        <f t="shared" si="3"/>
        <v>1.0935874789999998</v>
      </c>
    </row>
    <row r="114" spans="1:19">
      <c r="A114" s="6">
        <v>42083</v>
      </c>
      <c r="B114" t="s">
        <v>28</v>
      </c>
      <c r="C114">
        <v>20</v>
      </c>
      <c r="D114" t="s">
        <v>19</v>
      </c>
      <c r="F114">
        <v>1.22</v>
      </c>
      <c r="J114">
        <f>SUM(47,57,86,100,109)</f>
        <v>399</v>
      </c>
      <c r="K114">
        <v>5</v>
      </c>
      <c r="L114">
        <v>109</v>
      </c>
      <c r="N114" t="str">
        <f t="shared" si="2"/>
        <v>NA</v>
      </c>
      <c r="O114">
        <v>2.4977590000000021</v>
      </c>
      <c r="S114">
        <f t="shared" si="3"/>
        <v>1.168985639</v>
      </c>
    </row>
    <row r="115" spans="1:19">
      <c r="A115" s="6">
        <v>42083</v>
      </c>
      <c r="B115" t="s">
        <v>28</v>
      </c>
      <c r="C115">
        <v>20</v>
      </c>
      <c r="D115" t="s">
        <v>19</v>
      </c>
      <c r="F115">
        <v>1.36</v>
      </c>
      <c r="J115">
        <f>SUM(81,85,102,116,112)</f>
        <v>496</v>
      </c>
      <c r="K115">
        <v>5</v>
      </c>
      <c r="L115">
        <v>116</v>
      </c>
      <c r="N115" t="str">
        <f t="shared" si="2"/>
        <v>NA</v>
      </c>
      <c r="O115">
        <v>9.4832790000000031</v>
      </c>
      <c r="S115">
        <f t="shared" si="3"/>
        <v>1.4526712160000002</v>
      </c>
    </row>
    <row r="116" spans="1:19">
      <c r="A116" s="6">
        <v>42083</v>
      </c>
      <c r="B116" t="s">
        <v>28</v>
      </c>
      <c r="C116">
        <v>20</v>
      </c>
      <c r="D116" t="s">
        <v>19</v>
      </c>
      <c r="F116">
        <v>0.66</v>
      </c>
      <c r="J116">
        <f>SUM(25,25,33,42,45)</f>
        <v>170</v>
      </c>
      <c r="K116">
        <v>5</v>
      </c>
      <c r="L116">
        <v>45</v>
      </c>
      <c r="N116" t="str">
        <f t="shared" si="2"/>
        <v>NA</v>
      </c>
      <c r="O116">
        <v>0.30754400000000004</v>
      </c>
      <c r="S116">
        <f t="shared" si="3"/>
        <v>0.34211915100000001</v>
      </c>
    </row>
    <row r="117" spans="1:19">
      <c r="A117" s="6">
        <v>42083</v>
      </c>
      <c r="B117" t="s">
        <v>28</v>
      </c>
      <c r="C117">
        <v>20</v>
      </c>
      <c r="D117" t="s">
        <v>19</v>
      </c>
      <c r="F117">
        <v>1.18</v>
      </c>
      <c r="J117">
        <f>SUM(19,31,40,40)</f>
        <v>130</v>
      </c>
      <c r="K117">
        <v>4</v>
      </c>
      <c r="L117">
        <v>40</v>
      </c>
      <c r="N117" t="str">
        <f t="shared" si="2"/>
        <v>NA</v>
      </c>
      <c r="O117">
        <v>5.0859219999999965</v>
      </c>
      <c r="S117">
        <f t="shared" si="3"/>
        <v>1.0935874789999998</v>
      </c>
    </row>
    <row r="118" spans="1:19">
      <c r="A118" s="6">
        <v>42083</v>
      </c>
      <c r="B118" t="s">
        <v>28</v>
      </c>
      <c r="C118">
        <v>20</v>
      </c>
      <c r="D118" t="s">
        <v>19</v>
      </c>
      <c r="F118">
        <v>0.71</v>
      </c>
      <c r="J118">
        <f>SUM(26,26,32,34)</f>
        <v>118</v>
      </c>
      <c r="K118">
        <v>4</v>
      </c>
      <c r="L118">
        <v>34</v>
      </c>
      <c r="N118" t="str">
        <f t="shared" si="2"/>
        <v>NA</v>
      </c>
      <c r="O118">
        <v>5.7683319999999974</v>
      </c>
      <c r="S118">
        <f t="shared" si="3"/>
        <v>0.39591887974999995</v>
      </c>
    </row>
    <row r="119" spans="1:19">
      <c r="A119" s="6">
        <v>42083</v>
      </c>
      <c r="B119" t="s">
        <v>28</v>
      </c>
      <c r="C119">
        <v>20</v>
      </c>
      <c r="D119" t="s">
        <v>19</v>
      </c>
      <c r="F119">
        <v>1.56</v>
      </c>
      <c r="J119">
        <f>SUM(51,81,83,89)</f>
        <v>304</v>
      </c>
      <c r="K119">
        <v>4</v>
      </c>
      <c r="L119">
        <v>89</v>
      </c>
      <c r="N119" t="str">
        <f t="shared" si="2"/>
        <v>NA</v>
      </c>
      <c r="O119">
        <v>6.6382870000000018</v>
      </c>
      <c r="S119">
        <f t="shared" si="3"/>
        <v>1.9113433560000002</v>
      </c>
    </row>
    <row r="120" spans="1:19">
      <c r="A120" s="6">
        <v>42083</v>
      </c>
      <c r="B120" t="s">
        <v>28</v>
      </c>
      <c r="C120">
        <v>20</v>
      </c>
      <c r="D120" t="s">
        <v>19</v>
      </c>
      <c r="F120">
        <v>1.2</v>
      </c>
      <c r="J120">
        <f>SUM(29,55,60,93,91,106)</f>
        <v>434</v>
      </c>
      <c r="K120">
        <v>6</v>
      </c>
      <c r="L120">
        <v>106</v>
      </c>
      <c r="N120" t="str">
        <f t="shared" si="2"/>
        <v>NA</v>
      </c>
      <c r="O120" t="s">
        <v>64</v>
      </c>
      <c r="S120">
        <f t="shared" si="3"/>
        <v>1.1309723999999999</v>
      </c>
    </row>
    <row r="121" spans="1:19">
      <c r="A121" s="6">
        <v>42083</v>
      </c>
      <c r="B121" t="s">
        <v>28</v>
      </c>
      <c r="C121">
        <v>20</v>
      </c>
      <c r="D121" t="s">
        <v>19</v>
      </c>
      <c r="F121">
        <v>0.51</v>
      </c>
      <c r="J121">
        <f>SUM(53,63,73)</f>
        <v>189</v>
      </c>
      <c r="K121">
        <v>3</v>
      </c>
      <c r="L121">
        <v>73</v>
      </c>
      <c r="N121" t="str">
        <f t="shared" si="2"/>
        <v>NA</v>
      </c>
      <c r="O121">
        <v>7.6987349999999992</v>
      </c>
      <c r="S121">
        <f t="shared" si="3"/>
        <v>0.20428188975</v>
      </c>
    </row>
    <row r="122" spans="1:19">
      <c r="A122" s="6">
        <v>42083</v>
      </c>
      <c r="B122" t="s">
        <v>28</v>
      </c>
      <c r="C122">
        <v>20</v>
      </c>
      <c r="D122" t="s">
        <v>19</v>
      </c>
      <c r="F122">
        <v>0.69</v>
      </c>
      <c r="J122">
        <f>SUM(33,34,42,54,84)</f>
        <v>247</v>
      </c>
      <c r="K122">
        <v>5</v>
      </c>
      <c r="L122">
        <v>84</v>
      </c>
      <c r="N122" t="str">
        <f t="shared" si="2"/>
        <v>NA</v>
      </c>
      <c r="O122" t="s">
        <v>64</v>
      </c>
      <c r="S122">
        <f t="shared" si="3"/>
        <v>0.37392774974999993</v>
      </c>
    </row>
    <row r="123" spans="1:19">
      <c r="A123" s="6">
        <v>42083</v>
      </c>
      <c r="B123" t="s">
        <v>28</v>
      </c>
      <c r="C123">
        <v>20</v>
      </c>
      <c r="D123" t="s">
        <v>19</v>
      </c>
      <c r="F123">
        <v>0.72</v>
      </c>
      <c r="J123">
        <f>SUM(23,38,39)</f>
        <v>100</v>
      </c>
      <c r="K123">
        <v>3</v>
      </c>
      <c r="L123">
        <v>39</v>
      </c>
      <c r="N123" t="str">
        <f t="shared" si="2"/>
        <v>NA</v>
      </c>
      <c r="O123">
        <v>9.5968699999999956</v>
      </c>
      <c r="S123">
        <f t="shared" si="3"/>
        <v>0.40715006399999998</v>
      </c>
    </row>
    <row r="124" spans="1:19">
      <c r="A124" s="6">
        <v>42083</v>
      </c>
      <c r="B124" t="s">
        <v>28</v>
      </c>
      <c r="C124">
        <v>20</v>
      </c>
      <c r="D124" t="s">
        <v>19</v>
      </c>
      <c r="F124">
        <v>1.58</v>
      </c>
      <c r="J124">
        <f>SUM(70,102,103,124,124)</f>
        <v>523</v>
      </c>
      <c r="K124">
        <v>5</v>
      </c>
      <c r="L124">
        <v>124</v>
      </c>
      <c r="N124" t="str">
        <f t="shared" si="2"/>
        <v>NA</v>
      </c>
      <c r="O124">
        <v>9.6047040000000052</v>
      </c>
      <c r="S124">
        <f t="shared" si="3"/>
        <v>1.9606663190000002</v>
      </c>
    </row>
    <row r="125" spans="1:19">
      <c r="A125" s="6">
        <v>42083</v>
      </c>
      <c r="B125" t="s">
        <v>28</v>
      </c>
      <c r="C125">
        <v>20</v>
      </c>
      <c r="D125" t="s">
        <v>19</v>
      </c>
      <c r="F125">
        <v>1.23</v>
      </c>
      <c r="J125">
        <f>SUM(51,82,86,89)</f>
        <v>308</v>
      </c>
      <c r="K125">
        <v>4</v>
      </c>
      <c r="L125">
        <v>89</v>
      </c>
      <c r="N125" t="str">
        <f t="shared" si="2"/>
        <v>NA</v>
      </c>
      <c r="O125">
        <v>7.0133070000000011</v>
      </c>
      <c r="S125">
        <f t="shared" si="3"/>
        <v>1.1882278777499999</v>
      </c>
    </row>
    <row r="126" spans="1:19">
      <c r="A126" s="6">
        <v>42083</v>
      </c>
      <c r="B126" t="s">
        <v>28</v>
      </c>
      <c r="C126">
        <v>20</v>
      </c>
      <c r="D126" t="s">
        <v>19</v>
      </c>
      <c r="F126">
        <v>1.42</v>
      </c>
      <c r="J126">
        <f>SUM(34,69,75,100,114,116)</f>
        <v>508</v>
      </c>
      <c r="K126">
        <v>6</v>
      </c>
      <c r="L126">
        <v>116</v>
      </c>
      <c r="N126" t="str">
        <f t="shared" si="2"/>
        <v>NA</v>
      </c>
      <c r="O126">
        <v>3.5859859999999983</v>
      </c>
      <c r="S126">
        <f t="shared" si="3"/>
        <v>1.5836755189999998</v>
      </c>
    </row>
    <row r="127" spans="1:19">
      <c r="A127" s="6">
        <v>42083</v>
      </c>
      <c r="B127" t="s">
        <v>28</v>
      </c>
      <c r="C127">
        <v>20</v>
      </c>
      <c r="D127" t="s">
        <v>19</v>
      </c>
      <c r="F127">
        <v>1.06</v>
      </c>
      <c r="J127">
        <f>SUM(38,81,83,101)</f>
        <v>303</v>
      </c>
      <c r="K127">
        <v>4</v>
      </c>
      <c r="L127">
        <v>101</v>
      </c>
      <c r="N127" t="str">
        <f t="shared" si="2"/>
        <v>NA</v>
      </c>
      <c r="O127">
        <v>2.9295919999999995</v>
      </c>
      <c r="S127">
        <f t="shared" si="3"/>
        <v>0.88247263100000006</v>
      </c>
    </row>
    <row r="128" spans="1:19">
      <c r="A128" s="6">
        <v>42083</v>
      </c>
      <c r="B128" t="s">
        <v>28</v>
      </c>
      <c r="C128">
        <v>20</v>
      </c>
      <c r="D128" t="s">
        <v>19</v>
      </c>
      <c r="F128">
        <v>1.62</v>
      </c>
      <c r="J128">
        <f>SUM(34,81,118,122,139)</f>
        <v>494</v>
      </c>
      <c r="K128">
        <v>5</v>
      </c>
      <c r="L128">
        <v>139</v>
      </c>
      <c r="N128" t="str">
        <f t="shared" si="2"/>
        <v>NA</v>
      </c>
      <c r="O128">
        <v>2.3671340000000001</v>
      </c>
      <c r="S128">
        <f t="shared" si="3"/>
        <v>2.0611971990000004</v>
      </c>
    </row>
    <row r="129" spans="1:19">
      <c r="A129" s="6">
        <v>42083</v>
      </c>
      <c r="B129" t="s">
        <v>28</v>
      </c>
      <c r="C129">
        <v>20</v>
      </c>
      <c r="D129" t="s">
        <v>19</v>
      </c>
      <c r="F129">
        <v>1.1399999999999999</v>
      </c>
      <c r="J129">
        <f>SUM(35,68,85,102)</f>
        <v>290</v>
      </c>
      <c r="K129">
        <v>4</v>
      </c>
      <c r="L129">
        <v>102</v>
      </c>
      <c r="N129" t="str">
        <f t="shared" si="2"/>
        <v>NA</v>
      </c>
      <c r="O129">
        <v>1.4095320000000022</v>
      </c>
      <c r="S129">
        <f t="shared" si="3"/>
        <v>1.0207025909999998</v>
      </c>
    </row>
    <row r="130" spans="1:19">
      <c r="A130" s="6">
        <v>42083</v>
      </c>
      <c r="B130" t="s">
        <v>28</v>
      </c>
      <c r="C130">
        <v>20</v>
      </c>
      <c r="D130" t="s">
        <v>19</v>
      </c>
      <c r="F130">
        <v>0.94</v>
      </c>
      <c r="J130">
        <f>SUM(57,72,89,100,111)</f>
        <v>429</v>
      </c>
      <c r="K130">
        <v>5</v>
      </c>
      <c r="L130">
        <v>111</v>
      </c>
      <c r="N130" t="str">
        <f t="shared" si="2"/>
        <v>NA</v>
      </c>
      <c r="O130">
        <v>4.7079189999999969</v>
      </c>
      <c r="S130">
        <f t="shared" si="3"/>
        <v>0.69397723099999997</v>
      </c>
    </row>
    <row r="131" spans="1:19">
      <c r="A131" s="6">
        <v>42083</v>
      </c>
      <c r="B131" t="s">
        <v>28</v>
      </c>
      <c r="C131">
        <v>20</v>
      </c>
      <c r="D131" t="s">
        <v>19</v>
      </c>
      <c r="F131">
        <v>0.85</v>
      </c>
      <c r="J131">
        <f>SUM(38,76,82,100)</f>
        <v>296</v>
      </c>
      <c r="K131">
        <v>4</v>
      </c>
      <c r="L131">
        <v>100</v>
      </c>
      <c r="N131" t="str">
        <f t="shared" si="2"/>
        <v>NA</v>
      </c>
      <c r="O131">
        <v>2.5745520000000006</v>
      </c>
      <c r="S131">
        <f t="shared" si="3"/>
        <v>0.56744969374999987</v>
      </c>
    </row>
    <row r="132" spans="1:19">
      <c r="A132" s="6">
        <v>42083</v>
      </c>
      <c r="B132" t="s">
        <v>28</v>
      </c>
      <c r="C132">
        <v>34</v>
      </c>
      <c r="D132" t="s">
        <v>19</v>
      </c>
      <c r="F132">
        <v>0.82</v>
      </c>
      <c r="J132">
        <f>SUM(19,21,30,35)</f>
        <v>105</v>
      </c>
      <c r="K132">
        <v>4</v>
      </c>
      <c r="L132">
        <v>35</v>
      </c>
      <c r="N132" t="str">
        <f t="shared" ref="N132:N195" si="4">IF(OR(D132="S. acutus", D132="S. tabernaemontani", D132="S. californicus"),(1/3)*(3.14159)*((F132/2)^2)*E132,"NA")</f>
        <v>NA</v>
      </c>
      <c r="O132">
        <v>4.248272</v>
      </c>
      <c r="S132">
        <f t="shared" si="3"/>
        <v>0.52810127899999992</v>
      </c>
    </row>
    <row r="133" spans="1:19">
      <c r="A133" s="6">
        <v>42083</v>
      </c>
      <c r="B133" t="s">
        <v>28</v>
      </c>
      <c r="C133">
        <v>34</v>
      </c>
      <c r="D133" t="s">
        <v>19</v>
      </c>
      <c r="F133">
        <v>0.88</v>
      </c>
      <c r="J133">
        <f>SUM(39,41,51,53)</f>
        <v>184</v>
      </c>
      <c r="K133">
        <v>4</v>
      </c>
      <c r="L133">
        <v>53</v>
      </c>
      <c r="N133" t="str">
        <f t="shared" si="4"/>
        <v>NA</v>
      </c>
      <c r="O133">
        <v>6.2325069999999982</v>
      </c>
      <c r="S133">
        <f t="shared" ref="S133:S196" si="5">3.14159*((F133/2)^2)</f>
        <v>0.60821182399999996</v>
      </c>
    </row>
    <row r="134" spans="1:19">
      <c r="A134" s="6">
        <v>42083</v>
      </c>
      <c r="B134" t="s">
        <v>28</v>
      </c>
      <c r="C134">
        <v>34</v>
      </c>
      <c r="D134" t="s">
        <v>19</v>
      </c>
      <c r="F134">
        <v>1.1200000000000001</v>
      </c>
      <c r="J134">
        <f>SUM(31,44,56)</f>
        <v>131</v>
      </c>
      <c r="K134">
        <v>3</v>
      </c>
      <c r="L134">
        <v>56</v>
      </c>
      <c r="N134" t="str">
        <f t="shared" si="4"/>
        <v>NA</v>
      </c>
      <c r="O134">
        <v>7.3821099999999973</v>
      </c>
      <c r="S134">
        <f t="shared" si="5"/>
        <v>0.98520262400000014</v>
      </c>
    </row>
    <row r="135" spans="1:19">
      <c r="A135" s="6">
        <v>42083</v>
      </c>
      <c r="B135" t="s">
        <v>28</v>
      </c>
      <c r="C135">
        <v>34</v>
      </c>
      <c r="D135" t="s">
        <v>19</v>
      </c>
      <c r="F135">
        <v>3.64</v>
      </c>
      <c r="J135">
        <f>SUM(56,66,93,96,104)</f>
        <v>415</v>
      </c>
      <c r="K135">
        <v>5</v>
      </c>
      <c r="L135">
        <v>104</v>
      </c>
      <c r="N135" t="str">
        <f t="shared" si="4"/>
        <v>NA</v>
      </c>
      <c r="O135">
        <v>5.5040640000000067</v>
      </c>
      <c r="S135">
        <f t="shared" si="5"/>
        <v>10.406202716000001</v>
      </c>
    </row>
    <row r="136" spans="1:19">
      <c r="A136" s="6">
        <v>42083</v>
      </c>
      <c r="B136" t="s">
        <v>28</v>
      </c>
      <c r="C136">
        <v>37</v>
      </c>
      <c r="D136" t="s">
        <v>19</v>
      </c>
      <c r="F136">
        <v>1.1399999999999999</v>
      </c>
      <c r="J136">
        <f>SUM(21,52,52,63)</f>
        <v>188</v>
      </c>
      <c r="K136">
        <v>4</v>
      </c>
      <c r="L136">
        <v>63</v>
      </c>
      <c r="N136" t="str">
        <f t="shared" si="4"/>
        <v>NA</v>
      </c>
      <c r="O136">
        <v>3.5950769999999999</v>
      </c>
      <c r="S136">
        <f t="shared" si="5"/>
        <v>1.0207025909999998</v>
      </c>
    </row>
    <row r="137" spans="1:19">
      <c r="A137" s="6">
        <v>42083</v>
      </c>
      <c r="B137" t="s">
        <v>28</v>
      </c>
      <c r="C137">
        <v>37</v>
      </c>
      <c r="D137" t="s">
        <v>19</v>
      </c>
      <c r="F137">
        <v>1.68</v>
      </c>
      <c r="J137">
        <f>SUM(41,39,52,66,81,90)</f>
        <v>369</v>
      </c>
      <c r="K137">
        <v>6</v>
      </c>
      <c r="L137">
        <v>90</v>
      </c>
      <c r="N137" t="str">
        <f t="shared" si="4"/>
        <v>NA</v>
      </c>
      <c r="O137" t="s">
        <v>64</v>
      </c>
      <c r="S137">
        <f t="shared" si="5"/>
        <v>2.2167059039999994</v>
      </c>
    </row>
    <row r="138" spans="1:19">
      <c r="A138" s="6">
        <v>42083</v>
      </c>
      <c r="B138" t="s">
        <v>28</v>
      </c>
      <c r="C138">
        <v>37</v>
      </c>
      <c r="D138" t="s">
        <v>19</v>
      </c>
      <c r="F138">
        <v>1.1399999999999999</v>
      </c>
      <c r="J138">
        <f>SUM(21,50,51,71,78)</f>
        <v>271</v>
      </c>
      <c r="K138">
        <v>5</v>
      </c>
      <c r="L138">
        <v>78</v>
      </c>
      <c r="N138" t="str">
        <f t="shared" si="4"/>
        <v>NA</v>
      </c>
      <c r="O138" t="s">
        <v>64</v>
      </c>
      <c r="S138">
        <f t="shared" si="5"/>
        <v>1.0207025909999998</v>
      </c>
    </row>
    <row r="139" spans="1:19">
      <c r="A139" s="6">
        <v>42083</v>
      </c>
      <c r="B139" t="s">
        <v>28</v>
      </c>
      <c r="C139">
        <v>37</v>
      </c>
      <c r="D139" t="s">
        <v>19</v>
      </c>
      <c r="F139">
        <v>0.88</v>
      </c>
      <c r="J139">
        <f>SUM(34,46,60,65,71)</f>
        <v>276</v>
      </c>
      <c r="K139">
        <v>5</v>
      </c>
      <c r="L139">
        <v>71</v>
      </c>
      <c r="N139" t="str">
        <f t="shared" si="4"/>
        <v>NA</v>
      </c>
      <c r="O139">
        <v>2.4132040000000003</v>
      </c>
      <c r="S139">
        <f t="shared" si="5"/>
        <v>0.60821182399999996</v>
      </c>
    </row>
    <row r="140" spans="1:19">
      <c r="A140" s="6">
        <v>42083</v>
      </c>
      <c r="B140" t="s">
        <v>28</v>
      </c>
      <c r="C140">
        <v>37</v>
      </c>
      <c r="D140" t="s">
        <v>19</v>
      </c>
      <c r="F140">
        <v>3.56</v>
      </c>
      <c r="J140">
        <f>SUM(92,111,132,137,149,154)</f>
        <v>775</v>
      </c>
      <c r="K140">
        <v>6</v>
      </c>
      <c r="L140">
        <v>154</v>
      </c>
      <c r="N140" t="str">
        <f t="shared" si="4"/>
        <v>NA</v>
      </c>
      <c r="O140">
        <v>17.171261000000008</v>
      </c>
      <c r="S140">
        <f t="shared" si="5"/>
        <v>9.9538137560000006</v>
      </c>
    </row>
    <row r="141" spans="1:19">
      <c r="A141" s="6">
        <v>42083</v>
      </c>
      <c r="B141" t="s">
        <v>28</v>
      </c>
      <c r="C141">
        <v>37</v>
      </c>
      <c r="D141" t="s">
        <v>19</v>
      </c>
      <c r="F141">
        <v>2.93</v>
      </c>
      <c r="J141">
        <f>SUM(116,139,153,162,165)</f>
        <v>735</v>
      </c>
      <c r="K141">
        <v>5</v>
      </c>
      <c r="L141">
        <v>165</v>
      </c>
      <c r="N141" t="str">
        <f t="shared" si="4"/>
        <v>NA</v>
      </c>
      <c r="O141">
        <v>17.129719000000001</v>
      </c>
      <c r="S141">
        <f t="shared" si="5"/>
        <v>6.7425589977500007</v>
      </c>
    </row>
    <row r="142" spans="1:19">
      <c r="A142" s="6">
        <v>42083</v>
      </c>
      <c r="B142" t="s">
        <v>28</v>
      </c>
      <c r="C142">
        <v>37</v>
      </c>
      <c r="D142" t="s">
        <v>19</v>
      </c>
      <c r="F142">
        <v>0.73</v>
      </c>
      <c r="J142">
        <f>SUM(12,33,50,57)</f>
        <v>152</v>
      </c>
      <c r="K142">
        <v>4</v>
      </c>
      <c r="L142">
        <v>57</v>
      </c>
      <c r="N142" t="str">
        <f t="shared" si="4"/>
        <v>NA</v>
      </c>
      <c r="O142">
        <v>2.0273669999999981</v>
      </c>
      <c r="S142">
        <f t="shared" si="5"/>
        <v>0.41853832774999994</v>
      </c>
    </row>
    <row r="143" spans="1:19">
      <c r="A143" s="6">
        <v>42083</v>
      </c>
      <c r="B143" t="s">
        <v>28</v>
      </c>
      <c r="C143">
        <v>37</v>
      </c>
      <c r="D143" t="s">
        <v>19</v>
      </c>
      <c r="F143">
        <v>1.45</v>
      </c>
      <c r="J143">
        <f>SUM(24,44,47,54)</f>
        <v>169</v>
      </c>
      <c r="K143">
        <v>4</v>
      </c>
      <c r="L143">
        <v>54</v>
      </c>
      <c r="N143" t="str">
        <f t="shared" si="4"/>
        <v>NA</v>
      </c>
      <c r="O143">
        <v>4.5249370000000013</v>
      </c>
      <c r="S143">
        <f t="shared" si="5"/>
        <v>1.6512982437499999</v>
      </c>
    </row>
    <row r="144" spans="1:19">
      <c r="A144" s="6">
        <v>42083</v>
      </c>
      <c r="B144" t="s">
        <v>28</v>
      </c>
      <c r="C144">
        <v>37</v>
      </c>
      <c r="D144" t="s">
        <v>19</v>
      </c>
      <c r="F144">
        <v>1.43</v>
      </c>
      <c r="J144">
        <f>SUM(20,41,45,64,72,76)</f>
        <v>318</v>
      </c>
      <c r="K144">
        <v>6</v>
      </c>
      <c r="L144">
        <v>76</v>
      </c>
      <c r="N144" t="str">
        <f t="shared" si="4"/>
        <v>NA</v>
      </c>
      <c r="O144" t="s">
        <v>64</v>
      </c>
      <c r="S144">
        <f t="shared" si="5"/>
        <v>1.6060593477499998</v>
      </c>
    </row>
    <row r="145" spans="1:19">
      <c r="A145" s="6">
        <v>42083</v>
      </c>
      <c r="B145" t="s">
        <v>28</v>
      </c>
      <c r="C145">
        <v>37</v>
      </c>
      <c r="D145" t="s">
        <v>19</v>
      </c>
      <c r="F145">
        <v>0.65</v>
      </c>
      <c r="J145">
        <f>SUM(25,40,42)</f>
        <v>107</v>
      </c>
      <c r="K145">
        <v>3</v>
      </c>
      <c r="L145">
        <v>42</v>
      </c>
      <c r="N145" t="str">
        <f t="shared" si="4"/>
        <v>NA</v>
      </c>
      <c r="O145">
        <v>9.3494199999999985</v>
      </c>
      <c r="S145">
        <f t="shared" si="5"/>
        <v>0.33183044375000004</v>
      </c>
    </row>
    <row r="146" spans="1:19">
      <c r="A146" s="6">
        <v>42083</v>
      </c>
      <c r="B146" t="s">
        <v>28</v>
      </c>
      <c r="C146">
        <v>37</v>
      </c>
      <c r="D146" t="s">
        <v>19</v>
      </c>
      <c r="F146">
        <v>0.9</v>
      </c>
      <c r="J146">
        <f>SUM(22,37,46,47)</f>
        <v>152</v>
      </c>
      <c r="K146">
        <v>4</v>
      </c>
      <c r="L146">
        <v>47</v>
      </c>
      <c r="N146" t="str">
        <f t="shared" si="4"/>
        <v>NA</v>
      </c>
      <c r="O146">
        <v>5.0398169999999993</v>
      </c>
      <c r="S146">
        <f t="shared" si="5"/>
        <v>0.636171975</v>
      </c>
    </row>
    <row r="147" spans="1:19">
      <c r="A147" s="6">
        <v>42083</v>
      </c>
      <c r="B147" t="s">
        <v>28</v>
      </c>
      <c r="C147">
        <v>37</v>
      </c>
      <c r="D147" t="s">
        <v>19</v>
      </c>
      <c r="F147">
        <v>0.68</v>
      </c>
      <c r="J147">
        <f>SUM(11,32,37,41)</f>
        <v>121</v>
      </c>
      <c r="K147">
        <v>4</v>
      </c>
      <c r="L147">
        <v>41</v>
      </c>
      <c r="N147" t="str">
        <f t="shared" si="4"/>
        <v>NA</v>
      </c>
      <c r="O147">
        <v>3.9408819999999984</v>
      </c>
      <c r="S147">
        <f t="shared" si="5"/>
        <v>0.36316780400000004</v>
      </c>
    </row>
    <row r="148" spans="1:19">
      <c r="A148" s="6">
        <v>42083</v>
      </c>
      <c r="B148" t="s">
        <v>28</v>
      </c>
      <c r="C148">
        <v>40</v>
      </c>
      <c r="D148" t="s">
        <v>19</v>
      </c>
      <c r="F148">
        <v>1.06</v>
      </c>
      <c r="J148">
        <f>SUM(51,57,72,93,100,102)</f>
        <v>475</v>
      </c>
      <c r="K148">
        <v>6</v>
      </c>
      <c r="L148">
        <v>102</v>
      </c>
      <c r="N148" t="str">
        <f t="shared" si="4"/>
        <v>NA</v>
      </c>
      <c r="O148">
        <v>4.7095009999999995</v>
      </c>
      <c r="S148">
        <f t="shared" si="5"/>
        <v>0.88247263100000006</v>
      </c>
    </row>
    <row r="149" spans="1:19">
      <c r="A149" s="6">
        <v>42083</v>
      </c>
      <c r="B149" t="s">
        <v>28</v>
      </c>
      <c r="C149">
        <v>40</v>
      </c>
      <c r="D149" t="s">
        <v>19</v>
      </c>
      <c r="F149">
        <v>1.57</v>
      </c>
      <c r="J149">
        <f>SUM(66,67,68,95,109,104)</f>
        <v>509</v>
      </c>
      <c r="K149">
        <v>6</v>
      </c>
      <c r="L149">
        <v>109</v>
      </c>
      <c r="N149" t="str">
        <f t="shared" si="4"/>
        <v>NA</v>
      </c>
      <c r="O149">
        <v>5.7884560000000036</v>
      </c>
      <c r="S149">
        <f t="shared" si="5"/>
        <v>1.93592629775</v>
      </c>
    </row>
    <row r="150" spans="1:19">
      <c r="A150" s="6">
        <v>42083</v>
      </c>
      <c r="B150" t="s">
        <v>28</v>
      </c>
      <c r="C150">
        <v>40</v>
      </c>
      <c r="D150" t="s">
        <v>19</v>
      </c>
      <c r="F150">
        <v>1.56</v>
      </c>
      <c r="J150">
        <f>SUM(45,51,74,88,94)</f>
        <v>352</v>
      </c>
      <c r="K150">
        <v>5</v>
      </c>
      <c r="L150">
        <v>94</v>
      </c>
      <c r="N150" t="str">
        <f t="shared" si="4"/>
        <v>NA</v>
      </c>
      <c r="O150">
        <v>2.6099490000000038</v>
      </c>
      <c r="S150">
        <f t="shared" si="5"/>
        <v>1.9113433560000002</v>
      </c>
    </row>
    <row r="151" spans="1:19">
      <c r="A151" s="6">
        <v>42083</v>
      </c>
      <c r="B151" t="s">
        <v>28</v>
      </c>
      <c r="C151">
        <v>40</v>
      </c>
      <c r="D151" t="s">
        <v>19</v>
      </c>
      <c r="F151">
        <v>0.55000000000000004</v>
      </c>
      <c r="J151">
        <f>SUM(28,42,50)</f>
        <v>120</v>
      </c>
      <c r="K151">
        <v>3</v>
      </c>
      <c r="L151">
        <v>50</v>
      </c>
      <c r="N151" t="str">
        <f t="shared" si="4"/>
        <v>NA</v>
      </c>
      <c r="O151">
        <v>8.1582749999999962</v>
      </c>
      <c r="S151">
        <f t="shared" si="5"/>
        <v>0.23758274375000002</v>
      </c>
    </row>
    <row r="152" spans="1:19">
      <c r="A152" s="6">
        <v>42083</v>
      </c>
      <c r="B152" t="s">
        <v>28</v>
      </c>
      <c r="C152">
        <v>40</v>
      </c>
      <c r="D152" t="s">
        <v>19</v>
      </c>
      <c r="F152">
        <v>1.38</v>
      </c>
      <c r="J152">
        <f>SUM(51,86,88,115,116)</f>
        <v>456</v>
      </c>
      <c r="K152">
        <v>5</v>
      </c>
      <c r="L152">
        <v>116</v>
      </c>
      <c r="N152" t="str">
        <f t="shared" si="4"/>
        <v>NA</v>
      </c>
      <c r="O152">
        <v>5.7330789999999965</v>
      </c>
      <c r="S152">
        <f t="shared" si="5"/>
        <v>1.4957109989999997</v>
      </c>
    </row>
    <row r="153" spans="1:19">
      <c r="A153" s="6">
        <v>42083</v>
      </c>
      <c r="B153" t="s">
        <v>28</v>
      </c>
      <c r="C153">
        <v>40</v>
      </c>
      <c r="D153" t="s">
        <v>19</v>
      </c>
      <c r="F153">
        <v>1.43</v>
      </c>
      <c r="J153">
        <f>SUM(34,42,68,79,104,116)</f>
        <v>443</v>
      </c>
      <c r="K153">
        <v>6</v>
      </c>
      <c r="L153">
        <v>116</v>
      </c>
      <c r="N153" t="str">
        <f t="shared" si="4"/>
        <v>NA</v>
      </c>
      <c r="O153" t="s">
        <v>64</v>
      </c>
      <c r="S153">
        <f t="shared" si="5"/>
        <v>1.6060593477499998</v>
      </c>
    </row>
    <row r="154" spans="1:19">
      <c r="A154" s="6">
        <v>42083</v>
      </c>
      <c r="B154" t="s">
        <v>28</v>
      </c>
      <c r="C154">
        <v>40</v>
      </c>
      <c r="D154" t="s">
        <v>19</v>
      </c>
      <c r="F154">
        <v>1.18</v>
      </c>
      <c r="J154">
        <f>SUM(43,56,51)</f>
        <v>150</v>
      </c>
      <c r="K154">
        <v>3</v>
      </c>
      <c r="L154">
        <v>56</v>
      </c>
      <c r="N154" t="str">
        <f t="shared" si="4"/>
        <v>NA</v>
      </c>
      <c r="O154">
        <v>9.1634549999999955</v>
      </c>
      <c r="S154">
        <f t="shared" si="5"/>
        <v>1.0935874789999998</v>
      </c>
    </row>
    <row r="155" spans="1:19">
      <c r="A155" s="6">
        <v>42083</v>
      </c>
      <c r="B155" t="s">
        <v>28</v>
      </c>
      <c r="C155">
        <v>40</v>
      </c>
      <c r="D155" t="s">
        <v>19</v>
      </c>
      <c r="F155">
        <v>0.74</v>
      </c>
      <c r="J155">
        <f>SUM(30,43,47)</f>
        <v>120</v>
      </c>
      <c r="K155">
        <v>3</v>
      </c>
      <c r="L155">
        <v>47</v>
      </c>
      <c r="N155" t="str">
        <f t="shared" si="4"/>
        <v>NA</v>
      </c>
      <c r="O155">
        <v>9.0620099999999972</v>
      </c>
      <c r="S155">
        <f t="shared" si="5"/>
        <v>0.43008367099999995</v>
      </c>
    </row>
    <row r="156" spans="1:19">
      <c r="A156" s="6">
        <v>42083</v>
      </c>
      <c r="B156" t="s">
        <v>20</v>
      </c>
      <c r="C156">
        <v>4</v>
      </c>
      <c r="D156" t="s">
        <v>19</v>
      </c>
      <c r="M156" t="s">
        <v>62</v>
      </c>
      <c r="N156" t="str">
        <f t="shared" si="4"/>
        <v>NA</v>
      </c>
      <c r="O156" t="s">
        <v>64</v>
      </c>
      <c r="S156">
        <f t="shared" si="5"/>
        <v>0</v>
      </c>
    </row>
    <row r="157" spans="1:19">
      <c r="A157" s="6">
        <v>42083</v>
      </c>
      <c r="B157" t="s">
        <v>20</v>
      </c>
      <c r="C157">
        <v>22</v>
      </c>
      <c r="D157" t="s">
        <v>19</v>
      </c>
      <c r="F157">
        <v>1.55</v>
      </c>
      <c r="J157">
        <f>SUM(50,66,93,94,114,116)</f>
        <v>533</v>
      </c>
      <c r="K157">
        <v>6</v>
      </c>
      <c r="L157">
        <v>116</v>
      </c>
      <c r="N157" t="str">
        <f t="shared" si="4"/>
        <v>NA</v>
      </c>
      <c r="O157">
        <v>5.9298609999999954</v>
      </c>
      <c r="S157">
        <f t="shared" si="5"/>
        <v>1.8869174937500002</v>
      </c>
    </row>
    <row r="158" spans="1:19">
      <c r="A158" s="6">
        <v>42083</v>
      </c>
      <c r="B158" t="s">
        <v>20</v>
      </c>
      <c r="C158">
        <v>22</v>
      </c>
      <c r="D158" t="s">
        <v>19</v>
      </c>
      <c r="F158">
        <v>2</v>
      </c>
      <c r="J158">
        <f>SUM(66,90,115,115,141,145)</f>
        <v>672</v>
      </c>
      <c r="K158">
        <v>6</v>
      </c>
      <c r="L158">
        <v>145</v>
      </c>
      <c r="N158" t="str">
        <f t="shared" si="4"/>
        <v>NA</v>
      </c>
      <c r="O158">
        <v>10.225701000000001</v>
      </c>
      <c r="S158">
        <f t="shared" si="5"/>
        <v>3.1415899999999999</v>
      </c>
    </row>
    <row r="159" spans="1:19">
      <c r="A159" s="6">
        <v>42083</v>
      </c>
      <c r="B159" t="s">
        <v>20</v>
      </c>
      <c r="C159">
        <v>22</v>
      </c>
      <c r="D159" t="s">
        <v>19</v>
      </c>
      <c r="F159">
        <v>0.76</v>
      </c>
      <c r="J159">
        <v>50</v>
      </c>
      <c r="K159">
        <v>2</v>
      </c>
      <c r="L159">
        <v>28</v>
      </c>
      <c r="N159" t="str">
        <f t="shared" si="4"/>
        <v>NA</v>
      </c>
      <c r="O159">
        <v>15.245167999999996</v>
      </c>
      <c r="S159">
        <f t="shared" si="5"/>
        <v>0.45364559599999998</v>
      </c>
    </row>
    <row r="160" spans="1:19">
      <c r="A160" s="6">
        <v>42083</v>
      </c>
      <c r="B160" t="s">
        <v>20</v>
      </c>
      <c r="C160">
        <v>23</v>
      </c>
      <c r="D160" s="8" t="s">
        <v>61</v>
      </c>
      <c r="E160">
        <v>53</v>
      </c>
      <c r="F160">
        <v>0.68</v>
      </c>
      <c r="N160">
        <f t="shared" si="4"/>
        <v>6.4159645373333332</v>
      </c>
      <c r="O160" t="s">
        <v>64</v>
      </c>
      <c r="S160">
        <f t="shared" si="5"/>
        <v>0.36316780400000004</v>
      </c>
    </row>
    <row r="161" spans="1:19">
      <c r="A161" s="6">
        <v>42083</v>
      </c>
      <c r="B161" t="s">
        <v>20</v>
      </c>
      <c r="C161">
        <v>23</v>
      </c>
      <c r="D161" s="8" t="s">
        <v>61</v>
      </c>
      <c r="E161">
        <v>39</v>
      </c>
      <c r="F161">
        <v>0.74</v>
      </c>
      <c r="N161">
        <f t="shared" si="4"/>
        <v>5.5910877229999993</v>
      </c>
      <c r="O161" t="s">
        <v>64</v>
      </c>
      <c r="S161">
        <f t="shared" si="5"/>
        <v>0.43008367099999995</v>
      </c>
    </row>
    <row r="162" spans="1:19">
      <c r="A162" s="6">
        <v>42083</v>
      </c>
      <c r="B162" t="s">
        <v>20</v>
      </c>
      <c r="C162">
        <v>23</v>
      </c>
      <c r="D162" t="s">
        <v>19</v>
      </c>
      <c r="F162">
        <v>0.66</v>
      </c>
      <c r="J162">
        <f>SUM(58)</f>
        <v>58</v>
      </c>
      <c r="K162">
        <v>2</v>
      </c>
      <c r="L162">
        <v>30</v>
      </c>
      <c r="N162" t="str">
        <f t="shared" si="4"/>
        <v>NA</v>
      </c>
      <c r="O162">
        <v>15.392717999999999</v>
      </c>
      <c r="S162">
        <f t="shared" si="5"/>
        <v>0.34211915100000001</v>
      </c>
    </row>
    <row r="163" spans="1:19">
      <c r="A163" s="6">
        <v>42083</v>
      </c>
      <c r="B163" t="s">
        <v>20</v>
      </c>
      <c r="C163">
        <v>23</v>
      </c>
      <c r="D163" t="s">
        <v>19</v>
      </c>
      <c r="F163">
        <v>0.94</v>
      </c>
      <c r="J163">
        <f>SUM(35,42,45)</f>
        <v>122</v>
      </c>
      <c r="K163">
        <v>3</v>
      </c>
      <c r="L163">
        <v>45</v>
      </c>
      <c r="N163" t="str">
        <f t="shared" si="4"/>
        <v>NA</v>
      </c>
      <c r="O163">
        <v>9.8520099999999964</v>
      </c>
      <c r="S163">
        <f t="shared" si="5"/>
        <v>0.69397723099999997</v>
      </c>
    </row>
    <row r="164" spans="1:19">
      <c r="A164" s="6">
        <v>42083</v>
      </c>
      <c r="B164" t="s">
        <v>20</v>
      </c>
      <c r="C164">
        <v>23</v>
      </c>
      <c r="D164" t="s">
        <v>19</v>
      </c>
      <c r="F164">
        <v>1.55</v>
      </c>
      <c r="J164">
        <f>SUM(23,49,49,50)</f>
        <v>171</v>
      </c>
      <c r="K164">
        <v>4</v>
      </c>
      <c r="L164">
        <v>50</v>
      </c>
      <c r="N164" t="str">
        <f t="shared" si="4"/>
        <v>NA</v>
      </c>
      <c r="O164">
        <v>5.917427</v>
      </c>
      <c r="S164">
        <f t="shared" si="5"/>
        <v>1.8869174937500002</v>
      </c>
    </row>
    <row r="165" spans="1:19">
      <c r="A165" s="6">
        <v>42083</v>
      </c>
      <c r="B165" t="s">
        <v>20</v>
      </c>
      <c r="C165">
        <v>23</v>
      </c>
      <c r="D165" t="s">
        <v>19</v>
      </c>
      <c r="F165">
        <v>1.1000000000000001</v>
      </c>
      <c r="J165">
        <f>SUM(22,39,40,51)</f>
        <v>152</v>
      </c>
      <c r="K165">
        <v>4</v>
      </c>
      <c r="L165">
        <v>51</v>
      </c>
      <c r="N165" t="str">
        <f t="shared" si="4"/>
        <v>NA</v>
      </c>
      <c r="O165">
        <v>3.8348370000000003</v>
      </c>
      <c r="S165">
        <f t="shared" si="5"/>
        <v>0.95033097500000008</v>
      </c>
    </row>
    <row r="166" spans="1:19">
      <c r="A166" s="6">
        <v>42083</v>
      </c>
      <c r="B166" t="s">
        <v>20</v>
      </c>
      <c r="C166">
        <v>23</v>
      </c>
      <c r="D166" t="s">
        <v>19</v>
      </c>
      <c r="F166">
        <v>1.28</v>
      </c>
      <c r="J166">
        <f>SUM(45,72,81,85)</f>
        <v>283</v>
      </c>
      <c r="K166">
        <v>4</v>
      </c>
      <c r="L166">
        <v>85</v>
      </c>
      <c r="N166" t="str">
        <f t="shared" si="4"/>
        <v>NA</v>
      </c>
      <c r="O166">
        <v>5.8744119999999995</v>
      </c>
      <c r="S166">
        <f t="shared" si="5"/>
        <v>1.286795264</v>
      </c>
    </row>
    <row r="167" spans="1:19">
      <c r="A167" s="6">
        <v>42083</v>
      </c>
      <c r="B167" t="s">
        <v>20</v>
      </c>
      <c r="C167">
        <v>23</v>
      </c>
      <c r="D167" t="s">
        <v>19</v>
      </c>
      <c r="F167">
        <v>1.1499999999999999</v>
      </c>
      <c r="J167">
        <f>SUM(21,36,50,75,75)</f>
        <v>257</v>
      </c>
      <c r="K167">
        <v>5</v>
      </c>
      <c r="L167">
        <v>75</v>
      </c>
      <c r="N167" t="str">
        <f t="shared" si="4"/>
        <v>NA</v>
      </c>
      <c r="O167" t="s">
        <v>64</v>
      </c>
      <c r="S167">
        <f t="shared" si="5"/>
        <v>1.0386881937499999</v>
      </c>
    </row>
    <row r="168" spans="1:19">
      <c r="A168" s="6">
        <v>42083</v>
      </c>
      <c r="B168" t="s">
        <v>20</v>
      </c>
      <c r="C168">
        <v>23</v>
      </c>
      <c r="D168" t="s">
        <v>19</v>
      </c>
      <c r="F168">
        <v>1.1499999999999999</v>
      </c>
      <c r="J168">
        <f>SUM(45,55,55)</f>
        <v>155</v>
      </c>
      <c r="K168">
        <v>3</v>
      </c>
      <c r="L168">
        <v>55</v>
      </c>
      <c r="N168" t="str">
        <f t="shared" si="4"/>
        <v>NA</v>
      </c>
      <c r="O168">
        <v>9.9334749999999978</v>
      </c>
      <c r="S168">
        <f t="shared" si="5"/>
        <v>1.0386881937499999</v>
      </c>
    </row>
    <row r="169" spans="1:19">
      <c r="A169" s="6">
        <v>42083</v>
      </c>
      <c r="B169" t="s">
        <v>20</v>
      </c>
      <c r="C169">
        <v>23</v>
      </c>
      <c r="D169" t="s">
        <v>19</v>
      </c>
      <c r="F169">
        <v>0.92</v>
      </c>
      <c r="J169">
        <f>SUM(15,15,30,37,42)</f>
        <v>139</v>
      </c>
      <c r="K169">
        <v>5</v>
      </c>
      <c r="L169">
        <v>42</v>
      </c>
      <c r="N169" t="str">
        <f t="shared" si="4"/>
        <v>NA</v>
      </c>
      <c r="O169" t="s">
        <v>64</v>
      </c>
      <c r="S169">
        <f t="shared" si="5"/>
        <v>0.66476044400000001</v>
      </c>
    </row>
    <row r="170" spans="1:19">
      <c r="A170" s="6">
        <v>42083</v>
      </c>
      <c r="B170" t="s">
        <v>20</v>
      </c>
      <c r="C170">
        <v>23</v>
      </c>
      <c r="D170" t="s">
        <v>19</v>
      </c>
      <c r="F170">
        <v>1.1499999999999999</v>
      </c>
      <c r="J170">
        <f>SUM(24,50,61,73)</f>
        <v>208</v>
      </c>
      <c r="K170">
        <v>4</v>
      </c>
      <c r="L170">
        <v>73</v>
      </c>
      <c r="N170" t="str">
        <f t="shared" si="4"/>
        <v>NA</v>
      </c>
      <c r="O170">
        <v>2.4577269999999984</v>
      </c>
      <c r="S170">
        <f t="shared" si="5"/>
        <v>1.0386881937499999</v>
      </c>
    </row>
    <row r="171" spans="1:19">
      <c r="A171" s="6">
        <v>42083</v>
      </c>
      <c r="B171" t="s">
        <v>20</v>
      </c>
      <c r="C171">
        <v>23</v>
      </c>
      <c r="D171" t="s">
        <v>19</v>
      </c>
      <c r="F171">
        <v>0.51</v>
      </c>
      <c r="J171">
        <f>SUM(29,35,34)</f>
        <v>98</v>
      </c>
      <c r="K171">
        <v>3</v>
      </c>
      <c r="L171">
        <v>35</v>
      </c>
      <c r="N171" t="str">
        <f t="shared" si="4"/>
        <v>NA</v>
      </c>
      <c r="O171">
        <v>10.614339999999999</v>
      </c>
      <c r="S171">
        <f t="shared" si="5"/>
        <v>0.20428188975</v>
      </c>
    </row>
    <row r="172" spans="1:19">
      <c r="A172" s="6">
        <v>42083</v>
      </c>
      <c r="B172" t="s">
        <v>20</v>
      </c>
      <c r="C172">
        <v>23</v>
      </c>
      <c r="D172" t="s">
        <v>19</v>
      </c>
      <c r="F172">
        <v>1.38</v>
      </c>
      <c r="J172">
        <f>SUM(25,40)</f>
        <v>65</v>
      </c>
      <c r="K172">
        <v>2</v>
      </c>
      <c r="L172">
        <v>40</v>
      </c>
      <c r="N172" t="str">
        <f t="shared" si="4"/>
        <v>NA</v>
      </c>
      <c r="O172">
        <v>13.036552999999998</v>
      </c>
      <c r="S172">
        <f t="shared" si="5"/>
        <v>1.4957109989999997</v>
      </c>
    </row>
    <row r="173" spans="1:19">
      <c r="A173" s="6">
        <v>42083</v>
      </c>
      <c r="B173" t="s">
        <v>20</v>
      </c>
      <c r="C173">
        <v>23</v>
      </c>
      <c r="D173" t="s">
        <v>19</v>
      </c>
      <c r="F173">
        <v>1.21</v>
      </c>
      <c r="J173">
        <f>SUM(43,75,94,113,129)</f>
        <v>454</v>
      </c>
      <c r="K173">
        <v>5</v>
      </c>
      <c r="L173">
        <v>129</v>
      </c>
      <c r="N173" t="str">
        <f t="shared" si="4"/>
        <v>NA</v>
      </c>
      <c r="O173">
        <v>1.6293840000000017</v>
      </c>
      <c r="S173">
        <f t="shared" si="5"/>
        <v>1.1499004797499999</v>
      </c>
    </row>
    <row r="174" spans="1:19">
      <c r="A174" s="6">
        <v>42083</v>
      </c>
      <c r="B174" t="s">
        <v>20</v>
      </c>
      <c r="C174">
        <v>23</v>
      </c>
      <c r="D174" t="s">
        <v>19</v>
      </c>
      <c r="F174">
        <v>1.21</v>
      </c>
      <c r="J174">
        <f>SUM(27,34,62,78,70)</f>
        <v>271</v>
      </c>
      <c r="K174">
        <v>5</v>
      </c>
      <c r="L174">
        <v>78</v>
      </c>
      <c r="N174" t="str">
        <f t="shared" si="4"/>
        <v>NA</v>
      </c>
      <c r="O174" t="s">
        <v>64</v>
      </c>
      <c r="S174">
        <f t="shared" si="5"/>
        <v>1.1499004797499999</v>
      </c>
    </row>
    <row r="175" spans="1:19">
      <c r="A175" s="6">
        <v>42083</v>
      </c>
      <c r="B175" t="s">
        <v>20</v>
      </c>
      <c r="C175">
        <v>23</v>
      </c>
      <c r="D175" t="s">
        <v>19</v>
      </c>
      <c r="F175">
        <v>1.1100000000000001</v>
      </c>
      <c r="J175">
        <f>SUM(56,70,95,96,113)</f>
        <v>430</v>
      </c>
      <c r="K175">
        <v>5</v>
      </c>
      <c r="L175">
        <v>113</v>
      </c>
      <c r="N175" t="str">
        <f t="shared" si="4"/>
        <v>NA</v>
      </c>
      <c r="O175">
        <v>4.1991840000000025</v>
      </c>
      <c r="S175">
        <f t="shared" si="5"/>
        <v>0.96768825975000017</v>
      </c>
    </row>
    <row r="176" spans="1:19">
      <c r="A176" s="6">
        <v>42083</v>
      </c>
      <c r="B176" t="s">
        <v>20</v>
      </c>
      <c r="C176">
        <v>23</v>
      </c>
      <c r="D176" t="s">
        <v>19</v>
      </c>
      <c r="F176">
        <v>2.48</v>
      </c>
      <c r="J176">
        <f>SUM(40,77,25,26,51)</f>
        <v>219</v>
      </c>
      <c r="K176">
        <v>5</v>
      </c>
      <c r="L176">
        <v>77</v>
      </c>
      <c r="N176" t="str">
        <f t="shared" si="4"/>
        <v>NA</v>
      </c>
      <c r="O176" t="s">
        <v>64</v>
      </c>
      <c r="S176">
        <f t="shared" si="5"/>
        <v>4.8305087840000001</v>
      </c>
    </row>
    <row r="177" spans="1:19">
      <c r="A177" s="6">
        <v>42083</v>
      </c>
      <c r="B177" t="s">
        <v>20</v>
      </c>
      <c r="C177">
        <v>23</v>
      </c>
      <c r="D177" t="s">
        <v>19</v>
      </c>
      <c r="F177">
        <v>1.1200000000000001</v>
      </c>
      <c r="J177">
        <f>SUM(42,46,71,83,92)</f>
        <v>334</v>
      </c>
      <c r="K177">
        <v>5</v>
      </c>
      <c r="L177">
        <v>92</v>
      </c>
      <c r="N177" t="str">
        <f t="shared" si="4"/>
        <v>NA</v>
      </c>
      <c r="O177">
        <v>1.5248489999999997</v>
      </c>
      <c r="S177">
        <f t="shared" si="5"/>
        <v>0.98520262400000014</v>
      </c>
    </row>
    <row r="178" spans="1:19">
      <c r="A178" s="6">
        <v>42083</v>
      </c>
      <c r="B178" t="s">
        <v>20</v>
      </c>
      <c r="C178">
        <v>29</v>
      </c>
      <c r="D178" t="s">
        <v>19</v>
      </c>
      <c r="F178">
        <v>1.05</v>
      </c>
      <c r="J178">
        <f>SUM(70,77,104,105)</f>
        <v>356</v>
      </c>
      <c r="K178">
        <v>4</v>
      </c>
      <c r="L178">
        <v>105</v>
      </c>
      <c r="N178" t="str">
        <f t="shared" si="4"/>
        <v>NA</v>
      </c>
      <c r="O178">
        <v>6.6936270000000029</v>
      </c>
      <c r="S178">
        <f t="shared" si="5"/>
        <v>0.86590074375000003</v>
      </c>
    </row>
    <row r="179" spans="1:19">
      <c r="A179" s="6">
        <v>42083</v>
      </c>
      <c r="B179" t="s">
        <v>20</v>
      </c>
      <c r="C179">
        <v>29</v>
      </c>
      <c r="D179" t="s">
        <v>19</v>
      </c>
      <c r="F179">
        <v>1.88</v>
      </c>
      <c r="J179">
        <f>SUM(56,94,113,140,144,159)</f>
        <v>706</v>
      </c>
      <c r="K179">
        <v>6</v>
      </c>
      <c r="L179">
        <v>159</v>
      </c>
      <c r="N179" t="str">
        <f t="shared" si="4"/>
        <v>NA</v>
      </c>
      <c r="O179">
        <v>9.1959409999999977</v>
      </c>
      <c r="S179">
        <f t="shared" si="5"/>
        <v>2.7759089239999999</v>
      </c>
    </row>
    <row r="180" spans="1:19">
      <c r="A180" s="6">
        <v>42083</v>
      </c>
      <c r="B180" t="s">
        <v>20</v>
      </c>
      <c r="C180">
        <v>29</v>
      </c>
      <c r="D180" t="s">
        <v>19</v>
      </c>
      <c r="F180">
        <v>2.81</v>
      </c>
      <c r="J180">
        <f>SUM(118,130,146,154,165,174)</f>
        <v>887</v>
      </c>
      <c r="K180">
        <v>6</v>
      </c>
      <c r="L180">
        <v>174</v>
      </c>
      <c r="N180" t="str">
        <f t="shared" si="4"/>
        <v>NA</v>
      </c>
      <c r="O180">
        <v>21.646920999999999</v>
      </c>
      <c r="S180">
        <f t="shared" si="5"/>
        <v>6.20157719975</v>
      </c>
    </row>
    <row r="181" spans="1:19">
      <c r="A181" s="6">
        <v>42083</v>
      </c>
      <c r="B181" t="s">
        <v>20</v>
      </c>
      <c r="C181">
        <v>29</v>
      </c>
      <c r="D181" t="s">
        <v>19</v>
      </c>
      <c r="F181">
        <v>1.49</v>
      </c>
      <c r="J181">
        <f>SUM(49,65,72)</f>
        <v>186</v>
      </c>
      <c r="K181">
        <v>3</v>
      </c>
      <c r="L181">
        <v>72</v>
      </c>
      <c r="N181" t="str">
        <f t="shared" si="4"/>
        <v>NA</v>
      </c>
      <c r="O181">
        <v>7.7187149999999995</v>
      </c>
      <c r="S181">
        <f t="shared" si="5"/>
        <v>1.7436609897499999</v>
      </c>
    </row>
    <row r="182" spans="1:19">
      <c r="A182" s="6">
        <v>42083</v>
      </c>
      <c r="B182" t="s">
        <v>20</v>
      </c>
      <c r="C182">
        <v>29</v>
      </c>
      <c r="D182" t="s">
        <v>19</v>
      </c>
      <c r="F182">
        <v>1.66</v>
      </c>
      <c r="J182">
        <f>SUM(85,96,110)</f>
        <v>291</v>
      </c>
      <c r="K182">
        <v>3</v>
      </c>
      <c r="L182">
        <v>110</v>
      </c>
      <c r="N182" t="str">
        <f t="shared" si="4"/>
        <v>NA</v>
      </c>
      <c r="O182">
        <v>6.1156799999999976</v>
      </c>
      <c r="S182">
        <f t="shared" si="5"/>
        <v>2.1642413509999998</v>
      </c>
    </row>
    <row r="183" spans="1:19">
      <c r="A183" s="6">
        <v>42083</v>
      </c>
      <c r="B183" t="s">
        <v>20</v>
      </c>
      <c r="C183">
        <v>29</v>
      </c>
      <c r="D183" t="s">
        <v>19</v>
      </c>
      <c r="F183">
        <v>0.9</v>
      </c>
      <c r="J183">
        <f>SUM(17,39,74,92,104)</f>
        <v>326</v>
      </c>
      <c r="K183">
        <v>5</v>
      </c>
      <c r="L183">
        <v>104</v>
      </c>
      <c r="N183" t="str">
        <f t="shared" si="4"/>
        <v>NA</v>
      </c>
      <c r="O183" t="s">
        <v>64</v>
      </c>
      <c r="S183">
        <f t="shared" si="5"/>
        <v>0.636171975</v>
      </c>
    </row>
    <row r="184" spans="1:19">
      <c r="A184" s="6">
        <v>42083</v>
      </c>
      <c r="B184" t="s">
        <v>20</v>
      </c>
      <c r="C184">
        <v>29</v>
      </c>
      <c r="D184" t="s">
        <v>19</v>
      </c>
      <c r="F184">
        <v>1.04</v>
      </c>
      <c r="J184">
        <f>SUM(49,58,78,79)</f>
        <v>264</v>
      </c>
      <c r="K184">
        <v>4</v>
      </c>
      <c r="L184">
        <v>79</v>
      </c>
      <c r="N184" t="str">
        <f t="shared" si="4"/>
        <v>NA</v>
      </c>
      <c r="O184">
        <v>5.9005369999999999</v>
      </c>
      <c r="S184">
        <f t="shared" si="5"/>
        <v>0.84948593600000011</v>
      </c>
    </row>
    <row r="185" spans="1:19">
      <c r="A185" s="6">
        <v>42083</v>
      </c>
      <c r="B185" t="s">
        <v>20</v>
      </c>
      <c r="C185">
        <v>29</v>
      </c>
      <c r="D185" t="s">
        <v>19</v>
      </c>
      <c r="F185">
        <v>1.79</v>
      </c>
      <c r="J185">
        <f>SUM(34,68,87,127,132,147,164)</f>
        <v>759</v>
      </c>
      <c r="K185">
        <v>1</v>
      </c>
      <c r="L185">
        <v>164</v>
      </c>
      <c r="N185" t="str">
        <f t="shared" si="4"/>
        <v>NA</v>
      </c>
      <c r="O185">
        <v>47.770496000000016</v>
      </c>
      <c r="S185">
        <f t="shared" si="5"/>
        <v>2.51649212975</v>
      </c>
    </row>
    <row r="186" spans="1:19">
      <c r="A186" s="6">
        <v>42083</v>
      </c>
      <c r="B186" t="s">
        <v>20</v>
      </c>
      <c r="C186">
        <v>29</v>
      </c>
      <c r="D186" t="s">
        <v>19</v>
      </c>
      <c r="F186">
        <v>1.21</v>
      </c>
      <c r="J186">
        <f>SUM(32,50,65,87,111,121)</f>
        <v>466</v>
      </c>
      <c r="K186">
        <v>6</v>
      </c>
      <c r="L186">
        <v>121</v>
      </c>
      <c r="N186" t="str">
        <f t="shared" si="4"/>
        <v>NA</v>
      </c>
      <c r="O186" t="s">
        <v>64</v>
      </c>
      <c r="S186">
        <f t="shared" si="5"/>
        <v>1.1499004797499999</v>
      </c>
    </row>
    <row r="187" spans="1:19">
      <c r="A187" s="6">
        <v>42083</v>
      </c>
      <c r="B187" t="s">
        <v>20</v>
      </c>
      <c r="C187">
        <v>29</v>
      </c>
      <c r="D187" t="s">
        <v>19</v>
      </c>
      <c r="F187">
        <v>1.73</v>
      </c>
      <c r="J187">
        <f>SUM(69,78,103,113)</f>
        <v>363</v>
      </c>
      <c r="K187">
        <v>4</v>
      </c>
      <c r="L187">
        <v>113</v>
      </c>
      <c r="N187" t="str">
        <f t="shared" si="4"/>
        <v>NA</v>
      </c>
      <c r="O187">
        <v>4.9399520000000017</v>
      </c>
      <c r="S187">
        <f t="shared" si="5"/>
        <v>2.3506161777500001</v>
      </c>
    </row>
    <row r="188" spans="1:19">
      <c r="A188" s="6">
        <v>42083</v>
      </c>
      <c r="B188" t="s">
        <v>20</v>
      </c>
      <c r="C188">
        <v>29</v>
      </c>
      <c r="D188" t="s">
        <v>19</v>
      </c>
      <c r="F188">
        <v>1.85</v>
      </c>
      <c r="J188">
        <f>SUM(28,46,58,69)</f>
        <v>201</v>
      </c>
      <c r="K188">
        <v>4</v>
      </c>
      <c r="L188">
        <v>69</v>
      </c>
      <c r="N188" t="str">
        <f t="shared" si="4"/>
        <v>NA</v>
      </c>
      <c r="O188">
        <v>3.006421999999997</v>
      </c>
      <c r="S188">
        <f t="shared" si="5"/>
        <v>2.6880229437500001</v>
      </c>
    </row>
    <row r="189" spans="1:19">
      <c r="A189" s="6">
        <v>42083</v>
      </c>
      <c r="B189" t="s">
        <v>20</v>
      </c>
      <c r="C189">
        <v>29</v>
      </c>
      <c r="D189" t="s">
        <v>19</v>
      </c>
      <c r="F189">
        <v>1.56</v>
      </c>
      <c r="J189">
        <f>SUM(55,59,84,106,107)</f>
        <v>411</v>
      </c>
      <c r="K189">
        <v>5</v>
      </c>
      <c r="L189">
        <v>107</v>
      </c>
      <c r="N189" t="str">
        <f t="shared" si="4"/>
        <v>NA</v>
      </c>
      <c r="O189">
        <v>4.2253089999999958</v>
      </c>
      <c r="S189">
        <f t="shared" si="5"/>
        <v>1.9113433560000002</v>
      </c>
    </row>
    <row r="190" spans="1:19">
      <c r="A190" s="6">
        <v>42083</v>
      </c>
      <c r="B190" t="s">
        <v>20</v>
      </c>
      <c r="C190">
        <v>29</v>
      </c>
      <c r="D190" t="s">
        <v>19</v>
      </c>
      <c r="F190">
        <v>1.51</v>
      </c>
      <c r="J190">
        <f>SUM(40,46,49,49)</f>
        <v>184</v>
      </c>
      <c r="K190">
        <v>4</v>
      </c>
      <c r="L190">
        <v>49</v>
      </c>
      <c r="N190" t="str">
        <f t="shared" si="4"/>
        <v>NA</v>
      </c>
      <c r="O190">
        <v>7.4374869999999973</v>
      </c>
      <c r="S190">
        <f t="shared" si="5"/>
        <v>1.7907848397499999</v>
      </c>
    </row>
    <row r="191" spans="1:19">
      <c r="A191" s="6">
        <v>42083</v>
      </c>
      <c r="B191" t="s">
        <v>20</v>
      </c>
      <c r="C191">
        <v>29</v>
      </c>
      <c r="D191" t="s">
        <v>19</v>
      </c>
      <c r="F191">
        <v>1.66</v>
      </c>
      <c r="J191">
        <f>SUM(45,52,75,75,78)</f>
        <v>325</v>
      </c>
      <c r="K191">
        <v>5</v>
      </c>
      <c r="L191">
        <v>78</v>
      </c>
      <c r="N191" t="str">
        <f t="shared" si="4"/>
        <v>NA</v>
      </c>
      <c r="O191">
        <v>4.8984839999999998</v>
      </c>
      <c r="S191">
        <f t="shared" si="5"/>
        <v>2.1642413509999998</v>
      </c>
    </row>
    <row r="192" spans="1:19">
      <c r="A192" s="6">
        <v>42083</v>
      </c>
      <c r="B192" t="s">
        <v>20</v>
      </c>
      <c r="C192">
        <v>29</v>
      </c>
      <c r="D192" t="s">
        <v>19</v>
      </c>
      <c r="F192">
        <v>3.37</v>
      </c>
      <c r="J192">
        <f>SUM(197,204,241,253,261)</f>
        <v>1156</v>
      </c>
      <c r="K192">
        <v>5</v>
      </c>
      <c r="L192">
        <v>261</v>
      </c>
      <c r="N192" t="str">
        <f t="shared" si="4"/>
        <v>NA</v>
      </c>
      <c r="O192">
        <v>27.681053999999996</v>
      </c>
      <c r="S192">
        <f t="shared" si="5"/>
        <v>8.9196808677500012</v>
      </c>
    </row>
    <row r="193" spans="1:19">
      <c r="A193" s="6">
        <v>42083</v>
      </c>
      <c r="B193" t="s">
        <v>20</v>
      </c>
      <c r="C193">
        <v>29</v>
      </c>
      <c r="D193" t="s">
        <v>19</v>
      </c>
      <c r="F193">
        <v>1.36</v>
      </c>
      <c r="J193">
        <f>SUM(64,80,105,115,133)</f>
        <v>497</v>
      </c>
      <c r="K193">
        <v>5</v>
      </c>
      <c r="L193">
        <v>133</v>
      </c>
      <c r="N193" t="str">
        <f t="shared" si="4"/>
        <v>NA</v>
      </c>
      <c r="O193">
        <v>4.4558689999999999</v>
      </c>
      <c r="S193">
        <f t="shared" si="5"/>
        <v>1.4526712160000002</v>
      </c>
    </row>
    <row r="194" spans="1:19">
      <c r="A194" s="6">
        <v>42083</v>
      </c>
      <c r="B194" t="s">
        <v>20</v>
      </c>
      <c r="C194">
        <v>29</v>
      </c>
      <c r="D194" t="s">
        <v>19</v>
      </c>
      <c r="F194">
        <v>0.7</v>
      </c>
      <c r="J194">
        <f>SUM(17,41,52,59)</f>
        <v>169</v>
      </c>
      <c r="K194">
        <v>4</v>
      </c>
      <c r="L194">
        <v>59</v>
      </c>
      <c r="N194" t="str">
        <f t="shared" si="4"/>
        <v>NA</v>
      </c>
      <c r="O194">
        <v>3.0187120000000007</v>
      </c>
      <c r="S194">
        <f t="shared" si="5"/>
        <v>0.38484477499999992</v>
      </c>
    </row>
    <row r="195" spans="1:19">
      <c r="A195" s="6">
        <v>42083</v>
      </c>
      <c r="B195" t="s">
        <v>20</v>
      </c>
      <c r="C195">
        <v>29</v>
      </c>
      <c r="D195" t="s">
        <v>19</v>
      </c>
      <c r="F195">
        <v>1.21</v>
      </c>
      <c r="J195">
        <f>SUM(41,65,91,102)</f>
        <v>299</v>
      </c>
      <c r="K195">
        <v>4</v>
      </c>
      <c r="L195">
        <v>102</v>
      </c>
      <c r="N195" t="str">
        <f t="shared" si="4"/>
        <v>NA</v>
      </c>
      <c r="O195">
        <v>2.2533270000000023</v>
      </c>
      <c r="S195">
        <f t="shared" si="5"/>
        <v>1.1499004797499999</v>
      </c>
    </row>
    <row r="196" spans="1:19">
      <c r="A196" s="6">
        <v>42083</v>
      </c>
      <c r="B196" t="s">
        <v>20</v>
      </c>
      <c r="C196">
        <v>29</v>
      </c>
      <c r="D196" t="s">
        <v>19</v>
      </c>
      <c r="F196">
        <v>1.69</v>
      </c>
      <c r="J196">
        <f>SUM(74,85,107,133,150,168,173)</f>
        <v>890</v>
      </c>
      <c r="K196">
        <v>7</v>
      </c>
      <c r="L196">
        <v>173</v>
      </c>
      <c r="N196" t="str">
        <f t="shared" ref="N196:N259" si="6">IF(OR(D196="S. acutus", D196="S. tabernaemontani", D196="S. californicus"),(1/3)*(3.14159)*((F196/2)^2)*E196,"NA")</f>
        <v>NA</v>
      </c>
      <c r="O196">
        <v>15.20707800000001</v>
      </c>
      <c r="S196">
        <f t="shared" si="5"/>
        <v>2.2431737997499996</v>
      </c>
    </row>
    <row r="197" spans="1:19">
      <c r="A197" s="6">
        <v>42083</v>
      </c>
      <c r="B197" t="s">
        <v>20</v>
      </c>
      <c r="C197">
        <v>29</v>
      </c>
      <c r="D197" t="s">
        <v>19</v>
      </c>
      <c r="F197">
        <v>2.2799999999999998</v>
      </c>
      <c r="J197">
        <f>SUM(109,124,130,189,197,224,233)</f>
        <v>1206</v>
      </c>
      <c r="K197">
        <v>7</v>
      </c>
      <c r="L197">
        <v>233</v>
      </c>
      <c r="N197" t="str">
        <f t="shared" si="6"/>
        <v>NA</v>
      </c>
      <c r="O197">
        <v>26.758958000000014</v>
      </c>
      <c r="S197">
        <f t="shared" ref="S197:S260" si="7">3.14159*((F197/2)^2)</f>
        <v>4.0828103639999993</v>
      </c>
    </row>
    <row r="198" spans="1:19">
      <c r="A198" s="6">
        <v>42083</v>
      </c>
      <c r="B198" t="s">
        <v>20</v>
      </c>
      <c r="C198">
        <v>41</v>
      </c>
      <c r="D198" t="s">
        <v>19</v>
      </c>
      <c r="F198">
        <v>0.94</v>
      </c>
      <c r="J198">
        <f>SUM(24,26,33,36,41,43)</f>
        <v>203</v>
      </c>
      <c r="K198">
        <v>6</v>
      </c>
      <c r="L198">
        <v>43</v>
      </c>
      <c r="N198" t="str">
        <f t="shared" si="6"/>
        <v>NA</v>
      </c>
      <c r="O198" t="str">
        <f>IF(N198&gt;0,N198," ")</f>
        <v>NA</v>
      </c>
      <c r="S198">
        <f t="shared" si="7"/>
        <v>0.69397723099999997</v>
      </c>
    </row>
    <row r="199" spans="1:19">
      <c r="A199" s="6">
        <v>42083</v>
      </c>
      <c r="B199" t="s">
        <v>20</v>
      </c>
      <c r="C199">
        <v>41</v>
      </c>
      <c r="D199" t="s">
        <v>19</v>
      </c>
      <c r="F199">
        <v>1.43</v>
      </c>
      <c r="J199">
        <f>SUM(41,70,97,99,110)</f>
        <v>417</v>
      </c>
      <c r="K199">
        <v>5</v>
      </c>
      <c r="L199">
        <v>110</v>
      </c>
      <c r="N199" t="str">
        <f t="shared" si="6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3.8841040000000007</v>
      </c>
      <c r="S199">
        <f t="shared" si="7"/>
        <v>1.6060593477499998</v>
      </c>
    </row>
    <row r="200" spans="1:19">
      <c r="A200" s="6">
        <v>42083</v>
      </c>
      <c r="B200" t="s">
        <v>20</v>
      </c>
      <c r="C200">
        <v>41</v>
      </c>
      <c r="D200" t="s">
        <v>19</v>
      </c>
      <c r="F200">
        <v>0.72</v>
      </c>
      <c r="J200">
        <f>SUM(41,55,63)</f>
        <v>159</v>
      </c>
      <c r="K200">
        <v>3</v>
      </c>
      <c r="L200">
        <v>63</v>
      </c>
      <c r="N200" t="str">
        <f t="shared" si="6"/>
        <v>NA</v>
      </c>
      <c r="O200">
        <v>7.898534999999999</v>
      </c>
      <c r="S200">
        <f t="shared" si="7"/>
        <v>0.40715006399999998</v>
      </c>
    </row>
    <row r="201" spans="1:19">
      <c r="A201" s="6">
        <v>42083</v>
      </c>
      <c r="B201" t="s">
        <v>20</v>
      </c>
      <c r="C201">
        <v>41</v>
      </c>
      <c r="D201" t="s">
        <v>19</v>
      </c>
      <c r="F201">
        <v>1.78</v>
      </c>
      <c r="J201">
        <f>SUM(52,100,135,133,148)</f>
        <v>568</v>
      </c>
      <c r="K201">
        <v>5</v>
      </c>
      <c r="L201">
        <v>148</v>
      </c>
      <c r="N201" t="str">
        <f t="shared" si="6"/>
        <v>NA</v>
      </c>
      <c r="O201">
        <v>6.5937990000000042</v>
      </c>
      <c r="S201">
        <f t="shared" si="7"/>
        <v>2.4884534390000002</v>
      </c>
    </row>
    <row r="202" spans="1:19">
      <c r="A202" s="6">
        <v>42083</v>
      </c>
      <c r="B202" t="s">
        <v>20</v>
      </c>
      <c r="C202">
        <v>41</v>
      </c>
      <c r="D202" t="s">
        <v>19</v>
      </c>
      <c r="F202">
        <v>0.82</v>
      </c>
      <c r="J202">
        <v>85</v>
      </c>
      <c r="K202">
        <v>2</v>
      </c>
      <c r="L202">
        <v>44</v>
      </c>
      <c r="N202" t="str">
        <f t="shared" si="6"/>
        <v>NA</v>
      </c>
      <c r="O202">
        <v>13.706672999999999</v>
      </c>
      <c r="S202">
        <f t="shared" si="7"/>
        <v>0.52810127899999992</v>
      </c>
    </row>
    <row r="203" spans="1:19">
      <c r="A203" s="6">
        <v>42083</v>
      </c>
      <c r="B203" t="s">
        <v>20</v>
      </c>
      <c r="C203">
        <v>41</v>
      </c>
      <c r="D203" t="s">
        <v>19</v>
      </c>
      <c r="F203">
        <v>0.95</v>
      </c>
      <c r="J203">
        <f>SUM(25,37,40,40)</f>
        <v>142</v>
      </c>
      <c r="K203">
        <v>4</v>
      </c>
      <c r="L203">
        <v>40</v>
      </c>
      <c r="N203" t="str">
        <f t="shared" si="6"/>
        <v>NA</v>
      </c>
      <c r="O203">
        <v>6.2109820000000013</v>
      </c>
      <c r="S203">
        <f t="shared" si="7"/>
        <v>0.70882124375</v>
      </c>
    </row>
    <row r="204" spans="1:19">
      <c r="A204" s="6">
        <v>42083</v>
      </c>
      <c r="B204" t="s">
        <v>20</v>
      </c>
      <c r="C204">
        <v>41</v>
      </c>
      <c r="D204" t="s">
        <v>19</v>
      </c>
      <c r="F204">
        <v>1.33</v>
      </c>
      <c r="J204">
        <f>SUM(55,101,106,132,146)</f>
        <v>540</v>
      </c>
      <c r="K204">
        <v>5</v>
      </c>
      <c r="L204">
        <v>146</v>
      </c>
      <c r="N204" t="str">
        <f t="shared" si="6"/>
        <v>NA</v>
      </c>
      <c r="O204">
        <v>4.5711490000000055</v>
      </c>
      <c r="S204">
        <f t="shared" si="7"/>
        <v>1.3892896377500001</v>
      </c>
    </row>
    <row r="205" spans="1:19">
      <c r="A205" s="6">
        <v>42083</v>
      </c>
      <c r="B205" t="s">
        <v>20</v>
      </c>
      <c r="C205">
        <v>41</v>
      </c>
      <c r="D205" t="s">
        <v>19</v>
      </c>
      <c r="F205">
        <v>0.91</v>
      </c>
      <c r="J205">
        <f>SUM(27,48,62,71)</f>
        <v>208</v>
      </c>
      <c r="K205">
        <v>4</v>
      </c>
      <c r="L205">
        <v>71</v>
      </c>
      <c r="N205" t="str">
        <f t="shared" si="6"/>
        <v>NA</v>
      </c>
      <c r="O205">
        <v>3.060216999999998</v>
      </c>
      <c r="S205">
        <f t="shared" si="7"/>
        <v>0.65038766975000006</v>
      </c>
    </row>
    <row r="206" spans="1:19">
      <c r="A206" s="6">
        <v>42083</v>
      </c>
      <c r="B206" t="s">
        <v>20</v>
      </c>
      <c r="C206">
        <v>41</v>
      </c>
      <c r="D206" t="s">
        <v>19</v>
      </c>
      <c r="F206">
        <v>0.93</v>
      </c>
      <c r="J206">
        <f>SUM(46,70,81)</f>
        <v>197</v>
      </c>
      <c r="K206">
        <v>3</v>
      </c>
      <c r="L206">
        <v>81</v>
      </c>
      <c r="N206" t="str">
        <f t="shared" si="6"/>
        <v>NA</v>
      </c>
      <c r="O206">
        <v>6.038814999999996</v>
      </c>
      <c r="S206">
        <f t="shared" si="7"/>
        <v>0.67929029775000005</v>
      </c>
    </row>
    <row r="207" spans="1:19">
      <c r="A207" s="6">
        <v>42083</v>
      </c>
      <c r="B207" t="s">
        <v>20</v>
      </c>
      <c r="C207">
        <v>41</v>
      </c>
      <c r="D207" t="s">
        <v>19</v>
      </c>
      <c r="F207">
        <v>1.39</v>
      </c>
      <c r="J207">
        <f>SUM(36,59,61)</f>
        <v>156</v>
      </c>
      <c r="K207">
        <v>3</v>
      </c>
      <c r="L207">
        <v>61</v>
      </c>
      <c r="N207" t="str">
        <f t="shared" si="6"/>
        <v>NA</v>
      </c>
      <c r="O207">
        <v>8.2197600000000008</v>
      </c>
      <c r="S207">
        <f t="shared" si="7"/>
        <v>1.5174665097499997</v>
      </c>
    </row>
    <row r="208" spans="1:19">
      <c r="A208" s="6">
        <v>42083</v>
      </c>
      <c r="B208" t="s">
        <v>20</v>
      </c>
      <c r="C208">
        <v>41</v>
      </c>
      <c r="D208" t="s">
        <v>19</v>
      </c>
      <c r="F208">
        <v>1.1499999999999999</v>
      </c>
      <c r="J208">
        <f>SUM(68,69,69)</f>
        <v>206</v>
      </c>
      <c r="K208">
        <v>3</v>
      </c>
      <c r="L208">
        <v>69</v>
      </c>
      <c r="N208" t="str">
        <f t="shared" si="6"/>
        <v>NA</v>
      </c>
      <c r="O208">
        <v>10.497549999999997</v>
      </c>
      <c r="S208">
        <f t="shared" si="7"/>
        <v>1.0386881937499999</v>
      </c>
    </row>
    <row r="209" spans="1:19">
      <c r="A209" s="6">
        <v>42083</v>
      </c>
      <c r="B209" t="s">
        <v>20</v>
      </c>
      <c r="C209">
        <v>41</v>
      </c>
      <c r="D209" t="s">
        <v>19</v>
      </c>
      <c r="F209">
        <v>1.8</v>
      </c>
      <c r="J209">
        <f>SUM(78,82,120,145,165,187)</f>
        <v>777</v>
      </c>
      <c r="K209">
        <v>6</v>
      </c>
      <c r="L209">
        <v>187</v>
      </c>
      <c r="N209" t="str">
        <f t="shared" si="6"/>
        <v>NA</v>
      </c>
      <c r="O209">
        <v>7.4176859999999962</v>
      </c>
      <c r="S209">
        <f t="shared" si="7"/>
        <v>2.5446879</v>
      </c>
    </row>
    <row r="210" spans="1:19">
      <c r="A210" s="6">
        <v>42083</v>
      </c>
      <c r="B210" t="s">
        <v>20</v>
      </c>
      <c r="C210">
        <v>41</v>
      </c>
      <c r="D210" t="s">
        <v>19</v>
      </c>
      <c r="F210">
        <v>1.55</v>
      </c>
      <c r="J210">
        <f>SUM(77,96,99,128,138)</f>
        <v>538</v>
      </c>
      <c r="K210">
        <v>5</v>
      </c>
      <c r="L210">
        <v>138</v>
      </c>
      <c r="N210" t="str">
        <f t="shared" si="6"/>
        <v>NA</v>
      </c>
      <c r="O210">
        <v>6.7935990000000004</v>
      </c>
      <c r="S210">
        <f t="shared" si="7"/>
        <v>1.8869174937500002</v>
      </c>
    </row>
    <row r="211" spans="1:19">
      <c r="A211" s="6">
        <v>42083</v>
      </c>
      <c r="B211" t="s">
        <v>20</v>
      </c>
      <c r="C211">
        <v>41</v>
      </c>
      <c r="D211" t="s">
        <v>19</v>
      </c>
      <c r="F211">
        <v>0.8</v>
      </c>
      <c r="J211">
        <f>SUM(71,110,113)</f>
        <v>294</v>
      </c>
      <c r="K211">
        <v>3</v>
      </c>
      <c r="L211">
        <v>113</v>
      </c>
      <c r="N211" t="str">
        <f t="shared" si="6"/>
        <v>NA</v>
      </c>
      <c r="O211">
        <v>5.4932100000000013</v>
      </c>
      <c r="S211">
        <f t="shared" si="7"/>
        <v>0.50265440000000006</v>
      </c>
    </row>
    <row r="212" spans="1:19">
      <c r="A212" s="6">
        <v>42083</v>
      </c>
      <c r="B212" t="s">
        <v>20</v>
      </c>
      <c r="C212">
        <v>41</v>
      </c>
      <c r="D212" t="s">
        <v>19</v>
      </c>
      <c r="F212">
        <v>0.66</v>
      </c>
      <c r="J212">
        <f>SUM(20,27,29)</f>
        <v>76</v>
      </c>
      <c r="K212">
        <v>3</v>
      </c>
      <c r="L212">
        <v>29</v>
      </c>
      <c r="N212" t="str">
        <f t="shared" si="6"/>
        <v>NA</v>
      </c>
      <c r="O212">
        <v>10.359199999999994</v>
      </c>
      <c r="S212">
        <f t="shared" si="7"/>
        <v>0.34211915100000001</v>
      </c>
    </row>
    <row r="213" spans="1:19">
      <c r="A213" s="6">
        <v>42083</v>
      </c>
      <c r="B213" t="s">
        <v>20</v>
      </c>
      <c r="C213">
        <v>41</v>
      </c>
      <c r="D213" t="s">
        <v>19</v>
      </c>
      <c r="F213">
        <v>1.08</v>
      </c>
      <c r="J213">
        <f>SUM(33,29,35)</f>
        <v>97</v>
      </c>
      <c r="K213">
        <v>3</v>
      </c>
      <c r="L213">
        <v>35</v>
      </c>
      <c r="N213" t="str">
        <f t="shared" si="6"/>
        <v>NA</v>
      </c>
      <c r="O213">
        <v>10.520584999999997</v>
      </c>
      <c r="S213">
        <f t="shared" si="7"/>
        <v>0.91608764400000009</v>
      </c>
    </row>
    <row r="214" spans="1:19">
      <c r="A214" s="6">
        <v>42083</v>
      </c>
      <c r="B214" t="s">
        <v>20</v>
      </c>
      <c r="C214">
        <v>41</v>
      </c>
      <c r="D214" t="s">
        <v>19</v>
      </c>
      <c r="F214">
        <v>0.87</v>
      </c>
      <c r="J214">
        <f>SUM(37,30,30)</f>
        <v>97</v>
      </c>
      <c r="K214">
        <v>3</v>
      </c>
      <c r="L214">
        <v>37</v>
      </c>
      <c r="N214" t="str">
        <f t="shared" si="6"/>
        <v>NA</v>
      </c>
      <c r="O214">
        <v>9.9180949999999974</v>
      </c>
      <c r="S214">
        <f t="shared" si="7"/>
        <v>0.59446736774999998</v>
      </c>
    </row>
    <row r="215" spans="1:19">
      <c r="A215" s="6">
        <v>42083</v>
      </c>
      <c r="B215" t="s">
        <v>20</v>
      </c>
      <c r="C215">
        <v>41</v>
      </c>
      <c r="D215" t="s">
        <v>19</v>
      </c>
      <c r="F215">
        <v>1.1299999999999999</v>
      </c>
      <c r="J215">
        <f>SUM(68,86,115,124)</f>
        <v>393</v>
      </c>
      <c r="K215">
        <v>4</v>
      </c>
      <c r="L215">
        <v>124</v>
      </c>
      <c r="N215" t="str">
        <f t="shared" si="6"/>
        <v>NA</v>
      </c>
      <c r="O215">
        <v>4.4389069999999968</v>
      </c>
      <c r="S215">
        <f t="shared" si="7"/>
        <v>1.0028740677499997</v>
      </c>
    </row>
    <row r="216" spans="1:19">
      <c r="A216" s="6">
        <v>42083</v>
      </c>
      <c r="B216" t="s">
        <v>20</v>
      </c>
      <c r="C216">
        <v>41</v>
      </c>
      <c r="D216" t="s">
        <v>19</v>
      </c>
      <c r="F216">
        <v>1.1100000000000001</v>
      </c>
      <c r="J216">
        <f>SUM(34,43,47,50)</f>
        <v>174</v>
      </c>
      <c r="K216">
        <v>4</v>
      </c>
      <c r="L216">
        <v>50</v>
      </c>
      <c r="N216" t="str">
        <f t="shared" si="6"/>
        <v>NA</v>
      </c>
      <c r="O216">
        <v>6.1986920000000012</v>
      </c>
      <c r="S216">
        <f t="shared" si="7"/>
        <v>0.96768825975000017</v>
      </c>
    </row>
    <row r="217" spans="1:19">
      <c r="A217" s="6">
        <v>42086</v>
      </c>
      <c r="B217" t="s">
        <v>22</v>
      </c>
      <c r="C217">
        <v>2</v>
      </c>
      <c r="D217" t="s">
        <v>19</v>
      </c>
      <c r="F217">
        <v>1.54</v>
      </c>
      <c r="J217">
        <f>SUM(27,35,36,49)</f>
        <v>147</v>
      </c>
      <c r="K217">
        <v>4</v>
      </c>
      <c r="L217">
        <v>49</v>
      </c>
      <c r="N217" t="str">
        <f t="shared" si="6"/>
        <v>NA</v>
      </c>
      <c r="O217">
        <v>3.968551999999999</v>
      </c>
      <c r="S217">
        <f t="shared" si="7"/>
        <v>1.8626487109999998</v>
      </c>
    </row>
    <row r="218" spans="1:19">
      <c r="A218" s="6">
        <v>42086</v>
      </c>
      <c r="B218" t="s">
        <v>22</v>
      </c>
      <c r="C218">
        <v>2</v>
      </c>
      <c r="D218" t="s">
        <v>19</v>
      </c>
      <c r="F218">
        <v>5.83</v>
      </c>
      <c r="J218">
        <f>SUM(94,141,171,184,211,228,230,238,246)</f>
        <v>1743</v>
      </c>
      <c r="K218">
        <v>9</v>
      </c>
      <c r="L218">
        <v>246</v>
      </c>
      <c r="N218" t="str">
        <f t="shared" si="6"/>
        <v>NA</v>
      </c>
      <c r="O218">
        <v>59.144501999999996</v>
      </c>
      <c r="S218">
        <f t="shared" si="7"/>
        <v>26.69479708775</v>
      </c>
    </row>
    <row r="219" spans="1:19">
      <c r="A219" s="6">
        <v>42086</v>
      </c>
      <c r="B219" t="s">
        <v>22</v>
      </c>
      <c r="C219">
        <v>2</v>
      </c>
      <c r="D219" t="s">
        <v>19</v>
      </c>
      <c r="F219">
        <v>4.3499999999999996</v>
      </c>
      <c r="J219">
        <f>SUM(67,117,154,177,177,174)</f>
        <v>866</v>
      </c>
      <c r="K219">
        <v>6</v>
      </c>
      <c r="L219">
        <v>177</v>
      </c>
      <c r="N219" t="str">
        <f t="shared" si="6"/>
        <v>NA</v>
      </c>
      <c r="O219">
        <v>18.774331000000011</v>
      </c>
      <c r="S219">
        <f t="shared" si="7"/>
        <v>14.861684193749996</v>
      </c>
    </row>
    <row r="220" spans="1:19">
      <c r="A220" s="6">
        <v>42086</v>
      </c>
      <c r="B220" t="s">
        <v>22</v>
      </c>
      <c r="C220">
        <v>2</v>
      </c>
      <c r="D220" t="s">
        <v>19</v>
      </c>
      <c r="F220">
        <v>1.41</v>
      </c>
      <c r="J220">
        <f>SUM(35,53,57,58)</f>
        <v>203</v>
      </c>
      <c r="K220">
        <v>4</v>
      </c>
      <c r="L220">
        <v>58</v>
      </c>
      <c r="N220" t="str">
        <f t="shared" si="6"/>
        <v>NA</v>
      </c>
      <c r="O220">
        <v>6.5076269999999994</v>
      </c>
      <c r="S220">
        <f t="shared" si="7"/>
        <v>1.5614487697499997</v>
      </c>
    </row>
    <row r="221" spans="1:19">
      <c r="A221" s="6">
        <v>42086</v>
      </c>
      <c r="B221" t="s">
        <v>22</v>
      </c>
      <c r="C221">
        <v>2</v>
      </c>
      <c r="D221" t="s">
        <v>19</v>
      </c>
      <c r="F221">
        <v>1.4</v>
      </c>
      <c r="J221">
        <f>SUM(30,34,51,129)</f>
        <v>244</v>
      </c>
      <c r="K221">
        <v>4</v>
      </c>
      <c r="L221">
        <v>129</v>
      </c>
      <c r="N221" t="str">
        <f t="shared" si="6"/>
        <v>NA</v>
      </c>
      <c r="O221" t="s">
        <v>64</v>
      </c>
      <c r="S221">
        <f t="shared" si="7"/>
        <v>1.5393790999999997</v>
      </c>
    </row>
    <row r="222" spans="1:19">
      <c r="A222" s="6">
        <v>42086</v>
      </c>
      <c r="B222" t="s">
        <v>22</v>
      </c>
      <c r="C222">
        <v>2</v>
      </c>
      <c r="D222" t="s">
        <v>19</v>
      </c>
      <c r="F222">
        <v>1.8599999999999999</v>
      </c>
      <c r="J222">
        <f>SUM(44,55,62,67,70)</f>
        <v>298</v>
      </c>
      <c r="K222">
        <v>5</v>
      </c>
      <c r="L222">
        <v>70</v>
      </c>
      <c r="N222" t="str">
        <f t="shared" si="6"/>
        <v>NA</v>
      </c>
      <c r="O222">
        <v>4.7770590000000013</v>
      </c>
      <c r="S222">
        <f t="shared" si="7"/>
        <v>2.7171611909999998</v>
      </c>
    </row>
    <row r="223" spans="1:19">
      <c r="A223" s="6">
        <v>42086</v>
      </c>
      <c r="B223" t="s">
        <v>22</v>
      </c>
      <c r="C223">
        <v>2</v>
      </c>
      <c r="D223" t="s">
        <v>19</v>
      </c>
      <c r="F223">
        <v>1.52</v>
      </c>
      <c r="J223">
        <f>SUM(32,64,75,76,76)</f>
        <v>323</v>
      </c>
      <c r="K223">
        <v>5</v>
      </c>
      <c r="L223">
        <v>76</v>
      </c>
      <c r="N223" t="str">
        <f t="shared" si="6"/>
        <v>NA</v>
      </c>
      <c r="O223">
        <v>5.3134639999999997</v>
      </c>
      <c r="S223">
        <f t="shared" si="7"/>
        <v>1.8145823839999999</v>
      </c>
    </row>
    <row r="224" spans="1:19">
      <c r="A224" s="6">
        <v>42086</v>
      </c>
      <c r="B224" t="s">
        <v>22</v>
      </c>
      <c r="C224">
        <v>2</v>
      </c>
      <c r="D224" t="s">
        <v>19</v>
      </c>
      <c r="F224">
        <v>4.8999999999999995</v>
      </c>
      <c r="J224">
        <f>SUM(135,167,186,194,314,221,221)</f>
        <v>1438</v>
      </c>
      <c r="K224">
        <v>7</v>
      </c>
      <c r="L224">
        <v>314</v>
      </c>
      <c r="N224" t="str">
        <f t="shared" si="6"/>
        <v>NA</v>
      </c>
      <c r="O224">
        <v>24.109273000000009</v>
      </c>
      <c r="S224">
        <f t="shared" si="7"/>
        <v>18.857393974999994</v>
      </c>
    </row>
    <row r="225" spans="1:19">
      <c r="A225" s="6">
        <v>42086</v>
      </c>
      <c r="B225" t="s">
        <v>22</v>
      </c>
      <c r="C225">
        <v>7</v>
      </c>
      <c r="D225" t="s">
        <v>19</v>
      </c>
      <c r="F225">
        <v>0.66999999999999993</v>
      </c>
      <c r="J225">
        <f>SUM(25,33,40)</f>
        <v>98</v>
      </c>
      <c r="K225">
        <v>3</v>
      </c>
      <c r="L225">
        <v>40</v>
      </c>
      <c r="N225" t="str">
        <f t="shared" si="6"/>
        <v>NA</v>
      </c>
      <c r="O225">
        <v>9.108114999999998</v>
      </c>
      <c r="S225">
        <f t="shared" si="7"/>
        <v>0.35256493774999992</v>
      </c>
    </row>
    <row r="226" spans="1:19">
      <c r="A226" s="6">
        <v>42086</v>
      </c>
      <c r="B226" t="s">
        <v>22</v>
      </c>
      <c r="C226">
        <v>7</v>
      </c>
      <c r="D226" t="s">
        <v>19</v>
      </c>
      <c r="F226">
        <v>0.92999999999999994</v>
      </c>
      <c r="J226">
        <f>SUM(23,35,32)</f>
        <v>90</v>
      </c>
      <c r="K226">
        <v>3</v>
      </c>
      <c r="L226">
        <v>35</v>
      </c>
      <c r="N226" t="str">
        <f t="shared" si="6"/>
        <v>NA</v>
      </c>
      <c r="O226">
        <v>9.8643000000000001</v>
      </c>
      <c r="S226">
        <f t="shared" si="7"/>
        <v>0.67929029774999994</v>
      </c>
    </row>
    <row r="227" spans="1:19">
      <c r="A227" s="6">
        <v>42086</v>
      </c>
      <c r="B227" t="s">
        <v>22</v>
      </c>
      <c r="C227">
        <v>7</v>
      </c>
      <c r="D227" t="s">
        <v>19</v>
      </c>
      <c r="F227">
        <v>1.19</v>
      </c>
      <c r="J227">
        <f>SUM(23,26,41,45)</f>
        <v>135</v>
      </c>
      <c r="K227">
        <v>4</v>
      </c>
      <c r="L227">
        <v>45</v>
      </c>
      <c r="N227" t="str">
        <f t="shared" si="6"/>
        <v>NA</v>
      </c>
      <c r="O227">
        <v>4.0484719999999967</v>
      </c>
      <c r="S227">
        <f t="shared" si="7"/>
        <v>1.11220139975</v>
      </c>
    </row>
    <row r="228" spans="1:19">
      <c r="A228" s="6">
        <v>42086</v>
      </c>
      <c r="B228" t="s">
        <v>22</v>
      </c>
      <c r="C228">
        <v>7</v>
      </c>
      <c r="D228" t="s">
        <v>19</v>
      </c>
      <c r="F228">
        <v>0.49</v>
      </c>
      <c r="J228">
        <f>SUM(16,22,27)</f>
        <v>65</v>
      </c>
      <c r="K228">
        <v>3</v>
      </c>
      <c r="L228">
        <v>27</v>
      </c>
      <c r="N228" t="str">
        <f t="shared" si="6"/>
        <v>NA</v>
      </c>
      <c r="O228">
        <v>9.9303849999999976</v>
      </c>
      <c r="S228">
        <f t="shared" si="7"/>
        <v>0.18857393974999997</v>
      </c>
    </row>
    <row r="229" spans="1:19">
      <c r="A229" s="6">
        <v>42086</v>
      </c>
      <c r="B229" t="s">
        <v>22</v>
      </c>
      <c r="C229">
        <v>7</v>
      </c>
      <c r="D229" t="s">
        <v>19</v>
      </c>
      <c r="F229">
        <v>0.78999999999999992</v>
      </c>
      <c r="J229">
        <f>SUM(24,26,39)</f>
        <v>89</v>
      </c>
      <c r="K229">
        <v>3</v>
      </c>
      <c r="L229">
        <v>39</v>
      </c>
      <c r="N229" t="str">
        <f t="shared" si="6"/>
        <v>NA</v>
      </c>
      <c r="O229">
        <v>8.5655649999999994</v>
      </c>
      <c r="S229">
        <f t="shared" si="7"/>
        <v>0.49016657974999989</v>
      </c>
    </row>
    <row r="230" spans="1:19">
      <c r="A230" s="6">
        <v>42086</v>
      </c>
      <c r="B230" t="s">
        <v>22</v>
      </c>
      <c r="C230">
        <v>18</v>
      </c>
      <c r="D230" t="s">
        <v>19</v>
      </c>
      <c r="F230">
        <v>1.0900000000000001</v>
      </c>
      <c r="J230">
        <f>SUM(32,39,70,72,83)</f>
        <v>296</v>
      </c>
      <c r="K230">
        <v>5</v>
      </c>
      <c r="L230">
        <v>83</v>
      </c>
      <c r="N230" t="str">
        <f t="shared" si="6"/>
        <v>NA</v>
      </c>
      <c r="O230">
        <v>0.67336399999999941</v>
      </c>
      <c r="S230">
        <f t="shared" si="7"/>
        <v>0.93313076975000009</v>
      </c>
    </row>
    <row r="231" spans="1:19">
      <c r="A231" s="6">
        <v>42086</v>
      </c>
      <c r="B231" t="s">
        <v>22</v>
      </c>
      <c r="C231">
        <v>18</v>
      </c>
      <c r="D231" t="s">
        <v>19</v>
      </c>
      <c r="F231">
        <v>3.02</v>
      </c>
      <c r="J231">
        <f>SUM(102,142,173,173,175,196,207,203)</f>
        <v>1371</v>
      </c>
      <c r="K231">
        <v>8</v>
      </c>
      <c r="L231">
        <v>207</v>
      </c>
      <c r="N231" t="str">
        <f t="shared" si="6"/>
        <v>NA</v>
      </c>
      <c r="O231">
        <v>43.038550000000008</v>
      </c>
      <c r="S231">
        <f t="shared" si="7"/>
        <v>7.1631393589999997</v>
      </c>
    </row>
    <row r="232" spans="1:19">
      <c r="A232" s="6">
        <v>42086</v>
      </c>
      <c r="B232" t="s">
        <v>22</v>
      </c>
      <c r="C232">
        <v>18</v>
      </c>
      <c r="D232" t="s">
        <v>19</v>
      </c>
      <c r="F232">
        <v>1.49</v>
      </c>
      <c r="J232">
        <f>SUM(23,38,46,49)</f>
        <v>156</v>
      </c>
      <c r="K232">
        <v>4</v>
      </c>
      <c r="L232">
        <v>49</v>
      </c>
      <c r="N232" t="str">
        <f t="shared" si="6"/>
        <v>NA</v>
      </c>
      <c r="O232">
        <v>4.812346999999999</v>
      </c>
      <c r="S232">
        <f t="shared" si="7"/>
        <v>1.7436609897499999</v>
      </c>
    </row>
    <row r="233" spans="1:19">
      <c r="A233" s="6">
        <v>42086</v>
      </c>
      <c r="B233" t="s">
        <v>22</v>
      </c>
      <c r="C233">
        <v>18</v>
      </c>
      <c r="D233" t="s">
        <v>19</v>
      </c>
      <c r="F233">
        <v>1.01</v>
      </c>
      <c r="J233">
        <f>SUM(52,59,92,92,114)</f>
        <v>409</v>
      </c>
      <c r="K233">
        <v>5</v>
      </c>
      <c r="L233">
        <v>114</v>
      </c>
      <c r="N233" t="str">
        <f t="shared" si="6"/>
        <v>NA</v>
      </c>
      <c r="O233">
        <v>1.9290840000000031</v>
      </c>
      <c r="S233">
        <f t="shared" si="7"/>
        <v>0.80118398974999994</v>
      </c>
    </row>
    <row r="234" spans="1:19">
      <c r="A234" s="6">
        <v>42086</v>
      </c>
      <c r="B234" t="s">
        <v>22</v>
      </c>
      <c r="C234">
        <v>18</v>
      </c>
      <c r="D234" t="s">
        <v>19</v>
      </c>
      <c r="F234">
        <v>0.45999999999999996</v>
      </c>
      <c r="J234">
        <f>SUM(13,32)</f>
        <v>45</v>
      </c>
      <c r="K234">
        <v>2</v>
      </c>
      <c r="L234">
        <v>32</v>
      </c>
      <c r="N234" t="str">
        <f t="shared" si="6"/>
        <v>NA</v>
      </c>
      <c r="O234">
        <v>13.571413</v>
      </c>
      <c r="S234">
        <f t="shared" si="7"/>
        <v>0.16619011099999995</v>
      </c>
    </row>
    <row r="235" spans="1:19">
      <c r="A235" s="6">
        <v>42086</v>
      </c>
      <c r="B235" t="s">
        <v>22</v>
      </c>
      <c r="C235">
        <v>18</v>
      </c>
      <c r="D235" t="s">
        <v>19</v>
      </c>
      <c r="F235">
        <v>0.53</v>
      </c>
      <c r="J235">
        <f>SUM(12,16)</f>
        <v>28</v>
      </c>
      <c r="K235">
        <v>2</v>
      </c>
      <c r="L235">
        <v>16</v>
      </c>
      <c r="N235" t="str">
        <f t="shared" si="6"/>
        <v>NA</v>
      </c>
      <c r="O235">
        <v>16.797497999999997</v>
      </c>
      <c r="S235">
        <f t="shared" si="7"/>
        <v>0.22061815775000002</v>
      </c>
    </row>
    <row r="236" spans="1:19">
      <c r="A236" s="6">
        <v>42086</v>
      </c>
      <c r="B236" t="s">
        <v>22</v>
      </c>
      <c r="C236">
        <v>18</v>
      </c>
      <c r="D236" t="s">
        <v>19</v>
      </c>
      <c r="F236">
        <v>1.27</v>
      </c>
      <c r="J236">
        <f>SUM(11,18,49,60)</f>
        <v>138</v>
      </c>
      <c r="K236">
        <v>4</v>
      </c>
      <c r="L236">
        <v>60</v>
      </c>
      <c r="N236" t="str">
        <f t="shared" si="6"/>
        <v>NA</v>
      </c>
      <c r="O236" t="s">
        <v>64</v>
      </c>
      <c r="S236">
        <f t="shared" si="7"/>
        <v>1.26676762775</v>
      </c>
    </row>
    <row r="237" spans="1:19">
      <c r="A237" s="6">
        <v>42086</v>
      </c>
      <c r="B237" t="s">
        <v>22</v>
      </c>
      <c r="C237">
        <v>18</v>
      </c>
      <c r="D237" t="s">
        <v>19</v>
      </c>
      <c r="F237">
        <v>0.98</v>
      </c>
      <c r="J237">
        <f>SUM(34,54,59,92)</f>
        <v>239</v>
      </c>
      <c r="K237">
        <v>4</v>
      </c>
      <c r="L237">
        <v>92</v>
      </c>
      <c r="N237" t="str">
        <f t="shared" si="6"/>
        <v>NA</v>
      </c>
      <c r="O237" t="s">
        <v>64</v>
      </c>
      <c r="S237">
        <f t="shared" si="7"/>
        <v>0.7542957589999999</v>
      </c>
    </row>
    <row r="238" spans="1:19">
      <c r="A238" s="6">
        <v>42086</v>
      </c>
      <c r="B238" t="s">
        <v>22</v>
      </c>
      <c r="C238">
        <v>18</v>
      </c>
      <c r="D238" t="s">
        <v>19</v>
      </c>
      <c r="F238">
        <v>1.18</v>
      </c>
      <c r="J238">
        <f>SUM(36,58,72,96,98)</f>
        <v>360</v>
      </c>
      <c r="K238">
        <v>5</v>
      </c>
      <c r="L238">
        <v>98</v>
      </c>
      <c r="N238" t="str">
        <f t="shared" si="6"/>
        <v>NA</v>
      </c>
      <c r="O238">
        <v>2.1550090000000033</v>
      </c>
      <c r="S238">
        <f t="shared" si="7"/>
        <v>1.0935874789999998</v>
      </c>
    </row>
    <row r="239" spans="1:19">
      <c r="A239" s="6">
        <v>42086</v>
      </c>
      <c r="B239" t="s">
        <v>22</v>
      </c>
      <c r="C239">
        <v>18</v>
      </c>
      <c r="D239" t="s">
        <v>19</v>
      </c>
      <c r="F239">
        <v>1.52</v>
      </c>
      <c r="J239">
        <f>SUM(22,50,71,78,81)</f>
        <v>302</v>
      </c>
      <c r="K239">
        <v>5</v>
      </c>
      <c r="L239">
        <v>81</v>
      </c>
      <c r="N239" t="str">
        <f t="shared" si="6"/>
        <v>NA</v>
      </c>
      <c r="O239">
        <v>1.8383840000000014</v>
      </c>
      <c r="S239">
        <f t="shared" si="7"/>
        <v>1.8145823839999999</v>
      </c>
    </row>
    <row r="240" spans="1:19">
      <c r="A240" s="6">
        <v>42086</v>
      </c>
      <c r="B240" t="s">
        <v>22</v>
      </c>
      <c r="C240">
        <v>18</v>
      </c>
      <c r="D240" t="s">
        <v>19</v>
      </c>
      <c r="F240">
        <v>0.66999999999999993</v>
      </c>
      <c r="J240">
        <f>SUM(30,40,44)</f>
        <v>114</v>
      </c>
      <c r="K240">
        <v>3</v>
      </c>
      <c r="L240">
        <v>44</v>
      </c>
      <c r="N240" t="str">
        <f t="shared" si="6"/>
        <v>NA</v>
      </c>
      <c r="O240">
        <v>9.4032149999999959</v>
      </c>
      <c r="S240">
        <f t="shared" si="7"/>
        <v>0.35256493774999992</v>
      </c>
    </row>
    <row r="241" spans="1:19">
      <c r="A241" s="6">
        <v>42086</v>
      </c>
      <c r="B241" t="s">
        <v>22</v>
      </c>
      <c r="C241">
        <v>18</v>
      </c>
      <c r="D241" t="s">
        <v>19</v>
      </c>
      <c r="F241">
        <v>0.54999999999999993</v>
      </c>
      <c r="J241">
        <f>SUM(26,31,37)</f>
        <v>94</v>
      </c>
      <c r="K241">
        <v>3</v>
      </c>
      <c r="L241">
        <v>37</v>
      </c>
      <c r="N241" t="str">
        <f t="shared" si="6"/>
        <v>NA</v>
      </c>
      <c r="O241">
        <v>9.6368299999999962</v>
      </c>
      <c r="S241">
        <f t="shared" si="7"/>
        <v>0.23758274374999994</v>
      </c>
    </row>
    <row r="242" spans="1:19">
      <c r="A242" s="6">
        <v>42086</v>
      </c>
      <c r="B242" t="s">
        <v>22</v>
      </c>
      <c r="C242">
        <v>18</v>
      </c>
      <c r="D242" t="s">
        <v>19</v>
      </c>
      <c r="F242">
        <v>0.74</v>
      </c>
      <c r="J242">
        <f>SUM(47,49)</f>
        <v>96</v>
      </c>
      <c r="K242">
        <v>2</v>
      </c>
      <c r="L242">
        <v>49</v>
      </c>
      <c r="N242" t="str">
        <f t="shared" si="6"/>
        <v>NA</v>
      </c>
      <c r="O242">
        <v>13.231752999999998</v>
      </c>
      <c r="S242">
        <f t="shared" si="7"/>
        <v>0.43008367099999995</v>
      </c>
    </row>
    <row r="243" spans="1:19">
      <c r="A243" s="6">
        <v>42086</v>
      </c>
      <c r="B243" t="s">
        <v>22</v>
      </c>
      <c r="C243">
        <v>18</v>
      </c>
      <c r="D243" t="s">
        <v>19</v>
      </c>
      <c r="F243">
        <v>1.53</v>
      </c>
      <c r="J243">
        <f>SUM(17,44,49,61)</f>
        <v>171</v>
      </c>
      <c r="K243">
        <v>4</v>
      </c>
      <c r="L243">
        <v>61</v>
      </c>
      <c r="N243" t="str">
        <f t="shared" si="6"/>
        <v>NA</v>
      </c>
      <c r="O243">
        <v>2.6037320000000008</v>
      </c>
      <c r="S243">
        <f t="shared" si="7"/>
        <v>1.8385370077499998</v>
      </c>
    </row>
    <row r="244" spans="1:19">
      <c r="A244" s="6">
        <v>42086</v>
      </c>
      <c r="B244" t="s">
        <v>22</v>
      </c>
      <c r="C244">
        <v>18</v>
      </c>
      <c r="D244" t="s">
        <v>19</v>
      </c>
      <c r="F244">
        <v>1.03</v>
      </c>
      <c r="J244">
        <f>SUM(24,55,55,77)</f>
        <v>211</v>
      </c>
      <c r="K244">
        <v>4</v>
      </c>
      <c r="L244">
        <v>77</v>
      </c>
      <c r="N244" t="str">
        <f t="shared" si="6"/>
        <v>NA</v>
      </c>
      <c r="O244">
        <v>1.5340120000000006</v>
      </c>
      <c r="S244">
        <f t="shared" si="7"/>
        <v>0.83322820774999995</v>
      </c>
    </row>
    <row r="245" spans="1:19">
      <c r="A245" s="6">
        <v>42086</v>
      </c>
      <c r="B245" t="s">
        <v>22</v>
      </c>
      <c r="C245">
        <v>18</v>
      </c>
      <c r="D245" t="s">
        <v>19</v>
      </c>
      <c r="F245">
        <v>1.71</v>
      </c>
      <c r="J245">
        <f>SUM(42,46,76,91,108,114,132)</f>
        <v>609</v>
      </c>
      <c r="K245">
        <v>7</v>
      </c>
      <c r="L245">
        <v>132</v>
      </c>
      <c r="N245" t="str">
        <f t="shared" si="6"/>
        <v>NA</v>
      </c>
      <c r="O245">
        <v>1.2129680000000036</v>
      </c>
      <c r="S245">
        <f t="shared" si="7"/>
        <v>2.2965808297499999</v>
      </c>
    </row>
    <row r="246" spans="1:19">
      <c r="A246" s="6">
        <v>42086</v>
      </c>
      <c r="B246" t="s">
        <v>22</v>
      </c>
      <c r="C246">
        <v>18</v>
      </c>
      <c r="D246" t="s">
        <v>19</v>
      </c>
      <c r="F246">
        <v>1.25</v>
      </c>
      <c r="J246">
        <f>SUM(25,57,64,84,84)</f>
        <v>314</v>
      </c>
      <c r="K246">
        <v>5</v>
      </c>
      <c r="L246">
        <v>84</v>
      </c>
      <c r="N246" t="str">
        <f t="shared" si="6"/>
        <v>NA</v>
      </c>
      <c r="O246">
        <v>2.0597090000000016</v>
      </c>
      <c r="S246">
        <f t="shared" si="7"/>
        <v>1.22718359375</v>
      </c>
    </row>
    <row r="247" spans="1:19">
      <c r="A247" s="6">
        <v>42086</v>
      </c>
      <c r="B247" t="s">
        <v>22</v>
      </c>
      <c r="C247">
        <v>18</v>
      </c>
      <c r="D247" t="s">
        <v>19</v>
      </c>
      <c r="F247">
        <v>1.53</v>
      </c>
      <c r="J247">
        <f>SUM(14,35,36,56,55)</f>
        <v>196</v>
      </c>
      <c r="K247">
        <v>5</v>
      </c>
      <c r="L247">
        <v>56</v>
      </c>
      <c r="N247" t="str">
        <f t="shared" si="6"/>
        <v>NA</v>
      </c>
      <c r="O247" t="s">
        <v>64</v>
      </c>
      <c r="S247">
        <f t="shared" si="7"/>
        <v>1.8385370077499998</v>
      </c>
    </row>
    <row r="248" spans="1:19">
      <c r="A248" s="6">
        <v>42086</v>
      </c>
      <c r="B248" t="s">
        <v>22</v>
      </c>
      <c r="C248">
        <v>18</v>
      </c>
      <c r="D248" t="s">
        <v>19</v>
      </c>
      <c r="F248">
        <v>0.66999999999999993</v>
      </c>
      <c r="J248">
        <f>SUM(32,32,37,17)</f>
        <v>118</v>
      </c>
      <c r="K248">
        <v>4</v>
      </c>
      <c r="L248">
        <v>37</v>
      </c>
      <c r="N248" t="str">
        <f t="shared" si="6"/>
        <v>NA</v>
      </c>
      <c r="O248">
        <v>4.8645969999999963</v>
      </c>
      <c r="S248">
        <f t="shared" si="7"/>
        <v>0.35256493774999992</v>
      </c>
    </row>
    <row r="249" spans="1:19">
      <c r="A249" s="6">
        <v>42086</v>
      </c>
      <c r="B249" t="s">
        <v>22</v>
      </c>
      <c r="C249">
        <v>18</v>
      </c>
      <c r="D249" t="s">
        <v>19</v>
      </c>
      <c r="F249">
        <v>0.65</v>
      </c>
      <c r="J249">
        <f>SUM(24,43,54,65)</f>
        <v>186</v>
      </c>
      <c r="K249">
        <v>4</v>
      </c>
      <c r="L249">
        <v>65</v>
      </c>
      <c r="N249" t="str">
        <f t="shared" si="6"/>
        <v>NA</v>
      </c>
      <c r="O249">
        <v>2.8050769999999972</v>
      </c>
      <c r="S249">
        <f t="shared" si="7"/>
        <v>0.33183044375000004</v>
      </c>
    </row>
    <row r="250" spans="1:19">
      <c r="A250" s="6">
        <v>42086</v>
      </c>
      <c r="B250" t="s">
        <v>22</v>
      </c>
      <c r="C250">
        <v>18</v>
      </c>
      <c r="D250" t="s">
        <v>19</v>
      </c>
      <c r="F250">
        <v>0.76</v>
      </c>
      <c r="J250">
        <f>SUM(41,49,55)</f>
        <v>145</v>
      </c>
      <c r="K250">
        <v>3</v>
      </c>
      <c r="L250">
        <v>55</v>
      </c>
      <c r="N250" t="str">
        <f t="shared" si="6"/>
        <v>NA</v>
      </c>
      <c r="O250">
        <v>8.9959249999999997</v>
      </c>
      <c r="S250">
        <f t="shared" si="7"/>
        <v>0.45364559599999998</v>
      </c>
    </row>
    <row r="251" spans="1:19">
      <c r="A251" s="6">
        <v>42086</v>
      </c>
      <c r="B251" t="s">
        <v>22</v>
      </c>
      <c r="C251">
        <v>18</v>
      </c>
      <c r="D251" t="s">
        <v>19</v>
      </c>
      <c r="F251">
        <v>1.04</v>
      </c>
      <c r="J251">
        <f>SUM(21,50,51,60)</f>
        <v>182</v>
      </c>
      <c r="K251">
        <v>4</v>
      </c>
      <c r="L251">
        <v>60</v>
      </c>
      <c r="N251" t="str">
        <f t="shared" si="6"/>
        <v>NA</v>
      </c>
      <c r="O251">
        <v>3.9362819999999985</v>
      </c>
      <c r="S251">
        <f t="shared" si="7"/>
        <v>0.84948593600000011</v>
      </c>
    </row>
    <row r="252" spans="1:19">
      <c r="A252" s="6">
        <v>42086</v>
      </c>
      <c r="B252" t="s">
        <v>22</v>
      </c>
      <c r="C252">
        <v>18</v>
      </c>
      <c r="D252" t="s">
        <v>19</v>
      </c>
      <c r="F252">
        <v>1.07</v>
      </c>
      <c r="J252">
        <f>SUM(39,59,64,68)</f>
        <v>230</v>
      </c>
      <c r="K252">
        <v>4</v>
      </c>
      <c r="L252">
        <v>68</v>
      </c>
      <c r="N252" t="str">
        <f t="shared" si="6"/>
        <v>NA</v>
      </c>
      <c r="O252">
        <v>6.026562000000002</v>
      </c>
      <c r="S252">
        <f t="shared" si="7"/>
        <v>0.89920159774999997</v>
      </c>
    </row>
    <row r="253" spans="1:19">
      <c r="A253" s="6">
        <v>42086</v>
      </c>
      <c r="B253" t="s">
        <v>22</v>
      </c>
      <c r="C253">
        <v>31</v>
      </c>
      <c r="D253" t="s">
        <v>19</v>
      </c>
      <c r="M253" t="s">
        <v>62</v>
      </c>
      <c r="N253" t="str">
        <f t="shared" si="6"/>
        <v>NA</v>
      </c>
      <c r="O253" t="s">
        <v>64</v>
      </c>
      <c r="S253">
        <f t="shared" si="7"/>
        <v>0</v>
      </c>
    </row>
    <row r="254" spans="1:19">
      <c r="A254" s="6">
        <v>42086</v>
      </c>
      <c r="B254" t="s">
        <v>22</v>
      </c>
      <c r="C254">
        <v>36</v>
      </c>
      <c r="D254" t="s">
        <v>19</v>
      </c>
      <c r="F254">
        <v>0.98</v>
      </c>
      <c r="J254">
        <f>SUM(47,65,85,87,103,111)</f>
        <v>498</v>
      </c>
      <c r="K254">
        <v>6</v>
      </c>
      <c r="L254">
        <v>111</v>
      </c>
      <c r="N254" t="str">
        <f t="shared" si="6"/>
        <v>NA</v>
      </c>
      <c r="O254">
        <v>4.1546609999999973</v>
      </c>
      <c r="S254">
        <f t="shared" si="7"/>
        <v>0.7542957589999999</v>
      </c>
    </row>
    <row r="255" spans="1:19">
      <c r="A255" s="6">
        <v>42086</v>
      </c>
      <c r="B255" t="s">
        <v>22</v>
      </c>
      <c r="C255">
        <v>36</v>
      </c>
      <c r="D255" t="s">
        <v>19</v>
      </c>
      <c r="F255">
        <v>2.3000000000000003</v>
      </c>
      <c r="J255">
        <f>SUM(76,77,108,106,116)</f>
        <v>483</v>
      </c>
      <c r="K255">
        <v>5</v>
      </c>
      <c r="L255">
        <v>116</v>
      </c>
      <c r="N255" t="str">
        <f t="shared" si="6"/>
        <v>NA</v>
      </c>
      <c r="O255">
        <v>8.2644639999999967</v>
      </c>
      <c r="S255">
        <f t="shared" si="7"/>
        <v>4.1547527750000004</v>
      </c>
    </row>
    <row r="256" spans="1:19">
      <c r="A256" s="6">
        <v>42086</v>
      </c>
      <c r="B256" t="s">
        <v>22</v>
      </c>
      <c r="C256">
        <v>36</v>
      </c>
      <c r="D256" t="s">
        <v>19</v>
      </c>
      <c r="F256">
        <v>0.80999999999999994</v>
      </c>
      <c r="J256">
        <f>SUM(62,89,95)</f>
        <v>246</v>
      </c>
      <c r="K256">
        <v>3</v>
      </c>
      <c r="L256">
        <v>95</v>
      </c>
      <c r="N256" t="str">
        <f t="shared" si="6"/>
        <v>NA</v>
      </c>
      <c r="O256">
        <v>6.415379999999999</v>
      </c>
      <c r="S256">
        <f t="shared" si="7"/>
        <v>0.51529929974999988</v>
      </c>
    </row>
    <row r="257" spans="1:19">
      <c r="A257" s="6">
        <v>42086</v>
      </c>
      <c r="B257" t="s">
        <v>22</v>
      </c>
      <c r="C257">
        <v>36</v>
      </c>
      <c r="D257" t="s">
        <v>19</v>
      </c>
      <c r="F257">
        <v>0.63</v>
      </c>
      <c r="J257">
        <f>SUM(68,67,76)</f>
        <v>211</v>
      </c>
      <c r="K257">
        <v>3</v>
      </c>
      <c r="L257">
        <v>76</v>
      </c>
      <c r="N257" t="str">
        <f t="shared" si="6"/>
        <v>NA</v>
      </c>
      <c r="O257">
        <v>8.8576099999999975</v>
      </c>
      <c r="S257">
        <f t="shared" si="7"/>
        <v>0.31172426775000001</v>
      </c>
    </row>
    <row r="258" spans="1:19">
      <c r="A258" s="6">
        <v>42086</v>
      </c>
      <c r="B258" t="s">
        <v>22</v>
      </c>
      <c r="C258">
        <v>36</v>
      </c>
      <c r="D258" t="s">
        <v>19</v>
      </c>
      <c r="F258">
        <v>0.82</v>
      </c>
      <c r="J258">
        <f>SUM(73,72,76)</f>
        <v>221</v>
      </c>
      <c r="K258">
        <v>3</v>
      </c>
      <c r="L258">
        <v>76</v>
      </c>
      <c r="N258" t="str">
        <f t="shared" si="6"/>
        <v>NA</v>
      </c>
      <c r="O258">
        <v>9.7951599999999992</v>
      </c>
      <c r="S258">
        <f t="shared" si="7"/>
        <v>0.52810127899999992</v>
      </c>
    </row>
    <row r="259" spans="1:19">
      <c r="A259" s="6">
        <v>42086</v>
      </c>
      <c r="B259" t="s">
        <v>22</v>
      </c>
      <c r="C259">
        <v>36</v>
      </c>
      <c r="D259" t="s">
        <v>19</v>
      </c>
      <c r="F259">
        <v>1.44</v>
      </c>
      <c r="J259">
        <f>SUM(41,45,60,68,69)</f>
        <v>283</v>
      </c>
      <c r="K259">
        <v>5</v>
      </c>
      <c r="L259">
        <v>69</v>
      </c>
      <c r="N259" t="str">
        <f t="shared" si="6"/>
        <v>NA</v>
      </c>
      <c r="O259">
        <v>3.6719790000000003</v>
      </c>
      <c r="S259">
        <f t="shared" si="7"/>
        <v>1.6286002559999999</v>
      </c>
    </row>
    <row r="260" spans="1:19">
      <c r="A260" s="6">
        <v>42086</v>
      </c>
      <c r="B260" t="s">
        <v>22</v>
      </c>
      <c r="C260">
        <v>36</v>
      </c>
      <c r="D260" t="s">
        <v>19</v>
      </c>
      <c r="F260">
        <v>1.18</v>
      </c>
      <c r="J260">
        <f>SUM(68,59,69,92,99)</f>
        <v>387</v>
      </c>
      <c r="K260">
        <v>5</v>
      </c>
      <c r="L260">
        <v>99</v>
      </c>
      <c r="N260" t="str">
        <f t="shared" ref="N260:N323" si="8">IF(OR(D260="S. acutus", D260="S. tabernaemontani", D260="S. californicus"),(1/3)*(3.14159)*((F260/2)^2)*E260,"NA")</f>
        <v>NA</v>
      </c>
      <c r="O260">
        <v>4.385149000000002</v>
      </c>
      <c r="S260">
        <f t="shared" si="7"/>
        <v>1.0935874789999998</v>
      </c>
    </row>
    <row r="261" spans="1:19">
      <c r="A261" s="6">
        <v>42086</v>
      </c>
      <c r="B261" t="s">
        <v>22</v>
      </c>
      <c r="C261">
        <v>36</v>
      </c>
      <c r="D261" t="s">
        <v>19</v>
      </c>
      <c r="F261">
        <v>1.63</v>
      </c>
      <c r="J261">
        <f>SUM(42,52,70,68,68,197)</f>
        <v>497</v>
      </c>
      <c r="K261">
        <v>6</v>
      </c>
      <c r="L261">
        <v>197</v>
      </c>
      <c r="N261" t="str">
        <f t="shared" si="8"/>
        <v>NA</v>
      </c>
      <c r="O261" t="s">
        <v>64</v>
      </c>
      <c r="S261">
        <f t="shared" ref="S261:S324" si="9">3.14159*((F261/2)^2)</f>
        <v>2.0867226177499996</v>
      </c>
    </row>
    <row r="262" spans="1:19">
      <c r="A262" s="6">
        <v>42086</v>
      </c>
      <c r="B262" t="s">
        <v>22</v>
      </c>
      <c r="C262">
        <v>36</v>
      </c>
      <c r="D262" t="s">
        <v>19</v>
      </c>
      <c r="F262">
        <v>0.87</v>
      </c>
      <c r="J262">
        <f>SUM(41,57,57)</f>
        <v>155</v>
      </c>
      <c r="K262">
        <v>3</v>
      </c>
      <c r="L262">
        <v>57</v>
      </c>
      <c r="N262" t="str">
        <f t="shared" si="8"/>
        <v>NA</v>
      </c>
      <c r="O262">
        <v>9.3309849999999983</v>
      </c>
      <c r="S262">
        <f t="shared" si="9"/>
        <v>0.59446736774999998</v>
      </c>
    </row>
    <row r="263" spans="1:19">
      <c r="A263" s="6">
        <v>42086</v>
      </c>
      <c r="B263" t="s">
        <v>22</v>
      </c>
      <c r="C263">
        <v>36</v>
      </c>
      <c r="D263" t="s">
        <v>19</v>
      </c>
      <c r="F263">
        <v>1.3599999999999999</v>
      </c>
      <c r="J263">
        <f>SUM(63,65,98,109)</f>
        <v>335</v>
      </c>
      <c r="K263">
        <v>4</v>
      </c>
      <c r="L263">
        <v>109</v>
      </c>
      <c r="N263" t="str">
        <f t="shared" si="8"/>
        <v>NA</v>
      </c>
      <c r="O263">
        <v>3.5197920000000025</v>
      </c>
      <c r="S263">
        <f t="shared" si="9"/>
        <v>1.4526712159999997</v>
      </c>
    </row>
    <row r="264" spans="1:19">
      <c r="A264" s="6">
        <v>42086</v>
      </c>
      <c r="B264" t="s">
        <v>22</v>
      </c>
      <c r="C264">
        <v>36</v>
      </c>
      <c r="D264" t="s">
        <v>19</v>
      </c>
      <c r="F264">
        <v>0.87</v>
      </c>
      <c r="J264">
        <f>SUM(22,37,44,46)</f>
        <v>149</v>
      </c>
      <c r="K264">
        <v>4</v>
      </c>
      <c r="L264">
        <v>46</v>
      </c>
      <c r="N264" t="str">
        <f t="shared" si="8"/>
        <v>NA</v>
      </c>
      <c r="O264">
        <v>5.0597969999999961</v>
      </c>
      <c r="S264">
        <f t="shared" si="9"/>
        <v>0.59446736774999998</v>
      </c>
    </row>
    <row r="265" spans="1:19">
      <c r="A265" s="6">
        <v>42086</v>
      </c>
      <c r="B265" t="s">
        <v>22</v>
      </c>
      <c r="C265">
        <v>36</v>
      </c>
      <c r="D265" t="s">
        <v>19</v>
      </c>
      <c r="F265">
        <v>0.82</v>
      </c>
      <c r="J265">
        <f>SUM(26,40,48)</f>
        <v>114</v>
      </c>
      <c r="K265">
        <v>3</v>
      </c>
      <c r="L265">
        <v>48</v>
      </c>
      <c r="N265" t="str">
        <f t="shared" si="8"/>
        <v>NA</v>
      </c>
      <c r="O265">
        <v>8.1982349999999968</v>
      </c>
      <c r="S265">
        <f t="shared" si="9"/>
        <v>0.52810127899999992</v>
      </c>
    </row>
    <row r="266" spans="1:19">
      <c r="A266" s="6">
        <v>42086</v>
      </c>
      <c r="B266" t="s">
        <v>22</v>
      </c>
      <c r="C266">
        <v>36</v>
      </c>
      <c r="D266" t="s">
        <v>19</v>
      </c>
      <c r="F266">
        <v>0.43999999999999995</v>
      </c>
      <c r="J266">
        <f>SUM(29,50)</f>
        <v>79</v>
      </c>
      <c r="K266">
        <v>2</v>
      </c>
      <c r="L266">
        <v>50</v>
      </c>
      <c r="N266" t="str">
        <f t="shared" si="8"/>
        <v>NA</v>
      </c>
      <c r="O266">
        <v>11.336672999999998</v>
      </c>
      <c r="S266">
        <f t="shared" si="9"/>
        <v>0.15205295599999996</v>
      </c>
    </row>
    <row r="267" spans="1:19">
      <c r="A267" s="6">
        <v>42086</v>
      </c>
      <c r="B267" t="s">
        <v>22</v>
      </c>
      <c r="C267">
        <v>36</v>
      </c>
      <c r="D267" t="s">
        <v>19</v>
      </c>
      <c r="F267">
        <v>0.86</v>
      </c>
      <c r="J267">
        <f>SUM(57,39,58,71,66)</f>
        <v>291</v>
      </c>
      <c r="K267">
        <v>5</v>
      </c>
      <c r="L267">
        <v>71</v>
      </c>
      <c r="N267" t="str">
        <f t="shared" si="8"/>
        <v>NA</v>
      </c>
      <c r="O267">
        <v>3.8195289999999993</v>
      </c>
      <c r="S267">
        <f t="shared" si="9"/>
        <v>0.58087999099999987</v>
      </c>
    </row>
    <row r="268" spans="1:19">
      <c r="A268" s="6">
        <v>42094</v>
      </c>
      <c r="B268" t="s">
        <v>23</v>
      </c>
      <c r="C268">
        <v>21</v>
      </c>
      <c r="D268" t="s">
        <v>61</v>
      </c>
      <c r="E268">
        <v>124</v>
      </c>
      <c r="F268">
        <v>0.35</v>
      </c>
      <c r="N268">
        <f t="shared" si="8"/>
        <v>3.9767293416666658</v>
      </c>
      <c r="O268">
        <v>4.1024230000000008</v>
      </c>
      <c r="S268">
        <f t="shared" si="9"/>
        <v>9.6211193749999979E-2</v>
      </c>
    </row>
    <row r="269" spans="1:19">
      <c r="A269" s="6">
        <v>42094</v>
      </c>
      <c r="B269" t="s">
        <v>23</v>
      </c>
      <c r="C269">
        <v>21</v>
      </c>
      <c r="D269" t="s">
        <v>61</v>
      </c>
      <c r="E269">
        <v>64</v>
      </c>
      <c r="F269">
        <v>0.49</v>
      </c>
      <c r="N269">
        <f t="shared" si="8"/>
        <v>4.0229107146666658</v>
      </c>
      <c r="O269" t="s">
        <v>64</v>
      </c>
      <c r="S269">
        <f t="shared" si="9"/>
        <v>0.18857393974999997</v>
      </c>
    </row>
    <row r="270" spans="1:19">
      <c r="A270" s="6">
        <v>42094</v>
      </c>
      <c r="B270" t="s">
        <v>23</v>
      </c>
      <c r="C270">
        <v>21</v>
      </c>
      <c r="D270" t="s">
        <v>61</v>
      </c>
      <c r="E270">
        <v>68</v>
      </c>
      <c r="F270">
        <v>0.19</v>
      </c>
      <c r="N270">
        <f t="shared" si="8"/>
        <v>0.64266459433333334</v>
      </c>
      <c r="O270">
        <v>0.17654300000000056</v>
      </c>
      <c r="S270">
        <f t="shared" si="9"/>
        <v>2.8352849749999999E-2</v>
      </c>
    </row>
    <row r="271" spans="1:19">
      <c r="A271" s="6">
        <v>42094</v>
      </c>
      <c r="B271" t="s">
        <v>23</v>
      </c>
      <c r="C271">
        <v>21</v>
      </c>
      <c r="D271" t="s">
        <v>61</v>
      </c>
      <c r="E271">
        <v>98</v>
      </c>
      <c r="F271">
        <v>0.42</v>
      </c>
      <c r="G271">
        <v>3</v>
      </c>
      <c r="N271">
        <f t="shared" si="8"/>
        <v>4.525774553999999</v>
      </c>
      <c r="O271">
        <v>3.7736958</v>
      </c>
      <c r="S271">
        <f t="shared" si="9"/>
        <v>0.13854411899999997</v>
      </c>
    </row>
    <row r="272" spans="1:19">
      <c r="A272" s="6">
        <v>42094</v>
      </c>
      <c r="B272" t="s">
        <v>23</v>
      </c>
      <c r="C272">
        <v>21</v>
      </c>
      <c r="D272" t="s">
        <v>61</v>
      </c>
      <c r="E272">
        <v>57</v>
      </c>
      <c r="F272">
        <v>0.26</v>
      </c>
      <c r="N272">
        <f t="shared" si="8"/>
        <v>1.0087645489999999</v>
      </c>
      <c r="O272" t="s">
        <v>64</v>
      </c>
      <c r="S272">
        <f t="shared" si="9"/>
        <v>5.3092871000000007E-2</v>
      </c>
    </row>
    <row r="273" spans="1:19">
      <c r="A273" s="6">
        <v>42094</v>
      </c>
      <c r="B273" t="s">
        <v>23</v>
      </c>
      <c r="C273">
        <v>21</v>
      </c>
      <c r="D273" t="s">
        <v>61</v>
      </c>
      <c r="E273">
        <v>66</v>
      </c>
      <c r="F273">
        <v>0.17</v>
      </c>
      <c r="N273">
        <f t="shared" si="8"/>
        <v>0.49935573050000004</v>
      </c>
      <c r="O273">
        <v>3.6332999999999949E-2</v>
      </c>
      <c r="S273">
        <f t="shared" si="9"/>
        <v>2.2697987750000002E-2</v>
      </c>
    </row>
    <row r="274" spans="1:19">
      <c r="A274" s="6">
        <v>42094</v>
      </c>
      <c r="B274" t="s">
        <v>23</v>
      </c>
      <c r="C274">
        <v>21</v>
      </c>
      <c r="D274" t="s">
        <v>61</v>
      </c>
      <c r="E274">
        <v>156</v>
      </c>
      <c r="F274">
        <v>0.54</v>
      </c>
      <c r="N274">
        <f t="shared" si="8"/>
        <v>11.909139372</v>
      </c>
      <c r="O274">
        <v>6.345783</v>
      </c>
      <c r="S274">
        <f t="shared" si="9"/>
        <v>0.22902191100000002</v>
      </c>
    </row>
    <row r="275" spans="1:19">
      <c r="A275" s="6">
        <v>42094</v>
      </c>
      <c r="B275" t="s">
        <v>23</v>
      </c>
      <c r="C275">
        <v>21</v>
      </c>
      <c r="D275" t="s">
        <v>61</v>
      </c>
      <c r="E275">
        <v>39</v>
      </c>
      <c r="F275">
        <v>0.22</v>
      </c>
      <c r="N275">
        <f t="shared" si="8"/>
        <v>0.49417210699999992</v>
      </c>
      <c r="O275" t="s">
        <v>64</v>
      </c>
      <c r="S275">
        <f t="shared" si="9"/>
        <v>3.8013238999999997E-2</v>
      </c>
    </row>
    <row r="276" spans="1:19">
      <c r="A276" s="6">
        <v>42094</v>
      </c>
      <c r="B276" t="s">
        <v>23</v>
      </c>
      <c r="C276">
        <v>21</v>
      </c>
      <c r="D276" t="s">
        <v>61</v>
      </c>
      <c r="E276">
        <v>121</v>
      </c>
      <c r="F276">
        <v>0.53</v>
      </c>
      <c r="N276">
        <f t="shared" si="8"/>
        <v>8.8982656959166668</v>
      </c>
      <c r="O276">
        <v>3.8921079999999995</v>
      </c>
      <c r="S276">
        <f t="shared" si="9"/>
        <v>0.22061815775000002</v>
      </c>
    </row>
    <row r="277" spans="1:19">
      <c r="A277" s="6">
        <v>42094</v>
      </c>
      <c r="B277" t="s">
        <v>23</v>
      </c>
      <c r="C277">
        <v>21</v>
      </c>
      <c r="D277" t="s">
        <v>61</v>
      </c>
      <c r="E277">
        <v>135</v>
      </c>
      <c r="F277">
        <v>1.0900000000000001</v>
      </c>
      <c r="N277">
        <f t="shared" si="8"/>
        <v>41.990884638750003</v>
      </c>
      <c r="O277">
        <v>4.8735780000000011</v>
      </c>
      <c r="S277">
        <f t="shared" si="9"/>
        <v>0.93313076975000009</v>
      </c>
    </row>
    <row r="278" spans="1:19">
      <c r="A278" s="6">
        <v>42094</v>
      </c>
      <c r="B278" t="s">
        <v>23</v>
      </c>
      <c r="C278">
        <v>21</v>
      </c>
      <c r="D278" t="s">
        <v>61</v>
      </c>
      <c r="E278">
        <v>232</v>
      </c>
      <c r="F278">
        <v>1.24</v>
      </c>
      <c r="G278">
        <v>17</v>
      </c>
      <c r="N278">
        <f t="shared" si="8"/>
        <v>93.389836490666653</v>
      </c>
      <c r="O278">
        <v>8.9336472000000011</v>
      </c>
      <c r="S278">
        <f t="shared" si="9"/>
        <v>1.207627196</v>
      </c>
    </row>
    <row r="279" spans="1:19">
      <c r="A279" s="6">
        <v>42094</v>
      </c>
      <c r="B279" t="s">
        <v>23</v>
      </c>
      <c r="C279">
        <v>21</v>
      </c>
      <c r="D279" t="s">
        <v>61</v>
      </c>
      <c r="E279">
        <v>112</v>
      </c>
      <c r="F279">
        <v>0.71</v>
      </c>
      <c r="N279">
        <f t="shared" si="8"/>
        <v>14.780971510666665</v>
      </c>
      <c r="O279">
        <v>3.2611630000000007</v>
      </c>
      <c r="S279">
        <f t="shared" si="9"/>
        <v>0.39591887974999995</v>
      </c>
    </row>
    <row r="280" spans="1:19">
      <c r="A280" s="6">
        <v>42094</v>
      </c>
      <c r="B280" t="s">
        <v>23</v>
      </c>
      <c r="C280">
        <v>21</v>
      </c>
      <c r="D280" t="s">
        <v>61</v>
      </c>
      <c r="E280">
        <v>115</v>
      </c>
      <c r="F280">
        <v>0.65</v>
      </c>
      <c r="N280">
        <f t="shared" si="8"/>
        <v>12.720167010416667</v>
      </c>
      <c r="O280">
        <v>3.4714780000000003</v>
      </c>
      <c r="S280">
        <f t="shared" si="9"/>
        <v>0.33183044375000004</v>
      </c>
    </row>
    <row r="281" spans="1:19">
      <c r="A281" s="6">
        <v>42094</v>
      </c>
      <c r="B281" t="s">
        <v>23</v>
      </c>
      <c r="C281">
        <v>21</v>
      </c>
      <c r="D281" t="s">
        <v>61</v>
      </c>
      <c r="E281">
        <v>59</v>
      </c>
      <c r="F281">
        <v>0.28000000000000003</v>
      </c>
      <c r="G281">
        <v>1</v>
      </c>
      <c r="N281">
        <f t="shared" si="8"/>
        <v>1.2109782253333334</v>
      </c>
      <c r="O281">
        <v>2.2719189000000002</v>
      </c>
      <c r="S281">
        <f t="shared" si="9"/>
        <v>6.1575164000000009E-2</v>
      </c>
    </row>
    <row r="282" spans="1:19">
      <c r="A282" s="6">
        <v>42094</v>
      </c>
      <c r="B282" t="s">
        <v>23</v>
      </c>
      <c r="C282">
        <v>21</v>
      </c>
      <c r="D282" t="s">
        <v>61</v>
      </c>
      <c r="E282">
        <v>153</v>
      </c>
      <c r="F282">
        <v>0.63</v>
      </c>
      <c r="G282">
        <v>8</v>
      </c>
      <c r="N282">
        <f t="shared" si="8"/>
        <v>15.897937655250001</v>
      </c>
      <c r="O282">
        <v>5.8915863000000002</v>
      </c>
      <c r="S282">
        <f t="shared" si="9"/>
        <v>0.31172426775000001</v>
      </c>
    </row>
    <row r="283" spans="1:19">
      <c r="A283" s="6">
        <v>42094</v>
      </c>
      <c r="B283" t="s">
        <v>23</v>
      </c>
      <c r="C283">
        <v>32</v>
      </c>
      <c r="D283" t="s">
        <v>19</v>
      </c>
      <c r="F283">
        <v>1.43</v>
      </c>
      <c r="J283">
        <f>SUM(61,51,78,80,78,108,115)</f>
        <v>571</v>
      </c>
      <c r="K283">
        <v>7</v>
      </c>
      <c r="L283">
        <v>115</v>
      </c>
      <c r="N283" t="str">
        <f t="shared" si="8"/>
        <v>NA</v>
      </c>
      <c r="O283">
        <v>2.771443000000005</v>
      </c>
      <c r="S283">
        <f t="shared" si="9"/>
        <v>1.6060593477499998</v>
      </c>
    </row>
    <row r="284" spans="1:19">
      <c r="A284" s="6">
        <v>42094</v>
      </c>
      <c r="B284" t="s">
        <v>23</v>
      </c>
      <c r="C284">
        <v>42</v>
      </c>
      <c r="D284" t="s">
        <v>19</v>
      </c>
      <c r="F284">
        <v>0.81</v>
      </c>
      <c r="J284" s="8">
        <f>SUM(48,64,68,85,87)</f>
        <v>352</v>
      </c>
      <c r="K284">
        <v>5</v>
      </c>
      <c r="L284">
        <v>87</v>
      </c>
      <c r="N284" t="str">
        <f t="shared" si="8"/>
        <v>NA</v>
      </c>
      <c r="O284">
        <v>4.718664000000004</v>
      </c>
      <c r="S284">
        <f t="shared" si="9"/>
        <v>0.51529929975000011</v>
      </c>
    </row>
    <row r="285" spans="1:19">
      <c r="A285" s="6">
        <v>42094</v>
      </c>
      <c r="B285" t="s">
        <v>23</v>
      </c>
      <c r="C285">
        <v>42</v>
      </c>
      <c r="D285" t="s">
        <v>19</v>
      </c>
      <c r="F285">
        <v>2.19</v>
      </c>
      <c r="J285">
        <f>SUM(62,106,131,160,149,178,177)</f>
        <v>963</v>
      </c>
      <c r="K285">
        <v>7</v>
      </c>
      <c r="L285">
        <v>178</v>
      </c>
      <c r="N285" t="str">
        <f t="shared" si="8"/>
        <v>NA</v>
      </c>
      <c r="O285">
        <v>20.544968000000011</v>
      </c>
      <c r="S285">
        <f t="shared" si="9"/>
        <v>3.7668449497499998</v>
      </c>
    </row>
    <row r="286" spans="1:19">
      <c r="A286" s="6">
        <v>42094</v>
      </c>
      <c r="B286" t="s">
        <v>23</v>
      </c>
      <c r="C286">
        <v>42</v>
      </c>
      <c r="D286" t="s">
        <v>19</v>
      </c>
      <c r="F286">
        <v>1.26</v>
      </c>
      <c r="J286">
        <f>SUM(61,74,98,116,133)</f>
        <v>482</v>
      </c>
      <c r="K286">
        <v>5</v>
      </c>
      <c r="L286">
        <v>133</v>
      </c>
      <c r="N286" t="str">
        <f t="shared" si="8"/>
        <v>NA</v>
      </c>
      <c r="O286">
        <v>3.0495440000000045</v>
      </c>
      <c r="S286">
        <f t="shared" si="9"/>
        <v>1.246897071</v>
      </c>
    </row>
    <row r="287" spans="1:19">
      <c r="A287" s="6">
        <v>42094</v>
      </c>
      <c r="B287" t="s">
        <v>23</v>
      </c>
      <c r="C287">
        <v>42</v>
      </c>
      <c r="D287" t="s">
        <v>19</v>
      </c>
      <c r="F287">
        <v>1.56</v>
      </c>
      <c r="J287">
        <f>SUM(39,40,41,41,36,103)</f>
        <v>300</v>
      </c>
      <c r="K287">
        <v>6</v>
      </c>
      <c r="L287">
        <v>103</v>
      </c>
      <c r="N287" t="str">
        <f t="shared" si="8"/>
        <v>NA</v>
      </c>
      <c r="O287" t="s">
        <v>64</v>
      </c>
      <c r="S287">
        <f t="shared" si="9"/>
        <v>1.9113433560000002</v>
      </c>
    </row>
    <row r="288" spans="1:19">
      <c r="A288" s="6">
        <v>42094</v>
      </c>
      <c r="B288" t="s">
        <v>23</v>
      </c>
      <c r="C288">
        <v>42</v>
      </c>
      <c r="D288" t="s">
        <v>19</v>
      </c>
      <c r="F288">
        <v>2.14</v>
      </c>
      <c r="J288">
        <f>SUM(32,33,33,55,56,85,113,159,185,192,199)</f>
        <v>1142</v>
      </c>
      <c r="K288">
        <v>11</v>
      </c>
      <c r="L288">
        <v>199</v>
      </c>
      <c r="N288" t="str">
        <f t="shared" si="8"/>
        <v>NA</v>
      </c>
      <c r="O288">
        <v>2.9115560000000187</v>
      </c>
      <c r="S288">
        <f t="shared" si="9"/>
        <v>3.5968063909999999</v>
      </c>
    </row>
    <row r="289" spans="1:19">
      <c r="A289" s="6">
        <v>42094</v>
      </c>
      <c r="B289" t="s">
        <v>23</v>
      </c>
      <c r="C289">
        <v>42</v>
      </c>
      <c r="D289" t="s">
        <v>19</v>
      </c>
      <c r="F289">
        <v>2.06</v>
      </c>
      <c r="J289">
        <f>SUM(225,262,267)</f>
        <v>754</v>
      </c>
      <c r="K289">
        <v>3</v>
      </c>
      <c r="L289">
        <v>267</v>
      </c>
      <c r="N289" t="str">
        <f t="shared" si="8"/>
        <v>NA</v>
      </c>
      <c r="O289">
        <v>2.2287800000000075</v>
      </c>
      <c r="S289">
        <f t="shared" si="9"/>
        <v>3.3329128309999998</v>
      </c>
    </row>
    <row r="290" spans="1:19">
      <c r="A290" s="6">
        <v>42094</v>
      </c>
      <c r="B290" t="s">
        <v>23</v>
      </c>
      <c r="C290">
        <v>42</v>
      </c>
      <c r="D290" t="s">
        <v>19</v>
      </c>
      <c r="F290">
        <v>1.24</v>
      </c>
      <c r="J290">
        <f>SUM(51,77,97,100,115)</f>
        <v>440</v>
      </c>
      <c r="K290">
        <v>5</v>
      </c>
      <c r="L290">
        <v>115</v>
      </c>
      <c r="N290" t="str">
        <f t="shared" si="8"/>
        <v>NA</v>
      </c>
      <c r="O290">
        <v>4.5342440000000011</v>
      </c>
      <c r="S290">
        <f t="shared" si="9"/>
        <v>1.207627196</v>
      </c>
    </row>
    <row r="291" spans="1:19">
      <c r="A291" s="6">
        <v>42094</v>
      </c>
      <c r="B291" t="s">
        <v>23</v>
      </c>
      <c r="C291">
        <v>43</v>
      </c>
      <c r="D291" t="s">
        <v>19</v>
      </c>
      <c r="F291">
        <v>0.31</v>
      </c>
      <c r="J291">
        <f>SUM(35,68,72)</f>
        <v>175</v>
      </c>
      <c r="K291">
        <v>3</v>
      </c>
      <c r="L291">
        <v>72</v>
      </c>
      <c r="N291" t="str">
        <f t="shared" si="8"/>
        <v>NA</v>
      </c>
      <c r="O291">
        <v>6.6874099999999999</v>
      </c>
      <c r="S291">
        <f t="shared" si="9"/>
        <v>7.5476699750000001E-2</v>
      </c>
    </row>
    <row r="292" spans="1:19">
      <c r="A292" s="6">
        <v>42094</v>
      </c>
      <c r="B292" t="s">
        <v>23</v>
      </c>
      <c r="C292">
        <v>43</v>
      </c>
      <c r="D292" t="s">
        <v>19</v>
      </c>
      <c r="F292">
        <v>0.9</v>
      </c>
      <c r="J292">
        <f>SUM(30,77,95,124,129)</f>
        <v>455</v>
      </c>
      <c r="K292">
        <v>5</v>
      </c>
      <c r="L292">
        <v>129</v>
      </c>
      <c r="N292" t="str">
        <f t="shared" si="8"/>
        <v>NA</v>
      </c>
      <c r="O292">
        <v>1.7231390000000033</v>
      </c>
      <c r="S292">
        <f t="shared" si="9"/>
        <v>0.636171975</v>
      </c>
    </row>
    <row r="293" spans="1:19">
      <c r="A293" s="6">
        <v>42094</v>
      </c>
      <c r="B293" t="s">
        <v>23</v>
      </c>
      <c r="C293">
        <v>43</v>
      </c>
      <c r="D293" t="s">
        <v>19</v>
      </c>
      <c r="F293">
        <v>2.19</v>
      </c>
      <c r="J293">
        <f>SUM(55,92,114,123,134,138,151)</f>
        <v>807</v>
      </c>
      <c r="K293">
        <v>7</v>
      </c>
      <c r="L293">
        <v>151</v>
      </c>
      <c r="N293" t="str">
        <f t="shared" si="8"/>
        <v>NA</v>
      </c>
      <c r="O293">
        <v>14.052803000000004</v>
      </c>
      <c r="S293">
        <f t="shared" si="9"/>
        <v>3.7668449497499998</v>
      </c>
    </row>
    <row r="294" spans="1:19">
      <c r="A294" s="6">
        <v>42094</v>
      </c>
      <c r="B294" t="s">
        <v>23</v>
      </c>
      <c r="C294">
        <v>43</v>
      </c>
      <c r="D294" t="s">
        <v>19</v>
      </c>
      <c r="F294">
        <v>1.8</v>
      </c>
      <c r="J294">
        <f>SUM(50,81,114,136,168,166)</f>
        <v>715</v>
      </c>
      <c r="K294">
        <v>6</v>
      </c>
      <c r="L294">
        <v>168</v>
      </c>
      <c r="N294" t="str">
        <f t="shared" si="8"/>
        <v>NA</v>
      </c>
      <c r="O294">
        <v>7.3285309999999981</v>
      </c>
      <c r="S294">
        <f t="shared" si="9"/>
        <v>2.5446879</v>
      </c>
    </row>
    <row r="295" spans="1:19">
      <c r="A295" s="6">
        <v>42094</v>
      </c>
      <c r="B295" t="s">
        <v>23</v>
      </c>
      <c r="C295">
        <v>43</v>
      </c>
      <c r="D295" t="s">
        <v>19</v>
      </c>
      <c r="F295">
        <v>2.84</v>
      </c>
      <c r="J295">
        <f>SUM(92,135,143,188,196,223,228,252)</f>
        <v>1457</v>
      </c>
      <c r="K295">
        <v>8</v>
      </c>
      <c r="L295">
        <v>252</v>
      </c>
      <c r="N295" t="str">
        <f t="shared" si="8"/>
        <v>NA</v>
      </c>
      <c r="O295">
        <v>37.545455000000011</v>
      </c>
      <c r="S295">
        <f t="shared" si="9"/>
        <v>6.3347020759999992</v>
      </c>
    </row>
    <row r="296" spans="1:19">
      <c r="A296" s="6">
        <v>42094</v>
      </c>
      <c r="B296" t="s">
        <v>23</v>
      </c>
      <c r="C296">
        <v>43</v>
      </c>
      <c r="D296" t="s">
        <v>19</v>
      </c>
      <c r="F296">
        <v>2.5499999999999998</v>
      </c>
      <c r="J296">
        <f>SUM(69,133,157,166,194,204,221)</f>
        <v>1144</v>
      </c>
      <c r="K296">
        <v>7</v>
      </c>
      <c r="L296">
        <v>221</v>
      </c>
      <c r="N296" t="str">
        <f t="shared" si="8"/>
        <v>NA</v>
      </c>
      <c r="O296">
        <v>24.561088000000019</v>
      </c>
      <c r="S296">
        <f t="shared" si="9"/>
        <v>5.1070472437499994</v>
      </c>
    </row>
    <row r="297" spans="1:19">
      <c r="A297" s="6">
        <v>42094</v>
      </c>
      <c r="B297" t="s">
        <v>23</v>
      </c>
      <c r="C297">
        <v>43</v>
      </c>
      <c r="D297" t="s">
        <v>19</v>
      </c>
      <c r="F297">
        <v>1.97</v>
      </c>
      <c r="J297">
        <f>SUM(79,103,136,154,185,195)</f>
        <v>852</v>
      </c>
      <c r="K297">
        <v>6</v>
      </c>
      <c r="L297">
        <v>195</v>
      </c>
      <c r="N297" t="str">
        <f t="shared" si="8"/>
        <v>NA</v>
      </c>
      <c r="O297">
        <v>12.039351000000003</v>
      </c>
      <c r="S297">
        <f t="shared" si="9"/>
        <v>3.04804915775</v>
      </c>
    </row>
    <row r="298" spans="1:19">
      <c r="A298" s="6">
        <v>42094</v>
      </c>
      <c r="B298" t="s">
        <v>23</v>
      </c>
      <c r="C298">
        <v>50</v>
      </c>
      <c r="D298" t="s">
        <v>63</v>
      </c>
      <c r="E298">
        <v>154</v>
      </c>
      <c r="F298">
        <v>1.74</v>
      </c>
      <c r="N298">
        <f t="shared" si="8"/>
        <v>122.063966178</v>
      </c>
      <c r="O298">
        <v>6.2055730000000002</v>
      </c>
      <c r="S298">
        <f t="shared" si="9"/>
        <v>2.3778694709999999</v>
      </c>
    </row>
    <row r="299" spans="1:19">
      <c r="A299" s="6">
        <v>42094</v>
      </c>
      <c r="B299" t="s">
        <v>23</v>
      </c>
      <c r="C299">
        <v>50</v>
      </c>
      <c r="D299" t="s">
        <v>63</v>
      </c>
      <c r="E299">
        <v>219</v>
      </c>
      <c r="F299">
        <v>1.48</v>
      </c>
      <c r="N299">
        <f t="shared" si="8"/>
        <v>125.58443193199999</v>
      </c>
      <c r="O299">
        <v>10.762398000000001</v>
      </c>
      <c r="S299">
        <f t="shared" si="9"/>
        <v>1.7203346839999998</v>
      </c>
    </row>
    <row r="300" spans="1:19">
      <c r="A300" s="6">
        <v>42094</v>
      </c>
      <c r="B300" t="s">
        <v>23</v>
      </c>
      <c r="C300">
        <v>50</v>
      </c>
      <c r="D300" t="s">
        <v>63</v>
      </c>
      <c r="E300">
        <v>35</v>
      </c>
      <c r="F300">
        <v>1.03</v>
      </c>
      <c r="N300">
        <f t="shared" si="8"/>
        <v>9.7209957570833332</v>
      </c>
      <c r="O300" t="s">
        <v>64</v>
      </c>
      <c r="S300">
        <f t="shared" si="9"/>
        <v>0.83322820774999995</v>
      </c>
    </row>
    <row r="301" spans="1:19">
      <c r="A301" s="6">
        <v>42094</v>
      </c>
      <c r="B301" t="s">
        <v>23</v>
      </c>
      <c r="C301">
        <v>50</v>
      </c>
      <c r="D301" t="s">
        <v>19</v>
      </c>
      <c r="F301">
        <v>0.71</v>
      </c>
      <c r="J301">
        <f>SUM(59,74,79,104)</f>
        <v>316</v>
      </c>
      <c r="K301">
        <v>4</v>
      </c>
      <c r="L301">
        <v>104</v>
      </c>
      <c r="N301" t="str">
        <f t="shared" si="8"/>
        <v>NA</v>
      </c>
      <c r="O301">
        <v>3.2446720000000013</v>
      </c>
      <c r="S301">
        <f t="shared" si="9"/>
        <v>0.39591887974999995</v>
      </c>
    </row>
    <row r="302" spans="1:19">
      <c r="A302" s="6">
        <v>42094</v>
      </c>
      <c r="B302" t="s">
        <v>23</v>
      </c>
      <c r="C302">
        <v>50</v>
      </c>
      <c r="D302" t="s">
        <v>19</v>
      </c>
      <c r="F302">
        <v>0.89</v>
      </c>
      <c r="J302">
        <f>SUM(159,159)</f>
        <v>318</v>
      </c>
      <c r="K302">
        <v>2</v>
      </c>
      <c r="L302">
        <v>159</v>
      </c>
      <c r="N302" t="str">
        <f t="shared" si="8"/>
        <v>NA</v>
      </c>
      <c r="O302">
        <v>0.90841300000000302</v>
      </c>
      <c r="S302">
        <f t="shared" si="9"/>
        <v>0.62211335975000004</v>
      </c>
    </row>
    <row r="303" spans="1:19">
      <c r="A303" s="6">
        <v>42094</v>
      </c>
      <c r="B303" t="s">
        <v>23</v>
      </c>
      <c r="C303">
        <v>50</v>
      </c>
      <c r="D303" t="s">
        <v>19</v>
      </c>
      <c r="F303">
        <v>1.18</v>
      </c>
      <c r="J303">
        <f>SUM(50,69,112,116,175)</f>
        <v>522</v>
      </c>
      <c r="K303">
        <v>5</v>
      </c>
      <c r="L303">
        <v>175</v>
      </c>
      <c r="N303" t="str">
        <f t="shared" si="8"/>
        <v>NA</v>
      </c>
      <c r="O303" t="s">
        <v>64</v>
      </c>
      <c r="S303">
        <f t="shared" si="9"/>
        <v>1.0935874789999998</v>
      </c>
    </row>
    <row r="304" spans="1:19">
      <c r="A304" s="6">
        <v>42094</v>
      </c>
      <c r="B304" t="s">
        <v>23</v>
      </c>
      <c r="C304">
        <v>50</v>
      </c>
      <c r="D304" t="s">
        <v>19</v>
      </c>
      <c r="F304">
        <v>0.38</v>
      </c>
      <c r="J304">
        <f>SUM(52,84,88)</f>
        <v>224</v>
      </c>
      <c r="K304">
        <v>3</v>
      </c>
      <c r="L304">
        <v>88</v>
      </c>
      <c r="N304" t="str">
        <f t="shared" si="8"/>
        <v>NA</v>
      </c>
      <c r="O304">
        <v>6.4614849999999961</v>
      </c>
      <c r="S304">
        <f t="shared" si="9"/>
        <v>0.113411399</v>
      </c>
    </row>
    <row r="305" spans="1:19">
      <c r="A305" s="6">
        <v>42094</v>
      </c>
      <c r="B305" t="s">
        <v>23</v>
      </c>
      <c r="C305">
        <v>50</v>
      </c>
      <c r="D305" t="s">
        <v>19</v>
      </c>
      <c r="F305">
        <v>2.27</v>
      </c>
      <c r="J305">
        <f>SUM(74,113,168,200,205,223)</f>
        <v>983</v>
      </c>
      <c r="K305">
        <v>6</v>
      </c>
      <c r="L305">
        <v>223</v>
      </c>
      <c r="N305" t="str">
        <f t="shared" si="8"/>
        <v>NA</v>
      </c>
      <c r="O305">
        <v>15.886396000000012</v>
      </c>
      <c r="S305">
        <f t="shared" si="9"/>
        <v>4.0470747777499998</v>
      </c>
    </row>
    <row r="306" spans="1:19">
      <c r="A306" s="6">
        <v>42094</v>
      </c>
      <c r="B306" t="s">
        <v>23</v>
      </c>
      <c r="C306">
        <v>50</v>
      </c>
      <c r="D306" t="s">
        <v>19</v>
      </c>
      <c r="F306">
        <v>1.9</v>
      </c>
      <c r="J306">
        <f>SUM(82,109,134,186,188,221)</f>
        <v>920</v>
      </c>
      <c r="K306">
        <v>6</v>
      </c>
      <c r="L306">
        <v>221</v>
      </c>
      <c r="N306" t="str">
        <f t="shared" si="8"/>
        <v>NA</v>
      </c>
      <c r="O306">
        <v>10.582321000000015</v>
      </c>
      <c r="S306">
        <f t="shared" si="9"/>
        <v>2.835284975</v>
      </c>
    </row>
    <row r="307" spans="1:19">
      <c r="A307" s="6">
        <v>42094</v>
      </c>
      <c r="B307" t="s">
        <v>23</v>
      </c>
      <c r="C307">
        <v>50</v>
      </c>
      <c r="D307" t="s">
        <v>19</v>
      </c>
      <c r="F307">
        <v>1.72</v>
      </c>
      <c r="J307">
        <f>SUM(40,50,84,108,119,119,122,133,172)</f>
        <v>947</v>
      </c>
      <c r="K307">
        <v>9</v>
      </c>
      <c r="L307">
        <v>172</v>
      </c>
      <c r="N307" t="str">
        <f t="shared" si="8"/>
        <v>NA</v>
      </c>
      <c r="O307">
        <v>6.8076520000000116</v>
      </c>
      <c r="S307">
        <f t="shared" si="9"/>
        <v>2.3235199639999995</v>
      </c>
    </row>
    <row r="308" spans="1:19">
      <c r="A308" s="6">
        <v>42094</v>
      </c>
      <c r="B308" t="s">
        <v>23</v>
      </c>
      <c r="C308">
        <v>50</v>
      </c>
      <c r="D308" t="s">
        <v>19</v>
      </c>
      <c r="F308">
        <v>0.28999999999999998</v>
      </c>
      <c r="J308">
        <f>SUM(41,61,184)</f>
        <v>286</v>
      </c>
      <c r="K308">
        <v>3</v>
      </c>
      <c r="L308">
        <v>184</v>
      </c>
      <c r="N308" t="str">
        <f t="shared" si="8"/>
        <v>NA</v>
      </c>
      <c r="O308" t="s">
        <v>64</v>
      </c>
      <c r="S308">
        <f t="shared" si="9"/>
        <v>6.6051929749999988E-2</v>
      </c>
    </row>
    <row r="309" spans="1:19">
      <c r="A309" s="6">
        <v>42094</v>
      </c>
      <c r="B309" t="s">
        <v>23</v>
      </c>
      <c r="C309">
        <v>50</v>
      </c>
      <c r="D309" t="s">
        <v>19</v>
      </c>
      <c r="F309">
        <v>2.64</v>
      </c>
      <c r="J309">
        <f>SUM(112,115,119,124,176,184,191,221)</f>
        <v>1242</v>
      </c>
      <c r="K309">
        <v>8</v>
      </c>
      <c r="L309">
        <v>221</v>
      </c>
      <c r="N309" t="str">
        <f t="shared" si="8"/>
        <v>NA</v>
      </c>
      <c r="O309">
        <v>26.726725000000016</v>
      </c>
      <c r="S309">
        <f t="shared" si="9"/>
        <v>5.4739064160000002</v>
      </c>
    </row>
    <row r="310" spans="1:19">
      <c r="A310" s="6">
        <v>42094</v>
      </c>
      <c r="B310" t="s">
        <v>23</v>
      </c>
      <c r="C310">
        <v>50</v>
      </c>
      <c r="D310" t="s">
        <v>19</v>
      </c>
      <c r="F310">
        <v>3.79</v>
      </c>
      <c r="J310">
        <f>SUM(112,172,200,212,234,248,258,274)</f>
        <v>1710</v>
      </c>
      <c r="K310">
        <v>8</v>
      </c>
      <c r="L310">
        <v>274</v>
      </c>
      <c r="N310" t="str">
        <f t="shared" si="8"/>
        <v>NA</v>
      </c>
      <c r="O310">
        <v>54.638080000000024</v>
      </c>
      <c r="S310">
        <f t="shared" si="9"/>
        <v>11.28152822975</v>
      </c>
    </row>
    <row r="311" spans="1:19">
      <c r="A311" s="6">
        <v>42094</v>
      </c>
      <c r="B311" t="s">
        <v>24</v>
      </c>
      <c r="C311">
        <v>4</v>
      </c>
      <c r="D311" t="s">
        <v>63</v>
      </c>
      <c r="E311">
        <v>51</v>
      </c>
      <c r="F311">
        <v>1.28</v>
      </c>
      <c r="N311">
        <f t="shared" si="8"/>
        <v>21.875519487999998</v>
      </c>
      <c r="O311" t="s">
        <v>64</v>
      </c>
      <c r="S311">
        <f t="shared" si="9"/>
        <v>1.286795264</v>
      </c>
    </row>
    <row r="312" spans="1:19">
      <c r="A312" s="6">
        <v>42094</v>
      </c>
      <c r="B312" t="s">
        <v>24</v>
      </c>
      <c r="C312">
        <v>4</v>
      </c>
      <c r="D312" t="s">
        <v>63</v>
      </c>
      <c r="E312">
        <v>75</v>
      </c>
      <c r="F312">
        <v>0.82</v>
      </c>
      <c r="N312">
        <f t="shared" si="8"/>
        <v>13.202531974999996</v>
      </c>
      <c r="O312">
        <v>0.66727800000000048</v>
      </c>
      <c r="S312">
        <f t="shared" si="9"/>
        <v>0.52810127899999992</v>
      </c>
    </row>
    <row r="313" spans="1:19">
      <c r="A313" s="6">
        <v>42094</v>
      </c>
      <c r="B313" t="s">
        <v>24</v>
      </c>
      <c r="C313">
        <v>4</v>
      </c>
      <c r="D313" t="s">
        <v>63</v>
      </c>
      <c r="E313">
        <v>79</v>
      </c>
      <c r="F313">
        <v>0.71</v>
      </c>
      <c r="G313">
        <v>3</v>
      </c>
      <c r="N313">
        <f t="shared" si="8"/>
        <v>10.425863833416667</v>
      </c>
      <c r="O313">
        <v>1.9349944000000001</v>
      </c>
      <c r="S313">
        <f t="shared" si="9"/>
        <v>0.39591887974999995</v>
      </c>
    </row>
    <row r="314" spans="1:19">
      <c r="A314" s="6">
        <v>42094</v>
      </c>
      <c r="B314" t="s">
        <v>24</v>
      </c>
      <c r="C314">
        <v>4</v>
      </c>
      <c r="D314" t="s">
        <v>63</v>
      </c>
      <c r="E314">
        <v>45</v>
      </c>
      <c r="F314">
        <v>1.29</v>
      </c>
      <c r="N314">
        <f t="shared" si="8"/>
        <v>19.604699696249998</v>
      </c>
      <c r="O314" t="s">
        <v>64</v>
      </c>
      <c r="S314">
        <f t="shared" si="9"/>
        <v>1.3069799797500001</v>
      </c>
    </row>
    <row r="315" spans="1:19">
      <c r="A315" s="6">
        <v>42094</v>
      </c>
      <c r="B315" t="s">
        <v>24</v>
      </c>
      <c r="C315">
        <v>4</v>
      </c>
      <c r="D315" t="s">
        <v>63</v>
      </c>
      <c r="E315">
        <v>78</v>
      </c>
      <c r="F315">
        <v>0.97</v>
      </c>
      <c r="G315">
        <v>10</v>
      </c>
      <c r="N315">
        <f t="shared" si="8"/>
        <v>19.213493201499997</v>
      </c>
      <c r="O315">
        <v>1.9105008000000001</v>
      </c>
      <c r="S315">
        <f t="shared" si="9"/>
        <v>0.7389805077499999</v>
      </c>
    </row>
    <row r="316" spans="1:19">
      <c r="A316" s="6">
        <v>42094</v>
      </c>
      <c r="B316" t="s">
        <v>24</v>
      </c>
      <c r="C316">
        <v>4</v>
      </c>
      <c r="D316" t="s">
        <v>63</v>
      </c>
      <c r="E316">
        <v>64</v>
      </c>
      <c r="F316">
        <v>0.39</v>
      </c>
      <c r="N316">
        <f t="shared" si="8"/>
        <v>2.5484578079999998</v>
      </c>
      <c r="O316" t="s">
        <v>64</v>
      </c>
      <c r="S316">
        <f t="shared" si="9"/>
        <v>0.11945895975000001</v>
      </c>
    </row>
    <row r="317" spans="1:19">
      <c r="A317" s="6">
        <v>42094</v>
      </c>
      <c r="B317" t="s">
        <v>24</v>
      </c>
      <c r="C317">
        <v>4</v>
      </c>
      <c r="D317" t="s">
        <v>63</v>
      </c>
      <c r="E317">
        <v>98</v>
      </c>
      <c r="F317">
        <v>0.83</v>
      </c>
      <c r="N317">
        <f t="shared" si="8"/>
        <v>17.67463769983333</v>
      </c>
      <c r="O317">
        <v>2.279693</v>
      </c>
      <c r="S317">
        <f t="shared" si="9"/>
        <v>0.54106033774999995</v>
      </c>
    </row>
    <row r="318" spans="1:19">
      <c r="A318" s="6">
        <v>42094</v>
      </c>
      <c r="B318" t="s">
        <v>24</v>
      </c>
      <c r="C318">
        <v>4</v>
      </c>
      <c r="D318" t="s">
        <v>63</v>
      </c>
      <c r="E318">
        <v>46</v>
      </c>
      <c r="F318">
        <v>0.93</v>
      </c>
      <c r="N318">
        <f t="shared" si="8"/>
        <v>10.415784565500001</v>
      </c>
      <c r="O318" t="s">
        <v>64</v>
      </c>
      <c r="S318">
        <f t="shared" si="9"/>
        <v>0.67929029775000005</v>
      </c>
    </row>
    <row r="319" spans="1:19">
      <c r="A319" s="6">
        <v>42094</v>
      </c>
      <c r="B319" t="s">
        <v>24</v>
      </c>
      <c r="C319">
        <v>4</v>
      </c>
      <c r="D319" t="s">
        <v>63</v>
      </c>
      <c r="E319">
        <v>143</v>
      </c>
      <c r="F319">
        <v>1.04</v>
      </c>
      <c r="N319">
        <f t="shared" si="8"/>
        <v>40.492162949333327</v>
      </c>
      <c r="O319">
        <v>5.434418</v>
      </c>
      <c r="S319">
        <f t="shared" si="9"/>
        <v>0.84948593600000011</v>
      </c>
    </row>
    <row r="320" spans="1:19">
      <c r="A320" s="6">
        <v>42094</v>
      </c>
      <c r="B320" t="s">
        <v>24</v>
      </c>
      <c r="C320">
        <v>4</v>
      </c>
      <c r="D320" t="s">
        <v>63</v>
      </c>
      <c r="E320">
        <v>55</v>
      </c>
      <c r="F320">
        <v>0.6</v>
      </c>
      <c r="G320">
        <v>3</v>
      </c>
      <c r="N320">
        <f t="shared" si="8"/>
        <v>5.1836234999999995</v>
      </c>
      <c r="O320">
        <v>1.347148</v>
      </c>
      <c r="S320">
        <f t="shared" si="9"/>
        <v>0.28274309999999997</v>
      </c>
    </row>
    <row r="321" spans="1:19">
      <c r="A321" s="6">
        <v>42094</v>
      </c>
      <c r="B321" t="s">
        <v>24</v>
      </c>
      <c r="C321">
        <v>4</v>
      </c>
      <c r="D321" t="s">
        <v>63</v>
      </c>
      <c r="E321">
        <v>66</v>
      </c>
      <c r="F321">
        <v>0.48</v>
      </c>
      <c r="N321">
        <f t="shared" si="8"/>
        <v>3.9810228479999994</v>
      </c>
      <c r="O321">
        <v>3.6332999999999949E-2</v>
      </c>
      <c r="S321">
        <f t="shared" si="9"/>
        <v>0.18095558399999997</v>
      </c>
    </row>
    <row r="322" spans="1:19">
      <c r="A322" s="6">
        <v>42094</v>
      </c>
      <c r="B322" t="s">
        <v>24</v>
      </c>
      <c r="C322">
        <v>4</v>
      </c>
      <c r="D322" t="s">
        <v>63</v>
      </c>
      <c r="E322">
        <v>100</v>
      </c>
      <c r="F322">
        <v>0.65</v>
      </c>
      <c r="N322">
        <f t="shared" si="8"/>
        <v>11.061014791666667</v>
      </c>
      <c r="O322">
        <v>2.4199030000000006</v>
      </c>
      <c r="S322">
        <f t="shared" si="9"/>
        <v>0.33183044375000004</v>
      </c>
    </row>
    <row r="323" spans="1:19">
      <c r="A323" s="6">
        <v>42094</v>
      </c>
      <c r="B323" t="s">
        <v>24</v>
      </c>
      <c r="C323">
        <v>4</v>
      </c>
      <c r="D323" t="s">
        <v>63</v>
      </c>
      <c r="E323">
        <v>103</v>
      </c>
      <c r="F323">
        <v>1.1100000000000001</v>
      </c>
      <c r="N323">
        <f t="shared" si="8"/>
        <v>33.223963584750003</v>
      </c>
      <c r="O323">
        <v>2.6302180000000002</v>
      </c>
      <c r="S323">
        <f t="shared" si="9"/>
        <v>0.96768825975000017</v>
      </c>
    </row>
    <row r="324" spans="1:19">
      <c r="A324" s="6">
        <v>42094</v>
      </c>
      <c r="B324" t="s">
        <v>24</v>
      </c>
      <c r="C324">
        <v>4</v>
      </c>
      <c r="D324" t="s">
        <v>63</v>
      </c>
      <c r="E324">
        <v>118</v>
      </c>
      <c r="F324">
        <v>0.83</v>
      </c>
      <c r="N324">
        <f t="shared" ref="N324:N387" si="10">IF(OR(D324="S. acutus", D324="S. tabernaemontani", D324="S. californicus"),(1/3)*(3.14159)*((F324/2)^2)*E324,"NA")</f>
        <v>21.281706618166663</v>
      </c>
      <c r="O324">
        <v>3.6817929999999999</v>
      </c>
      <c r="S324">
        <f t="shared" si="9"/>
        <v>0.54106033774999995</v>
      </c>
    </row>
    <row r="325" spans="1:19">
      <c r="A325" s="6">
        <v>42094</v>
      </c>
      <c r="B325" t="s">
        <v>24</v>
      </c>
      <c r="C325">
        <v>4</v>
      </c>
      <c r="D325" t="s">
        <v>63</v>
      </c>
      <c r="E325">
        <v>93</v>
      </c>
      <c r="F325">
        <v>0.63</v>
      </c>
      <c r="G325">
        <v>7</v>
      </c>
      <c r="N325">
        <f t="shared" si="10"/>
        <v>9.6634523002500003</v>
      </c>
      <c r="O325">
        <v>2.2779048</v>
      </c>
      <c r="S325">
        <f t="shared" ref="S325:S388" si="11">3.14159*((F325/2)^2)</f>
        <v>0.31172426775000001</v>
      </c>
    </row>
    <row r="326" spans="1:19">
      <c r="A326" s="6">
        <v>42094</v>
      </c>
      <c r="B326" t="s">
        <v>24</v>
      </c>
      <c r="C326">
        <v>4</v>
      </c>
      <c r="D326" t="s">
        <v>63</v>
      </c>
      <c r="E326">
        <v>77</v>
      </c>
      <c r="F326">
        <v>0.57999999999999996</v>
      </c>
      <c r="N326">
        <f t="shared" si="10"/>
        <v>6.7813314543333316</v>
      </c>
      <c r="O326">
        <v>0.80748800000000021</v>
      </c>
      <c r="S326">
        <f t="shared" si="11"/>
        <v>0.26420771899999995</v>
      </c>
    </row>
    <row r="327" spans="1:19">
      <c r="A327" s="6">
        <v>42094</v>
      </c>
      <c r="B327" t="s">
        <v>24</v>
      </c>
      <c r="C327">
        <v>4</v>
      </c>
      <c r="D327" t="s">
        <v>63</v>
      </c>
      <c r="E327">
        <v>100</v>
      </c>
      <c r="F327">
        <v>1.27</v>
      </c>
      <c r="N327">
        <f t="shared" si="10"/>
        <v>42.225587591666667</v>
      </c>
      <c r="O327">
        <v>2.4199030000000006</v>
      </c>
      <c r="S327">
        <f t="shared" si="11"/>
        <v>1.26676762775</v>
      </c>
    </row>
    <row r="328" spans="1:19">
      <c r="A328" s="6">
        <v>42094</v>
      </c>
      <c r="B328" t="s">
        <v>24</v>
      </c>
      <c r="C328">
        <v>4</v>
      </c>
      <c r="D328" t="s">
        <v>63</v>
      </c>
      <c r="E328">
        <v>86</v>
      </c>
      <c r="F328">
        <v>0.83</v>
      </c>
      <c r="N328">
        <f t="shared" si="10"/>
        <v>15.51039634883333</v>
      </c>
      <c r="O328">
        <v>1.4384329999999999</v>
      </c>
      <c r="S328">
        <f t="shared" si="11"/>
        <v>0.54106033774999995</v>
      </c>
    </row>
    <row r="329" spans="1:19">
      <c r="A329" s="6">
        <v>42094</v>
      </c>
      <c r="B329" t="s">
        <v>24</v>
      </c>
      <c r="C329">
        <v>4</v>
      </c>
      <c r="D329" t="s">
        <v>63</v>
      </c>
      <c r="E329">
        <v>80</v>
      </c>
      <c r="F329">
        <v>1.27</v>
      </c>
      <c r="N329">
        <f t="shared" si="10"/>
        <v>33.780470073333333</v>
      </c>
      <c r="O329">
        <v>1.0178029999999998</v>
      </c>
      <c r="S329">
        <f t="shared" si="11"/>
        <v>1.26676762775</v>
      </c>
    </row>
    <row r="330" spans="1:19">
      <c r="A330" s="6">
        <v>42094</v>
      </c>
      <c r="B330" t="s">
        <v>24</v>
      </c>
      <c r="C330">
        <v>4</v>
      </c>
      <c r="D330" t="s">
        <v>63</v>
      </c>
      <c r="E330">
        <v>69</v>
      </c>
      <c r="F330">
        <v>0.57999999999999996</v>
      </c>
      <c r="G330">
        <v>6</v>
      </c>
      <c r="N330">
        <f t="shared" si="10"/>
        <v>6.076777536999999</v>
      </c>
      <c r="O330">
        <v>1.6900584000000001</v>
      </c>
      <c r="S330">
        <f t="shared" si="11"/>
        <v>0.26420771899999995</v>
      </c>
    </row>
    <row r="331" spans="1:19">
      <c r="A331" s="6">
        <v>42094</v>
      </c>
      <c r="B331" t="s">
        <v>24</v>
      </c>
      <c r="C331">
        <v>4</v>
      </c>
      <c r="D331" t="s">
        <v>63</v>
      </c>
      <c r="E331">
        <v>77</v>
      </c>
      <c r="F331">
        <v>1</v>
      </c>
      <c r="N331">
        <f t="shared" si="10"/>
        <v>20.158535833333332</v>
      </c>
      <c r="O331">
        <v>0.80748800000000021</v>
      </c>
      <c r="S331">
        <f t="shared" si="11"/>
        <v>0.78539749999999997</v>
      </c>
    </row>
    <row r="332" spans="1:19">
      <c r="A332" s="6">
        <v>42094</v>
      </c>
      <c r="B332" t="s">
        <v>24</v>
      </c>
      <c r="C332">
        <v>4</v>
      </c>
      <c r="D332" t="s">
        <v>63</v>
      </c>
      <c r="E332">
        <v>133</v>
      </c>
      <c r="F332">
        <v>1.23</v>
      </c>
      <c r="N332">
        <f t="shared" si="10"/>
        <v>52.678102580249991</v>
      </c>
      <c r="O332">
        <v>4.7333679999999996</v>
      </c>
      <c r="S332">
        <f t="shared" si="11"/>
        <v>1.1882278777499999</v>
      </c>
    </row>
    <row r="333" spans="1:19">
      <c r="A333" s="6">
        <v>42094</v>
      </c>
      <c r="B333" t="s">
        <v>24</v>
      </c>
      <c r="C333">
        <v>4</v>
      </c>
      <c r="D333" t="s">
        <v>63</v>
      </c>
      <c r="E333">
        <v>88</v>
      </c>
      <c r="F333">
        <v>0.6</v>
      </c>
      <c r="G333">
        <v>14</v>
      </c>
      <c r="N333">
        <f t="shared" si="10"/>
        <v>8.2937975999999995</v>
      </c>
      <c r="O333">
        <v>2.1554367999999999</v>
      </c>
      <c r="S333">
        <f t="shared" si="11"/>
        <v>0.28274309999999997</v>
      </c>
    </row>
    <row r="334" spans="1:19">
      <c r="A334" s="6">
        <v>42094</v>
      </c>
      <c r="B334" t="s">
        <v>24</v>
      </c>
      <c r="C334">
        <v>4</v>
      </c>
      <c r="D334" t="s">
        <v>63</v>
      </c>
      <c r="E334">
        <v>75</v>
      </c>
      <c r="F334">
        <v>0.49</v>
      </c>
      <c r="N334">
        <f t="shared" si="10"/>
        <v>4.7143484937499993</v>
      </c>
      <c r="O334">
        <v>0.66727800000000048</v>
      </c>
      <c r="S334">
        <f t="shared" si="11"/>
        <v>0.18857393974999997</v>
      </c>
    </row>
    <row r="335" spans="1:19">
      <c r="A335" s="6">
        <v>42094</v>
      </c>
      <c r="B335" t="s">
        <v>24</v>
      </c>
      <c r="C335">
        <v>4</v>
      </c>
      <c r="D335" t="s">
        <v>63</v>
      </c>
      <c r="E335">
        <v>80</v>
      </c>
      <c r="F335">
        <v>1</v>
      </c>
      <c r="N335">
        <f t="shared" si="10"/>
        <v>20.94393333333333</v>
      </c>
      <c r="O335">
        <v>1.0178029999999998</v>
      </c>
      <c r="S335">
        <f t="shared" si="11"/>
        <v>0.78539749999999997</v>
      </c>
    </row>
    <row r="336" spans="1:19">
      <c r="A336" s="6">
        <v>42094</v>
      </c>
      <c r="B336" t="s">
        <v>24</v>
      </c>
      <c r="C336">
        <v>4</v>
      </c>
      <c r="D336" t="s">
        <v>63</v>
      </c>
      <c r="E336">
        <v>91</v>
      </c>
      <c r="F336">
        <v>0.83</v>
      </c>
      <c r="N336">
        <f t="shared" si="10"/>
        <v>16.412163578416664</v>
      </c>
      <c r="O336">
        <v>1.788958</v>
      </c>
      <c r="S336">
        <f t="shared" si="11"/>
        <v>0.54106033774999995</v>
      </c>
    </row>
    <row r="337" spans="1:19">
      <c r="A337" s="6">
        <v>42094</v>
      </c>
      <c r="B337" t="s">
        <v>24</v>
      </c>
      <c r="C337">
        <v>4</v>
      </c>
      <c r="D337" t="s">
        <v>63</v>
      </c>
      <c r="E337">
        <v>35</v>
      </c>
      <c r="F337">
        <v>0.36</v>
      </c>
      <c r="G337">
        <v>3</v>
      </c>
      <c r="N337">
        <f t="shared" si="10"/>
        <v>1.1875210199999997</v>
      </c>
      <c r="O337">
        <v>0.85727600000000004</v>
      </c>
      <c r="S337">
        <f t="shared" si="11"/>
        <v>0.10178751599999999</v>
      </c>
    </row>
    <row r="338" spans="1:19">
      <c r="A338" s="6">
        <v>42094</v>
      </c>
      <c r="B338" t="s">
        <v>24</v>
      </c>
      <c r="C338">
        <v>4</v>
      </c>
      <c r="D338" t="s">
        <v>63</v>
      </c>
      <c r="E338">
        <v>63</v>
      </c>
      <c r="F338">
        <v>1.1200000000000001</v>
      </c>
      <c r="N338">
        <f t="shared" si="10"/>
        <v>20.689255104000001</v>
      </c>
      <c r="O338" t="s">
        <v>64</v>
      </c>
      <c r="S338">
        <f t="shared" si="11"/>
        <v>0.98520262400000014</v>
      </c>
    </row>
    <row r="339" spans="1:19">
      <c r="A339" s="6">
        <v>42094</v>
      </c>
      <c r="B339" t="s">
        <v>24</v>
      </c>
      <c r="C339">
        <v>4</v>
      </c>
      <c r="D339" t="s">
        <v>63</v>
      </c>
      <c r="E339">
        <v>104</v>
      </c>
      <c r="F339">
        <v>0.41</v>
      </c>
      <c r="N339">
        <f t="shared" si="10"/>
        <v>4.5768777513333321</v>
      </c>
      <c r="O339">
        <v>2.700323</v>
      </c>
      <c r="S339">
        <f t="shared" si="11"/>
        <v>0.13202531974999998</v>
      </c>
    </row>
    <row r="340" spans="1:19">
      <c r="A340" s="6">
        <v>42094</v>
      </c>
      <c r="B340" t="s">
        <v>24</v>
      </c>
      <c r="C340">
        <v>4</v>
      </c>
      <c r="D340" t="s">
        <v>63</v>
      </c>
      <c r="E340">
        <v>74</v>
      </c>
      <c r="F340">
        <v>1.0900000000000001</v>
      </c>
      <c r="N340">
        <f t="shared" si="10"/>
        <v>23.017225653833336</v>
      </c>
      <c r="O340">
        <v>0.59717300000000062</v>
      </c>
      <c r="S340">
        <f t="shared" si="11"/>
        <v>0.93313076975000009</v>
      </c>
    </row>
    <row r="341" spans="1:19">
      <c r="A341" s="6">
        <v>42094</v>
      </c>
      <c r="B341" t="s">
        <v>24</v>
      </c>
      <c r="C341">
        <v>4</v>
      </c>
      <c r="D341" t="s">
        <v>63</v>
      </c>
      <c r="E341">
        <v>50</v>
      </c>
      <c r="F341">
        <v>0.38</v>
      </c>
      <c r="G341">
        <v>4</v>
      </c>
      <c r="N341">
        <f t="shared" si="10"/>
        <v>1.8901899833333333</v>
      </c>
      <c r="O341">
        <v>1.22468</v>
      </c>
      <c r="S341">
        <f t="shared" si="11"/>
        <v>0.113411399</v>
      </c>
    </row>
    <row r="342" spans="1:19">
      <c r="A342" s="6">
        <v>42094</v>
      </c>
      <c r="B342" t="s">
        <v>24</v>
      </c>
      <c r="C342">
        <v>4</v>
      </c>
      <c r="D342" t="s">
        <v>63</v>
      </c>
      <c r="E342">
        <v>120</v>
      </c>
      <c r="F342">
        <v>0.78</v>
      </c>
      <c r="N342">
        <f t="shared" si="10"/>
        <v>19.113433559999997</v>
      </c>
      <c r="O342">
        <v>3.8220029999999996</v>
      </c>
      <c r="S342">
        <f t="shared" si="11"/>
        <v>0.47783583900000004</v>
      </c>
    </row>
    <row r="343" spans="1:19">
      <c r="A343" s="6">
        <v>42094</v>
      </c>
      <c r="B343" t="s">
        <v>24</v>
      </c>
      <c r="C343">
        <v>4</v>
      </c>
      <c r="D343" t="s">
        <v>63</v>
      </c>
      <c r="E343">
        <v>130</v>
      </c>
      <c r="F343">
        <v>0.89</v>
      </c>
      <c r="G343">
        <v>22</v>
      </c>
      <c r="N343">
        <f t="shared" si="10"/>
        <v>26.958245589166665</v>
      </c>
      <c r="O343">
        <v>3.1841680000000001</v>
      </c>
      <c r="S343">
        <f t="shared" si="11"/>
        <v>0.62211335975000004</v>
      </c>
    </row>
    <row r="344" spans="1:19">
      <c r="A344" s="6">
        <v>42094</v>
      </c>
      <c r="B344" t="s">
        <v>24</v>
      </c>
      <c r="C344">
        <v>4</v>
      </c>
      <c r="D344" t="s">
        <v>63</v>
      </c>
      <c r="E344">
        <v>118</v>
      </c>
      <c r="F344">
        <v>1.27</v>
      </c>
      <c r="N344">
        <f t="shared" si="10"/>
        <v>49.826193358166663</v>
      </c>
      <c r="O344">
        <v>3.6817929999999999</v>
      </c>
      <c r="S344">
        <f t="shared" si="11"/>
        <v>1.26676762775</v>
      </c>
    </row>
    <row r="345" spans="1:19">
      <c r="A345" s="6">
        <v>42094</v>
      </c>
      <c r="B345" t="s">
        <v>24</v>
      </c>
      <c r="C345">
        <v>4</v>
      </c>
      <c r="D345" t="s">
        <v>63</v>
      </c>
      <c r="E345">
        <v>103</v>
      </c>
      <c r="F345">
        <v>1.33</v>
      </c>
      <c r="N345">
        <f t="shared" si="10"/>
        <v>47.698944229416668</v>
      </c>
      <c r="O345">
        <v>2.6302180000000002</v>
      </c>
      <c r="S345">
        <f t="shared" si="11"/>
        <v>1.3892896377500001</v>
      </c>
    </row>
    <row r="346" spans="1:19">
      <c r="A346" s="6">
        <v>42094</v>
      </c>
      <c r="B346" t="s">
        <v>24</v>
      </c>
      <c r="C346">
        <v>4</v>
      </c>
      <c r="D346" t="s">
        <v>63</v>
      </c>
      <c r="E346">
        <v>92</v>
      </c>
      <c r="F346">
        <v>0.8</v>
      </c>
      <c r="N346">
        <f t="shared" si="10"/>
        <v>15.414734933333333</v>
      </c>
      <c r="O346">
        <v>1.8590629999999999</v>
      </c>
      <c r="S346">
        <f t="shared" si="11"/>
        <v>0.50265440000000006</v>
      </c>
    </row>
    <row r="347" spans="1:19">
      <c r="A347" s="6">
        <v>42094</v>
      </c>
      <c r="B347" t="s">
        <v>24</v>
      </c>
      <c r="C347">
        <v>4</v>
      </c>
      <c r="D347" t="s">
        <v>63</v>
      </c>
      <c r="E347">
        <v>81</v>
      </c>
      <c r="F347">
        <v>0.63</v>
      </c>
      <c r="N347">
        <f t="shared" si="10"/>
        <v>8.416555229250001</v>
      </c>
      <c r="O347">
        <v>1.0879080000000005</v>
      </c>
      <c r="S347">
        <f t="shared" si="11"/>
        <v>0.31172426775000001</v>
      </c>
    </row>
    <row r="348" spans="1:19">
      <c r="A348" s="6">
        <v>42094</v>
      </c>
      <c r="B348" t="s">
        <v>24</v>
      </c>
      <c r="C348">
        <v>4</v>
      </c>
      <c r="D348" t="s">
        <v>63</v>
      </c>
      <c r="E348">
        <v>85</v>
      </c>
      <c r="F348">
        <v>1.0900000000000001</v>
      </c>
      <c r="N348">
        <f t="shared" si="10"/>
        <v>26.438705142916668</v>
      </c>
      <c r="O348">
        <v>1.368328</v>
      </c>
      <c r="S348">
        <f t="shared" si="11"/>
        <v>0.93313076975000009</v>
      </c>
    </row>
    <row r="349" spans="1:19">
      <c r="A349" s="6">
        <v>42094</v>
      </c>
      <c r="B349" t="s">
        <v>24</v>
      </c>
      <c r="C349">
        <v>4</v>
      </c>
      <c r="D349" t="s">
        <v>63</v>
      </c>
      <c r="E349">
        <v>116</v>
      </c>
      <c r="F349">
        <v>1.27</v>
      </c>
      <c r="N349">
        <f t="shared" si="10"/>
        <v>48.981681606333332</v>
      </c>
      <c r="O349">
        <v>3.5415830000000001</v>
      </c>
      <c r="S349">
        <f t="shared" si="11"/>
        <v>1.26676762775</v>
      </c>
    </row>
    <row r="350" spans="1:19">
      <c r="A350" s="6">
        <v>42094</v>
      </c>
      <c r="B350" t="s">
        <v>24</v>
      </c>
      <c r="C350">
        <v>4</v>
      </c>
      <c r="D350" t="s">
        <v>63</v>
      </c>
      <c r="E350">
        <v>47</v>
      </c>
      <c r="F350">
        <v>1.02</v>
      </c>
      <c r="N350">
        <f t="shared" si="10"/>
        <v>12.801665090999997</v>
      </c>
      <c r="O350" t="s">
        <v>64</v>
      </c>
      <c r="S350">
        <f t="shared" si="11"/>
        <v>0.817127559</v>
      </c>
    </row>
    <row r="351" spans="1:19">
      <c r="A351" s="6">
        <v>42094</v>
      </c>
      <c r="B351" t="s">
        <v>24</v>
      </c>
      <c r="C351">
        <v>4</v>
      </c>
      <c r="D351" t="s">
        <v>63</v>
      </c>
      <c r="E351">
        <v>102</v>
      </c>
      <c r="F351">
        <v>1.07</v>
      </c>
      <c r="N351">
        <f t="shared" si="10"/>
        <v>30.572854323499996</v>
      </c>
      <c r="O351">
        <v>2.5601130000000003</v>
      </c>
      <c r="S351">
        <f t="shared" si="11"/>
        <v>0.89920159774999997</v>
      </c>
    </row>
    <row r="352" spans="1:19">
      <c r="A352" s="6">
        <v>42094</v>
      </c>
      <c r="B352" t="s">
        <v>24</v>
      </c>
      <c r="C352">
        <v>4</v>
      </c>
      <c r="D352" t="s">
        <v>63</v>
      </c>
      <c r="E352">
        <v>88</v>
      </c>
      <c r="F352">
        <v>1.07</v>
      </c>
      <c r="N352">
        <f t="shared" si="10"/>
        <v>26.376580200666663</v>
      </c>
      <c r="O352">
        <v>1.5786430000000005</v>
      </c>
      <c r="S352">
        <f t="shared" si="11"/>
        <v>0.89920159774999997</v>
      </c>
    </row>
    <row r="353" spans="1:19">
      <c r="A353" s="6">
        <v>42094</v>
      </c>
      <c r="B353" t="s">
        <v>24</v>
      </c>
      <c r="C353">
        <v>4</v>
      </c>
      <c r="D353" t="s">
        <v>19</v>
      </c>
      <c r="F353">
        <v>1.68</v>
      </c>
      <c r="J353">
        <f>SUM(45,83,81,107,109,124)</f>
        <v>549</v>
      </c>
      <c r="K353">
        <v>6</v>
      </c>
      <c r="L353">
        <v>124</v>
      </c>
      <c r="N353" t="str">
        <f t="shared" si="10"/>
        <v>NA</v>
      </c>
      <c r="O353">
        <v>5.0199810000000014</v>
      </c>
      <c r="S353">
        <f t="shared" si="11"/>
        <v>2.2167059039999994</v>
      </c>
    </row>
    <row r="354" spans="1:19">
      <c r="A354" s="6">
        <v>42094</v>
      </c>
      <c r="B354" t="s">
        <v>24</v>
      </c>
      <c r="C354">
        <v>4</v>
      </c>
      <c r="D354" t="s">
        <v>19</v>
      </c>
      <c r="F354">
        <v>1.1599999999999999</v>
      </c>
      <c r="J354">
        <f>SUM(64,82,90,111,121)</f>
        <v>468</v>
      </c>
      <c r="K354">
        <v>5</v>
      </c>
      <c r="L354">
        <v>121</v>
      </c>
      <c r="N354" t="str">
        <f t="shared" si="10"/>
        <v>NA</v>
      </c>
      <c r="O354">
        <v>5.3519140000000007</v>
      </c>
      <c r="S354">
        <f t="shared" si="11"/>
        <v>1.0568308759999998</v>
      </c>
    </row>
    <row r="355" spans="1:19">
      <c r="A355" s="6">
        <v>42094</v>
      </c>
      <c r="B355" t="s">
        <v>24</v>
      </c>
      <c r="C355">
        <v>4</v>
      </c>
      <c r="D355" t="s">
        <v>19</v>
      </c>
      <c r="F355">
        <v>1.1100000000000001</v>
      </c>
      <c r="J355">
        <f>SUM(38,64,61,85,88)</f>
        <v>336</v>
      </c>
      <c r="K355">
        <v>5</v>
      </c>
      <c r="L355">
        <v>88</v>
      </c>
      <c r="N355" t="str">
        <f t="shared" si="10"/>
        <v>NA</v>
      </c>
      <c r="O355">
        <v>2.9173389999999984</v>
      </c>
      <c r="S355">
        <f t="shared" si="11"/>
        <v>0.96768825975000017</v>
      </c>
    </row>
    <row r="356" spans="1:19">
      <c r="A356" s="6">
        <v>42094</v>
      </c>
      <c r="B356" t="s">
        <v>24</v>
      </c>
      <c r="C356">
        <v>4</v>
      </c>
      <c r="D356" t="s">
        <v>19</v>
      </c>
      <c r="F356">
        <v>0.21</v>
      </c>
      <c r="J356">
        <f>SUM(17,29,38)</f>
        <v>84</v>
      </c>
      <c r="K356">
        <v>3</v>
      </c>
      <c r="L356">
        <v>38</v>
      </c>
      <c r="N356" t="str">
        <f t="shared" si="10"/>
        <v>NA</v>
      </c>
      <c r="O356">
        <v>8.3980349999999966</v>
      </c>
      <c r="S356">
        <f t="shared" si="11"/>
        <v>3.4636029749999991E-2</v>
      </c>
    </row>
    <row r="357" spans="1:19">
      <c r="A357" s="6">
        <v>42094</v>
      </c>
      <c r="B357" t="s">
        <v>24</v>
      </c>
      <c r="C357">
        <v>4</v>
      </c>
      <c r="D357" t="s">
        <v>19</v>
      </c>
      <c r="F357">
        <v>0.69</v>
      </c>
      <c r="J357">
        <f>SUM(27,54,56,76)</f>
        <v>213</v>
      </c>
      <c r="K357">
        <v>4</v>
      </c>
      <c r="L357">
        <v>76</v>
      </c>
      <c r="N357" t="str">
        <f t="shared" si="10"/>
        <v>NA</v>
      </c>
      <c r="O357">
        <v>2.0227669999999982</v>
      </c>
      <c r="S357">
        <f t="shared" si="11"/>
        <v>0.37392774974999993</v>
      </c>
    </row>
    <row r="358" spans="1:19">
      <c r="A358" s="6">
        <v>42094</v>
      </c>
      <c r="B358" t="s">
        <v>24</v>
      </c>
      <c r="C358">
        <v>4</v>
      </c>
      <c r="D358" t="s">
        <v>19</v>
      </c>
      <c r="F358">
        <v>0.56999999999999995</v>
      </c>
      <c r="J358">
        <f>SUM(38,63,67,90)</f>
        <v>258</v>
      </c>
      <c r="K358">
        <v>4</v>
      </c>
      <c r="L358">
        <v>90</v>
      </c>
      <c r="N358" t="str">
        <f t="shared" si="10"/>
        <v>NA</v>
      </c>
      <c r="O358">
        <v>2.0243119999999983</v>
      </c>
      <c r="S358">
        <f t="shared" si="11"/>
        <v>0.25517564774999996</v>
      </c>
    </row>
    <row r="359" spans="1:19">
      <c r="A359" s="6">
        <v>42094</v>
      </c>
      <c r="B359" t="s">
        <v>24</v>
      </c>
      <c r="C359">
        <v>4</v>
      </c>
      <c r="D359" t="s">
        <v>19</v>
      </c>
      <c r="F359">
        <v>1.1499999999999999</v>
      </c>
      <c r="J359">
        <f>SUM(39,71,70,77,106,123)</f>
        <v>486</v>
      </c>
      <c r="K359">
        <v>6</v>
      </c>
      <c r="L359">
        <v>123</v>
      </c>
      <c r="N359" t="str">
        <f t="shared" si="10"/>
        <v>NA</v>
      </c>
      <c r="O359" t="s">
        <v>64</v>
      </c>
      <c r="S359">
        <f t="shared" si="11"/>
        <v>1.0386881937499999</v>
      </c>
    </row>
    <row r="360" spans="1:19">
      <c r="A360" s="6">
        <v>42094</v>
      </c>
      <c r="B360" t="s">
        <v>24</v>
      </c>
      <c r="C360">
        <v>11</v>
      </c>
      <c r="D360" t="s">
        <v>19</v>
      </c>
      <c r="F360">
        <v>2.81</v>
      </c>
      <c r="J360">
        <f>SUM(98,144,150,170,195,243,238,256)</f>
        <v>1494</v>
      </c>
      <c r="K360">
        <v>8</v>
      </c>
      <c r="L360">
        <v>256</v>
      </c>
      <c r="N360" t="str">
        <f t="shared" si="10"/>
        <v>NA</v>
      </c>
      <c r="O360">
        <v>39.809410000000021</v>
      </c>
      <c r="S360">
        <f t="shared" si="11"/>
        <v>6.20157719975</v>
      </c>
    </row>
    <row r="361" spans="1:19">
      <c r="A361" s="6">
        <v>42094</v>
      </c>
      <c r="B361" t="s">
        <v>24</v>
      </c>
      <c r="C361">
        <v>11</v>
      </c>
      <c r="D361" t="s">
        <v>19</v>
      </c>
      <c r="F361">
        <v>0.4</v>
      </c>
      <c r="J361" s="8">
        <f>SUM(31,37,57,65)</f>
        <v>190</v>
      </c>
      <c r="K361">
        <v>4</v>
      </c>
      <c r="L361">
        <v>65</v>
      </c>
      <c r="N361" t="str">
        <f t="shared" si="10"/>
        <v>NA</v>
      </c>
      <c r="O361">
        <v>3.1800969999999964</v>
      </c>
      <c r="S361">
        <f t="shared" si="11"/>
        <v>0.12566360000000001</v>
      </c>
    </row>
    <row r="362" spans="1:19">
      <c r="A362" s="6">
        <v>42094</v>
      </c>
      <c r="B362" t="s">
        <v>24</v>
      </c>
      <c r="C362">
        <v>11</v>
      </c>
      <c r="D362" t="s">
        <v>19</v>
      </c>
      <c r="F362">
        <v>0.51</v>
      </c>
      <c r="J362">
        <f>SUM(39,37,71,72)</f>
        <v>219</v>
      </c>
      <c r="K362">
        <v>4</v>
      </c>
      <c r="L362">
        <v>72</v>
      </c>
      <c r="N362" t="str">
        <f t="shared" si="10"/>
        <v>NA</v>
      </c>
      <c r="O362">
        <v>3.7902769999999997</v>
      </c>
      <c r="S362">
        <f t="shared" si="11"/>
        <v>0.20428188975</v>
      </c>
    </row>
    <row r="363" spans="1:19">
      <c r="A363" s="6">
        <v>42094</v>
      </c>
      <c r="B363" t="s">
        <v>24</v>
      </c>
      <c r="C363">
        <v>11</v>
      </c>
      <c r="D363" t="s">
        <v>19</v>
      </c>
      <c r="F363">
        <v>0.22</v>
      </c>
      <c r="J363">
        <f>SUM(29,38)</f>
        <v>67</v>
      </c>
      <c r="K363">
        <v>2</v>
      </c>
      <c r="L363">
        <v>38</v>
      </c>
      <c r="N363" t="str">
        <f t="shared" si="10"/>
        <v>NA</v>
      </c>
      <c r="O363">
        <v>13.826552999999997</v>
      </c>
      <c r="S363">
        <f t="shared" si="11"/>
        <v>3.8013238999999997E-2</v>
      </c>
    </row>
    <row r="364" spans="1:19">
      <c r="A364" s="6">
        <v>42094</v>
      </c>
      <c r="B364" t="s">
        <v>24</v>
      </c>
      <c r="C364">
        <v>11</v>
      </c>
      <c r="D364" t="s">
        <v>19</v>
      </c>
      <c r="F364">
        <v>0.61</v>
      </c>
      <c r="J364">
        <f>SUM(12,21,29,33,40)</f>
        <v>135</v>
      </c>
      <c r="K364">
        <v>5</v>
      </c>
      <c r="L364">
        <v>40</v>
      </c>
      <c r="N364" t="str">
        <f t="shared" si="10"/>
        <v>NA</v>
      </c>
      <c r="O364" t="s">
        <v>64</v>
      </c>
      <c r="S364">
        <f t="shared" si="11"/>
        <v>0.29224640974999999</v>
      </c>
    </row>
    <row r="365" spans="1:19">
      <c r="A365" s="6">
        <v>42094</v>
      </c>
      <c r="B365" t="s">
        <v>24</v>
      </c>
      <c r="C365">
        <v>11</v>
      </c>
      <c r="D365" t="s">
        <v>19</v>
      </c>
      <c r="F365">
        <v>0.57999999999999996</v>
      </c>
      <c r="J365">
        <f>SUM(34,47,56)</f>
        <v>137</v>
      </c>
      <c r="K365">
        <v>3</v>
      </c>
      <c r="L365">
        <v>56</v>
      </c>
      <c r="N365" t="str">
        <f t="shared" si="10"/>
        <v>NA</v>
      </c>
      <c r="O365">
        <v>7.9446399999999961</v>
      </c>
      <c r="S365">
        <f t="shared" si="11"/>
        <v>0.26420771899999995</v>
      </c>
    </row>
    <row r="366" spans="1:19">
      <c r="A366" s="6">
        <v>42094</v>
      </c>
      <c r="B366" t="s">
        <v>24</v>
      </c>
      <c r="C366">
        <v>24</v>
      </c>
      <c r="D366" t="s">
        <v>61</v>
      </c>
      <c r="E366">
        <v>54</v>
      </c>
      <c r="F366">
        <v>0.81</v>
      </c>
      <c r="G366">
        <v>13</v>
      </c>
      <c r="N366">
        <f t="shared" si="10"/>
        <v>9.275387395500001</v>
      </c>
      <c r="O366">
        <v>2.0793834000000002</v>
      </c>
      <c r="S366">
        <f t="shared" si="11"/>
        <v>0.51529929975000011</v>
      </c>
    </row>
    <row r="367" spans="1:19">
      <c r="A367" s="6">
        <v>42094</v>
      </c>
      <c r="B367" t="s">
        <v>24</v>
      </c>
      <c r="C367">
        <v>24</v>
      </c>
      <c r="D367" t="s">
        <v>61</v>
      </c>
      <c r="E367">
        <v>146</v>
      </c>
      <c r="F367">
        <v>0.85</v>
      </c>
      <c r="G367">
        <v>14</v>
      </c>
      <c r="N367">
        <f t="shared" si="10"/>
        <v>27.615885095833328</v>
      </c>
      <c r="O367">
        <v>5.6220366000000004</v>
      </c>
      <c r="S367">
        <f t="shared" si="11"/>
        <v>0.56744969374999987</v>
      </c>
    </row>
    <row r="368" spans="1:19">
      <c r="A368" s="6">
        <v>42094</v>
      </c>
      <c r="B368" t="s">
        <v>24</v>
      </c>
      <c r="C368">
        <v>24</v>
      </c>
      <c r="D368" t="s">
        <v>61</v>
      </c>
      <c r="E368">
        <v>100</v>
      </c>
      <c r="F368">
        <v>0.64</v>
      </c>
      <c r="G368">
        <v>2</v>
      </c>
      <c r="N368">
        <f t="shared" si="10"/>
        <v>10.723293866666667</v>
      </c>
      <c r="O368">
        <v>3.8507100000000003</v>
      </c>
      <c r="S368">
        <f t="shared" si="11"/>
        <v>0.321698816</v>
      </c>
    </row>
    <row r="369" spans="1:19">
      <c r="A369" s="6">
        <v>42094</v>
      </c>
      <c r="B369" t="s">
        <v>24</v>
      </c>
      <c r="C369">
        <v>24</v>
      </c>
      <c r="D369" t="s">
        <v>61</v>
      </c>
      <c r="E369">
        <v>138</v>
      </c>
      <c r="F369">
        <v>0.75</v>
      </c>
      <c r="G369">
        <v>14</v>
      </c>
      <c r="N369">
        <f t="shared" si="10"/>
        <v>20.322160312499996</v>
      </c>
      <c r="O369">
        <v>5.3139798000000003</v>
      </c>
      <c r="S369">
        <f t="shared" si="11"/>
        <v>0.44178609375</v>
      </c>
    </row>
    <row r="370" spans="1:19">
      <c r="A370" s="6">
        <v>42094</v>
      </c>
      <c r="B370" t="s">
        <v>24</v>
      </c>
      <c r="C370">
        <v>24</v>
      </c>
      <c r="D370" t="s">
        <v>61</v>
      </c>
      <c r="E370">
        <v>145</v>
      </c>
      <c r="F370">
        <v>1.01</v>
      </c>
      <c r="G370">
        <v>22</v>
      </c>
      <c r="N370">
        <f t="shared" si="10"/>
        <v>38.723892837916665</v>
      </c>
      <c r="O370">
        <v>5.5835295</v>
      </c>
      <c r="S370">
        <f t="shared" si="11"/>
        <v>0.80118398974999994</v>
      </c>
    </row>
    <row r="371" spans="1:19">
      <c r="A371" s="6">
        <v>42094</v>
      </c>
      <c r="B371" t="s">
        <v>24</v>
      </c>
      <c r="C371">
        <v>24</v>
      </c>
      <c r="D371" t="s">
        <v>61</v>
      </c>
      <c r="E371">
        <v>167</v>
      </c>
      <c r="F371">
        <v>1.03</v>
      </c>
      <c r="G371">
        <v>8</v>
      </c>
      <c r="N371">
        <f t="shared" si="10"/>
        <v>46.383036898083333</v>
      </c>
      <c r="O371">
        <v>6.4306857000000006</v>
      </c>
      <c r="S371">
        <f t="shared" si="11"/>
        <v>0.83322820774999995</v>
      </c>
    </row>
    <row r="372" spans="1:19">
      <c r="A372" s="6">
        <v>42094</v>
      </c>
      <c r="B372" t="s">
        <v>24</v>
      </c>
      <c r="C372">
        <v>24</v>
      </c>
      <c r="D372" t="s">
        <v>61</v>
      </c>
      <c r="E372">
        <v>141</v>
      </c>
      <c r="F372">
        <v>1.18</v>
      </c>
      <c r="G372">
        <v>19</v>
      </c>
      <c r="N372">
        <f t="shared" si="10"/>
        <v>51.398611512999992</v>
      </c>
      <c r="O372">
        <v>5.4295011000000004</v>
      </c>
      <c r="S372">
        <f t="shared" si="11"/>
        <v>1.0935874789999998</v>
      </c>
    </row>
    <row r="373" spans="1:19">
      <c r="A373" s="6">
        <v>42094</v>
      </c>
      <c r="B373" t="s">
        <v>24</v>
      </c>
      <c r="C373">
        <v>24</v>
      </c>
      <c r="D373" t="s">
        <v>61</v>
      </c>
      <c r="E373">
        <v>123</v>
      </c>
      <c r="F373">
        <v>1.03</v>
      </c>
      <c r="N373">
        <f t="shared" si="10"/>
        <v>34.162356517749998</v>
      </c>
      <c r="O373">
        <v>4.032318000000001</v>
      </c>
      <c r="S373">
        <f t="shared" si="11"/>
        <v>0.83322820774999995</v>
      </c>
    </row>
    <row r="374" spans="1:19">
      <c r="A374" s="6">
        <v>42094</v>
      </c>
      <c r="B374" t="s">
        <v>24</v>
      </c>
      <c r="C374">
        <v>24</v>
      </c>
      <c r="D374" t="s">
        <v>61</v>
      </c>
      <c r="E374">
        <v>161</v>
      </c>
      <c r="F374">
        <v>1.07</v>
      </c>
      <c r="G374">
        <v>27</v>
      </c>
      <c r="N374">
        <f t="shared" si="10"/>
        <v>48.257152412583324</v>
      </c>
      <c r="O374">
        <v>6.1996431000000003</v>
      </c>
      <c r="S374">
        <f t="shared" si="11"/>
        <v>0.89920159774999997</v>
      </c>
    </row>
    <row r="375" spans="1:19">
      <c r="A375" s="6">
        <v>42094</v>
      </c>
      <c r="B375" t="s">
        <v>24</v>
      </c>
      <c r="C375">
        <v>24</v>
      </c>
      <c r="D375" t="s">
        <v>61</v>
      </c>
      <c r="E375">
        <v>138</v>
      </c>
      <c r="F375">
        <v>0.89</v>
      </c>
      <c r="G375">
        <v>12</v>
      </c>
      <c r="N375">
        <f t="shared" si="10"/>
        <v>28.617214548499998</v>
      </c>
      <c r="O375">
        <v>5.3139798000000003</v>
      </c>
      <c r="S375">
        <f t="shared" si="11"/>
        <v>0.62211335975000004</v>
      </c>
    </row>
    <row r="376" spans="1:19">
      <c r="A376" s="6">
        <v>42094</v>
      </c>
      <c r="B376" t="s">
        <v>24</v>
      </c>
      <c r="C376">
        <v>24</v>
      </c>
      <c r="D376" t="s">
        <v>61</v>
      </c>
      <c r="E376">
        <v>84</v>
      </c>
      <c r="F376">
        <v>0.54</v>
      </c>
      <c r="N376">
        <f t="shared" si="10"/>
        <v>6.4126135080000006</v>
      </c>
      <c r="O376">
        <v>1.2982230000000001</v>
      </c>
      <c r="S376">
        <f t="shared" si="11"/>
        <v>0.22902191100000002</v>
      </c>
    </row>
    <row r="377" spans="1:19">
      <c r="A377" s="6">
        <v>42094</v>
      </c>
      <c r="B377" t="s">
        <v>24</v>
      </c>
      <c r="C377">
        <v>24</v>
      </c>
      <c r="D377" t="s">
        <v>61</v>
      </c>
      <c r="E377">
        <v>127</v>
      </c>
      <c r="F377">
        <v>0.79</v>
      </c>
      <c r="N377">
        <f t="shared" si="10"/>
        <v>20.75038520941667</v>
      </c>
      <c r="O377">
        <v>4.3127380000000004</v>
      </c>
      <c r="S377">
        <f t="shared" si="11"/>
        <v>0.49016657975000005</v>
      </c>
    </row>
    <row r="378" spans="1:19">
      <c r="A378" s="6">
        <v>42094</v>
      </c>
      <c r="B378" t="s">
        <v>24</v>
      </c>
      <c r="C378">
        <v>24</v>
      </c>
      <c r="D378" t="s">
        <v>61</v>
      </c>
      <c r="E378">
        <v>107</v>
      </c>
      <c r="F378">
        <v>0.5</v>
      </c>
      <c r="N378">
        <f t="shared" si="10"/>
        <v>7.0031277083333325</v>
      </c>
      <c r="O378">
        <v>2.9106380000000005</v>
      </c>
      <c r="S378">
        <f t="shared" si="11"/>
        <v>0.19634937499999999</v>
      </c>
    </row>
    <row r="379" spans="1:19">
      <c r="A379" s="6">
        <v>42094</v>
      </c>
      <c r="B379" t="s">
        <v>24</v>
      </c>
      <c r="C379">
        <v>24</v>
      </c>
      <c r="D379" t="s">
        <v>61</v>
      </c>
      <c r="E379">
        <v>141</v>
      </c>
      <c r="F379">
        <v>0.77</v>
      </c>
      <c r="N379">
        <f t="shared" si="10"/>
        <v>21.886122354249995</v>
      </c>
      <c r="O379">
        <v>5.2942080000000002</v>
      </c>
      <c r="S379">
        <f t="shared" si="11"/>
        <v>0.46566217774999996</v>
      </c>
    </row>
    <row r="380" spans="1:19">
      <c r="A380" s="6">
        <v>42094</v>
      </c>
      <c r="B380" t="s">
        <v>24</v>
      </c>
      <c r="C380">
        <v>24</v>
      </c>
      <c r="D380" t="s">
        <v>61</v>
      </c>
      <c r="E380">
        <v>47</v>
      </c>
      <c r="F380">
        <v>0.19</v>
      </c>
      <c r="N380">
        <f t="shared" si="10"/>
        <v>0.44419464608333331</v>
      </c>
      <c r="O380" t="s">
        <v>64</v>
      </c>
      <c r="S380">
        <f t="shared" si="11"/>
        <v>2.8352849749999999E-2</v>
      </c>
    </row>
    <row r="381" spans="1:19">
      <c r="A381" s="6">
        <v>42094</v>
      </c>
      <c r="B381" t="s">
        <v>24</v>
      </c>
      <c r="C381">
        <v>52</v>
      </c>
      <c r="D381" t="s">
        <v>63</v>
      </c>
      <c r="E381">
        <v>148</v>
      </c>
      <c r="F381">
        <v>0.55000000000000004</v>
      </c>
      <c r="N381">
        <f t="shared" si="10"/>
        <v>11.720748691666667</v>
      </c>
      <c r="O381">
        <v>5.7849430000000011</v>
      </c>
      <c r="S381">
        <f t="shared" si="11"/>
        <v>0.23758274375000002</v>
      </c>
    </row>
    <row r="382" spans="1:19">
      <c r="A382" s="6">
        <v>42094</v>
      </c>
      <c r="B382" t="s">
        <v>24</v>
      </c>
      <c r="C382">
        <v>52</v>
      </c>
      <c r="D382" t="s">
        <v>63</v>
      </c>
      <c r="E382">
        <v>84</v>
      </c>
      <c r="F382">
        <v>0.55000000000000004</v>
      </c>
      <c r="G382">
        <v>1</v>
      </c>
      <c r="N382">
        <f t="shared" si="10"/>
        <v>6.6523168249999998</v>
      </c>
      <c r="O382">
        <v>2.0574623999999999</v>
      </c>
      <c r="S382">
        <f t="shared" si="11"/>
        <v>0.23758274375000002</v>
      </c>
    </row>
    <row r="383" spans="1:19">
      <c r="A383" s="6">
        <v>42094</v>
      </c>
      <c r="B383" t="s">
        <v>24</v>
      </c>
      <c r="C383">
        <v>52</v>
      </c>
      <c r="D383" t="s">
        <v>63</v>
      </c>
      <c r="E383">
        <v>337</v>
      </c>
      <c r="F383">
        <v>1.33</v>
      </c>
      <c r="N383">
        <f t="shared" si="10"/>
        <v>156.06353597391666</v>
      </c>
      <c r="O383">
        <v>19.034788000000002</v>
      </c>
      <c r="S383">
        <f t="shared" si="11"/>
        <v>1.3892896377500001</v>
      </c>
    </row>
    <row r="384" spans="1:19">
      <c r="A384" s="6">
        <v>42094</v>
      </c>
      <c r="B384" t="s">
        <v>24</v>
      </c>
      <c r="C384">
        <v>52</v>
      </c>
      <c r="D384" t="s">
        <v>63</v>
      </c>
      <c r="E384">
        <v>310</v>
      </c>
      <c r="F384">
        <v>1.26</v>
      </c>
      <c r="N384">
        <f t="shared" si="10"/>
        <v>128.84603067</v>
      </c>
      <c r="O384">
        <v>17.141953000000001</v>
      </c>
      <c r="S384">
        <f t="shared" si="11"/>
        <v>1.246897071</v>
      </c>
    </row>
    <row r="385" spans="1:19">
      <c r="A385" s="6">
        <v>42094</v>
      </c>
      <c r="B385" t="s">
        <v>24</v>
      </c>
      <c r="C385">
        <v>52</v>
      </c>
      <c r="D385" t="s">
        <v>63</v>
      </c>
      <c r="E385">
        <v>232</v>
      </c>
      <c r="F385">
        <v>0.8</v>
      </c>
      <c r="N385">
        <f t="shared" si="10"/>
        <v>38.87194026666667</v>
      </c>
      <c r="O385">
        <v>11.673763000000001</v>
      </c>
      <c r="S385">
        <f t="shared" si="11"/>
        <v>0.50265440000000006</v>
      </c>
    </row>
    <row r="386" spans="1:19">
      <c r="A386" s="6">
        <v>42094</v>
      </c>
      <c r="B386" t="s">
        <v>24</v>
      </c>
      <c r="C386">
        <v>52</v>
      </c>
      <c r="D386" t="s">
        <v>63</v>
      </c>
      <c r="E386">
        <v>200</v>
      </c>
      <c r="F386">
        <v>1.1299999999999999</v>
      </c>
      <c r="N386">
        <f t="shared" si="10"/>
        <v>66.858271183333301</v>
      </c>
      <c r="O386">
        <v>9.4304030000000019</v>
      </c>
      <c r="S386">
        <f t="shared" si="11"/>
        <v>1.0028740677499997</v>
      </c>
    </row>
    <row r="387" spans="1:19">
      <c r="A387" s="6">
        <v>42094</v>
      </c>
      <c r="B387" t="s">
        <v>24</v>
      </c>
      <c r="C387">
        <v>52</v>
      </c>
      <c r="D387" t="s">
        <v>63</v>
      </c>
      <c r="E387">
        <v>288</v>
      </c>
      <c r="F387">
        <v>1.68</v>
      </c>
      <c r="N387">
        <f t="shared" si="10"/>
        <v>212.80376678399995</v>
      </c>
      <c r="O387">
        <v>15.599643</v>
      </c>
      <c r="S387">
        <f t="shared" si="11"/>
        <v>2.2167059039999994</v>
      </c>
    </row>
    <row r="388" spans="1:19">
      <c r="A388" s="6">
        <v>42094</v>
      </c>
      <c r="B388" t="s">
        <v>24</v>
      </c>
      <c r="C388">
        <v>52</v>
      </c>
      <c r="D388" t="s">
        <v>63</v>
      </c>
      <c r="E388">
        <v>207</v>
      </c>
      <c r="F388">
        <v>1.2</v>
      </c>
      <c r="N388">
        <f t="shared" ref="N388:N451" si="12">IF(OR(D388="S. acutus", D388="S. tabernaemontani", D388="S. californicus"),(1/3)*(3.14159)*((F388/2)^2)*E388,"NA")</f>
        <v>78.037095599999986</v>
      </c>
      <c r="O388">
        <v>9.9211379999999991</v>
      </c>
      <c r="S388">
        <f t="shared" si="11"/>
        <v>1.1309723999999999</v>
      </c>
    </row>
    <row r="389" spans="1:19">
      <c r="A389" s="6">
        <v>42094</v>
      </c>
      <c r="B389" t="s">
        <v>24</v>
      </c>
      <c r="C389">
        <v>52</v>
      </c>
      <c r="D389" t="s">
        <v>63</v>
      </c>
      <c r="E389">
        <v>338</v>
      </c>
      <c r="F389">
        <v>1.34</v>
      </c>
      <c r="N389">
        <f t="shared" si="12"/>
        <v>158.88926527933333</v>
      </c>
      <c r="O389">
        <v>19.104893000000001</v>
      </c>
      <c r="S389">
        <f t="shared" ref="S389:S452" si="13">3.14159*((F389/2)^2)</f>
        <v>1.4102597510000001</v>
      </c>
    </row>
    <row r="390" spans="1:19">
      <c r="A390" s="6">
        <v>42094</v>
      </c>
      <c r="B390" t="s">
        <v>24</v>
      </c>
      <c r="C390">
        <v>52</v>
      </c>
      <c r="D390" t="s">
        <v>63</v>
      </c>
      <c r="E390">
        <v>302</v>
      </c>
      <c r="F390">
        <v>1.18</v>
      </c>
      <c r="N390">
        <f t="shared" si="12"/>
        <v>110.08780621933332</v>
      </c>
      <c r="O390">
        <v>16.581113000000002</v>
      </c>
      <c r="S390">
        <f t="shared" si="13"/>
        <v>1.0935874789999998</v>
      </c>
    </row>
    <row r="391" spans="1:19">
      <c r="A391" s="6">
        <v>42094</v>
      </c>
      <c r="B391" t="s">
        <v>24</v>
      </c>
      <c r="C391">
        <v>53</v>
      </c>
      <c r="D391" t="s">
        <v>63</v>
      </c>
      <c r="E391">
        <v>204</v>
      </c>
      <c r="F391">
        <v>0.98</v>
      </c>
      <c r="G391">
        <v>2</v>
      </c>
      <c r="N391">
        <f t="shared" si="12"/>
        <v>51.292111611999992</v>
      </c>
      <c r="O391">
        <v>4.9966944</v>
      </c>
      <c r="S391">
        <f t="shared" si="13"/>
        <v>0.7542957589999999</v>
      </c>
    </row>
    <row r="392" spans="1:19">
      <c r="A392" s="6">
        <v>42094</v>
      </c>
      <c r="B392" t="s">
        <v>24</v>
      </c>
      <c r="C392">
        <v>53</v>
      </c>
      <c r="D392" t="s">
        <v>63</v>
      </c>
      <c r="E392">
        <v>185</v>
      </c>
      <c r="F392">
        <v>1.06</v>
      </c>
      <c r="N392">
        <f t="shared" si="12"/>
        <v>54.419145578333335</v>
      </c>
      <c r="O392">
        <v>8.3788279999999986</v>
      </c>
      <c r="S392">
        <f t="shared" si="13"/>
        <v>0.88247263100000006</v>
      </c>
    </row>
    <row r="393" spans="1:19">
      <c r="A393" s="6">
        <v>42094</v>
      </c>
      <c r="B393" t="s">
        <v>24</v>
      </c>
      <c r="C393">
        <v>53</v>
      </c>
      <c r="D393" t="s">
        <v>19</v>
      </c>
      <c r="E393">
        <v>282</v>
      </c>
      <c r="F393">
        <v>12.71</v>
      </c>
      <c r="H393">
        <v>55</v>
      </c>
      <c r="I393">
        <v>0.98</v>
      </c>
      <c r="N393" t="str">
        <f t="shared" si="12"/>
        <v>NA</v>
      </c>
      <c r="O393">
        <v>300.62811731000005</v>
      </c>
      <c r="S393">
        <f t="shared" si="13"/>
        <v>126.87633227975</v>
      </c>
    </row>
    <row r="394" spans="1:19">
      <c r="A394" s="6">
        <v>42094</v>
      </c>
      <c r="B394" t="s">
        <v>24</v>
      </c>
      <c r="C394">
        <v>53</v>
      </c>
      <c r="D394" t="s">
        <v>19</v>
      </c>
      <c r="E394">
        <v>245</v>
      </c>
      <c r="F394">
        <v>5.49</v>
      </c>
      <c r="H394">
        <v>42</v>
      </c>
      <c r="I394">
        <v>0.87</v>
      </c>
      <c r="N394" t="str">
        <f t="shared" si="12"/>
        <v>NA</v>
      </c>
      <c r="O394">
        <v>136.29021369</v>
      </c>
      <c r="S394">
        <f t="shared" si="13"/>
        <v>23.671959189750002</v>
      </c>
    </row>
    <row r="395" spans="1:19">
      <c r="A395" s="6">
        <v>42094</v>
      </c>
      <c r="B395" t="s">
        <v>24</v>
      </c>
      <c r="C395">
        <v>53</v>
      </c>
      <c r="D395" t="s">
        <v>19</v>
      </c>
      <c r="E395">
        <v>328</v>
      </c>
      <c r="F395">
        <v>15.51</v>
      </c>
      <c r="H395">
        <v>63</v>
      </c>
      <c r="I395">
        <v>1.57</v>
      </c>
      <c r="N395" t="str">
        <f t="shared" si="12"/>
        <v>NA</v>
      </c>
      <c r="O395">
        <v>386.29562443000003</v>
      </c>
      <c r="S395">
        <f t="shared" si="13"/>
        <v>188.93530113975001</v>
      </c>
    </row>
    <row r="396" spans="1:19">
      <c r="A396" s="6">
        <v>42094</v>
      </c>
      <c r="B396" t="s">
        <v>24</v>
      </c>
      <c r="C396">
        <v>53</v>
      </c>
      <c r="D396" t="s">
        <v>19</v>
      </c>
      <c r="F396">
        <v>1.46</v>
      </c>
      <c r="J396">
        <f>SUM(121,156,159,178,182)</f>
        <v>796</v>
      </c>
      <c r="K396">
        <v>5</v>
      </c>
      <c r="L396">
        <v>182</v>
      </c>
      <c r="N396" t="str">
        <f t="shared" si="12"/>
        <v>NA</v>
      </c>
      <c r="O396">
        <v>17.727609000000001</v>
      </c>
      <c r="S396">
        <f t="shared" si="13"/>
        <v>1.6741533109999998</v>
      </c>
    </row>
    <row r="397" spans="1:19">
      <c r="A397" s="6">
        <v>42086</v>
      </c>
      <c r="B397" t="s">
        <v>29</v>
      </c>
      <c r="C397">
        <v>11</v>
      </c>
      <c r="D397" t="s">
        <v>61</v>
      </c>
      <c r="E397">
        <v>155</v>
      </c>
      <c r="F397" s="8">
        <v>1.08</v>
      </c>
      <c r="G397">
        <v>9</v>
      </c>
      <c r="N397">
        <f t="shared" si="12"/>
        <v>47.331194940000003</v>
      </c>
      <c r="O397">
        <v>5.9686005</v>
      </c>
      <c r="S397">
        <f t="shared" si="13"/>
        <v>0.91608764400000009</v>
      </c>
    </row>
    <row r="398" spans="1:19">
      <c r="A398" s="6">
        <v>42086</v>
      </c>
      <c r="B398" t="s">
        <v>29</v>
      </c>
      <c r="C398">
        <v>11</v>
      </c>
      <c r="D398" t="s">
        <v>61</v>
      </c>
      <c r="E398">
        <v>113</v>
      </c>
      <c r="F398" s="8">
        <v>0.77</v>
      </c>
      <c r="N398">
        <f t="shared" si="12"/>
        <v>17.539942028583329</v>
      </c>
      <c r="O398">
        <v>3.3312680000000006</v>
      </c>
      <c r="S398">
        <f t="shared" si="13"/>
        <v>0.46566217774999996</v>
      </c>
    </row>
    <row r="399" spans="1:19">
      <c r="A399" s="6">
        <v>42086</v>
      </c>
      <c r="B399" t="s">
        <v>29</v>
      </c>
      <c r="C399">
        <v>11</v>
      </c>
      <c r="D399" t="s">
        <v>61</v>
      </c>
      <c r="E399">
        <v>28</v>
      </c>
      <c r="F399" s="8">
        <v>0.42</v>
      </c>
      <c r="N399">
        <f t="shared" si="12"/>
        <v>1.2930784439999998</v>
      </c>
      <c r="O399" t="s">
        <v>64</v>
      </c>
      <c r="S399">
        <f t="shared" si="13"/>
        <v>0.13854411899999997</v>
      </c>
    </row>
    <row r="400" spans="1:19">
      <c r="A400" s="6">
        <v>42086</v>
      </c>
      <c r="B400" t="s">
        <v>29</v>
      </c>
      <c r="C400">
        <v>11</v>
      </c>
      <c r="D400" t="s">
        <v>61</v>
      </c>
      <c r="E400">
        <v>117</v>
      </c>
      <c r="F400" s="8">
        <v>0.64</v>
      </c>
      <c r="N400">
        <f t="shared" si="12"/>
        <v>12.546253824000001</v>
      </c>
      <c r="O400">
        <v>3.611688</v>
      </c>
      <c r="S400">
        <f t="shared" si="13"/>
        <v>0.321698816</v>
      </c>
    </row>
    <row r="401" spans="1:19">
      <c r="A401" s="6">
        <v>42086</v>
      </c>
      <c r="B401" t="s">
        <v>29</v>
      </c>
      <c r="C401">
        <v>11</v>
      </c>
      <c r="D401" t="s">
        <v>61</v>
      </c>
      <c r="E401">
        <v>128</v>
      </c>
      <c r="F401" s="8">
        <v>0.9</v>
      </c>
      <c r="N401">
        <f t="shared" si="12"/>
        <v>27.143337599999999</v>
      </c>
      <c r="O401">
        <v>4.3828430000000003</v>
      </c>
      <c r="S401">
        <f t="shared" si="13"/>
        <v>0.636171975</v>
      </c>
    </row>
    <row r="402" spans="1:19">
      <c r="A402" s="6">
        <v>42086</v>
      </c>
      <c r="B402" t="s">
        <v>29</v>
      </c>
      <c r="C402">
        <v>20</v>
      </c>
      <c r="D402" t="s">
        <v>19</v>
      </c>
      <c r="M402" t="s">
        <v>62</v>
      </c>
      <c r="N402" t="str">
        <f t="shared" si="12"/>
        <v>NA</v>
      </c>
      <c r="O402" t="s">
        <v>64</v>
      </c>
      <c r="S402">
        <f t="shared" si="13"/>
        <v>0</v>
      </c>
    </row>
    <row r="403" spans="1:19">
      <c r="A403" s="6">
        <v>42086</v>
      </c>
      <c r="B403" t="s">
        <v>29</v>
      </c>
      <c r="C403">
        <v>34</v>
      </c>
      <c r="D403" t="s">
        <v>19</v>
      </c>
      <c r="F403">
        <v>1.85</v>
      </c>
      <c r="J403">
        <f>SUM(74,124,137,141,159)</f>
        <v>635</v>
      </c>
      <c r="K403">
        <v>5</v>
      </c>
      <c r="L403">
        <v>159</v>
      </c>
      <c r="N403" t="str">
        <f t="shared" si="12"/>
        <v>NA</v>
      </c>
      <c r="O403">
        <v>9.5616890000000083</v>
      </c>
      <c r="S403">
        <f t="shared" si="13"/>
        <v>2.6880229437500001</v>
      </c>
    </row>
    <row r="404" spans="1:19">
      <c r="A404" s="6">
        <v>42086</v>
      </c>
      <c r="B404" t="s">
        <v>29</v>
      </c>
      <c r="C404">
        <v>34</v>
      </c>
      <c r="D404" t="s">
        <v>19</v>
      </c>
      <c r="F404">
        <v>1.48</v>
      </c>
      <c r="J404">
        <f>SUM(62,64,96,120,129,126,145)</f>
        <v>742</v>
      </c>
      <c r="K404">
        <v>7</v>
      </c>
      <c r="L404">
        <v>145</v>
      </c>
      <c r="N404" t="str">
        <f t="shared" si="12"/>
        <v>NA</v>
      </c>
      <c r="O404">
        <v>9.7661980000000028</v>
      </c>
      <c r="S404">
        <f t="shared" si="13"/>
        <v>1.7203346839999998</v>
      </c>
    </row>
    <row r="405" spans="1:19">
      <c r="A405" s="6">
        <v>42086</v>
      </c>
      <c r="B405" t="s">
        <v>29</v>
      </c>
      <c r="C405">
        <v>34</v>
      </c>
      <c r="D405" t="s">
        <v>19</v>
      </c>
      <c r="F405">
        <v>1.1399999999999999</v>
      </c>
      <c r="J405">
        <f>SUM(66,73,103,106,124)</f>
        <v>472</v>
      </c>
      <c r="K405">
        <v>5</v>
      </c>
      <c r="L405">
        <v>124</v>
      </c>
      <c r="N405" t="str">
        <f t="shared" si="12"/>
        <v>NA</v>
      </c>
      <c r="O405">
        <v>4.8231990000000025</v>
      </c>
      <c r="S405">
        <f t="shared" si="13"/>
        <v>1.0207025909999998</v>
      </c>
    </row>
    <row r="406" spans="1:19">
      <c r="A406" s="6">
        <v>42086</v>
      </c>
      <c r="B406" t="s">
        <v>29</v>
      </c>
      <c r="C406">
        <v>37</v>
      </c>
      <c r="D406" t="s">
        <v>19</v>
      </c>
      <c r="F406">
        <v>2.83</v>
      </c>
      <c r="J406">
        <f>SUM(198,235,296,247,253,215)</f>
        <v>1444</v>
      </c>
      <c r="K406">
        <v>6</v>
      </c>
      <c r="L406">
        <v>296</v>
      </c>
      <c r="N406" t="str">
        <f t="shared" si="12"/>
        <v>NA</v>
      </c>
      <c r="O406">
        <v>37.116566000000013</v>
      </c>
      <c r="S406">
        <f t="shared" si="13"/>
        <v>6.2901700377500003</v>
      </c>
    </row>
    <row r="407" spans="1:19">
      <c r="A407" s="6">
        <v>42086</v>
      </c>
      <c r="B407" t="s">
        <v>29</v>
      </c>
      <c r="C407">
        <v>37</v>
      </c>
      <c r="D407" t="s">
        <v>19</v>
      </c>
      <c r="F407">
        <v>1.83</v>
      </c>
      <c r="J407">
        <f>SUM(76,117,184,194,215,231,236)</f>
        <v>1253</v>
      </c>
      <c r="K407">
        <v>7</v>
      </c>
      <c r="L407">
        <v>236</v>
      </c>
      <c r="N407" t="str">
        <f t="shared" si="12"/>
        <v>NA</v>
      </c>
      <c r="O407">
        <v>30.26170800000002</v>
      </c>
      <c r="S407">
        <f t="shared" si="13"/>
        <v>2.6302176877500001</v>
      </c>
    </row>
    <row r="408" spans="1:19">
      <c r="A408" s="6">
        <v>42086</v>
      </c>
      <c r="B408" t="s">
        <v>29</v>
      </c>
      <c r="C408">
        <v>37</v>
      </c>
      <c r="D408" t="s">
        <v>19</v>
      </c>
      <c r="F408">
        <v>3.01</v>
      </c>
      <c r="J408">
        <f>SUM(101,158,206,230,246,251,257)</f>
        <v>1449</v>
      </c>
      <c r="K408">
        <v>7</v>
      </c>
      <c r="L408">
        <v>257</v>
      </c>
      <c r="N408" t="str">
        <f t="shared" si="12"/>
        <v>NA</v>
      </c>
      <c r="O408">
        <v>42.311543000000022</v>
      </c>
      <c r="S408">
        <f t="shared" si="13"/>
        <v>7.1157798897499989</v>
      </c>
    </row>
    <row r="409" spans="1:19">
      <c r="A409" s="6">
        <v>42086</v>
      </c>
      <c r="B409" t="s">
        <v>29</v>
      </c>
      <c r="C409">
        <v>37</v>
      </c>
      <c r="D409" t="s">
        <v>19</v>
      </c>
      <c r="F409">
        <v>1.5</v>
      </c>
      <c r="J409">
        <f>SUM(72,129,146,174,174)</f>
        <v>695</v>
      </c>
      <c r="K409">
        <v>5</v>
      </c>
      <c r="L409">
        <v>174</v>
      </c>
      <c r="N409" t="str">
        <f t="shared" si="12"/>
        <v>NA</v>
      </c>
      <c r="O409">
        <v>10.668314000000009</v>
      </c>
      <c r="S409">
        <f t="shared" si="13"/>
        <v>1.767144375</v>
      </c>
    </row>
    <row r="410" spans="1:19">
      <c r="A410" s="6">
        <v>42086</v>
      </c>
      <c r="B410" t="s">
        <v>29</v>
      </c>
      <c r="C410">
        <v>37</v>
      </c>
      <c r="D410" t="s">
        <v>19</v>
      </c>
      <c r="F410">
        <v>2.5299999999999998</v>
      </c>
      <c r="J410">
        <f>SUM(127,186,199,209,220,227,237)</f>
        <v>1405</v>
      </c>
      <c r="K410">
        <v>7</v>
      </c>
      <c r="L410">
        <v>237</v>
      </c>
      <c r="N410" t="str">
        <f t="shared" si="12"/>
        <v>NA</v>
      </c>
      <c r="O410">
        <v>44.211222999999997</v>
      </c>
      <c r="S410">
        <f t="shared" si="13"/>
        <v>5.0272508577499995</v>
      </c>
    </row>
    <row r="411" spans="1:19">
      <c r="A411" s="6">
        <v>42086</v>
      </c>
      <c r="B411" t="s">
        <v>29</v>
      </c>
      <c r="C411">
        <v>37</v>
      </c>
      <c r="D411" t="s">
        <v>19</v>
      </c>
      <c r="F411">
        <v>1.33</v>
      </c>
      <c r="J411">
        <f>SUM(154,179)</f>
        <v>333</v>
      </c>
      <c r="K411">
        <v>2</v>
      </c>
      <c r="L411">
        <v>179</v>
      </c>
      <c r="N411" t="str">
        <f t="shared" si="12"/>
        <v>NA</v>
      </c>
      <c r="O411" t="s">
        <v>64</v>
      </c>
      <c r="S411">
        <f t="shared" si="13"/>
        <v>1.3892896377500001</v>
      </c>
    </row>
    <row r="412" spans="1:19">
      <c r="A412" s="6">
        <v>42086</v>
      </c>
      <c r="B412" t="s">
        <v>29</v>
      </c>
      <c r="C412">
        <v>37</v>
      </c>
      <c r="D412" t="s">
        <v>19</v>
      </c>
      <c r="F412">
        <v>2.82</v>
      </c>
      <c r="J412">
        <f>SUM(144,154,180,207,236,259,259,280,296)</f>
        <v>2015</v>
      </c>
      <c r="K412">
        <v>9</v>
      </c>
      <c r="L412">
        <v>296</v>
      </c>
      <c r="N412" t="str">
        <f t="shared" si="12"/>
        <v>NA</v>
      </c>
      <c r="O412">
        <v>69.583611999999988</v>
      </c>
      <c r="S412">
        <f t="shared" si="13"/>
        <v>6.2457950789999988</v>
      </c>
    </row>
    <row r="413" spans="1:19">
      <c r="A413" s="6">
        <v>42086</v>
      </c>
      <c r="B413" t="s">
        <v>29</v>
      </c>
      <c r="C413">
        <v>37</v>
      </c>
      <c r="D413" t="s">
        <v>19</v>
      </c>
      <c r="F413">
        <v>1.56</v>
      </c>
      <c r="J413">
        <f>SUM(84,109,128,166,169)</f>
        <v>656</v>
      </c>
      <c r="K413">
        <v>5</v>
      </c>
      <c r="L413">
        <v>169</v>
      </c>
      <c r="N413" t="str">
        <f t="shared" si="12"/>
        <v>NA</v>
      </c>
      <c r="O413">
        <v>8.5180940000000049</v>
      </c>
      <c r="S413">
        <f t="shared" si="13"/>
        <v>1.9113433560000002</v>
      </c>
    </row>
    <row r="414" spans="1:19">
      <c r="A414" s="6">
        <v>42086</v>
      </c>
      <c r="B414" t="s">
        <v>29</v>
      </c>
      <c r="C414">
        <v>37</v>
      </c>
      <c r="D414" t="s">
        <v>19</v>
      </c>
      <c r="F414">
        <v>2.89</v>
      </c>
      <c r="J414">
        <f>SUM(89,175,185,189,235,236,260,282)</f>
        <v>1651</v>
      </c>
      <c r="K414">
        <v>8</v>
      </c>
      <c r="L414">
        <v>282</v>
      </c>
      <c r="N414" t="str">
        <f t="shared" si="12"/>
        <v>NA</v>
      </c>
      <c r="O414">
        <v>46.696575000000031</v>
      </c>
      <c r="S414">
        <f t="shared" si="13"/>
        <v>6.55971845975</v>
      </c>
    </row>
    <row r="415" spans="1:19">
      <c r="A415" s="6">
        <v>42086</v>
      </c>
      <c r="B415" t="s">
        <v>29</v>
      </c>
      <c r="C415">
        <v>37</v>
      </c>
      <c r="D415" t="s">
        <v>19</v>
      </c>
      <c r="F415">
        <v>2.95</v>
      </c>
      <c r="J415">
        <f>SUM(97,129,145,191,209,230)</f>
        <v>1001</v>
      </c>
      <c r="K415">
        <v>6</v>
      </c>
      <c r="L415">
        <v>230</v>
      </c>
      <c r="N415" t="str">
        <f t="shared" si="12"/>
        <v>NA</v>
      </c>
      <c r="O415">
        <v>15.465271000000008</v>
      </c>
      <c r="S415">
        <f t="shared" si="13"/>
        <v>6.8349217437499998</v>
      </c>
    </row>
    <row r="416" spans="1:19">
      <c r="A416" s="6">
        <v>42086</v>
      </c>
      <c r="B416" t="s">
        <v>29</v>
      </c>
      <c r="C416">
        <v>37</v>
      </c>
      <c r="D416" t="s">
        <v>19</v>
      </c>
      <c r="F416">
        <v>1.46</v>
      </c>
      <c r="J416">
        <f>SUM(83,142,140,173,173,96,75)</f>
        <v>882</v>
      </c>
      <c r="K416">
        <v>7</v>
      </c>
      <c r="L416">
        <v>173</v>
      </c>
      <c r="N416" t="str">
        <f t="shared" si="12"/>
        <v>NA</v>
      </c>
      <c r="O416">
        <v>14.457038000000011</v>
      </c>
      <c r="S416">
        <f t="shared" si="13"/>
        <v>1.6741533109999998</v>
      </c>
    </row>
    <row r="417" spans="1:19">
      <c r="A417" s="6">
        <v>42086</v>
      </c>
      <c r="B417" t="s">
        <v>29</v>
      </c>
      <c r="C417">
        <v>37</v>
      </c>
      <c r="D417" t="s">
        <v>19</v>
      </c>
      <c r="F417">
        <v>4.43</v>
      </c>
      <c r="J417">
        <f>SUM(199,241,253,266,297,303)</f>
        <v>1559</v>
      </c>
      <c r="K417">
        <v>6</v>
      </c>
      <c r="L417">
        <v>303</v>
      </c>
      <c r="N417" t="str">
        <f t="shared" si="12"/>
        <v>NA</v>
      </c>
      <c r="O417">
        <v>45.789676000000021</v>
      </c>
      <c r="S417">
        <f t="shared" si="13"/>
        <v>15.413347397749996</v>
      </c>
    </row>
    <row r="418" spans="1:19">
      <c r="A418" s="6">
        <v>42086</v>
      </c>
      <c r="B418" t="s">
        <v>29</v>
      </c>
      <c r="C418">
        <v>37</v>
      </c>
      <c r="D418" t="s">
        <v>19</v>
      </c>
      <c r="F418">
        <v>2.54</v>
      </c>
      <c r="J418">
        <f>SUM(77,111,135,159)</f>
        <v>482</v>
      </c>
      <c r="K418">
        <v>4</v>
      </c>
      <c r="L418">
        <v>159</v>
      </c>
      <c r="N418" t="str">
        <f t="shared" si="12"/>
        <v>NA</v>
      </c>
      <c r="O418">
        <v>2.239527000000006</v>
      </c>
      <c r="S418">
        <f t="shared" si="13"/>
        <v>5.0670705109999998</v>
      </c>
    </row>
    <row r="419" spans="1:19">
      <c r="A419" s="6">
        <v>42086</v>
      </c>
      <c r="B419" t="s">
        <v>29</v>
      </c>
      <c r="C419">
        <v>37</v>
      </c>
      <c r="D419" t="s">
        <v>19</v>
      </c>
      <c r="F419">
        <v>2.95</v>
      </c>
      <c r="J419">
        <f>SUM(167,229,258,279,283,291)</f>
        <v>1507</v>
      </c>
      <c r="K419">
        <v>6</v>
      </c>
      <c r="L419">
        <v>291</v>
      </c>
      <c r="N419" t="str">
        <f t="shared" si="12"/>
        <v>NA</v>
      </c>
      <c r="O419">
        <v>44.529356000000014</v>
      </c>
      <c r="S419">
        <f t="shared" si="13"/>
        <v>6.8349217437499998</v>
      </c>
    </row>
    <row r="420" spans="1:19">
      <c r="A420" s="6">
        <v>42086</v>
      </c>
      <c r="B420" t="s">
        <v>29</v>
      </c>
      <c r="C420">
        <v>37</v>
      </c>
      <c r="D420" t="s">
        <v>19</v>
      </c>
      <c r="F420">
        <v>1.52</v>
      </c>
      <c r="J420">
        <f>SUM(72,107,121,151,192,198,223)</f>
        <v>1064</v>
      </c>
      <c r="K420">
        <v>7</v>
      </c>
      <c r="L420">
        <v>223</v>
      </c>
      <c r="N420" t="str">
        <f t="shared" si="12"/>
        <v>NA</v>
      </c>
      <c r="O420">
        <v>16.458198000000017</v>
      </c>
      <c r="S420">
        <f t="shared" si="13"/>
        <v>1.8145823839999999</v>
      </c>
    </row>
    <row r="421" spans="1:19">
      <c r="A421" s="6">
        <v>42086</v>
      </c>
      <c r="B421" t="s">
        <v>29</v>
      </c>
      <c r="C421">
        <v>37</v>
      </c>
      <c r="D421" t="s">
        <v>19</v>
      </c>
      <c r="F421">
        <v>1.1499999999999999</v>
      </c>
      <c r="J421">
        <f>SUM(92,141,161,193,208)</f>
        <v>795</v>
      </c>
      <c r="K421">
        <v>5</v>
      </c>
      <c r="L421">
        <v>208</v>
      </c>
      <c r="N421" t="str">
        <f t="shared" si="12"/>
        <v>NA</v>
      </c>
      <c r="O421">
        <v>9.8014840000000021</v>
      </c>
      <c r="S421">
        <f t="shared" si="13"/>
        <v>1.0386881937499999</v>
      </c>
    </row>
    <row r="422" spans="1:19">
      <c r="A422" s="6">
        <v>42086</v>
      </c>
      <c r="B422" t="s">
        <v>29</v>
      </c>
      <c r="C422">
        <v>37</v>
      </c>
      <c r="D422" t="s">
        <v>19</v>
      </c>
      <c r="F422">
        <v>2.91</v>
      </c>
      <c r="J422">
        <f>SUM(110,171,220,230,243,255,294)</f>
        <v>1523</v>
      </c>
      <c r="K422">
        <v>7</v>
      </c>
      <c r="L422">
        <v>294</v>
      </c>
      <c r="N422" t="str">
        <f t="shared" si="12"/>
        <v>NA</v>
      </c>
      <c r="O422">
        <v>38.103348000000018</v>
      </c>
      <c r="S422">
        <f t="shared" si="13"/>
        <v>6.650824569750001</v>
      </c>
    </row>
    <row r="423" spans="1:19">
      <c r="A423" s="6">
        <v>42086</v>
      </c>
      <c r="B423" t="s">
        <v>29</v>
      </c>
      <c r="C423">
        <v>37</v>
      </c>
      <c r="D423" t="s">
        <v>19</v>
      </c>
      <c r="F423">
        <v>1.99</v>
      </c>
      <c r="J423">
        <f>SUM(76,242,142,177,181,204,208)</f>
        <v>1230</v>
      </c>
      <c r="K423">
        <v>7</v>
      </c>
      <c r="L423">
        <v>242</v>
      </c>
      <c r="N423" t="str">
        <f t="shared" si="12"/>
        <v>NA</v>
      </c>
      <c r="O423">
        <v>26.297873000000003</v>
      </c>
      <c r="S423">
        <f t="shared" si="13"/>
        <v>3.1102526397500001</v>
      </c>
    </row>
    <row r="424" spans="1:19">
      <c r="A424" s="6">
        <v>42086</v>
      </c>
      <c r="B424" t="s">
        <v>29</v>
      </c>
      <c r="C424">
        <v>37</v>
      </c>
      <c r="D424" t="s">
        <v>19</v>
      </c>
      <c r="F424">
        <v>1.3</v>
      </c>
      <c r="J424">
        <f>SUM(78,88,121,155,189,172)</f>
        <v>803</v>
      </c>
      <c r="K424">
        <v>6</v>
      </c>
      <c r="L424">
        <v>189</v>
      </c>
      <c r="N424" t="str">
        <f t="shared" si="12"/>
        <v>NA</v>
      </c>
      <c r="O424">
        <v>9.252826000000006</v>
      </c>
      <c r="S424">
        <f t="shared" si="13"/>
        <v>1.3273217750000001</v>
      </c>
    </row>
    <row r="425" spans="1:19">
      <c r="A425" s="6">
        <v>42086</v>
      </c>
      <c r="B425" t="s">
        <v>29</v>
      </c>
      <c r="C425">
        <v>37</v>
      </c>
      <c r="D425" t="s">
        <v>19</v>
      </c>
      <c r="N425" t="str">
        <f t="shared" si="12"/>
        <v>NA</v>
      </c>
      <c r="O425" t="s">
        <v>64</v>
      </c>
      <c r="S425">
        <f t="shared" si="13"/>
        <v>0</v>
      </c>
    </row>
    <row r="426" spans="1:19">
      <c r="A426" s="6">
        <v>42086</v>
      </c>
      <c r="B426" t="s">
        <v>29</v>
      </c>
      <c r="C426">
        <v>37</v>
      </c>
      <c r="D426" t="s">
        <v>19</v>
      </c>
      <c r="F426">
        <v>1.73</v>
      </c>
      <c r="J426">
        <f>SUM(116,168,207,207,233)</f>
        <v>931</v>
      </c>
      <c r="K426">
        <v>5</v>
      </c>
      <c r="L426">
        <v>233</v>
      </c>
      <c r="N426" t="str">
        <f t="shared" si="12"/>
        <v>NA</v>
      </c>
      <c r="O426">
        <v>15.021039000000002</v>
      </c>
      <c r="S426">
        <f t="shared" si="13"/>
        <v>2.3506161777500001</v>
      </c>
    </row>
    <row r="427" spans="1:19">
      <c r="A427" s="6">
        <v>42086</v>
      </c>
      <c r="B427" t="s">
        <v>29</v>
      </c>
      <c r="C427">
        <v>37</v>
      </c>
      <c r="D427" t="s">
        <v>19</v>
      </c>
      <c r="F427">
        <v>1.31</v>
      </c>
      <c r="J427">
        <f>SUM(122,126,171,194,215,225)</f>
        <v>1053</v>
      </c>
      <c r="K427">
        <v>6</v>
      </c>
      <c r="L427">
        <v>225</v>
      </c>
      <c r="N427" t="str">
        <f t="shared" si="12"/>
        <v>NA</v>
      </c>
      <c r="O427">
        <v>21.846756000000006</v>
      </c>
      <c r="S427">
        <f t="shared" si="13"/>
        <v>1.34782064975</v>
      </c>
    </row>
    <row r="428" spans="1:19">
      <c r="A428" s="6">
        <v>42086</v>
      </c>
      <c r="B428" t="s">
        <v>29</v>
      </c>
      <c r="C428">
        <v>37</v>
      </c>
      <c r="D428" t="s">
        <v>19</v>
      </c>
      <c r="F428">
        <v>1.3</v>
      </c>
      <c r="J428">
        <f>SUM(92,132,151,175,179)</f>
        <v>729</v>
      </c>
      <c r="K428">
        <v>5</v>
      </c>
      <c r="L428">
        <v>179</v>
      </c>
      <c r="N428" t="str">
        <f t="shared" si="12"/>
        <v>NA</v>
      </c>
      <c r="O428">
        <v>12.349759000000006</v>
      </c>
      <c r="S428">
        <f t="shared" si="13"/>
        <v>1.3273217750000001</v>
      </c>
    </row>
    <row r="429" spans="1:19">
      <c r="A429" s="6">
        <v>42086</v>
      </c>
      <c r="B429" t="s">
        <v>29</v>
      </c>
      <c r="C429">
        <v>37</v>
      </c>
      <c r="D429" t="s">
        <v>19</v>
      </c>
      <c r="F429">
        <v>0.28999999999999998</v>
      </c>
      <c r="J429">
        <f>SUM(39,93,93)</f>
        <v>225</v>
      </c>
      <c r="K429">
        <v>3</v>
      </c>
      <c r="L429">
        <v>93</v>
      </c>
      <c r="N429" t="str">
        <f t="shared" si="12"/>
        <v>NA</v>
      </c>
      <c r="O429">
        <v>5.0490150000000007</v>
      </c>
      <c r="S429">
        <f t="shared" si="13"/>
        <v>6.6051929749999988E-2</v>
      </c>
    </row>
    <row r="430" spans="1:19">
      <c r="A430" s="6">
        <v>42086</v>
      </c>
      <c r="B430" t="s">
        <v>29</v>
      </c>
      <c r="C430">
        <v>37</v>
      </c>
      <c r="D430" t="s">
        <v>19</v>
      </c>
      <c r="F430">
        <v>1.28</v>
      </c>
      <c r="J430">
        <f>SUM(86,110,146,144,175,189)</f>
        <v>850</v>
      </c>
      <c r="K430">
        <v>6</v>
      </c>
      <c r="L430">
        <v>189</v>
      </c>
      <c r="N430" t="str">
        <f t="shared" si="12"/>
        <v>NA</v>
      </c>
      <c r="O430">
        <v>13.659310999999995</v>
      </c>
      <c r="S430">
        <f t="shared" si="13"/>
        <v>1.286795264</v>
      </c>
    </row>
    <row r="431" spans="1:19">
      <c r="A431" s="6">
        <v>42086</v>
      </c>
      <c r="B431" t="s">
        <v>29</v>
      </c>
      <c r="C431">
        <v>40</v>
      </c>
      <c r="D431" t="s">
        <v>19</v>
      </c>
      <c r="F431">
        <v>1.33</v>
      </c>
      <c r="J431">
        <f>SUM(31,61,56,91,95,110)</f>
        <v>444</v>
      </c>
      <c r="K431">
        <v>6</v>
      </c>
      <c r="L431">
        <v>110</v>
      </c>
      <c r="N431" t="str">
        <f t="shared" si="12"/>
        <v>NA</v>
      </c>
      <c r="O431" t="s">
        <v>64</v>
      </c>
      <c r="S431">
        <f t="shared" si="13"/>
        <v>1.3892896377500001</v>
      </c>
    </row>
    <row r="432" spans="1:19">
      <c r="A432" s="6">
        <v>42086</v>
      </c>
      <c r="B432" t="s">
        <v>29</v>
      </c>
      <c r="C432">
        <v>40</v>
      </c>
      <c r="D432" t="s">
        <v>19</v>
      </c>
      <c r="F432">
        <v>0.59</v>
      </c>
      <c r="J432">
        <f>SUM(49,59)</f>
        <v>108</v>
      </c>
      <c r="K432">
        <v>2</v>
      </c>
      <c r="L432">
        <v>59</v>
      </c>
      <c r="N432" t="str">
        <f t="shared" si="12"/>
        <v>NA</v>
      </c>
      <c r="O432">
        <v>11.344363000000001</v>
      </c>
      <c r="S432">
        <f t="shared" si="13"/>
        <v>0.27339686974999994</v>
      </c>
    </row>
    <row r="433" spans="1:19">
      <c r="A433" s="6">
        <v>42086</v>
      </c>
      <c r="B433" t="s">
        <v>29</v>
      </c>
      <c r="C433">
        <v>40</v>
      </c>
      <c r="D433" t="s">
        <v>19</v>
      </c>
      <c r="F433">
        <v>1.2</v>
      </c>
      <c r="J433">
        <f>SUM(49,86,90,109)</f>
        <v>334</v>
      </c>
      <c r="K433">
        <v>4</v>
      </c>
      <c r="L433">
        <v>109</v>
      </c>
      <c r="N433" t="str">
        <f t="shared" si="12"/>
        <v>NA</v>
      </c>
      <c r="O433">
        <v>3.4260370000000009</v>
      </c>
      <c r="S433">
        <f t="shared" si="13"/>
        <v>1.1309723999999999</v>
      </c>
    </row>
    <row r="434" spans="1:19">
      <c r="A434" s="6">
        <v>42086</v>
      </c>
      <c r="B434" t="s">
        <v>29</v>
      </c>
      <c r="C434">
        <v>40</v>
      </c>
      <c r="D434" t="s">
        <v>19</v>
      </c>
      <c r="F434">
        <v>0.86</v>
      </c>
      <c r="J434">
        <f>SUM(45,46,69)</f>
        <v>160</v>
      </c>
      <c r="K434">
        <v>3</v>
      </c>
      <c r="L434">
        <v>69</v>
      </c>
      <c r="N434" t="str">
        <f t="shared" si="12"/>
        <v>NA</v>
      </c>
      <c r="O434">
        <v>6.1848199999999984</v>
      </c>
      <c r="S434">
        <f t="shared" si="13"/>
        <v>0.58087999099999987</v>
      </c>
    </row>
    <row r="435" spans="1:19">
      <c r="A435" s="6">
        <v>42086</v>
      </c>
      <c r="B435" t="s">
        <v>27</v>
      </c>
      <c r="C435">
        <v>1</v>
      </c>
      <c r="D435" s="8" t="s">
        <v>61</v>
      </c>
      <c r="E435">
        <v>26</v>
      </c>
      <c r="F435">
        <v>0.41000000000000003</v>
      </c>
      <c r="N435">
        <f t="shared" si="12"/>
        <v>1.1442194378333335</v>
      </c>
      <c r="O435" t="s">
        <v>64</v>
      </c>
      <c r="S435">
        <f t="shared" si="13"/>
        <v>0.13202531975000001</v>
      </c>
    </row>
    <row r="436" spans="1:19">
      <c r="A436" s="6">
        <v>42086</v>
      </c>
      <c r="B436" t="s">
        <v>27</v>
      </c>
      <c r="C436">
        <v>1</v>
      </c>
      <c r="D436" s="8" t="s">
        <v>61</v>
      </c>
      <c r="E436">
        <v>48</v>
      </c>
      <c r="F436">
        <v>0.54999999999999993</v>
      </c>
      <c r="N436">
        <f t="shared" si="12"/>
        <v>3.801323899999999</v>
      </c>
      <c r="O436" t="s">
        <v>64</v>
      </c>
      <c r="S436">
        <f t="shared" si="13"/>
        <v>0.23758274374999994</v>
      </c>
    </row>
    <row r="437" spans="1:19">
      <c r="A437" s="6">
        <v>42086</v>
      </c>
      <c r="B437" t="s">
        <v>27</v>
      </c>
      <c r="C437">
        <v>1</v>
      </c>
      <c r="D437" t="s">
        <v>61</v>
      </c>
      <c r="E437">
        <v>28</v>
      </c>
      <c r="F437">
        <v>0.82</v>
      </c>
      <c r="N437">
        <f t="shared" si="12"/>
        <v>4.9289452706666657</v>
      </c>
      <c r="O437" t="s">
        <v>64</v>
      </c>
      <c r="S437">
        <f t="shared" si="13"/>
        <v>0.52810127899999992</v>
      </c>
    </row>
    <row r="438" spans="1:19">
      <c r="A438" s="6">
        <v>42086</v>
      </c>
      <c r="B438" t="s">
        <v>27</v>
      </c>
      <c r="C438">
        <v>1</v>
      </c>
      <c r="D438" t="s">
        <v>61</v>
      </c>
      <c r="E438">
        <v>17</v>
      </c>
      <c r="F438">
        <v>0.36</v>
      </c>
      <c r="N438">
        <f t="shared" si="12"/>
        <v>0.5767959239999999</v>
      </c>
      <c r="O438" t="s">
        <v>64</v>
      </c>
      <c r="S438">
        <f t="shared" si="13"/>
        <v>0.10178751599999999</v>
      </c>
    </row>
    <row r="439" spans="1:19">
      <c r="A439" s="6">
        <v>42086</v>
      </c>
      <c r="B439" t="s">
        <v>27</v>
      </c>
      <c r="C439">
        <v>1</v>
      </c>
      <c r="D439" t="s">
        <v>19</v>
      </c>
      <c r="F439">
        <v>1.72</v>
      </c>
      <c r="J439">
        <f>SUM(18,45,72,72,88)</f>
        <v>295</v>
      </c>
      <c r="K439">
        <v>5</v>
      </c>
      <c r="L439">
        <v>88</v>
      </c>
      <c r="N439" t="str">
        <f t="shared" si="12"/>
        <v>NA</v>
      </c>
      <c r="O439" t="s">
        <v>64</v>
      </c>
      <c r="S439">
        <f t="shared" si="13"/>
        <v>2.3235199639999995</v>
      </c>
    </row>
    <row r="440" spans="1:19">
      <c r="A440" s="6">
        <v>42086</v>
      </c>
      <c r="B440" t="s">
        <v>27</v>
      </c>
      <c r="C440">
        <v>1</v>
      </c>
      <c r="D440" t="s">
        <v>19</v>
      </c>
      <c r="F440">
        <v>1.54</v>
      </c>
      <c r="J440">
        <f>SUM(64,80,96)</f>
        <v>240</v>
      </c>
      <c r="K440">
        <v>3</v>
      </c>
      <c r="L440">
        <v>96</v>
      </c>
      <c r="N440" t="str">
        <f t="shared" si="12"/>
        <v>NA</v>
      </c>
      <c r="O440">
        <v>5.5516049999999986</v>
      </c>
      <c r="S440">
        <f t="shared" si="13"/>
        <v>1.8626487109999998</v>
      </c>
    </row>
    <row r="441" spans="1:19">
      <c r="A441" s="6">
        <v>42086</v>
      </c>
      <c r="B441" t="s">
        <v>27</v>
      </c>
      <c r="C441">
        <v>1</v>
      </c>
      <c r="D441" t="s">
        <v>19</v>
      </c>
      <c r="F441">
        <v>0.72</v>
      </c>
      <c r="J441">
        <f>SUM(27,43,49,58)</f>
        <v>177</v>
      </c>
      <c r="K441">
        <v>4</v>
      </c>
      <c r="L441">
        <v>58</v>
      </c>
      <c r="N441" t="str">
        <f t="shared" si="12"/>
        <v>NA</v>
      </c>
      <c r="O441">
        <v>4.0699969999999972</v>
      </c>
      <c r="S441">
        <f t="shared" si="13"/>
        <v>0.40715006399999998</v>
      </c>
    </row>
    <row r="442" spans="1:19">
      <c r="A442" s="6">
        <v>42086</v>
      </c>
      <c r="B442" t="s">
        <v>27</v>
      </c>
      <c r="C442">
        <v>1</v>
      </c>
      <c r="D442" t="s">
        <v>19</v>
      </c>
      <c r="F442">
        <v>0.78</v>
      </c>
      <c r="J442">
        <v>117</v>
      </c>
      <c r="K442">
        <v>3</v>
      </c>
      <c r="L442">
        <v>50</v>
      </c>
      <c r="N442" t="str">
        <f t="shared" si="12"/>
        <v>NA</v>
      </c>
      <c r="O442">
        <v>7.8770099999999985</v>
      </c>
      <c r="S442">
        <f t="shared" si="13"/>
        <v>0.47783583900000004</v>
      </c>
    </row>
    <row r="443" spans="1:19">
      <c r="A443" s="6">
        <v>42086</v>
      </c>
      <c r="B443" t="s">
        <v>27</v>
      </c>
      <c r="C443">
        <v>1</v>
      </c>
      <c r="D443" t="s">
        <v>19</v>
      </c>
      <c r="F443">
        <v>0.71</v>
      </c>
      <c r="J443">
        <f>SUM(65,46,37)</f>
        <v>148</v>
      </c>
      <c r="K443">
        <v>3</v>
      </c>
      <c r="L443">
        <v>65</v>
      </c>
      <c r="N443" t="str">
        <f t="shared" si="12"/>
        <v>NA</v>
      </c>
      <c r="O443">
        <v>6.2647399999999962</v>
      </c>
      <c r="S443">
        <f t="shared" si="13"/>
        <v>0.39591887974999995</v>
      </c>
    </row>
    <row r="444" spans="1:19">
      <c r="A444" s="6">
        <v>42086</v>
      </c>
      <c r="B444" t="s">
        <v>27</v>
      </c>
      <c r="C444">
        <v>1</v>
      </c>
      <c r="D444" t="s">
        <v>19</v>
      </c>
      <c r="F444">
        <v>0.67</v>
      </c>
      <c r="J444">
        <f>SUM(60)</f>
        <v>60</v>
      </c>
      <c r="K444">
        <v>2</v>
      </c>
      <c r="L444">
        <v>40</v>
      </c>
      <c r="N444" t="str">
        <f t="shared" si="12"/>
        <v>NA</v>
      </c>
      <c r="O444">
        <v>12.567777999999997</v>
      </c>
      <c r="S444">
        <f t="shared" si="13"/>
        <v>0.35256493775000003</v>
      </c>
    </row>
    <row r="445" spans="1:19">
      <c r="A445" s="6">
        <v>42086</v>
      </c>
      <c r="B445" t="s">
        <v>27</v>
      </c>
      <c r="C445">
        <v>1</v>
      </c>
      <c r="D445" t="s">
        <v>19</v>
      </c>
      <c r="F445">
        <v>0.81</v>
      </c>
      <c r="J445">
        <f>SUM(29,29)</f>
        <v>58</v>
      </c>
      <c r="K445">
        <v>2</v>
      </c>
      <c r="L445">
        <v>29</v>
      </c>
      <c r="N445" t="str">
        <f t="shared" si="12"/>
        <v>NA</v>
      </c>
      <c r="O445">
        <v>15.693962999999997</v>
      </c>
      <c r="S445">
        <f t="shared" si="13"/>
        <v>0.51529929975000011</v>
      </c>
    </row>
    <row r="446" spans="1:19">
      <c r="A446" s="6">
        <v>42086</v>
      </c>
      <c r="B446" t="s">
        <v>27</v>
      </c>
      <c r="C446">
        <v>17</v>
      </c>
      <c r="D446" s="8" t="s">
        <v>61</v>
      </c>
      <c r="E446">
        <v>123</v>
      </c>
      <c r="F446">
        <v>1.1199999999999999</v>
      </c>
      <c r="G446">
        <v>3</v>
      </c>
      <c r="N446">
        <f t="shared" si="12"/>
        <v>40.393307583999984</v>
      </c>
      <c r="O446">
        <v>4.7363733000000003</v>
      </c>
      <c r="S446">
        <f t="shared" si="13"/>
        <v>0.9852026239999998</v>
      </c>
    </row>
    <row r="447" spans="1:19">
      <c r="A447" s="6">
        <v>42086</v>
      </c>
      <c r="B447" t="s">
        <v>27</v>
      </c>
      <c r="C447">
        <v>17</v>
      </c>
      <c r="D447" s="8" t="s">
        <v>61</v>
      </c>
      <c r="E447">
        <v>87</v>
      </c>
      <c r="F447">
        <v>1.03</v>
      </c>
      <c r="N447">
        <f t="shared" si="12"/>
        <v>24.163618024749997</v>
      </c>
      <c r="O447">
        <v>1.5085380000000006</v>
      </c>
      <c r="S447">
        <f t="shared" si="13"/>
        <v>0.83322820774999995</v>
      </c>
    </row>
    <row r="448" spans="1:19">
      <c r="A448" s="6">
        <v>42086</v>
      </c>
      <c r="B448" t="s">
        <v>27</v>
      </c>
      <c r="C448">
        <v>17</v>
      </c>
      <c r="D448" s="8" t="s">
        <v>61</v>
      </c>
      <c r="E448">
        <v>148</v>
      </c>
      <c r="F448">
        <v>2.52</v>
      </c>
      <c r="G448">
        <v>5</v>
      </c>
      <c r="N448">
        <f t="shared" si="12"/>
        <v>246.05435534400002</v>
      </c>
      <c r="O448">
        <v>5.6990508000000002</v>
      </c>
      <c r="S448">
        <f t="shared" si="13"/>
        <v>4.9875882840000001</v>
      </c>
    </row>
    <row r="449" spans="1:19">
      <c r="A449" s="6">
        <v>42086</v>
      </c>
      <c r="B449" t="s">
        <v>27</v>
      </c>
      <c r="C449">
        <v>17</v>
      </c>
      <c r="D449" s="8" t="s">
        <v>61</v>
      </c>
      <c r="E449">
        <v>67</v>
      </c>
      <c r="F449">
        <v>1.19</v>
      </c>
      <c r="G449">
        <v>7</v>
      </c>
      <c r="N449">
        <f t="shared" si="12"/>
        <v>24.839164594416662</v>
      </c>
      <c r="O449">
        <v>2.5799757000000003</v>
      </c>
      <c r="S449">
        <f t="shared" si="13"/>
        <v>1.11220139975</v>
      </c>
    </row>
    <row r="450" spans="1:19">
      <c r="A450" s="6">
        <v>42086</v>
      </c>
      <c r="B450" t="s">
        <v>27</v>
      </c>
      <c r="C450">
        <v>17</v>
      </c>
      <c r="D450" s="8" t="s">
        <v>61</v>
      </c>
      <c r="E450">
        <v>138</v>
      </c>
      <c r="F450">
        <v>1.32</v>
      </c>
      <c r="G450">
        <v>10</v>
      </c>
      <c r="N450">
        <f t="shared" si="12"/>
        <v>62.949923783999999</v>
      </c>
      <c r="O450">
        <v>5.3139798000000003</v>
      </c>
      <c r="S450">
        <f t="shared" si="13"/>
        <v>1.368476604</v>
      </c>
    </row>
    <row r="451" spans="1:19">
      <c r="A451" s="6">
        <v>42086</v>
      </c>
      <c r="B451" t="s">
        <v>27</v>
      </c>
      <c r="C451">
        <v>17</v>
      </c>
      <c r="D451" s="8" t="s">
        <v>61</v>
      </c>
      <c r="E451">
        <v>188</v>
      </c>
      <c r="F451">
        <v>1.4</v>
      </c>
      <c r="N451">
        <f t="shared" si="12"/>
        <v>96.467756933333305</v>
      </c>
      <c r="O451">
        <v>8.589143</v>
      </c>
      <c r="S451">
        <f t="shared" si="13"/>
        <v>1.5393790999999997</v>
      </c>
    </row>
    <row r="452" spans="1:19">
      <c r="A452" s="6">
        <v>42086</v>
      </c>
      <c r="B452" t="s">
        <v>27</v>
      </c>
      <c r="C452">
        <v>17</v>
      </c>
      <c r="D452" s="8" t="s">
        <v>61</v>
      </c>
      <c r="E452">
        <v>130</v>
      </c>
      <c r="F452">
        <v>1.19</v>
      </c>
      <c r="N452">
        <f t="shared" ref="N452:N515" si="14">IF(OR(D452="S. acutus", D452="S. tabernaemontani", D452="S. californicus"),(1/3)*(3.14159)*((F452/2)^2)*E452,"NA")</f>
        <v>48.195393989166661</v>
      </c>
      <c r="O452">
        <v>4.523053</v>
      </c>
      <c r="S452">
        <f t="shared" si="13"/>
        <v>1.11220139975</v>
      </c>
    </row>
    <row r="453" spans="1:19">
      <c r="A453" s="6">
        <v>42086</v>
      </c>
      <c r="B453" t="s">
        <v>27</v>
      </c>
      <c r="C453">
        <v>17</v>
      </c>
      <c r="D453" t="s">
        <v>19</v>
      </c>
      <c r="F453">
        <v>1.65</v>
      </c>
      <c r="J453">
        <f>SUM(97,64,109,112)</f>
        <v>382</v>
      </c>
      <c r="K453">
        <v>4</v>
      </c>
      <c r="L453">
        <v>112</v>
      </c>
      <c r="N453" t="str">
        <f t="shared" si="14"/>
        <v>NA</v>
      </c>
      <c r="O453">
        <v>7.0225419999999978</v>
      </c>
      <c r="S453">
        <f t="shared" ref="S453:S516" si="15">3.14159*((F453/2)^2)</f>
        <v>2.1382446937499995</v>
      </c>
    </row>
    <row r="454" spans="1:19">
      <c r="A454" s="6">
        <v>42086</v>
      </c>
      <c r="B454" t="s">
        <v>27</v>
      </c>
      <c r="C454">
        <v>17</v>
      </c>
      <c r="D454" t="s">
        <v>19</v>
      </c>
      <c r="F454">
        <v>3.29</v>
      </c>
      <c r="J454">
        <f>SUM(110,141,156,170,171)</f>
        <v>748</v>
      </c>
      <c r="K454">
        <v>5</v>
      </c>
      <c r="L454">
        <v>171</v>
      </c>
      <c r="N454" t="str">
        <f t="shared" si="14"/>
        <v>NA</v>
      </c>
      <c r="O454">
        <v>16.541064000000006</v>
      </c>
      <c r="S454">
        <f t="shared" si="15"/>
        <v>8.5012210797499996</v>
      </c>
    </row>
    <row r="455" spans="1:19">
      <c r="A455" s="6">
        <v>42086</v>
      </c>
      <c r="B455" t="s">
        <v>27</v>
      </c>
      <c r="C455">
        <v>17</v>
      </c>
      <c r="D455" t="s">
        <v>19</v>
      </c>
      <c r="F455">
        <v>3.29</v>
      </c>
      <c r="J455">
        <f>SUM(130,151,157,162,165)</f>
        <v>765</v>
      </c>
      <c r="K455">
        <v>5</v>
      </c>
      <c r="L455">
        <v>165</v>
      </c>
      <c r="N455" t="str">
        <f t="shared" si="14"/>
        <v>NA</v>
      </c>
      <c r="O455">
        <v>19.942369000000006</v>
      </c>
      <c r="S455">
        <f t="shared" si="15"/>
        <v>8.5012210797499996</v>
      </c>
    </row>
    <row r="456" spans="1:19">
      <c r="A456" s="6">
        <v>42086</v>
      </c>
      <c r="B456" t="s">
        <v>27</v>
      </c>
      <c r="C456">
        <v>17</v>
      </c>
      <c r="D456" t="s">
        <v>19</v>
      </c>
      <c r="F456">
        <v>2.93</v>
      </c>
      <c r="J456">
        <f>SUM(90,127,153,159,159,157)</f>
        <v>845</v>
      </c>
      <c r="K456">
        <v>6</v>
      </c>
      <c r="L456">
        <v>159</v>
      </c>
      <c r="N456" t="str">
        <f t="shared" si="14"/>
        <v>NA</v>
      </c>
      <c r="O456">
        <v>22.227886000000005</v>
      </c>
      <c r="S456">
        <f t="shared" si="15"/>
        <v>6.7425589977500007</v>
      </c>
    </row>
    <row r="457" spans="1:19">
      <c r="A457" s="6">
        <v>42086</v>
      </c>
      <c r="B457" t="s">
        <v>27</v>
      </c>
      <c r="C457">
        <v>17</v>
      </c>
      <c r="D457" t="s">
        <v>19</v>
      </c>
      <c r="F457">
        <v>1.3499999999999999</v>
      </c>
      <c r="J457">
        <f>SUM(42,74,86,94)</f>
        <v>296</v>
      </c>
      <c r="K457">
        <v>4</v>
      </c>
      <c r="L457">
        <v>94</v>
      </c>
      <c r="N457" t="str">
        <f t="shared" si="14"/>
        <v>NA</v>
      </c>
      <c r="O457">
        <v>4.3820219999999992</v>
      </c>
      <c r="S457">
        <f t="shared" si="15"/>
        <v>1.4313869437499995</v>
      </c>
    </row>
    <row r="458" spans="1:19">
      <c r="A458" s="6">
        <v>42086</v>
      </c>
      <c r="B458" t="s">
        <v>27</v>
      </c>
      <c r="C458">
        <v>17</v>
      </c>
      <c r="D458" t="s">
        <v>19</v>
      </c>
      <c r="F458">
        <v>1.71</v>
      </c>
      <c r="J458">
        <f>SUM(60,62,59,72,100,132)</f>
        <v>485</v>
      </c>
      <c r="K458">
        <v>6</v>
      </c>
      <c r="L458">
        <v>132</v>
      </c>
      <c r="N458" t="str">
        <f t="shared" si="14"/>
        <v>NA</v>
      </c>
      <c r="O458" t="s">
        <v>64</v>
      </c>
      <c r="S458">
        <f t="shared" si="15"/>
        <v>2.2965808297499999</v>
      </c>
    </row>
    <row r="459" spans="1:19">
      <c r="A459" s="6">
        <v>42086</v>
      </c>
      <c r="B459" t="s">
        <v>27</v>
      </c>
      <c r="C459">
        <v>17</v>
      </c>
      <c r="D459" t="s">
        <v>19</v>
      </c>
      <c r="F459">
        <v>1.23</v>
      </c>
      <c r="J459">
        <f>SUM(53,72,98,120)</f>
        <v>343</v>
      </c>
      <c r="K459">
        <v>4</v>
      </c>
      <c r="L459">
        <v>120</v>
      </c>
      <c r="N459" t="str">
        <f t="shared" si="14"/>
        <v>NA</v>
      </c>
      <c r="O459">
        <v>0.95613700000000534</v>
      </c>
      <c r="S459">
        <f t="shared" si="15"/>
        <v>1.1882278777499999</v>
      </c>
    </row>
    <row r="460" spans="1:19">
      <c r="A460" s="6">
        <v>42086</v>
      </c>
      <c r="B460" t="s">
        <v>27</v>
      </c>
      <c r="C460">
        <v>17</v>
      </c>
      <c r="D460" t="s">
        <v>19</v>
      </c>
      <c r="F460">
        <v>0.84</v>
      </c>
      <c r="J460">
        <f>SUM(21,48,57,76)</f>
        <v>202</v>
      </c>
      <c r="K460">
        <v>4</v>
      </c>
      <c r="L460">
        <v>76</v>
      </c>
      <c r="N460" t="str">
        <f t="shared" si="14"/>
        <v>NA</v>
      </c>
      <c r="O460">
        <v>0.99146199999999851</v>
      </c>
      <c r="S460">
        <f t="shared" si="15"/>
        <v>0.55417647599999986</v>
      </c>
    </row>
    <row r="461" spans="1:19">
      <c r="A461" s="6">
        <v>42086</v>
      </c>
      <c r="B461" t="s">
        <v>27</v>
      </c>
      <c r="C461">
        <v>17</v>
      </c>
      <c r="D461" t="s">
        <v>19</v>
      </c>
      <c r="F461">
        <v>1.71</v>
      </c>
      <c r="J461">
        <f>SUM(54,60,66,79,108)</f>
        <v>367</v>
      </c>
      <c r="K461">
        <v>5</v>
      </c>
      <c r="L461">
        <v>108</v>
      </c>
      <c r="N461" t="str">
        <f t="shared" si="14"/>
        <v>NA</v>
      </c>
      <c r="O461" t="s">
        <v>64</v>
      </c>
      <c r="S461">
        <f t="shared" si="15"/>
        <v>2.2965808297499999</v>
      </c>
    </row>
    <row r="462" spans="1:19">
      <c r="A462" s="6">
        <v>42086</v>
      </c>
      <c r="B462" t="s">
        <v>27</v>
      </c>
      <c r="C462">
        <v>17</v>
      </c>
      <c r="D462" t="s">
        <v>19</v>
      </c>
      <c r="F462">
        <v>1.94</v>
      </c>
      <c r="J462">
        <f>SUM(68,98,97,124,124,135)</f>
        <v>646</v>
      </c>
      <c r="K462">
        <v>6</v>
      </c>
      <c r="L462">
        <v>135</v>
      </c>
      <c r="N462" t="str">
        <f t="shared" si="14"/>
        <v>NA</v>
      </c>
      <c r="O462">
        <v>10.800521000000003</v>
      </c>
      <c r="S462">
        <f t="shared" si="15"/>
        <v>2.9559220309999996</v>
      </c>
    </row>
    <row r="463" spans="1:19">
      <c r="A463" s="6">
        <v>42086</v>
      </c>
      <c r="B463" t="s">
        <v>27</v>
      </c>
      <c r="C463">
        <v>17</v>
      </c>
      <c r="D463" t="s">
        <v>19</v>
      </c>
      <c r="F463">
        <v>1.39</v>
      </c>
      <c r="J463">
        <f>SUM(54,54,81,99,102,112)</f>
        <v>502</v>
      </c>
      <c r="K463">
        <v>6</v>
      </c>
      <c r="L463">
        <v>112</v>
      </c>
      <c r="N463" t="str">
        <f t="shared" si="14"/>
        <v>NA</v>
      </c>
      <c r="O463">
        <v>4.228435999999995</v>
      </c>
      <c r="S463">
        <f t="shared" si="15"/>
        <v>1.5174665097499997</v>
      </c>
    </row>
    <row r="464" spans="1:19">
      <c r="A464" s="6">
        <v>42086</v>
      </c>
      <c r="B464" t="s">
        <v>27</v>
      </c>
      <c r="C464">
        <v>17</v>
      </c>
      <c r="D464" t="s">
        <v>19</v>
      </c>
      <c r="F464">
        <v>1.05</v>
      </c>
      <c r="J464">
        <f>SUM(57,83,108,115,119,137,137)</f>
        <v>756</v>
      </c>
      <c r="K464">
        <v>7</v>
      </c>
      <c r="L464">
        <v>137</v>
      </c>
      <c r="N464" t="str">
        <f t="shared" si="14"/>
        <v>NA</v>
      </c>
      <c r="O464">
        <v>13.488728000000009</v>
      </c>
      <c r="S464">
        <f t="shared" si="15"/>
        <v>0.86590074375000003</v>
      </c>
    </row>
    <row r="465" spans="1:19">
      <c r="A465" s="6">
        <v>42086</v>
      </c>
      <c r="B465" t="s">
        <v>27</v>
      </c>
      <c r="C465">
        <v>17</v>
      </c>
      <c r="D465" t="s">
        <v>19</v>
      </c>
      <c r="F465">
        <v>0.92999999999999994</v>
      </c>
      <c r="J465">
        <f>SUM(48,61,87,101)</f>
        <v>297</v>
      </c>
      <c r="K465">
        <v>4</v>
      </c>
      <c r="L465">
        <v>101</v>
      </c>
      <c r="N465" t="str">
        <f t="shared" si="14"/>
        <v>NA</v>
      </c>
      <c r="O465">
        <v>2.3670620000000007</v>
      </c>
      <c r="S465">
        <f t="shared" si="15"/>
        <v>0.67929029774999994</v>
      </c>
    </row>
    <row r="466" spans="1:19">
      <c r="A466" s="6">
        <v>42086</v>
      </c>
      <c r="B466" t="s">
        <v>27</v>
      </c>
      <c r="C466">
        <v>17</v>
      </c>
      <c r="D466" t="s">
        <v>19</v>
      </c>
      <c r="F466">
        <v>1.58</v>
      </c>
      <c r="J466">
        <f>SUM(46,122,137)</f>
        <v>305</v>
      </c>
      <c r="K466">
        <v>3</v>
      </c>
      <c r="L466">
        <v>137</v>
      </c>
      <c r="N466" t="str">
        <f t="shared" si="14"/>
        <v>NA</v>
      </c>
      <c r="O466" t="s">
        <v>64</v>
      </c>
      <c r="S466">
        <f t="shared" si="15"/>
        <v>1.9606663190000002</v>
      </c>
    </row>
    <row r="467" spans="1:19">
      <c r="A467" s="6">
        <v>42086</v>
      </c>
      <c r="B467" t="s">
        <v>27</v>
      </c>
      <c r="C467">
        <v>17</v>
      </c>
      <c r="D467" t="s">
        <v>19</v>
      </c>
      <c r="F467">
        <v>3.2100000000000004</v>
      </c>
      <c r="J467">
        <f>SUM(94,142,165,177,173)</f>
        <v>751</v>
      </c>
      <c r="K467">
        <v>5</v>
      </c>
      <c r="L467">
        <v>177</v>
      </c>
      <c r="N467" t="str">
        <f t="shared" si="14"/>
        <v>NA</v>
      </c>
      <c r="O467">
        <v>15.014859000000001</v>
      </c>
      <c r="S467">
        <f t="shared" si="15"/>
        <v>8.092814379750001</v>
      </c>
    </row>
    <row r="468" spans="1:19">
      <c r="A468" s="6">
        <v>42086</v>
      </c>
      <c r="B468" t="s">
        <v>27</v>
      </c>
      <c r="C468">
        <v>17</v>
      </c>
      <c r="D468" t="s">
        <v>19</v>
      </c>
      <c r="F468">
        <v>2.1100000000000003</v>
      </c>
      <c r="J468">
        <f>SUM(61,87,105,113,123,143,146)</f>
        <v>778</v>
      </c>
      <c r="K468">
        <v>7</v>
      </c>
      <c r="L468">
        <v>146</v>
      </c>
      <c r="N468" t="str">
        <f t="shared" si="14"/>
        <v>NA</v>
      </c>
      <c r="O468">
        <v>12.840133000000002</v>
      </c>
      <c r="S468">
        <f t="shared" si="15"/>
        <v>3.496668209750001</v>
      </c>
    </row>
    <row r="469" spans="1:19">
      <c r="A469" s="6">
        <v>42086</v>
      </c>
      <c r="B469" t="s">
        <v>27</v>
      </c>
      <c r="C469">
        <v>19</v>
      </c>
      <c r="D469" s="8" t="s">
        <v>61</v>
      </c>
      <c r="E469">
        <v>98</v>
      </c>
      <c r="F469" s="37">
        <f>0.92-0.03</f>
        <v>0.89</v>
      </c>
      <c r="G469">
        <v>7</v>
      </c>
      <c r="N469">
        <f t="shared" si="14"/>
        <v>20.322369751833332</v>
      </c>
      <c r="O469">
        <v>3.7736958</v>
      </c>
      <c r="S469">
        <f t="shared" si="15"/>
        <v>0.62211335975000004</v>
      </c>
    </row>
    <row r="470" spans="1:19">
      <c r="A470" s="6">
        <v>42086</v>
      </c>
      <c r="B470" t="s">
        <v>27</v>
      </c>
      <c r="C470">
        <v>19</v>
      </c>
      <c r="D470" s="8" t="s">
        <v>61</v>
      </c>
      <c r="E470">
        <v>69</v>
      </c>
      <c r="F470" s="37">
        <f>1-0.03</f>
        <v>0.97</v>
      </c>
      <c r="G470">
        <v>5</v>
      </c>
      <c r="N470">
        <f t="shared" si="14"/>
        <v>16.996551678249997</v>
      </c>
      <c r="O470">
        <v>2.6569899000000001</v>
      </c>
      <c r="S470">
        <f t="shared" si="15"/>
        <v>0.7389805077499999</v>
      </c>
    </row>
    <row r="471" spans="1:19">
      <c r="A471" s="6">
        <v>42086</v>
      </c>
      <c r="B471" t="s">
        <v>27</v>
      </c>
      <c r="C471">
        <v>19</v>
      </c>
      <c r="D471" s="8" t="s">
        <v>61</v>
      </c>
      <c r="E471">
        <v>102</v>
      </c>
      <c r="F471" s="37">
        <f>1.04-0.03</f>
        <v>1.01</v>
      </c>
      <c r="N471">
        <f t="shared" si="14"/>
        <v>27.240255651499997</v>
      </c>
      <c r="O471">
        <v>2.5601130000000003</v>
      </c>
      <c r="S471">
        <f t="shared" si="15"/>
        <v>0.80118398974999994</v>
      </c>
    </row>
    <row r="472" spans="1:19">
      <c r="A472" s="6">
        <v>42086</v>
      </c>
      <c r="B472" t="s">
        <v>27</v>
      </c>
      <c r="C472">
        <v>19</v>
      </c>
      <c r="D472" s="8" t="s">
        <v>61</v>
      </c>
      <c r="E472">
        <v>111</v>
      </c>
      <c r="F472" s="37">
        <f>0.98-0.03</f>
        <v>0.95</v>
      </c>
      <c r="G472">
        <v>6</v>
      </c>
      <c r="N472">
        <f t="shared" si="14"/>
        <v>26.226386018749995</v>
      </c>
      <c r="O472">
        <v>4.2742881000000006</v>
      </c>
      <c r="S472">
        <f t="shared" si="15"/>
        <v>0.70882124375</v>
      </c>
    </row>
    <row r="473" spans="1:19">
      <c r="A473" s="6">
        <v>42086</v>
      </c>
      <c r="B473" t="s">
        <v>27</v>
      </c>
      <c r="C473">
        <v>19</v>
      </c>
      <c r="D473" s="8" t="s">
        <v>61</v>
      </c>
      <c r="E473">
        <v>170</v>
      </c>
      <c r="F473" s="37">
        <f>1.26-0.03</f>
        <v>1.23</v>
      </c>
      <c r="N473">
        <f t="shared" si="14"/>
        <v>67.332913072499991</v>
      </c>
      <c r="O473">
        <v>7.3272529999999998</v>
      </c>
      <c r="S473">
        <f t="shared" si="15"/>
        <v>1.1882278777499999</v>
      </c>
    </row>
    <row r="474" spans="1:19">
      <c r="A474" s="6">
        <v>42086</v>
      </c>
      <c r="B474" t="s">
        <v>27</v>
      </c>
      <c r="C474">
        <v>19</v>
      </c>
      <c r="D474" s="8" t="s">
        <v>61</v>
      </c>
      <c r="E474">
        <v>47</v>
      </c>
      <c r="F474" s="37">
        <f>0.8-0.03</f>
        <v>0.77</v>
      </c>
      <c r="N474">
        <f t="shared" si="14"/>
        <v>7.2953741180833322</v>
      </c>
      <c r="O474" t="s">
        <v>64</v>
      </c>
      <c r="S474">
        <f t="shared" si="15"/>
        <v>0.46566217774999996</v>
      </c>
    </row>
    <row r="475" spans="1:19">
      <c r="A475" s="6">
        <v>42086</v>
      </c>
      <c r="B475" t="s">
        <v>27</v>
      </c>
      <c r="C475">
        <v>19</v>
      </c>
      <c r="D475" s="8" t="s">
        <v>61</v>
      </c>
      <c r="E475">
        <v>152</v>
      </c>
      <c r="F475" s="37">
        <f>1.17-0.03</f>
        <v>1.1399999999999999</v>
      </c>
      <c r="N475">
        <f t="shared" si="14"/>
        <v>51.715597943999988</v>
      </c>
      <c r="O475">
        <v>6.0653630000000005</v>
      </c>
      <c r="S475">
        <f t="shared" si="15"/>
        <v>1.0207025909999998</v>
      </c>
    </row>
    <row r="476" spans="1:19">
      <c r="A476" s="6">
        <v>42086</v>
      </c>
      <c r="B476" t="s">
        <v>27</v>
      </c>
      <c r="C476">
        <v>19</v>
      </c>
      <c r="D476" s="8" t="s">
        <v>61</v>
      </c>
      <c r="E476">
        <v>193</v>
      </c>
      <c r="F476" s="37">
        <f>1.27-0.03</f>
        <v>1.24</v>
      </c>
      <c r="N476">
        <f t="shared" si="14"/>
        <v>77.690682942666655</v>
      </c>
      <c r="O476">
        <v>8.9396680000000011</v>
      </c>
      <c r="S476">
        <f t="shared" si="15"/>
        <v>1.207627196</v>
      </c>
    </row>
    <row r="477" spans="1:19">
      <c r="A477" s="6">
        <v>42086</v>
      </c>
      <c r="B477" t="s">
        <v>27</v>
      </c>
      <c r="C477">
        <v>19</v>
      </c>
      <c r="D477" s="8" t="s">
        <v>61</v>
      </c>
      <c r="E477">
        <v>50</v>
      </c>
      <c r="F477" s="37">
        <f>0.69-0.03</f>
        <v>0.65999999999999992</v>
      </c>
      <c r="G477">
        <v>1</v>
      </c>
      <c r="N477">
        <f t="shared" si="14"/>
        <v>5.701985849999998</v>
      </c>
      <c r="O477">
        <v>1.9253550000000001</v>
      </c>
      <c r="S477">
        <f t="shared" si="15"/>
        <v>0.3421191509999999</v>
      </c>
    </row>
    <row r="478" spans="1:19">
      <c r="A478" s="6">
        <v>42086</v>
      </c>
      <c r="B478" t="s">
        <v>27</v>
      </c>
      <c r="C478">
        <v>19</v>
      </c>
      <c r="D478" s="8" t="s">
        <v>61</v>
      </c>
      <c r="E478">
        <v>44</v>
      </c>
      <c r="F478" s="37">
        <f>0.65-0.03</f>
        <v>0.62</v>
      </c>
      <c r="G478">
        <v>12</v>
      </c>
      <c r="N478">
        <f t="shared" si="14"/>
        <v>4.4279663853333329</v>
      </c>
      <c r="O478">
        <v>1.6943124000000001</v>
      </c>
      <c r="S478">
        <f t="shared" si="15"/>
        <v>0.301906799</v>
      </c>
    </row>
    <row r="479" spans="1:19">
      <c r="A479" s="6">
        <v>42086</v>
      </c>
      <c r="B479" t="s">
        <v>27</v>
      </c>
      <c r="C479">
        <v>19</v>
      </c>
      <c r="D479" s="8" t="s">
        <v>61</v>
      </c>
      <c r="E479">
        <v>179</v>
      </c>
      <c r="F479">
        <v>0.86</v>
      </c>
      <c r="G479">
        <v>4</v>
      </c>
      <c r="N479">
        <f t="shared" si="14"/>
        <v>34.659172796333323</v>
      </c>
      <c r="O479">
        <v>6.8927709000000004</v>
      </c>
      <c r="S479">
        <f t="shared" si="15"/>
        <v>0.58087999099999987</v>
      </c>
    </row>
    <row r="480" spans="1:19">
      <c r="A480" s="6">
        <v>42086</v>
      </c>
      <c r="B480" t="s">
        <v>27</v>
      </c>
      <c r="C480">
        <v>19</v>
      </c>
      <c r="D480" s="8" t="s">
        <v>61</v>
      </c>
      <c r="E480">
        <v>70</v>
      </c>
      <c r="F480">
        <v>0.81</v>
      </c>
      <c r="N480">
        <f t="shared" si="14"/>
        <v>12.0236503275</v>
      </c>
      <c r="O480">
        <v>0.31675300000000028</v>
      </c>
      <c r="S480">
        <f t="shared" si="15"/>
        <v>0.51529929975000011</v>
      </c>
    </row>
    <row r="481" spans="1:19">
      <c r="A481" s="6">
        <v>42086</v>
      </c>
      <c r="B481" t="s">
        <v>27</v>
      </c>
      <c r="C481">
        <v>19</v>
      </c>
      <c r="D481" s="8" t="s">
        <v>61</v>
      </c>
      <c r="E481">
        <v>107</v>
      </c>
      <c r="F481">
        <v>0.96</v>
      </c>
      <c r="G481">
        <v>4</v>
      </c>
      <c r="N481">
        <f t="shared" si="14"/>
        <v>25.816329983999996</v>
      </c>
      <c r="O481">
        <v>4.1202597000000001</v>
      </c>
      <c r="S481">
        <f t="shared" si="15"/>
        <v>0.7238223359999999</v>
      </c>
    </row>
    <row r="482" spans="1:19">
      <c r="A482" s="6">
        <v>42086</v>
      </c>
      <c r="B482" t="s">
        <v>27</v>
      </c>
      <c r="C482">
        <v>19</v>
      </c>
      <c r="D482" s="8" t="s">
        <v>61</v>
      </c>
      <c r="E482">
        <v>151</v>
      </c>
      <c r="F482">
        <v>1.31</v>
      </c>
      <c r="N482">
        <f t="shared" si="14"/>
        <v>67.840306037416667</v>
      </c>
      <c r="O482">
        <v>5.9952580000000006</v>
      </c>
      <c r="S482">
        <f t="shared" si="15"/>
        <v>1.34782064975</v>
      </c>
    </row>
    <row r="483" spans="1:19">
      <c r="A483" s="6">
        <v>42086</v>
      </c>
      <c r="B483" t="s">
        <v>27</v>
      </c>
      <c r="C483">
        <v>19</v>
      </c>
      <c r="D483" s="8" t="s">
        <v>61</v>
      </c>
      <c r="E483">
        <v>155</v>
      </c>
      <c r="F483">
        <v>1.23</v>
      </c>
      <c r="N483">
        <f t="shared" si="14"/>
        <v>61.391773683749989</v>
      </c>
      <c r="O483">
        <v>6.2756780000000001</v>
      </c>
      <c r="S483">
        <f t="shared" si="15"/>
        <v>1.1882278777499999</v>
      </c>
    </row>
    <row r="484" spans="1:19">
      <c r="A484" s="6">
        <v>42086</v>
      </c>
      <c r="B484" t="s">
        <v>27</v>
      </c>
      <c r="C484">
        <v>19</v>
      </c>
      <c r="D484" s="8" t="s">
        <v>61</v>
      </c>
      <c r="E484">
        <v>87</v>
      </c>
      <c r="F484">
        <v>1.06</v>
      </c>
      <c r="G484">
        <v>5</v>
      </c>
      <c r="N484">
        <f t="shared" si="14"/>
        <v>25.591706299000002</v>
      </c>
      <c r="O484">
        <v>3.3501177000000002</v>
      </c>
      <c r="S484">
        <f t="shared" si="15"/>
        <v>0.88247263100000006</v>
      </c>
    </row>
    <row r="485" spans="1:19">
      <c r="A485" s="6">
        <v>42086</v>
      </c>
      <c r="B485" t="s">
        <v>27</v>
      </c>
      <c r="C485">
        <v>19</v>
      </c>
      <c r="D485" s="8" t="s">
        <v>61</v>
      </c>
      <c r="E485">
        <v>199</v>
      </c>
      <c r="F485">
        <v>1.49</v>
      </c>
      <c r="N485">
        <f t="shared" si="14"/>
        <v>115.66284565341665</v>
      </c>
      <c r="O485">
        <v>9.3602980000000002</v>
      </c>
      <c r="S485">
        <f t="shared" si="15"/>
        <v>1.7436609897499999</v>
      </c>
    </row>
    <row r="486" spans="1:19">
      <c r="A486" s="6">
        <v>42086</v>
      </c>
      <c r="B486" t="s">
        <v>27</v>
      </c>
      <c r="C486">
        <v>19</v>
      </c>
      <c r="D486" s="8" t="s">
        <v>61</v>
      </c>
      <c r="E486">
        <v>52</v>
      </c>
      <c r="F486">
        <v>0.52</v>
      </c>
      <c r="G486">
        <v>1</v>
      </c>
      <c r="N486">
        <f t="shared" si="14"/>
        <v>3.6811057226666666</v>
      </c>
      <c r="O486">
        <v>2.0023692</v>
      </c>
      <c r="S486">
        <f t="shared" si="15"/>
        <v>0.21237148400000003</v>
      </c>
    </row>
    <row r="487" spans="1:19">
      <c r="A487" s="6">
        <v>42086</v>
      </c>
      <c r="B487" t="s">
        <v>27</v>
      </c>
      <c r="C487">
        <v>19</v>
      </c>
      <c r="D487" s="8" t="s">
        <v>61</v>
      </c>
      <c r="E487">
        <v>74</v>
      </c>
      <c r="F487">
        <v>0.82</v>
      </c>
      <c r="G487">
        <v>4</v>
      </c>
      <c r="N487">
        <f t="shared" si="14"/>
        <v>13.02649821533333</v>
      </c>
      <c r="O487">
        <v>2.8495254000000001</v>
      </c>
      <c r="S487">
        <f t="shared" si="15"/>
        <v>0.52810127899999992</v>
      </c>
    </row>
    <row r="488" spans="1:19">
      <c r="A488" s="6">
        <v>42086</v>
      </c>
      <c r="B488" t="s">
        <v>27</v>
      </c>
      <c r="C488">
        <v>19</v>
      </c>
      <c r="D488" s="8" t="s">
        <v>61</v>
      </c>
      <c r="E488">
        <v>41</v>
      </c>
      <c r="F488">
        <v>0.59</v>
      </c>
      <c r="N488">
        <f t="shared" si="14"/>
        <v>3.7364238865833328</v>
      </c>
      <c r="O488" t="s">
        <v>64</v>
      </c>
      <c r="S488">
        <f t="shared" si="15"/>
        <v>0.27339686974999994</v>
      </c>
    </row>
    <row r="489" spans="1:19">
      <c r="A489" s="6">
        <v>42086</v>
      </c>
      <c r="B489" t="s">
        <v>27</v>
      </c>
      <c r="C489">
        <v>19</v>
      </c>
      <c r="D489" s="8" t="s">
        <v>61</v>
      </c>
      <c r="E489">
        <v>173</v>
      </c>
      <c r="F489">
        <v>1.47</v>
      </c>
      <c r="N489">
        <f t="shared" si="14"/>
        <v>97.869874730249975</v>
      </c>
      <c r="O489">
        <v>7.5375680000000012</v>
      </c>
      <c r="S489">
        <f t="shared" si="15"/>
        <v>1.6971654577499997</v>
      </c>
    </row>
    <row r="490" spans="1:19">
      <c r="A490" s="6">
        <v>42086</v>
      </c>
      <c r="B490" t="s">
        <v>27</v>
      </c>
      <c r="C490">
        <v>19</v>
      </c>
      <c r="D490" s="8" t="s">
        <v>61</v>
      </c>
      <c r="E490">
        <v>80</v>
      </c>
      <c r="F490">
        <v>0.98</v>
      </c>
      <c r="N490">
        <f t="shared" si="14"/>
        <v>20.114553573333328</v>
      </c>
      <c r="O490">
        <v>1.0178029999999998</v>
      </c>
      <c r="S490">
        <f t="shared" si="15"/>
        <v>0.7542957589999999</v>
      </c>
    </row>
    <row r="491" spans="1:19">
      <c r="A491" s="6">
        <v>42086</v>
      </c>
      <c r="B491" t="s">
        <v>27</v>
      </c>
      <c r="C491">
        <v>19</v>
      </c>
      <c r="D491" s="8" t="s">
        <v>61</v>
      </c>
      <c r="E491">
        <v>58</v>
      </c>
      <c r="F491">
        <v>1.07</v>
      </c>
      <c r="N491">
        <f t="shared" si="14"/>
        <v>17.384564223166663</v>
      </c>
      <c r="O491" t="s">
        <v>64</v>
      </c>
      <c r="S491">
        <f t="shared" si="15"/>
        <v>0.89920159774999997</v>
      </c>
    </row>
    <row r="492" spans="1:19">
      <c r="A492" s="6">
        <v>42086</v>
      </c>
      <c r="B492" t="s">
        <v>27</v>
      </c>
      <c r="C492">
        <v>19</v>
      </c>
      <c r="D492" s="8" t="s">
        <v>61</v>
      </c>
      <c r="E492">
        <v>50</v>
      </c>
      <c r="F492">
        <v>0.66</v>
      </c>
      <c r="N492">
        <f t="shared" si="14"/>
        <v>5.7019858499999998</v>
      </c>
      <c r="O492" t="s">
        <v>64</v>
      </c>
      <c r="S492">
        <f t="shared" si="15"/>
        <v>0.34211915100000001</v>
      </c>
    </row>
    <row r="493" spans="1:19">
      <c r="A493" s="6">
        <v>42086</v>
      </c>
      <c r="B493" t="s">
        <v>27</v>
      </c>
      <c r="C493">
        <v>19</v>
      </c>
      <c r="D493" s="8" t="s">
        <v>61</v>
      </c>
      <c r="E493">
        <v>91</v>
      </c>
      <c r="F493">
        <v>0.94</v>
      </c>
      <c r="G493">
        <v>6</v>
      </c>
      <c r="N493">
        <f t="shared" si="14"/>
        <v>21.050642673666665</v>
      </c>
      <c r="O493">
        <v>3.5041461000000003</v>
      </c>
      <c r="S493">
        <f t="shared" si="15"/>
        <v>0.69397723099999997</v>
      </c>
    </row>
    <row r="494" spans="1:19">
      <c r="A494" s="6">
        <v>42086</v>
      </c>
      <c r="B494" t="s">
        <v>27</v>
      </c>
      <c r="C494">
        <v>19</v>
      </c>
      <c r="D494" s="8" t="s">
        <v>61</v>
      </c>
      <c r="E494">
        <v>187</v>
      </c>
      <c r="F494">
        <v>1.35</v>
      </c>
      <c r="G494">
        <v>5</v>
      </c>
      <c r="N494">
        <f t="shared" si="14"/>
        <v>89.223119493750005</v>
      </c>
      <c r="O494">
        <v>7.2008277000000005</v>
      </c>
      <c r="S494">
        <f t="shared" si="15"/>
        <v>1.4313869437500002</v>
      </c>
    </row>
    <row r="495" spans="1:19">
      <c r="A495" s="6">
        <v>42086</v>
      </c>
      <c r="B495" t="s">
        <v>27</v>
      </c>
      <c r="C495">
        <v>19</v>
      </c>
      <c r="D495" s="8" t="s">
        <v>61</v>
      </c>
      <c r="E495">
        <v>176</v>
      </c>
      <c r="F495">
        <v>1.68</v>
      </c>
      <c r="G495">
        <v>11</v>
      </c>
      <c r="N495">
        <f t="shared" si="14"/>
        <v>130.04674636799999</v>
      </c>
      <c r="O495">
        <v>6.7772496000000002</v>
      </c>
      <c r="S495">
        <f t="shared" si="15"/>
        <v>2.2167059039999994</v>
      </c>
    </row>
    <row r="496" spans="1:19">
      <c r="A496" s="6">
        <v>42086</v>
      </c>
      <c r="B496" t="s">
        <v>27</v>
      </c>
      <c r="C496">
        <v>19</v>
      </c>
      <c r="D496" s="8" t="s">
        <v>61</v>
      </c>
      <c r="E496">
        <v>139</v>
      </c>
      <c r="F496">
        <v>1.37</v>
      </c>
      <c r="N496">
        <f t="shared" si="14"/>
        <v>68.300548972416664</v>
      </c>
      <c r="O496">
        <v>5.1539980000000005</v>
      </c>
      <c r="S496">
        <f t="shared" si="15"/>
        <v>1.4741125677500002</v>
      </c>
    </row>
    <row r="497" spans="1:19">
      <c r="A497" s="6">
        <v>42086</v>
      </c>
      <c r="B497" t="s">
        <v>27</v>
      </c>
      <c r="C497">
        <v>19</v>
      </c>
      <c r="D497" s="8" t="s">
        <v>61</v>
      </c>
      <c r="E497">
        <v>158</v>
      </c>
      <c r="F497">
        <v>1.72</v>
      </c>
      <c r="N497">
        <f t="shared" si="14"/>
        <v>122.3720514373333</v>
      </c>
      <c r="O497">
        <v>6.4859929999999997</v>
      </c>
      <c r="S497">
        <f t="shared" si="15"/>
        <v>2.3235199639999995</v>
      </c>
    </row>
    <row r="498" spans="1:19">
      <c r="A498" s="6">
        <v>42086</v>
      </c>
      <c r="B498" t="s">
        <v>27</v>
      </c>
      <c r="C498">
        <v>19</v>
      </c>
      <c r="D498" s="8" t="s">
        <v>61</v>
      </c>
      <c r="E498">
        <v>157</v>
      </c>
      <c r="F498">
        <v>2.0099999999999998</v>
      </c>
      <c r="N498">
        <f t="shared" si="14"/>
        <v>166.05808568024995</v>
      </c>
      <c r="O498">
        <v>6.4158879999999998</v>
      </c>
      <c r="S498">
        <f t="shared" si="15"/>
        <v>3.1730844397499989</v>
      </c>
    </row>
    <row r="499" spans="1:19">
      <c r="A499" s="6">
        <v>42086</v>
      </c>
      <c r="B499" t="s">
        <v>27</v>
      </c>
      <c r="C499">
        <v>19</v>
      </c>
      <c r="D499" s="8" t="s">
        <v>61</v>
      </c>
      <c r="E499">
        <v>106</v>
      </c>
      <c r="F499">
        <v>0.86</v>
      </c>
      <c r="N499">
        <f t="shared" si="14"/>
        <v>20.524426348666662</v>
      </c>
      <c r="O499">
        <v>2.8405330000000006</v>
      </c>
      <c r="S499">
        <f t="shared" si="15"/>
        <v>0.58087999099999987</v>
      </c>
    </row>
    <row r="500" spans="1:19">
      <c r="A500" s="6">
        <v>42086</v>
      </c>
      <c r="B500" t="s">
        <v>27</v>
      </c>
      <c r="C500">
        <v>45</v>
      </c>
      <c r="D500" t="s">
        <v>19</v>
      </c>
      <c r="F500" s="37">
        <f>1.04-0.03</f>
        <v>1.01</v>
      </c>
      <c r="J500">
        <f>SUM(20,33,50,63,74,91)</f>
        <v>331</v>
      </c>
      <c r="K500">
        <v>6</v>
      </c>
      <c r="L500">
        <v>91</v>
      </c>
      <c r="N500" t="str">
        <f t="shared" si="14"/>
        <v>NA</v>
      </c>
      <c r="O500" t="s">
        <v>64</v>
      </c>
      <c r="S500">
        <f t="shared" si="15"/>
        <v>0.80118398974999994</v>
      </c>
    </row>
    <row r="501" spans="1:19">
      <c r="A501" s="6">
        <v>42086</v>
      </c>
      <c r="B501" t="s">
        <v>27</v>
      </c>
      <c r="C501">
        <v>45</v>
      </c>
      <c r="D501" t="s">
        <v>19</v>
      </c>
      <c r="F501" s="37">
        <f>2.88-0.03</f>
        <v>2.85</v>
      </c>
      <c r="J501">
        <v>56</v>
      </c>
      <c r="K501">
        <v>1</v>
      </c>
      <c r="L501">
        <v>56</v>
      </c>
      <c r="N501" t="str">
        <f t="shared" si="14"/>
        <v>NA</v>
      </c>
      <c r="O501">
        <v>14.395190999999997</v>
      </c>
      <c r="S501">
        <f t="shared" si="15"/>
        <v>6.3793911937500001</v>
      </c>
    </row>
    <row r="502" spans="1:19">
      <c r="A502" s="6">
        <v>42086</v>
      </c>
      <c r="B502" t="s">
        <v>27</v>
      </c>
      <c r="C502">
        <v>45</v>
      </c>
      <c r="D502" t="s">
        <v>19</v>
      </c>
      <c r="F502" s="37">
        <f>6.23-0.03</f>
        <v>6.2</v>
      </c>
      <c r="J502">
        <f>SUM(86,105,128,147)</f>
        <v>466</v>
      </c>
      <c r="K502">
        <v>4</v>
      </c>
      <c r="L502">
        <v>147</v>
      </c>
      <c r="N502" t="str">
        <f t="shared" si="14"/>
        <v>NA</v>
      </c>
      <c r="O502">
        <v>4.3543869999999991</v>
      </c>
      <c r="S502">
        <f t="shared" si="15"/>
        <v>30.190679900000003</v>
      </c>
    </row>
    <row r="503" spans="1:19">
      <c r="A503" s="6">
        <v>42086</v>
      </c>
      <c r="B503" t="s">
        <v>27</v>
      </c>
      <c r="C503">
        <v>45</v>
      </c>
      <c r="D503" t="s">
        <v>19</v>
      </c>
      <c r="F503" s="37">
        <f>1.61-0.03</f>
        <v>1.58</v>
      </c>
      <c r="J503">
        <f>SUM(43,49,63,65)</f>
        <v>220</v>
      </c>
      <c r="K503">
        <v>4</v>
      </c>
      <c r="L503">
        <v>65</v>
      </c>
      <c r="N503" t="str">
        <f t="shared" si="14"/>
        <v>NA</v>
      </c>
      <c r="O503">
        <v>5.9927469999999978</v>
      </c>
      <c r="S503">
        <f t="shared" si="15"/>
        <v>1.9606663190000002</v>
      </c>
    </row>
    <row r="504" spans="1:19">
      <c r="A504" s="6">
        <v>42086</v>
      </c>
      <c r="B504" t="s">
        <v>27</v>
      </c>
      <c r="C504">
        <v>45</v>
      </c>
      <c r="D504" t="s">
        <v>19</v>
      </c>
      <c r="F504" s="37">
        <f>0.78-0.03</f>
        <v>0.75</v>
      </c>
      <c r="J504">
        <f>SUM(29,40,43,54)</f>
        <v>166</v>
      </c>
      <c r="K504">
        <v>4</v>
      </c>
      <c r="L504">
        <v>54</v>
      </c>
      <c r="N504" t="str">
        <f t="shared" si="14"/>
        <v>NA</v>
      </c>
      <c r="O504">
        <v>4.2436720000000001</v>
      </c>
      <c r="S504">
        <f t="shared" si="15"/>
        <v>0.44178609375</v>
      </c>
    </row>
    <row r="505" spans="1:19">
      <c r="A505" s="6">
        <v>42086</v>
      </c>
      <c r="B505" t="s">
        <v>27</v>
      </c>
      <c r="C505">
        <v>47</v>
      </c>
      <c r="D505" t="s">
        <v>19</v>
      </c>
      <c r="F505" s="37">
        <f>1.3-0.03</f>
        <v>1.27</v>
      </c>
      <c r="J505">
        <f>SUM(37,67,86,89,61)</f>
        <v>340</v>
      </c>
      <c r="K505">
        <v>5</v>
      </c>
      <c r="L505">
        <v>89</v>
      </c>
      <c r="M505" s="38"/>
      <c r="N505" t="str">
        <f t="shared" si="14"/>
        <v>NA</v>
      </c>
      <c r="O505">
        <v>2.9911140000000032</v>
      </c>
      <c r="S505">
        <f t="shared" si="15"/>
        <v>1.26676762775</v>
      </c>
    </row>
    <row r="506" spans="1:19">
      <c r="A506" s="6">
        <v>42086</v>
      </c>
      <c r="B506" t="s">
        <v>27</v>
      </c>
      <c r="C506">
        <v>47</v>
      </c>
      <c r="D506" t="s">
        <v>19</v>
      </c>
      <c r="F506" s="37">
        <f>1.2-0.03</f>
        <v>1.17</v>
      </c>
      <c r="J506">
        <f>SUM(33,30,53,57,57)</f>
        <v>230</v>
      </c>
      <c r="K506">
        <v>5</v>
      </c>
      <c r="L506">
        <v>57</v>
      </c>
      <c r="N506" t="str">
        <f t="shared" si="14"/>
        <v>NA</v>
      </c>
      <c r="O506">
        <v>2.3179040000000022</v>
      </c>
      <c r="S506">
        <f t="shared" si="15"/>
        <v>1.0751306377499998</v>
      </c>
    </row>
    <row r="507" spans="1:19">
      <c r="A507" s="6">
        <v>42086</v>
      </c>
      <c r="B507" t="s">
        <v>27</v>
      </c>
      <c r="C507">
        <v>47</v>
      </c>
      <c r="D507" t="s">
        <v>19</v>
      </c>
      <c r="F507" s="37">
        <f>0.69+-0.03</f>
        <v>0.65999999999999992</v>
      </c>
      <c r="J507">
        <f>SUM(16,30,50,55)</f>
        <v>151</v>
      </c>
      <c r="K507">
        <v>4</v>
      </c>
      <c r="L507">
        <v>55</v>
      </c>
      <c r="N507" t="str">
        <f t="shared" si="14"/>
        <v>NA</v>
      </c>
      <c r="O507">
        <v>2.5361019999999996</v>
      </c>
      <c r="S507">
        <f t="shared" si="15"/>
        <v>0.3421191509999999</v>
      </c>
    </row>
    <row r="508" spans="1:19">
      <c r="A508" s="6">
        <v>42086</v>
      </c>
      <c r="B508" t="s">
        <v>27</v>
      </c>
      <c r="C508">
        <v>47</v>
      </c>
      <c r="D508" t="s">
        <v>19</v>
      </c>
      <c r="F508" s="37">
        <f>1.02-0.03</f>
        <v>0.99</v>
      </c>
      <c r="J508">
        <f>SUM(56,57,74,86)</f>
        <v>273</v>
      </c>
      <c r="K508">
        <v>4</v>
      </c>
      <c r="L508">
        <v>86</v>
      </c>
      <c r="N508" t="str">
        <f t="shared" si="14"/>
        <v>NA</v>
      </c>
      <c r="O508">
        <v>4.6356169999999999</v>
      </c>
      <c r="S508">
        <f t="shared" si="15"/>
        <v>0.76976808975</v>
      </c>
    </row>
    <row r="509" spans="1:19">
      <c r="A509" s="6">
        <v>42086</v>
      </c>
      <c r="B509" t="s">
        <v>27</v>
      </c>
      <c r="C509">
        <v>47</v>
      </c>
      <c r="D509" t="s">
        <v>19</v>
      </c>
      <c r="F509" s="37">
        <f>1.6-0.03</f>
        <v>1.57</v>
      </c>
      <c r="J509">
        <f>SUM(29,17,66,85,89,53)</f>
        <v>339</v>
      </c>
      <c r="K509">
        <v>6</v>
      </c>
      <c r="L509">
        <v>89</v>
      </c>
      <c r="N509" t="str">
        <f t="shared" si="14"/>
        <v>NA</v>
      </c>
      <c r="O509" t="s">
        <v>64</v>
      </c>
      <c r="S509">
        <f t="shared" si="15"/>
        <v>1.93592629775</v>
      </c>
    </row>
    <row r="510" spans="1:19">
      <c r="A510" s="6">
        <v>42086</v>
      </c>
      <c r="B510" t="s">
        <v>27</v>
      </c>
      <c r="C510">
        <v>47</v>
      </c>
      <c r="D510" t="s">
        <v>19</v>
      </c>
      <c r="F510" s="37">
        <f>0.57-0.03</f>
        <v>0.53999999999999992</v>
      </c>
      <c r="J510">
        <f>SUM(45,60,66)</f>
        <v>171</v>
      </c>
      <c r="K510">
        <v>3</v>
      </c>
      <c r="L510">
        <v>66</v>
      </c>
      <c r="N510" t="str">
        <f t="shared" si="14"/>
        <v>NA</v>
      </c>
      <c r="O510">
        <v>8.1198599999999992</v>
      </c>
      <c r="S510">
        <f t="shared" si="15"/>
        <v>0.22902191099999991</v>
      </c>
    </row>
    <row r="511" spans="1:19">
      <c r="A511" s="6">
        <v>42086</v>
      </c>
      <c r="B511" t="s">
        <v>27</v>
      </c>
      <c r="C511">
        <v>47</v>
      </c>
      <c r="D511" t="s">
        <v>19</v>
      </c>
      <c r="F511" s="37">
        <f>0.79-0.03</f>
        <v>0.76</v>
      </c>
      <c r="J511">
        <f>SUM(51,73,88)</f>
        <v>212</v>
      </c>
      <c r="K511">
        <v>3</v>
      </c>
      <c r="L511">
        <v>88</v>
      </c>
      <c r="N511" t="str">
        <f t="shared" si="14"/>
        <v>NA</v>
      </c>
      <c r="O511">
        <v>5.3364249999999984</v>
      </c>
      <c r="S511">
        <f t="shared" si="15"/>
        <v>0.45364559599999998</v>
      </c>
    </row>
    <row r="512" spans="1:19">
      <c r="A512" s="6">
        <v>42086</v>
      </c>
      <c r="B512" t="s">
        <v>27</v>
      </c>
      <c r="C512">
        <v>47</v>
      </c>
      <c r="D512" t="s">
        <v>19</v>
      </c>
      <c r="F512" s="37">
        <f>1.19-0.03</f>
        <v>1.1599999999999999</v>
      </c>
      <c r="J512">
        <f>SUM(96,73,112,117)</f>
        <v>398</v>
      </c>
      <c r="K512">
        <v>4</v>
      </c>
      <c r="L512">
        <v>117</v>
      </c>
      <c r="N512" t="str">
        <f t="shared" si="14"/>
        <v>NA</v>
      </c>
      <c r="O512">
        <v>7.0163970000000013</v>
      </c>
      <c r="S512">
        <f t="shared" si="15"/>
        <v>1.0568308759999998</v>
      </c>
    </row>
    <row r="513" spans="1:19">
      <c r="A513" s="6">
        <v>42086</v>
      </c>
      <c r="B513" t="s">
        <v>27</v>
      </c>
      <c r="C513">
        <v>47</v>
      </c>
      <c r="D513" t="s">
        <v>19</v>
      </c>
      <c r="F513" s="37">
        <f>10.23-0.03</f>
        <v>10.200000000000001</v>
      </c>
      <c r="J513">
        <f>SUM(118,118,178,251)</f>
        <v>665</v>
      </c>
      <c r="K513">
        <v>4</v>
      </c>
      <c r="L513">
        <v>251</v>
      </c>
      <c r="N513" t="str">
        <f t="shared" si="14"/>
        <v>NA</v>
      </c>
      <c r="O513" t="s">
        <v>64</v>
      </c>
      <c r="S513">
        <f t="shared" si="15"/>
        <v>81.712755900000019</v>
      </c>
    </row>
    <row r="514" spans="1:19">
      <c r="A514" s="6">
        <v>42087</v>
      </c>
      <c r="B514" t="s">
        <v>26</v>
      </c>
      <c r="C514">
        <v>22</v>
      </c>
      <c r="D514" t="s">
        <v>19</v>
      </c>
      <c r="F514">
        <v>0.71</v>
      </c>
      <c r="J514">
        <f>SUM(40,52,80,85)</f>
        <v>257</v>
      </c>
      <c r="K514">
        <v>4</v>
      </c>
      <c r="L514">
        <v>85</v>
      </c>
      <c r="N514" t="str">
        <f t="shared" si="14"/>
        <v>NA</v>
      </c>
      <c r="O514">
        <v>3.4367820000000009</v>
      </c>
      <c r="S514">
        <f t="shared" si="15"/>
        <v>0.39591887974999995</v>
      </c>
    </row>
    <row r="515" spans="1:19">
      <c r="A515" s="6">
        <v>42087</v>
      </c>
      <c r="B515" t="s">
        <v>26</v>
      </c>
      <c r="C515">
        <v>22</v>
      </c>
      <c r="D515" t="s">
        <v>19</v>
      </c>
      <c r="F515">
        <v>1.27</v>
      </c>
      <c r="J515">
        <f>SUM(106,117,30,54,65,90,98)</f>
        <v>560</v>
      </c>
      <c r="K515">
        <v>7</v>
      </c>
      <c r="L515">
        <v>117</v>
      </c>
      <c r="N515" t="str">
        <f t="shared" si="14"/>
        <v>NA</v>
      </c>
      <c r="O515">
        <v>1.1376480000000058</v>
      </c>
      <c r="S515">
        <f t="shared" si="15"/>
        <v>1.26676762775</v>
      </c>
    </row>
    <row r="516" spans="1:19">
      <c r="A516" s="6">
        <v>42087</v>
      </c>
      <c r="B516" t="s">
        <v>26</v>
      </c>
      <c r="C516">
        <v>22</v>
      </c>
      <c r="D516" t="s">
        <v>19</v>
      </c>
      <c r="F516">
        <v>1.8599999999999999</v>
      </c>
      <c r="J516">
        <f>SUM(137,157,160,163,186)</f>
        <v>803</v>
      </c>
      <c r="K516">
        <v>5</v>
      </c>
      <c r="L516">
        <v>186</v>
      </c>
      <c r="N516" t="str">
        <f t="shared" ref="N516:N579" si="16">IF(OR(D516="S. acutus", D516="S. tabernaemontani", D516="S. californicus"),(1/3)*(3.14159)*((F516/2)^2)*E516,"NA")</f>
        <v>NA</v>
      </c>
      <c r="O516">
        <v>17.178914000000013</v>
      </c>
      <c r="S516">
        <f t="shared" si="15"/>
        <v>2.7171611909999998</v>
      </c>
    </row>
    <row r="517" spans="1:19">
      <c r="A517" s="6">
        <v>42087</v>
      </c>
      <c r="B517" t="s">
        <v>26</v>
      </c>
      <c r="C517">
        <v>22</v>
      </c>
      <c r="D517" t="s">
        <v>19</v>
      </c>
      <c r="F517">
        <v>2.5700000000000003</v>
      </c>
      <c r="J517">
        <f>SUM(142,151,195,201,218,222)</f>
        <v>1129</v>
      </c>
      <c r="K517">
        <v>6</v>
      </c>
      <c r="L517">
        <v>222</v>
      </c>
      <c r="N517" t="str">
        <f t="shared" si="16"/>
        <v>NA</v>
      </c>
      <c r="O517">
        <v>29.875870999999997</v>
      </c>
      <c r="S517">
        <f t="shared" ref="S517:S580" si="17">3.14159*((F517/2)^2)</f>
        <v>5.1874719477500006</v>
      </c>
    </row>
    <row r="518" spans="1:19">
      <c r="A518" s="6">
        <v>42087</v>
      </c>
      <c r="B518" t="s">
        <v>26</v>
      </c>
      <c r="C518">
        <v>22</v>
      </c>
      <c r="D518" t="s">
        <v>19</v>
      </c>
      <c r="F518">
        <v>2.52</v>
      </c>
      <c r="J518">
        <f>SUM(142,166,203,204,218)</f>
        <v>933</v>
      </c>
      <c r="K518">
        <v>5</v>
      </c>
      <c r="L518">
        <v>218</v>
      </c>
      <c r="N518" t="str">
        <f t="shared" si="16"/>
        <v>NA</v>
      </c>
      <c r="O518">
        <v>19.727224000000007</v>
      </c>
      <c r="S518">
        <f t="shared" si="17"/>
        <v>4.9875882840000001</v>
      </c>
    </row>
    <row r="519" spans="1:19">
      <c r="A519" s="6">
        <v>42087</v>
      </c>
      <c r="B519" t="s">
        <v>26</v>
      </c>
      <c r="C519">
        <v>22</v>
      </c>
      <c r="D519" t="s">
        <v>19</v>
      </c>
      <c r="F519">
        <v>1.54</v>
      </c>
      <c r="J519">
        <f>SUM(112,120,147,157,179)</f>
        <v>715</v>
      </c>
      <c r="K519">
        <v>5</v>
      </c>
      <c r="L519">
        <v>179</v>
      </c>
      <c r="N519" t="str">
        <f t="shared" si="16"/>
        <v>NA</v>
      </c>
      <c r="O519">
        <v>11.037188999999998</v>
      </c>
      <c r="S519">
        <f t="shared" si="17"/>
        <v>1.8626487109999998</v>
      </c>
    </row>
    <row r="520" spans="1:19">
      <c r="A520" s="6">
        <v>42087</v>
      </c>
      <c r="B520" t="s">
        <v>26</v>
      </c>
      <c r="C520">
        <v>22</v>
      </c>
      <c r="D520" t="s">
        <v>19</v>
      </c>
      <c r="F520">
        <v>1.37</v>
      </c>
      <c r="J520">
        <f>SUM(83,95,133,134,170)</f>
        <v>615</v>
      </c>
      <c r="K520">
        <v>5</v>
      </c>
      <c r="L520">
        <v>170</v>
      </c>
      <c r="N520" t="str">
        <f t="shared" si="16"/>
        <v>NA</v>
      </c>
      <c r="O520">
        <v>4.3728940000000023</v>
      </c>
      <c r="S520">
        <f t="shared" si="17"/>
        <v>1.4741125677500002</v>
      </c>
    </row>
    <row r="521" spans="1:19">
      <c r="A521" s="6">
        <v>42087</v>
      </c>
      <c r="B521" t="s">
        <v>26</v>
      </c>
      <c r="C521">
        <v>22</v>
      </c>
      <c r="D521" t="s">
        <v>19</v>
      </c>
      <c r="F521">
        <v>1.37</v>
      </c>
      <c r="J521">
        <f>SUM(66,130,123,167,180)</f>
        <v>666</v>
      </c>
      <c r="K521">
        <v>5</v>
      </c>
      <c r="L521">
        <v>180</v>
      </c>
      <c r="N521" t="str">
        <f t="shared" si="16"/>
        <v>NA</v>
      </c>
      <c r="O521">
        <v>6.1419490000000039</v>
      </c>
      <c r="S521">
        <f t="shared" si="17"/>
        <v>1.4741125677500002</v>
      </c>
    </row>
    <row r="522" spans="1:19">
      <c r="A522" s="6">
        <v>42087</v>
      </c>
      <c r="B522" t="s">
        <v>26</v>
      </c>
      <c r="C522">
        <v>22</v>
      </c>
      <c r="D522" t="s">
        <v>19</v>
      </c>
      <c r="F522">
        <v>2.23</v>
      </c>
      <c r="J522">
        <f>SUM(112,119,162,169,200,203,230)</f>
        <v>1195</v>
      </c>
      <c r="K522">
        <v>7</v>
      </c>
      <c r="L522">
        <v>230</v>
      </c>
      <c r="N522" t="str">
        <f t="shared" si="16"/>
        <v>NA</v>
      </c>
      <c r="O522">
        <v>26.631388000000008</v>
      </c>
      <c r="S522">
        <f t="shared" si="17"/>
        <v>3.9057032277500001</v>
      </c>
    </row>
    <row r="523" spans="1:19">
      <c r="A523" s="6">
        <v>42087</v>
      </c>
      <c r="B523" t="s">
        <v>26</v>
      </c>
      <c r="C523">
        <v>25</v>
      </c>
      <c r="D523" t="s">
        <v>61</v>
      </c>
      <c r="E523">
        <v>38</v>
      </c>
      <c r="F523">
        <v>0.77</v>
      </c>
      <c r="N523">
        <f t="shared" si="16"/>
        <v>5.8983875848333325</v>
      </c>
      <c r="O523" t="s">
        <v>64</v>
      </c>
      <c r="S523">
        <f t="shared" si="17"/>
        <v>0.46566217774999996</v>
      </c>
    </row>
    <row r="524" spans="1:19">
      <c r="A524" s="6">
        <v>42087</v>
      </c>
      <c r="B524" t="s">
        <v>26</v>
      </c>
      <c r="C524">
        <v>25</v>
      </c>
      <c r="D524" t="s">
        <v>61</v>
      </c>
      <c r="E524">
        <v>44</v>
      </c>
      <c r="F524">
        <v>0.44999999999999996</v>
      </c>
      <c r="N524">
        <f t="shared" si="16"/>
        <v>2.3326305749999992</v>
      </c>
      <c r="O524" t="s">
        <v>64</v>
      </c>
      <c r="S524">
        <f t="shared" si="17"/>
        <v>0.15904299374999997</v>
      </c>
    </row>
    <row r="525" spans="1:19">
      <c r="A525" s="6">
        <v>42087</v>
      </c>
      <c r="B525" t="s">
        <v>26</v>
      </c>
      <c r="C525">
        <v>25</v>
      </c>
      <c r="D525" t="s">
        <v>61</v>
      </c>
      <c r="E525">
        <v>57</v>
      </c>
      <c r="F525">
        <v>0.37</v>
      </c>
      <c r="N525">
        <f t="shared" si="16"/>
        <v>2.0428974372499997</v>
      </c>
      <c r="O525" t="s">
        <v>64</v>
      </c>
      <c r="S525">
        <f t="shared" si="17"/>
        <v>0.10752091774999999</v>
      </c>
    </row>
    <row r="526" spans="1:19">
      <c r="A526" s="6">
        <v>42087</v>
      </c>
      <c r="B526" t="s">
        <v>26</v>
      </c>
      <c r="C526">
        <v>25</v>
      </c>
      <c r="D526" t="s">
        <v>61</v>
      </c>
      <c r="E526">
        <v>58</v>
      </c>
      <c r="F526">
        <v>0.73</v>
      </c>
      <c r="N526">
        <f t="shared" si="16"/>
        <v>8.0917410031666641</v>
      </c>
      <c r="O526" t="s">
        <v>64</v>
      </c>
      <c r="S526">
        <f t="shared" si="17"/>
        <v>0.41853832774999994</v>
      </c>
    </row>
    <row r="527" spans="1:19">
      <c r="A527" s="6">
        <v>42087</v>
      </c>
      <c r="B527" t="s">
        <v>26</v>
      </c>
      <c r="C527">
        <v>25</v>
      </c>
      <c r="D527" t="s">
        <v>61</v>
      </c>
      <c r="E527">
        <v>40</v>
      </c>
      <c r="F527">
        <v>0.39</v>
      </c>
      <c r="N527">
        <f t="shared" si="16"/>
        <v>1.5927861299999999</v>
      </c>
      <c r="O527" t="s">
        <v>64</v>
      </c>
      <c r="S527">
        <f t="shared" si="17"/>
        <v>0.11945895975000001</v>
      </c>
    </row>
    <row r="528" spans="1:19">
      <c r="A528" s="6">
        <v>42087</v>
      </c>
      <c r="B528" t="s">
        <v>26</v>
      </c>
      <c r="C528">
        <v>25</v>
      </c>
      <c r="D528" t="s">
        <v>61</v>
      </c>
      <c r="E528">
        <v>66</v>
      </c>
      <c r="F528">
        <v>0.65999999999999992</v>
      </c>
      <c r="N528">
        <f t="shared" si="16"/>
        <v>7.5266213219999969</v>
      </c>
      <c r="O528">
        <v>3.6332999999999949E-2</v>
      </c>
      <c r="S528">
        <f t="shared" si="17"/>
        <v>0.3421191509999999</v>
      </c>
    </row>
    <row r="529" spans="1:19">
      <c r="A529" s="6">
        <v>42087</v>
      </c>
      <c r="B529" t="s">
        <v>26</v>
      </c>
      <c r="C529">
        <v>25</v>
      </c>
      <c r="D529" t="s">
        <v>61</v>
      </c>
      <c r="E529">
        <v>48</v>
      </c>
      <c r="F529">
        <v>0.54999999999999993</v>
      </c>
      <c r="N529">
        <f t="shared" si="16"/>
        <v>3.801323899999999</v>
      </c>
      <c r="O529" t="s">
        <v>64</v>
      </c>
      <c r="S529">
        <f t="shared" si="17"/>
        <v>0.23758274374999994</v>
      </c>
    </row>
    <row r="530" spans="1:19">
      <c r="A530" s="6">
        <v>42087</v>
      </c>
      <c r="B530" t="s">
        <v>26</v>
      </c>
      <c r="C530">
        <v>25</v>
      </c>
      <c r="D530" t="s">
        <v>61</v>
      </c>
      <c r="E530">
        <v>53</v>
      </c>
      <c r="F530">
        <v>0.67999999999999994</v>
      </c>
      <c r="N530">
        <f t="shared" si="16"/>
        <v>6.4159645373333314</v>
      </c>
      <c r="O530" t="s">
        <v>64</v>
      </c>
      <c r="S530">
        <f t="shared" si="17"/>
        <v>0.36316780399999993</v>
      </c>
    </row>
    <row r="531" spans="1:19">
      <c r="A531" s="6">
        <v>42087</v>
      </c>
      <c r="B531" t="s">
        <v>26</v>
      </c>
      <c r="C531">
        <v>25</v>
      </c>
      <c r="D531" t="s">
        <v>61</v>
      </c>
      <c r="E531">
        <v>111</v>
      </c>
      <c r="F531">
        <v>0.97</v>
      </c>
      <c r="N531">
        <f t="shared" si="16"/>
        <v>27.342278786749997</v>
      </c>
      <c r="O531">
        <v>3.191058</v>
      </c>
      <c r="S531">
        <f t="shared" si="17"/>
        <v>0.7389805077499999</v>
      </c>
    </row>
    <row r="532" spans="1:19">
      <c r="A532" s="6">
        <v>42087</v>
      </c>
      <c r="B532" t="s">
        <v>26</v>
      </c>
      <c r="C532">
        <v>25</v>
      </c>
      <c r="D532" t="s">
        <v>61</v>
      </c>
      <c r="E532">
        <v>90</v>
      </c>
      <c r="F532">
        <v>0.75</v>
      </c>
      <c r="N532">
        <f t="shared" si="16"/>
        <v>13.253582812499998</v>
      </c>
      <c r="O532">
        <v>1.7188530000000002</v>
      </c>
      <c r="S532">
        <f t="shared" si="17"/>
        <v>0.44178609375</v>
      </c>
    </row>
    <row r="533" spans="1:19">
      <c r="A533" s="6">
        <v>42087</v>
      </c>
      <c r="B533" t="s">
        <v>26</v>
      </c>
      <c r="C533">
        <v>25</v>
      </c>
      <c r="D533" t="s">
        <v>61</v>
      </c>
      <c r="E533">
        <v>121</v>
      </c>
      <c r="F533">
        <v>0.97</v>
      </c>
      <c r="N533">
        <f t="shared" si="16"/>
        <v>29.805547145916663</v>
      </c>
      <c r="O533">
        <v>3.8921079999999995</v>
      </c>
      <c r="S533">
        <f t="shared" si="17"/>
        <v>0.7389805077499999</v>
      </c>
    </row>
    <row r="534" spans="1:19">
      <c r="A534" s="6">
        <v>42087</v>
      </c>
      <c r="B534" t="s">
        <v>26</v>
      </c>
      <c r="C534">
        <v>25</v>
      </c>
      <c r="D534" t="s">
        <v>61</v>
      </c>
      <c r="E534">
        <v>113</v>
      </c>
      <c r="F534">
        <v>0.42000000000000004</v>
      </c>
      <c r="N534">
        <f t="shared" si="16"/>
        <v>5.2184951490000007</v>
      </c>
      <c r="O534">
        <v>3.3312680000000006</v>
      </c>
      <c r="S534">
        <f t="shared" si="17"/>
        <v>0.13854411900000002</v>
      </c>
    </row>
    <row r="535" spans="1:19">
      <c r="A535" s="6">
        <v>42087</v>
      </c>
      <c r="B535" t="s">
        <v>26</v>
      </c>
      <c r="C535">
        <v>25</v>
      </c>
      <c r="D535" t="s">
        <v>61</v>
      </c>
      <c r="E535">
        <v>115</v>
      </c>
      <c r="F535">
        <v>0.75</v>
      </c>
      <c r="N535">
        <f t="shared" si="16"/>
        <v>16.935133593749999</v>
      </c>
      <c r="O535">
        <v>3.4714780000000003</v>
      </c>
      <c r="S535">
        <f t="shared" si="17"/>
        <v>0.44178609375</v>
      </c>
    </row>
    <row r="536" spans="1:19">
      <c r="A536" s="6">
        <v>42087</v>
      </c>
      <c r="B536" t="s">
        <v>26</v>
      </c>
      <c r="C536">
        <v>25</v>
      </c>
      <c r="D536" t="s">
        <v>61</v>
      </c>
      <c r="E536">
        <v>90</v>
      </c>
      <c r="F536">
        <v>0.72</v>
      </c>
      <c r="G536">
        <v>5</v>
      </c>
      <c r="N536">
        <f t="shared" si="16"/>
        <v>12.214501919999998</v>
      </c>
      <c r="O536">
        <v>3.4656390000000004</v>
      </c>
      <c r="S536">
        <f t="shared" si="17"/>
        <v>0.40715006399999998</v>
      </c>
    </row>
    <row r="537" spans="1:19">
      <c r="A537" s="6">
        <v>42087</v>
      </c>
      <c r="B537" t="s">
        <v>26</v>
      </c>
      <c r="C537">
        <v>25</v>
      </c>
      <c r="D537" t="s">
        <v>61</v>
      </c>
      <c r="E537">
        <v>42</v>
      </c>
      <c r="F537">
        <v>1.1099999999999999</v>
      </c>
      <c r="G537">
        <v>3</v>
      </c>
      <c r="N537">
        <f t="shared" si="16"/>
        <v>13.547635636499995</v>
      </c>
      <c r="O537">
        <v>1.6172982</v>
      </c>
      <c r="S537">
        <f t="shared" si="17"/>
        <v>0.96768825974999972</v>
      </c>
    </row>
    <row r="538" spans="1:19">
      <c r="A538" s="6">
        <v>42087</v>
      </c>
      <c r="B538" t="s">
        <v>26</v>
      </c>
      <c r="C538">
        <v>25</v>
      </c>
      <c r="D538" t="s">
        <v>61</v>
      </c>
      <c r="E538">
        <v>204</v>
      </c>
      <c r="F538">
        <v>1.06</v>
      </c>
      <c r="N538">
        <f t="shared" si="16"/>
        <v>60.008138908000006</v>
      </c>
      <c r="O538">
        <v>9.7108230000000013</v>
      </c>
      <c r="S538">
        <f t="shared" si="17"/>
        <v>0.88247263100000006</v>
      </c>
    </row>
    <row r="539" spans="1:19">
      <c r="A539" s="6">
        <v>42087</v>
      </c>
      <c r="B539" t="s">
        <v>26</v>
      </c>
      <c r="C539">
        <v>25</v>
      </c>
      <c r="D539" t="s">
        <v>61</v>
      </c>
      <c r="E539">
        <v>199</v>
      </c>
      <c r="F539">
        <v>0.91999999999999993</v>
      </c>
      <c r="N539">
        <f t="shared" si="16"/>
        <v>44.095776118666656</v>
      </c>
      <c r="O539">
        <v>9.3602980000000002</v>
      </c>
      <c r="S539">
        <f t="shared" si="17"/>
        <v>0.66476044399999978</v>
      </c>
    </row>
    <row r="540" spans="1:19">
      <c r="A540" s="6">
        <v>42087</v>
      </c>
      <c r="B540" t="s">
        <v>26</v>
      </c>
      <c r="C540">
        <v>25</v>
      </c>
      <c r="D540" t="s">
        <v>61</v>
      </c>
      <c r="E540">
        <v>139</v>
      </c>
      <c r="F540">
        <v>1.06</v>
      </c>
      <c r="N540">
        <f t="shared" si="16"/>
        <v>40.887898569666667</v>
      </c>
      <c r="O540">
        <v>5.1539980000000005</v>
      </c>
      <c r="S540">
        <f t="shared" si="17"/>
        <v>0.88247263100000006</v>
      </c>
    </row>
    <row r="541" spans="1:19">
      <c r="A541" s="6">
        <v>42087</v>
      </c>
      <c r="B541" t="s">
        <v>26</v>
      </c>
      <c r="C541">
        <v>25</v>
      </c>
      <c r="D541" t="s">
        <v>61</v>
      </c>
      <c r="E541">
        <v>186</v>
      </c>
      <c r="F541">
        <v>1.32</v>
      </c>
      <c r="N541">
        <f t="shared" si="16"/>
        <v>84.845549448</v>
      </c>
      <c r="O541">
        <v>8.4489330000000002</v>
      </c>
      <c r="S541">
        <f t="shared" si="17"/>
        <v>1.368476604</v>
      </c>
    </row>
    <row r="542" spans="1:19">
      <c r="A542" s="6">
        <v>42087</v>
      </c>
      <c r="B542" t="s">
        <v>26</v>
      </c>
      <c r="C542">
        <v>25</v>
      </c>
      <c r="D542" t="s">
        <v>61</v>
      </c>
      <c r="E542">
        <v>120</v>
      </c>
      <c r="F542">
        <v>0.82</v>
      </c>
      <c r="N542">
        <f t="shared" si="16"/>
        <v>21.124051159999993</v>
      </c>
      <c r="O542">
        <v>3.8220029999999996</v>
      </c>
      <c r="S542">
        <f t="shared" si="17"/>
        <v>0.52810127899999992</v>
      </c>
    </row>
    <row r="543" spans="1:19">
      <c r="A543" s="6">
        <v>42087</v>
      </c>
      <c r="B543" t="s">
        <v>26</v>
      </c>
      <c r="C543">
        <v>25</v>
      </c>
      <c r="D543" t="s">
        <v>61</v>
      </c>
      <c r="E543">
        <v>54</v>
      </c>
      <c r="F543">
        <v>0.62</v>
      </c>
      <c r="N543">
        <f t="shared" si="16"/>
        <v>5.4343223819999995</v>
      </c>
      <c r="O543" t="s">
        <v>64</v>
      </c>
      <c r="S543">
        <f t="shared" si="17"/>
        <v>0.301906799</v>
      </c>
    </row>
    <row r="544" spans="1:19">
      <c r="A544" s="6">
        <v>42087</v>
      </c>
      <c r="B544" t="s">
        <v>26</v>
      </c>
      <c r="C544">
        <v>25</v>
      </c>
      <c r="D544" t="s">
        <v>61</v>
      </c>
      <c r="E544">
        <v>111</v>
      </c>
      <c r="F544">
        <v>0.59</v>
      </c>
      <c r="N544">
        <f t="shared" si="16"/>
        <v>10.115684180749998</v>
      </c>
      <c r="O544">
        <v>3.191058</v>
      </c>
      <c r="S544">
        <f t="shared" si="17"/>
        <v>0.27339686974999994</v>
      </c>
    </row>
    <row r="545" spans="1:19">
      <c r="A545" s="6">
        <v>42087</v>
      </c>
      <c r="B545" t="s">
        <v>26</v>
      </c>
      <c r="C545">
        <v>25</v>
      </c>
      <c r="D545" t="s">
        <v>61</v>
      </c>
      <c r="E545">
        <v>202</v>
      </c>
      <c r="F545">
        <v>1.04</v>
      </c>
      <c r="N545">
        <f t="shared" si="16"/>
        <v>57.198719690666664</v>
      </c>
      <c r="O545">
        <v>9.5706130000000016</v>
      </c>
      <c r="S545">
        <f t="shared" si="17"/>
        <v>0.84948593600000011</v>
      </c>
    </row>
    <row r="546" spans="1:19">
      <c r="A546" s="6">
        <v>42087</v>
      </c>
      <c r="B546" t="s">
        <v>26</v>
      </c>
      <c r="C546">
        <v>25</v>
      </c>
      <c r="D546" t="s">
        <v>61</v>
      </c>
      <c r="E546">
        <v>154</v>
      </c>
      <c r="F546">
        <v>0.71</v>
      </c>
      <c r="N546">
        <f t="shared" si="16"/>
        <v>20.323835827166665</v>
      </c>
      <c r="O546">
        <v>6.2055730000000002</v>
      </c>
      <c r="S546">
        <f t="shared" si="17"/>
        <v>0.39591887974999995</v>
      </c>
    </row>
    <row r="547" spans="1:19">
      <c r="A547" s="6">
        <v>42087</v>
      </c>
      <c r="B547" t="s">
        <v>26</v>
      </c>
      <c r="C547">
        <v>25</v>
      </c>
      <c r="D547" t="s">
        <v>61</v>
      </c>
      <c r="E547">
        <v>134</v>
      </c>
      <c r="F547">
        <v>0.83</v>
      </c>
      <c r="N547">
        <f t="shared" si="16"/>
        <v>24.16736175283333</v>
      </c>
      <c r="O547">
        <v>4.8034729999999994</v>
      </c>
      <c r="S547">
        <f t="shared" si="17"/>
        <v>0.54106033774999995</v>
      </c>
    </row>
    <row r="548" spans="1:19">
      <c r="A548" s="6">
        <v>42087</v>
      </c>
      <c r="B548" t="s">
        <v>26</v>
      </c>
      <c r="C548">
        <v>25</v>
      </c>
      <c r="D548" t="s">
        <v>61</v>
      </c>
      <c r="E548">
        <v>141</v>
      </c>
      <c r="F548">
        <v>0.65</v>
      </c>
      <c r="N548">
        <f t="shared" si="16"/>
        <v>15.59603085625</v>
      </c>
      <c r="O548">
        <v>5.2942080000000002</v>
      </c>
      <c r="S548">
        <f t="shared" si="17"/>
        <v>0.33183044375000004</v>
      </c>
    </row>
    <row r="549" spans="1:19">
      <c r="A549" s="6">
        <v>42087</v>
      </c>
      <c r="B549" t="s">
        <v>26</v>
      </c>
      <c r="C549">
        <v>25</v>
      </c>
      <c r="D549" t="s">
        <v>61</v>
      </c>
      <c r="E549">
        <v>154</v>
      </c>
      <c r="F549">
        <v>0.71</v>
      </c>
      <c r="G549">
        <v>6</v>
      </c>
      <c r="N549">
        <f t="shared" si="16"/>
        <v>20.323835827166665</v>
      </c>
      <c r="O549">
        <v>5.9300934000000005</v>
      </c>
      <c r="S549">
        <f t="shared" si="17"/>
        <v>0.39591887974999995</v>
      </c>
    </row>
    <row r="550" spans="1:19">
      <c r="A550" s="6">
        <v>42087</v>
      </c>
      <c r="B550" t="s">
        <v>26</v>
      </c>
      <c r="C550">
        <v>25</v>
      </c>
      <c r="D550" t="s">
        <v>61</v>
      </c>
      <c r="E550">
        <v>193</v>
      </c>
      <c r="F550">
        <v>1.17</v>
      </c>
      <c r="N550">
        <f t="shared" si="16"/>
        <v>69.166737695249978</v>
      </c>
      <c r="O550">
        <v>8.9396680000000011</v>
      </c>
      <c r="S550">
        <f t="shared" si="17"/>
        <v>1.0751306377499998</v>
      </c>
    </row>
    <row r="551" spans="1:19">
      <c r="A551" s="6">
        <v>42087</v>
      </c>
      <c r="B551" t="s">
        <v>26</v>
      </c>
      <c r="C551">
        <v>25</v>
      </c>
      <c r="D551" t="s">
        <v>61</v>
      </c>
      <c r="E551">
        <v>279</v>
      </c>
      <c r="F551">
        <v>1.24</v>
      </c>
      <c r="N551">
        <f t="shared" si="16"/>
        <v>112.309329228</v>
      </c>
      <c r="O551">
        <v>14.968698</v>
      </c>
      <c r="S551">
        <f t="shared" si="17"/>
        <v>1.207627196</v>
      </c>
    </row>
    <row r="552" spans="1:19">
      <c r="A552" s="6">
        <v>42087</v>
      </c>
      <c r="B552" t="s">
        <v>26</v>
      </c>
      <c r="C552">
        <v>25</v>
      </c>
      <c r="D552" t="s">
        <v>61</v>
      </c>
      <c r="E552">
        <v>230</v>
      </c>
      <c r="F552">
        <v>1.1199999999999999</v>
      </c>
      <c r="N552">
        <f t="shared" si="16"/>
        <v>75.532201173333306</v>
      </c>
      <c r="O552">
        <v>11.533553000000001</v>
      </c>
      <c r="S552">
        <f t="shared" si="17"/>
        <v>0.9852026239999998</v>
      </c>
    </row>
    <row r="553" spans="1:19">
      <c r="A553" s="6">
        <v>42087</v>
      </c>
      <c r="B553" t="s">
        <v>26</v>
      </c>
      <c r="C553">
        <v>25</v>
      </c>
      <c r="D553" t="s">
        <v>61</v>
      </c>
      <c r="E553">
        <v>90</v>
      </c>
      <c r="F553">
        <v>0.66999999999999993</v>
      </c>
      <c r="N553">
        <f t="shared" si="16"/>
        <v>10.576948132499997</v>
      </c>
      <c r="O553">
        <v>1.7188530000000002</v>
      </c>
      <c r="S553">
        <f t="shared" si="17"/>
        <v>0.35256493774999992</v>
      </c>
    </row>
    <row r="554" spans="1:19">
      <c r="A554" s="6">
        <v>42087</v>
      </c>
      <c r="B554" t="s">
        <v>26</v>
      </c>
      <c r="C554">
        <v>25</v>
      </c>
      <c r="D554" t="s">
        <v>61</v>
      </c>
      <c r="E554">
        <v>147</v>
      </c>
      <c r="F554">
        <v>0.74</v>
      </c>
      <c r="N554">
        <f t="shared" si="16"/>
        <v>21.074099878999998</v>
      </c>
      <c r="O554">
        <v>5.7148379999999994</v>
      </c>
      <c r="S554">
        <f t="shared" si="17"/>
        <v>0.43008367099999995</v>
      </c>
    </row>
    <row r="555" spans="1:19">
      <c r="A555" s="6">
        <v>42087</v>
      </c>
      <c r="B555" t="s">
        <v>26</v>
      </c>
      <c r="C555">
        <v>25</v>
      </c>
      <c r="D555" t="s">
        <v>61</v>
      </c>
      <c r="E555">
        <v>139</v>
      </c>
      <c r="F555">
        <v>0.78</v>
      </c>
      <c r="G555">
        <v>5</v>
      </c>
      <c r="N555">
        <f t="shared" si="16"/>
        <v>22.139727206999996</v>
      </c>
      <c r="O555">
        <v>5.3524869000000006</v>
      </c>
      <c r="S555">
        <f t="shared" si="17"/>
        <v>0.47783583900000004</v>
      </c>
    </row>
    <row r="556" spans="1:19">
      <c r="A556" s="6">
        <v>42087</v>
      </c>
      <c r="B556" t="s">
        <v>26</v>
      </c>
      <c r="C556">
        <v>25</v>
      </c>
      <c r="D556" t="s">
        <v>61</v>
      </c>
      <c r="E556">
        <v>160</v>
      </c>
      <c r="F556">
        <v>1.04</v>
      </c>
      <c r="G556">
        <v>4</v>
      </c>
      <c r="N556">
        <f t="shared" si="16"/>
        <v>45.305916586666662</v>
      </c>
      <c r="O556">
        <v>6.1611360000000008</v>
      </c>
      <c r="S556">
        <f t="shared" si="17"/>
        <v>0.84948593600000011</v>
      </c>
    </row>
    <row r="557" spans="1:19">
      <c r="A557" s="6">
        <v>42087</v>
      </c>
      <c r="B557" t="s">
        <v>26</v>
      </c>
      <c r="C557">
        <v>25</v>
      </c>
      <c r="D557" t="s">
        <v>61</v>
      </c>
      <c r="E557">
        <v>99</v>
      </c>
      <c r="F557">
        <v>0.67999999999999994</v>
      </c>
      <c r="G557">
        <v>3</v>
      </c>
      <c r="N557">
        <f t="shared" si="16"/>
        <v>11.984537531999996</v>
      </c>
      <c r="O557">
        <v>3.8122029000000004</v>
      </c>
      <c r="S557">
        <f t="shared" si="17"/>
        <v>0.36316780399999993</v>
      </c>
    </row>
    <row r="558" spans="1:19">
      <c r="A558" s="6">
        <v>42087</v>
      </c>
      <c r="B558" t="s">
        <v>26</v>
      </c>
      <c r="C558">
        <v>25</v>
      </c>
      <c r="D558" t="s">
        <v>61</v>
      </c>
      <c r="E558">
        <v>180</v>
      </c>
      <c r="F558">
        <v>0.87</v>
      </c>
      <c r="N558">
        <f t="shared" si="16"/>
        <v>35.668042065000002</v>
      </c>
      <c r="O558">
        <v>8.0283030000000011</v>
      </c>
      <c r="S558">
        <f t="shared" si="17"/>
        <v>0.59446736774999998</v>
      </c>
    </row>
    <row r="559" spans="1:19">
      <c r="A559" s="6">
        <v>42087</v>
      </c>
      <c r="B559" t="s">
        <v>26</v>
      </c>
      <c r="C559">
        <v>25</v>
      </c>
      <c r="D559" t="s">
        <v>61</v>
      </c>
      <c r="E559">
        <v>59</v>
      </c>
      <c r="F559">
        <v>0.78</v>
      </c>
      <c r="N559">
        <f t="shared" si="16"/>
        <v>9.3974381669999989</v>
      </c>
      <c r="O559" t="s">
        <v>64</v>
      </c>
      <c r="S559">
        <f t="shared" si="17"/>
        <v>0.47783583900000004</v>
      </c>
    </row>
    <row r="560" spans="1:19">
      <c r="A560" s="6">
        <v>42087</v>
      </c>
      <c r="B560" t="s">
        <v>26</v>
      </c>
      <c r="C560">
        <v>25</v>
      </c>
      <c r="D560" t="s">
        <v>61</v>
      </c>
      <c r="E560">
        <v>58</v>
      </c>
      <c r="F560">
        <v>0.39</v>
      </c>
      <c r="N560">
        <f t="shared" si="16"/>
        <v>2.3095398884999998</v>
      </c>
      <c r="O560" t="s">
        <v>64</v>
      </c>
      <c r="S560">
        <f t="shared" si="17"/>
        <v>0.11945895975000001</v>
      </c>
    </row>
    <row r="561" spans="1:19">
      <c r="A561" s="6">
        <v>42087</v>
      </c>
      <c r="B561" t="s">
        <v>26</v>
      </c>
      <c r="C561">
        <v>25</v>
      </c>
      <c r="D561" t="s">
        <v>61</v>
      </c>
      <c r="E561">
        <v>178</v>
      </c>
      <c r="F561">
        <v>1.21</v>
      </c>
      <c r="G561">
        <v>3</v>
      </c>
      <c r="N561">
        <f t="shared" si="16"/>
        <v>68.227428465166653</v>
      </c>
      <c r="O561">
        <v>6.8542638</v>
      </c>
      <c r="S561">
        <f t="shared" si="17"/>
        <v>1.1499004797499999</v>
      </c>
    </row>
    <row r="562" spans="1:19">
      <c r="A562" s="6">
        <v>42087</v>
      </c>
      <c r="B562" t="s">
        <v>26</v>
      </c>
      <c r="C562">
        <v>25</v>
      </c>
      <c r="D562" t="s">
        <v>61</v>
      </c>
      <c r="E562">
        <v>147</v>
      </c>
      <c r="F562">
        <v>1.0900000000000001</v>
      </c>
      <c r="N562">
        <f t="shared" si="16"/>
        <v>45.723407717750007</v>
      </c>
      <c r="O562">
        <v>5.7148379999999994</v>
      </c>
      <c r="S562">
        <f t="shared" si="17"/>
        <v>0.93313076975000009</v>
      </c>
    </row>
    <row r="563" spans="1:19">
      <c r="A563" s="6">
        <v>42087</v>
      </c>
      <c r="B563" t="s">
        <v>26</v>
      </c>
      <c r="C563">
        <v>25</v>
      </c>
      <c r="D563" t="s">
        <v>61</v>
      </c>
      <c r="E563">
        <v>107</v>
      </c>
      <c r="F563">
        <v>0.69</v>
      </c>
      <c r="G563">
        <v>3</v>
      </c>
      <c r="N563">
        <f t="shared" si="16"/>
        <v>13.336756407749997</v>
      </c>
      <c r="O563">
        <v>4.1202597000000001</v>
      </c>
      <c r="S563">
        <f t="shared" si="17"/>
        <v>0.37392774974999993</v>
      </c>
    </row>
    <row r="564" spans="1:19">
      <c r="A564" s="6">
        <v>42087</v>
      </c>
      <c r="B564" t="s">
        <v>26</v>
      </c>
      <c r="C564">
        <v>25</v>
      </c>
      <c r="D564" t="s">
        <v>61</v>
      </c>
      <c r="E564">
        <v>245</v>
      </c>
      <c r="F564">
        <v>1.28</v>
      </c>
      <c r="N564">
        <f t="shared" si="16"/>
        <v>105.08827989333334</v>
      </c>
      <c r="O564">
        <v>12.585128000000001</v>
      </c>
      <c r="S564">
        <f t="shared" si="17"/>
        <v>1.286795264</v>
      </c>
    </row>
    <row r="565" spans="1:19">
      <c r="A565" s="6">
        <v>42087</v>
      </c>
      <c r="B565" t="s">
        <v>26</v>
      </c>
      <c r="C565">
        <v>25</v>
      </c>
      <c r="D565" t="s">
        <v>61</v>
      </c>
      <c r="E565">
        <v>158</v>
      </c>
      <c r="F565">
        <v>1.92</v>
      </c>
      <c r="N565">
        <f t="shared" si="16"/>
        <v>152.48523878399996</v>
      </c>
      <c r="O565">
        <v>6.4859929999999997</v>
      </c>
      <c r="S565">
        <f t="shared" si="17"/>
        <v>2.8952893439999996</v>
      </c>
    </row>
    <row r="566" spans="1:19">
      <c r="A566" s="6">
        <v>42087</v>
      </c>
      <c r="B566" t="s">
        <v>26</v>
      </c>
      <c r="C566">
        <v>25</v>
      </c>
      <c r="D566" t="s">
        <v>61</v>
      </c>
      <c r="E566">
        <v>165</v>
      </c>
      <c r="F566">
        <v>0.97</v>
      </c>
      <c r="N566">
        <f t="shared" si="16"/>
        <v>40.643927926249994</v>
      </c>
      <c r="O566">
        <v>6.9767280000000005</v>
      </c>
      <c r="S566">
        <f t="shared" si="17"/>
        <v>0.7389805077499999</v>
      </c>
    </row>
    <row r="567" spans="1:19">
      <c r="A567" s="6">
        <v>42087</v>
      </c>
      <c r="B567" t="s">
        <v>26</v>
      </c>
      <c r="C567">
        <v>25</v>
      </c>
      <c r="D567" t="s">
        <v>61</v>
      </c>
      <c r="E567">
        <v>150</v>
      </c>
      <c r="F567">
        <v>0.87</v>
      </c>
      <c r="N567">
        <f t="shared" si="16"/>
        <v>29.723368387499999</v>
      </c>
      <c r="O567">
        <v>5.9251530000000008</v>
      </c>
      <c r="S567">
        <f t="shared" si="17"/>
        <v>0.59446736774999998</v>
      </c>
    </row>
    <row r="568" spans="1:19">
      <c r="A568" s="6">
        <v>42087</v>
      </c>
      <c r="B568" t="s">
        <v>26</v>
      </c>
      <c r="C568">
        <v>25</v>
      </c>
      <c r="D568" t="s">
        <v>61</v>
      </c>
      <c r="E568">
        <v>196</v>
      </c>
      <c r="F568">
        <v>0.99</v>
      </c>
      <c r="N568">
        <f t="shared" si="16"/>
        <v>50.291515196999995</v>
      </c>
      <c r="O568">
        <v>9.1499829999999989</v>
      </c>
      <c r="S568">
        <f t="shared" si="17"/>
        <v>0.76976808975</v>
      </c>
    </row>
    <row r="569" spans="1:19">
      <c r="A569" s="6">
        <v>42087</v>
      </c>
      <c r="B569" t="s">
        <v>26</v>
      </c>
      <c r="C569">
        <v>25</v>
      </c>
      <c r="D569" t="s">
        <v>61</v>
      </c>
      <c r="E569">
        <v>195</v>
      </c>
      <c r="F569">
        <v>1.23</v>
      </c>
      <c r="N569">
        <f t="shared" si="16"/>
        <v>77.234812053749991</v>
      </c>
      <c r="O569">
        <v>9.0798780000000008</v>
      </c>
      <c r="S569">
        <f t="shared" si="17"/>
        <v>1.1882278777499999</v>
      </c>
    </row>
    <row r="570" spans="1:19">
      <c r="A570" s="6">
        <v>42087</v>
      </c>
      <c r="B570" t="s">
        <v>26</v>
      </c>
      <c r="C570">
        <v>25</v>
      </c>
      <c r="D570" t="s">
        <v>61</v>
      </c>
      <c r="E570">
        <v>34</v>
      </c>
      <c r="F570">
        <v>0.27</v>
      </c>
      <c r="N570">
        <f t="shared" si="16"/>
        <v>0.64889541449999999</v>
      </c>
      <c r="O570" t="s">
        <v>64</v>
      </c>
      <c r="S570">
        <f t="shared" si="17"/>
        <v>5.7255477750000006E-2</v>
      </c>
    </row>
    <row r="571" spans="1:19">
      <c r="A571" s="6">
        <v>42087</v>
      </c>
      <c r="B571" t="s">
        <v>26</v>
      </c>
      <c r="C571">
        <v>25</v>
      </c>
      <c r="D571" t="s">
        <v>61</v>
      </c>
      <c r="E571">
        <v>88</v>
      </c>
      <c r="F571">
        <v>0.51</v>
      </c>
      <c r="N571">
        <f t="shared" si="16"/>
        <v>5.9922687659999987</v>
      </c>
      <c r="O571">
        <v>1.5786430000000005</v>
      </c>
      <c r="S571">
        <f t="shared" si="17"/>
        <v>0.20428188975</v>
      </c>
    </row>
    <row r="572" spans="1:19">
      <c r="A572" s="6">
        <v>42087</v>
      </c>
      <c r="B572" t="s">
        <v>26</v>
      </c>
      <c r="C572">
        <v>25</v>
      </c>
      <c r="D572" t="s">
        <v>61</v>
      </c>
      <c r="E572">
        <v>48</v>
      </c>
      <c r="F572">
        <v>0.49</v>
      </c>
      <c r="N572">
        <f t="shared" si="16"/>
        <v>3.0171830359999996</v>
      </c>
      <c r="O572" t="s">
        <v>64</v>
      </c>
      <c r="S572">
        <f t="shared" si="17"/>
        <v>0.18857393974999997</v>
      </c>
    </row>
    <row r="573" spans="1:19">
      <c r="A573" s="6">
        <v>42087</v>
      </c>
      <c r="B573" t="s">
        <v>26</v>
      </c>
      <c r="C573">
        <v>25</v>
      </c>
      <c r="D573" t="s">
        <v>61</v>
      </c>
      <c r="E573">
        <v>211</v>
      </c>
      <c r="F573">
        <v>0.94</v>
      </c>
      <c r="G573">
        <v>5</v>
      </c>
      <c r="N573">
        <f t="shared" si="16"/>
        <v>48.80973191366666</v>
      </c>
      <c r="O573">
        <v>8.1249981000000009</v>
      </c>
      <c r="S573">
        <f t="shared" si="17"/>
        <v>0.69397723099999997</v>
      </c>
    </row>
    <row r="574" spans="1:19">
      <c r="A574" s="6">
        <v>42087</v>
      </c>
      <c r="B574" t="s">
        <v>26</v>
      </c>
      <c r="C574">
        <v>25</v>
      </c>
      <c r="D574" t="s">
        <v>61</v>
      </c>
      <c r="E574">
        <v>91</v>
      </c>
      <c r="F574">
        <v>0.84</v>
      </c>
      <c r="N574">
        <f t="shared" si="16"/>
        <v>16.810019771999997</v>
      </c>
      <c r="O574">
        <v>1.788958</v>
      </c>
      <c r="S574">
        <f t="shared" si="17"/>
        <v>0.55417647599999986</v>
      </c>
    </row>
    <row r="575" spans="1:19">
      <c r="A575" s="6">
        <v>42087</v>
      </c>
      <c r="B575" t="s">
        <v>26</v>
      </c>
      <c r="C575">
        <v>25</v>
      </c>
      <c r="D575" t="s">
        <v>63</v>
      </c>
      <c r="E575">
        <v>70</v>
      </c>
      <c r="F575">
        <v>1.07</v>
      </c>
      <c r="N575">
        <f t="shared" si="16"/>
        <v>20.981370614166664</v>
      </c>
      <c r="O575">
        <v>0.31675300000000028</v>
      </c>
      <c r="S575">
        <f t="shared" si="17"/>
        <v>0.89920159774999997</v>
      </c>
    </row>
    <row r="576" spans="1:19">
      <c r="A576" s="6">
        <v>42087</v>
      </c>
      <c r="B576" t="s">
        <v>26</v>
      </c>
      <c r="C576">
        <v>25</v>
      </c>
      <c r="D576" t="s">
        <v>63</v>
      </c>
      <c r="E576">
        <v>70</v>
      </c>
      <c r="F576">
        <v>0.47</v>
      </c>
      <c r="G576">
        <v>3</v>
      </c>
      <c r="N576">
        <f t="shared" si="16"/>
        <v>4.0482005141666662</v>
      </c>
      <c r="O576">
        <v>1.7145520000000001</v>
      </c>
      <c r="S576">
        <f t="shared" si="17"/>
        <v>0.17349430774999999</v>
      </c>
    </row>
    <row r="577" spans="1:19">
      <c r="A577" s="6">
        <v>42087</v>
      </c>
      <c r="B577" t="s">
        <v>26</v>
      </c>
      <c r="C577">
        <v>25</v>
      </c>
      <c r="D577" t="s">
        <v>63</v>
      </c>
      <c r="E577">
        <v>178</v>
      </c>
      <c r="F577">
        <v>1.42</v>
      </c>
      <c r="N577">
        <f t="shared" si="16"/>
        <v>93.964747460666658</v>
      </c>
      <c r="O577">
        <v>7.8880930000000005</v>
      </c>
      <c r="S577">
        <f t="shared" si="17"/>
        <v>1.5836755189999998</v>
      </c>
    </row>
    <row r="578" spans="1:19">
      <c r="A578" s="6">
        <v>42087</v>
      </c>
      <c r="B578" t="s">
        <v>26</v>
      </c>
      <c r="C578">
        <v>25</v>
      </c>
      <c r="D578" t="s">
        <v>63</v>
      </c>
      <c r="E578">
        <v>43</v>
      </c>
      <c r="F578">
        <v>0.32999999999999996</v>
      </c>
      <c r="N578">
        <f t="shared" si="16"/>
        <v>1.2259269577499996</v>
      </c>
      <c r="O578" t="s">
        <v>64</v>
      </c>
      <c r="S578">
        <f t="shared" si="17"/>
        <v>8.5529787749999975E-2</v>
      </c>
    </row>
    <row r="579" spans="1:19">
      <c r="A579" s="6">
        <v>42087</v>
      </c>
      <c r="B579" t="s">
        <v>26</v>
      </c>
      <c r="C579">
        <v>25</v>
      </c>
      <c r="D579" t="s">
        <v>63</v>
      </c>
      <c r="E579">
        <v>192</v>
      </c>
      <c r="F579">
        <v>1.32</v>
      </c>
      <c r="N579">
        <f t="shared" si="16"/>
        <v>87.582502656000003</v>
      </c>
      <c r="O579">
        <v>8.8695629999999994</v>
      </c>
      <c r="S579">
        <f t="shared" si="17"/>
        <v>1.368476604</v>
      </c>
    </row>
    <row r="580" spans="1:19">
      <c r="A580" s="6">
        <v>42087</v>
      </c>
      <c r="B580" t="s">
        <v>26</v>
      </c>
      <c r="C580">
        <v>25</v>
      </c>
      <c r="D580" t="s">
        <v>63</v>
      </c>
      <c r="E580">
        <v>223</v>
      </c>
      <c r="F580">
        <v>1.38</v>
      </c>
      <c r="N580">
        <f t="shared" ref="N580:N643" si="18">IF(OR(D580="S. acutus", D580="S. tabernaemontani", D580="S. californicus"),(1/3)*(3.14159)*((F580/2)^2)*E580,"NA")</f>
        <v>111.18118425899998</v>
      </c>
      <c r="O580">
        <v>11.042818</v>
      </c>
      <c r="S580">
        <f t="shared" si="17"/>
        <v>1.4957109989999997</v>
      </c>
    </row>
    <row r="581" spans="1:19">
      <c r="A581" s="6">
        <v>42087</v>
      </c>
      <c r="B581" t="s">
        <v>26</v>
      </c>
      <c r="C581">
        <v>25</v>
      </c>
      <c r="D581" t="s">
        <v>63</v>
      </c>
      <c r="E581">
        <v>216</v>
      </c>
      <c r="F581">
        <v>1.29</v>
      </c>
      <c r="N581">
        <f t="shared" si="18"/>
        <v>94.102558541999997</v>
      </c>
      <c r="O581">
        <v>10.552083</v>
      </c>
      <c r="S581">
        <f t="shared" ref="S581:S644" si="19">3.14159*((F581/2)^2)</f>
        <v>1.3069799797500001</v>
      </c>
    </row>
    <row r="582" spans="1:19">
      <c r="A582" s="6">
        <v>42087</v>
      </c>
      <c r="B582" t="s">
        <v>26</v>
      </c>
      <c r="C582">
        <v>25</v>
      </c>
      <c r="D582" t="s">
        <v>63</v>
      </c>
      <c r="E582">
        <v>230</v>
      </c>
      <c r="F582">
        <v>1.19</v>
      </c>
      <c r="N582">
        <f t="shared" si="18"/>
        <v>85.268773980833316</v>
      </c>
      <c r="O582">
        <v>11.533553000000001</v>
      </c>
      <c r="S582">
        <f t="shared" si="19"/>
        <v>1.11220139975</v>
      </c>
    </row>
    <row r="583" spans="1:19">
      <c r="A583" s="6">
        <v>42087</v>
      </c>
      <c r="B583" t="s">
        <v>26</v>
      </c>
      <c r="C583">
        <v>25</v>
      </c>
      <c r="D583" t="s">
        <v>63</v>
      </c>
      <c r="E583">
        <v>210</v>
      </c>
      <c r="F583">
        <v>0.89</v>
      </c>
      <c r="N583">
        <f t="shared" si="18"/>
        <v>43.547935182499998</v>
      </c>
      <c r="O583">
        <v>10.131453</v>
      </c>
      <c r="S583">
        <f t="shared" si="19"/>
        <v>0.62211335975000004</v>
      </c>
    </row>
    <row r="584" spans="1:19">
      <c r="A584" s="6">
        <v>42087</v>
      </c>
      <c r="B584" t="s">
        <v>26</v>
      </c>
      <c r="C584">
        <v>25</v>
      </c>
      <c r="D584" t="s">
        <v>63</v>
      </c>
      <c r="E584">
        <v>171</v>
      </c>
      <c r="F584">
        <v>0.66999999999999993</v>
      </c>
      <c r="N584">
        <f t="shared" si="18"/>
        <v>20.096201451749995</v>
      </c>
      <c r="O584">
        <v>7.3973579999999997</v>
      </c>
      <c r="S584">
        <f t="shared" si="19"/>
        <v>0.35256493774999992</v>
      </c>
    </row>
    <row r="585" spans="1:19">
      <c r="A585" s="6">
        <v>42087</v>
      </c>
      <c r="B585" t="s">
        <v>26</v>
      </c>
      <c r="C585">
        <v>25</v>
      </c>
      <c r="D585" t="s">
        <v>63</v>
      </c>
      <c r="E585">
        <v>209</v>
      </c>
      <c r="F585">
        <v>0.99</v>
      </c>
      <c r="N585">
        <f t="shared" si="18"/>
        <v>53.627176919249997</v>
      </c>
      <c r="O585">
        <v>10.061347999999999</v>
      </c>
      <c r="S585">
        <f t="shared" si="19"/>
        <v>0.76976808975</v>
      </c>
    </row>
    <row r="586" spans="1:19">
      <c r="A586" s="6">
        <v>42087</v>
      </c>
      <c r="B586" t="s">
        <v>26</v>
      </c>
      <c r="C586">
        <v>25</v>
      </c>
      <c r="D586" t="s">
        <v>63</v>
      </c>
      <c r="E586">
        <v>57</v>
      </c>
      <c r="F586">
        <v>0.47</v>
      </c>
      <c r="N586">
        <f t="shared" si="18"/>
        <v>3.2963918472499998</v>
      </c>
      <c r="O586" t="s">
        <v>64</v>
      </c>
      <c r="S586">
        <f t="shared" si="19"/>
        <v>0.17349430774999999</v>
      </c>
    </row>
    <row r="587" spans="1:19">
      <c r="A587" s="6">
        <v>42087</v>
      </c>
      <c r="B587" t="s">
        <v>26</v>
      </c>
      <c r="C587">
        <v>25</v>
      </c>
      <c r="D587" t="s">
        <v>63</v>
      </c>
      <c r="E587">
        <v>95</v>
      </c>
      <c r="F587">
        <v>0.59</v>
      </c>
      <c r="N587">
        <f t="shared" si="18"/>
        <v>8.6575675420833313</v>
      </c>
      <c r="O587">
        <v>2.0693780000000004</v>
      </c>
      <c r="S587">
        <f t="shared" si="19"/>
        <v>0.27339686974999994</v>
      </c>
    </row>
    <row r="588" spans="1:19">
      <c r="A588" s="6">
        <v>42087</v>
      </c>
      <c r="B588" t="s">
        <v>26</v>
      </c>
      <c r="C588">
        <v>25</v>
      </c>
      <c r="D588" t="s">
        <v>63</v>
      </c>
      <c r="E588">
        <v>171</v>
      </c>
      <c r="F588">
        <v>0.72</v>
      </c>
      <c r="N588">
        <f t="shared" si="18"/>
        <v>23.207553647999994</v>
      </c>
      <c r="O588">
        <v>7.3973579999999997</v>
      </c>
      <c r="S588">
        <f t="shared" si="19"/>
        <v>0.40715006399999998</v>
      </c>
    </row>
    <row r="589" spans="1:19">
      <c r="A589" s="6">
        <v>42087</v>
      </c>
      <c r="B589" t="s">
        <v>26</v>
      </c>
      <c r="C589">
        <v>25</v>
      </c>
      <c r="D589" t="s">
        <v>63</v>
      </c>
      <c r="E589">
        <v>112</v>
      </c>
      <c r="F589">
        <v>0.78999999999999992</v>
      </c>
      <c r="G589">
        <v>6</v>
      </c>
      <c r="N589">
        <f t="shared" si="18"/>
        <v>18.299552310666662</v>
      </c>
      <c r="O589">
        <v>2.7432832</v>
      </c>
      <c r="S589">
        <f t="shared" si="19"/>
        <v>0.49016657974999989</v>
      </c>
    </row>
    <row r="590" spans="1:19">
      <c r="A590" s="6">
        <v>42087</v>
      </c>
      <c r="B590" t="s">
        <v>26</v>
      </c>
      <c r="C590">
        <v>25</v>
      </c>
      <c r="D590" t="s">
        <v>63</v>
      </c>
      <c r="E590">
        <v>154</v>
      </c>
      <c r="F590">
        <v>1.63</v>
      </c>
      <c r="N590">
        <f t="shared" si="18"/>
        <v>107.11842771116665</v>
      </c>
      <c r="O590">
        <v>6.2055730000000002</v>
      </c>
      <c r="S590">
        <f t="shared" si="19"/>
        <v>2.0867226177499996</v>
      </c>
    </row>
    <row r="591" spans="1:19">
      <c r="A591" s="6">
        <v>42087</v>
      </c>
      <c r="B591" t="s">
        <v>26</v>
      </c>
      <c r="C591">
        <v>25</v>
      </c>
      <c r="D591" t="s">
        <v>63</v>
      </c>
      <c r="E591">
        <v>205</v>
      </c>
      <c r="F591">
        <v>0.82</v>
      </c>
      <c r="N591">
        <f t="shared" si="18"/>
        <v>36.086920731666659</v>
      </c>
      <c r="O591">
        <v>9.7809279999999994</v>
      </c>
      <c r="S591">
        <f t="shared" si="19"/>
        <v>0.52810127899999992</v>
      </c>
    </row>
    <row r="592" spans="1:19">
      <c r="A592" s="6">
        <v>42087</v>
      </c>
      <c r="B592" t="s">
        <v>26</v>
      </c>
      <c r="C592">
        <v>25</v>
      </c>
      <c r="D592" t="s">
        <v>63</v>
      </c>
      <c r="E592">
        <v>179</v>
      </c>
      <c r="F592">
        <v>0.77</v>
      </c>
      <c r="N592">
        <f t="shared" si="18"/>
        <v>27.784509939083328</v>
      </c>
      <c r="O592">
        <v>7.9581980000000003</v>
      </c>
      <c r="S592">
        <f t="shared" si="19"/>
        <v>0.46566217774999996</v>
      </c>
    </row>
    <row r="593" spans="1:19">
      <c r="A593" s="6">
        <v>42087</v>
      </c>
      <c r="B593" t="s">
        <v>26</v>
      </c>
      <c r="C593">
        <v>25</v>
      </c>
      <c r="D593" t="s">
        <v>63</v>
      </c>
      <c r="E593">
        <v>131</v>
      </c>
      <c r="F593">
        <v>1.1399999999999999</v>
      </c>
      <c r="N593">
        <f t="shared" si="18"/>
        <v>44.570679806999991</v>
      </c>
      <c r="O593">
        <v>4.5931579999999999</v>
      </c>
      <c r="S593">
        <f t="shared" si="19"/>
        <v>1.0207025909999998</v>
      </c>
    </row>
    <row r="594" spans="1:19">
      <c r="A594" s="6">
        <v>42087</v>
      </c>
      <c r="B594" t="s">
        <v>26</v>
      </c>
      <c r="C594">
        <v>25</v>
      </c>
      <c r="D594" t="s">
        <v>63</v>
      </c>
      <c r="E594">
        <v>129</v>
      </c>
      <c r="F594">
        <v>0.74</v>
      </c>
      <c r="G594">
        <v>4</v>
      </c>
      <c r="N594">
        <f t="shared" si="18"/>
        <v>18.493597852999997</v>
      </c>
      <c r="O594">
        <v>3.1596744000000001</v>
      </c>
      <c r="S594">
        <f t="shared" si="19"/>
        <v>0.43008367099999995</v>
      </c>
    </row>
    <row r="595" spans="1:19">
      <c r="A595" s="6">
        <v>42087</v>
      </c>
      <c r="B595" t="s">
        <v>26</v>
      </c>
      <c r="C595">
        <v>25</v>
      </c>
      <c r="D595" t="s">
        <v>63</v>
      </c>
      <c r="E595">
        <v>190</v>
      </c>
      <c r="F595">
        <v>0.66999999999999993</v>
      </c>
      <c r="N595">
        <f t="shared" si="18"/>
        <v>22.329112724166659</v>
      </c>
      <c r="O595">
        <v>8.7293529999999997</v>
      </c>
      <c r="S595">
        <f t="shared" si="19"/>
        <v>0.35256493774999992</v>
      </c>
    </row>
    <row r="596" spans="1:19">
      <c r="A596" s="6">
        <v>42087</v>
      </c>
      <c r="B596" t="s">
        <v>26</v>
      </c>
      <c r="C596">
        <v>43</v>
      </c>
      <c r="D596" t="s">
        <v>19</v>
      </c>
      <c r="F596">
        <v>1.59</v>
      </c>
      <c r="J596">
        <f>SUM(69,77,94,94,95)</f>
        <v>429</v>
      </c>
      <c r="K596">
        <v>5</v>
      </c>
      <c r="L596">
        <v>95</v>
      </c>
      <c r="N596" t="str">
        <f t="shared" si="18"/>
        <v>NA</v>
      </c>
      <c r="O596">
        <v>9.5278390000000002</v>
      </c>
      <c r="S596">
        <f t="shared" si="19"/>
        <v>1.9855634197500001</v>
      </c>
    </row>
    <row r="597" spans="1:19">
      <c r="A597" s="6">
        <v>42087</v>
      </c>
      <c r="B597" t="s">
        <v>26</v>
      </c>
      <c r="C597">
        <v>43</v>
      </c>
      <c r="D597" t="s">
        <v>19</v>
      </c>
      <c r="F597">
        <v>1.22</v>
      </c>
      <c r="J597">
        <f>SUM(47,67,100,112,124)</f>
        <v>450</v>
      </c>
      <c r="K597">
        <v>5</v>
      </c>
      <c r="L597">
        <v>124</v>
      </c>
      <c r="N597" t="str">
        <f t="shared" si="18"/>
        <v>NA</v>
      </c>
      <c r="O597">
        <v>2.7605890000000031</v>
      </c>
      <c r="S597">
        <f t="shared" si="19"/>
        <v>1.168985639</v>
      </c>
    </row>
    <row r="598" spans="1:19">
      <c r="A598" s="6">
        <v>42087</v>
      </c>
      <c r="B598" t="s">
        <v>26</v>
      </c>
      <c r="C598">
        <v>43</v>
      </c>
      <c r="D598" t="s">
        <v>19</v>
      </c>
      <c r="F598">
        <v>1.04</v>
      </c>
      <c r="J598">
        <f>SUM(45,76,89,105,116)</f>
        <v>431</v>
      </c>
      <c r="K598">
        <v>5</v>
      </c>
      <c r="L598">
        <v>116</v>
      </c>
      <c r="N598" t="str">
        <f t="shared" si="18"/>
        <v>NA</v>
      </c>
      <c r="O598">
        <v>3.3892039999999994</v>
      </c>
      <c r="S598">
        <f t="shared" si="19"/>
        <v>0.84948593600000011</v>
      </c>
    </row>
    <row r="599" spans="1:19">
      <c r="A599" s="6">
        <v>42087</v>
      </c>
      <c r="B599" t="s">
        <v>26</v>
      </c>
      <c r="C599">
        <v>43</v>
      </c>
      <c r="D599" t="s">
        <v>19</v>
      </c>
      <c r="F599">
        <v>1.02</v>
      </c>
      <c r="J599">
        <f>SUM(58,67,107,139,141)</f>
        <v>512</v>
      </c>
      <c r="K599">
        <v>5</v>
      </c>
      <c r="L599">
        <v>141</v>
      </c>
      <c r="N599" t="str">
        <f t="shared" si="18"/>
        <v>NA</v>
      </c>
      <c r="O599">
        <v>3.4522340000000042</v>
      </c>
      <c r="S599">
        <f t="shared" si="19"/>
        <v>0.817127559</v>
      </c>
    </row>
    <row r="600" spans="1:19">
      <c r="A600" s="6">
        <v>42087</v>
      </c>
      <c r="B600" t="s">
        <v>26</v>
      </c>
      <c r="C600">
        <v>43</v>
      </c>
      <c r="D600" t="s">
        <v>19</v>
      </c>
      <c r="F600">
        <v>0.89</v>
      </c>
      <c r="J600">
        <f>SUM(67,72,96,110)</f>
        <v>345</v>
      </c>
      <c r="K600">
        <v>4</v>
      </c>
      <c r="L600">
        <v>110</v>
      </c>
      <c r="N600" t="str">
        <f t="shared" si="18"/>
        <v>NA</v>
      </c>
      <c r="O600">
        <v>4.156096999999999</v>
      </c>
      <c r="S600">
        <f t="shared" si="19"/>
        <v>0.62211335975000004</v>
      </c>
    </row>
    <row r="601" spans="1:19">
      <c r="A601" s="6">
        <v>42087</v>
      </c>
      <c r="B601" t="s">
        <v>26</v>
      </c>
      <c r="C601">
        <v>43</v>
      </c>
      <c r="D601" t="s">
        <v>19</v>
      </c>
      <c r="F601">
        <v>0.54999999999999993</v>
      </c>
      <c r="J601">
        <f>SUM(35,45,58,59)</f>
        <v>197</v>
      </c>
      <c r="K601">
        <v>4</v>
      </c>
      <c r="L601">
        <v>59</v>
      </c>
      <c r="N601" t="str">
        <f t="shared" si="18"/>
        <v>NA</v>
      </c>
      <c r="O601">
        <v>5.643851999999999</v>
      </c>
      <c r="S601">
        <f t="shared" si="19"/>
        <v>0.23758274374999994</v>
      </c>
    </row>
    <row r="602" spans="1:19">
      <c r="A602" s="6">
        <v>42087</v>
      </c>
      <c r="B602" t="s">
        <v>26</v>
      </c>
      <c r="C602">
        <v>45</v>
      </c>
      <c r="D602" t="s">
        <v>63</v>
      </c>
      <c r="E602">
        <v>100</v>
      </c>
      <c r="F602">
        <v>1.05</v>
      </c>
      <c r="G602">
        <v>2</v>
      </c>
      <c r="N602">
        <f t="shared" si="18"/>
        <v>28.863358124999998</v>
      </c>
      <c r="O602">
        <v>2.44936</v>
      </c>
      <c r="S602">
        <f t="shared" si="19"/>
        <v>0.86590074375000003</v>
      </c>
    </row>
    <row r="603" spans="1:19">
      <c r="A603" s="6">
        <v>42087</v>
      </c>
      <c r="B603" t="s">
        <v>26</v>
      </c>
      <c r="C603">
        <v>45</v>
      </c>
      <c r="D603" t="s">
        <v>63</v>
      </c>
      <c r="E603">
        <v>127</v>
      </c>
      <c r="F603">
        <v>0.91999999999999993</v>
      </c>
      <c r="N603">
        <f t="shared" si="18"/>
        <v>28.14152546266666</v>
      </c>
      <c r="O603">
        <v>4.3127380000000004</v>
      </c>
      <c r="S603">
        <f t="shared" si="19"/>
        <v>0.66476044399999978</v>
      </c>
    </row>
    <row r="604" spans="1:19">
      <c r="A604" s="6">
        <v>42087</v>
      </c>
      <c r="B604" t="s">
        <v>26</v>
      </c>
      <c r="C604">
        <v>45</v>
      </c>
      <c r="D604" t="s">
        <v>63</v>
      </c>
      <c r="E604">
        <v>105</v>
      </c>
      <c r="F604">
        <v>1.32</v>
      </c>
      <c r="G604">
        <v>4</v>
      </c>
      <c r="N604">
        <f t="shared" si="18"/>
        <v>47.896681139999998</v>
      </c>
      <c r="O604">
        <v>2.571828</v>
      </c>
      <c r="S604">
        <f t="shared" si="19"/>
        <v>1.368476604</v>
      </c>
    </row>
    <row r="605" spans="1:19">
      <c r="A605" s="6">
        <v>42087</v>
      </c>
      <c r="B605" t="s">
        <v>26</v>
      </c>
      <c r="C605">
        <v>45</v>
      </c>
      <c r="D605" t="s">
        <v>63</v>
      </c>
      <c r="E605">
        <v>43</v>
      </c>
      <c r="F605">
        <v>0.47</v>
      </c>
      <c r="N605">
        <f t="shared" si="18"/>
        <v>2.4867517444166665</v>
      </c>
      <c r="O605" t="s">
        <v>64</v>
      </c>
      <c r="S605">
        <f t="shared" si="19"/>
        <v>0.17349430774999999</v>
      </c>
    </row>
    <row r="606" spans="1:19">
      <c r="A606" s="6">
        <v>42087</v>
      </c>
      <c r="B606" t="s">
        <v>26</v>
      </c>
      <c r="C606">
        <v>45</v>
      </c>
      <c r="D606" t="s">
        <v>63</v>
      </c>
      <c r="E606">
        <v>175</v>
      </c>
      <c r="F606">
        <v>1.57</v>
      </c>
      <c r="N606">
        <f t="shared" si="18"/>
        <v>112.92903403541666</v>
      </c>
      <c r="O606">
        <v>7.6777780000000009</v>
      </c>
      <c r="S606">
        <f t="shared" si="19"/>
        <v>1.93592629775</v>
      </c>
    </row>
    <row r="607" spans="1:19">
      <c r="A607" s="6">
        <v>42087</v>
      </c>
      <c r="B607" t="s">
        <v>26</v>
      </c>
      <c r="C607">
        <v>45</v>
      </c>
      <c r="D607" t="s">
        <v>63</v>
      </c>
      <c r="E607">
        <v>131</v>
      </c>
      <c r="F607">
        <v>2.1700000000000004</v>
      </c>
      <c r="N607">
        <f t="shared" si="18"/>
        <v>161.49497856508339</v>
      </c>
      <c r="O607">
        <v>4.5931579999999999</v>
      </c>
      <c r="S607">
        <f t="shared" si="19"/>
        <v>3.698358287750001</v>
      </c>
    </row>
    <row r="608" spans="1:19">
      <c r="A608" s="6">
        <v>42087</v>
      </c>
      <c r="B608" t="s">
        <v>26</v>
      </c>
      <c r="C608">
        <v>45</v>
      </c>
      <c r="D608" t="s">
        <v>63</v>
      </c>
      <c r="E608">
        <v>187</v>
      </c>
      <c r="F608">
        <v>1.72</v>
      </c>
      <c r="N608">
        <f t="shared" si="18"/>
        <v>144.83274442266662</v>
      </c>
      <c r="O608">
        <v>8.5190380000000019</v>
      </c>
      <c r="S608">
        <f t="shared" si="19"/>
        <v>2.3235199639999995</v>
      </c>
    </row>
    <row r="609" spans="1:19">
      <c r="A609" s="6">
        <v>42087</v>
      </c>
      <c r="B609" t="s">
        <v>26</v>
      </c>
      <c r="C609">
        <v>45</v>
      </c>
      <c r="D609" t="s">
        <v>63</v>
      </c>
      <c r="E609">
        <v>27</v>
      </c>
      <c r="F609">
        <v>0.56999999999999995</v>
      </c>
      <c r="N609">
        <f t="shared" si="18"/>
        <v>2.2965808297499994</v>
      </c>
      <c r="O609" t="s">
        <v>64</v>
      </c>
      <c r="S609">
        <f t="shared" si="19"/>
        <v>0.25517564774999996</v>
      </c>
    </row>
    <row r="610" spans="1:19">
      <c r="A610" s="6">
        <v>42087</v>
      </c>
      <c r="B610" t="s">
        <v>26</v>
      </c>
      <c r="C610">
        <v>45</v>
      </c>
      <c r="D610" t="s">
        <v>63</v>
      </c>
      <c r="E610">
        <v>134</v>
      </c>
      <c r="F610">
        <v>0.97</v>
      </c>
      <c r="G610">
        <v>11</v>
      </c>
      <c r="N610">
        <f t="shared" si="18"/>
        <v>33.007796012833325</v>
      </c>
      <c r="O610">
        <v>3.2821424000000001</v>
      </c>
      <c r="S610">
        <f t="shared" si="19"/>
        <v>0.7389805077499999</v>
      </c>
    </row>
    <row r="611" spans="1:19">
      <c r="A611" s="6">
        <v>42087</v>
      </c>
      <c r="B611" t="s">
        <v>26</v>
      </c>
      <c r="C611">
        <v>45</v>
      </c>
      <c r="D611" t="s">
        <v>63</v>
      </c>
      <c r="E611">
        <v>150</v>
      </c>
      <c r="F611">
        <v>1.1299999999999999</v>
      </c>
      <c r="G611">
        <v>13</v>
      </c>
      <c r="N611">
        <f t="shared" si="18"/>
        <v>50.143703387499983</v>
      </c>
      <c r="O611">
        <v>3.6740400000000002</v>
      </c>
      <c r="S611">
        <f t="shared" si="19"/>
        <v>1.0028740677499997</v>
      </c>
    </row>
    <row r="612" spans="1:19">
      <c r="A612" s="6">
        <v>42087</v>
      </c>
      <c r="B612" t="s">
        <v>26</v>
      </c>
      <c r="C612">
        <v>45</v>
      </c>
      <c r="D612" t="s">
        <v>63</v>
      </c>
      <c r="E612">
        <v>246</v>
      </c>
      <c r="F612">
        <v>1.72</v>
      </c>
      <c r="N612">
        <f t="shared" si="18"/>
        <v>190.52863704799995</v>
      </c>
      <c r="O612">
        <v>12.655233000000003</v>
      </c>
      <c r="S612">
        <f t="shared" si="19"/>
        <v>2.3235199639999995</v>
      </c>
    </row>
    <row r="613" spans="1:19">
      <c r="A613" s="6">
        <v>42087</v>
      </c>
      <c r="B613" t="s">
        <v>26</v>
      </c>
      <c r="C613">
        <v>45</v>
      </c>
      <c r="D613" t="s">
        <v>63</v>
      </c>
      <c r="E613">
        <v>262</v>
      </c>
      <c r="F613">
        <v>1.42</v>
      </c>
      <c r="N613">
        <f t="shared" si="18"/>
        <v>138.30766199266665</v>
      </c>
      <c r="O613">
        <v>13.776913</v>
      </c>
      <c r="S613">
        <f t="shared" si="19"/>
        <v>1.5836755189999998</v>
      </c>
    </row>
    <row r="614" spans="1:19">
      <c r="A614" s="6">
        <v>42087</v>
      </c>
      <c r="B614" t="s">
        <v>26</v>
      </c>
      <c r="C614">
        <v>45</v>
      </c>
      <c r="D614" t="s">
        <v>63</v>
      </c>
      <c r="E614">
        <v>148</v>
      </c>
      <c r="F614">
        <v>1.47</v>
      </c>
      <c r="N614">
        <f t="shared" si="18"/>
        <v>83.726829248999977</v>
      </c>
      <c r="O614">
        <v>5.7849430000000011</v>
      </c>
      <c r="S614">
        <f t="shared" si="19"/>
        <v>1.6971654577499997</v>
      </c>
    </row>
    <row r="615" spans="1:19">
      <c r="A615" s="6">
        <v>42087</v>
      </c>
      <c r="B615" t="s">
        <v>26</v>
      </c>
      <c r="C615">
        <v>45</v>
      </c>
      <c r="D615" t="s">
        <v>63</v>
      </c>
      <c r="E615">
        <v>275</v>
      </c>
      <c r="F615">
        <v>2.5700000000000003</v>
      </c>
      <c r="N615">
        <f t="shared" si="18"/>
        <v>475.51826187708338</v>
      </c>
      <c r="O615">
        <v>14.688278</v>
      </c>
      <c r="S615">
        <f t="shared" si="19"/>
        <v>5.1874719477500006</v>
      </c>
    </row>
    <row r="616" spans="1:19">
      <c r="A616" s="6">
        <v>42087</v>
      </c>
      <c r="B616" t="s">
        <v>26</v>
      </c>
      <c r="C616">
        <v>45</v>
      </c>
      <c r="D616" t="s">
        <v>63</v>
      </c>
      <c r="E616">
        <v>288</v>
      </c>
      <c r="F616">
        <v>2.4900000000000002</v>
      </c>
      <c r="N616">
        <f t="shared" si="18"/>
        <v>467.47613181600002</v>
      </c>
      <c r="O616">
        <v>15.599643</v>
      </c>
      <c r="S616">
        <f t="shared" si="19"/>
        <v>4.8695430397500008</v>
      </c>
    </row>
    <row r="617" spans="1:19">
      <c r="A617" s="6">
        <v>42087</v>
      </c>
      <c r="B617" t="s">
        <v>26</v>
      </c>
      <c r="C617">
        <v>45</v>
      </c>
      <c r="D617" t="s">
        <v>19</v>
      </c>
      <c r="F617">
        <v>0.95</v>
      </c>
      <c r="J617">
        <f>SUM(39,35,68,75,79)</f>
        <v>296</v>
      </c>
      <c r="K617">
        <v>5</v>
      </c>
      <c r="L617">
        <v>79</v>
      </c>
      <c r="N617" t="str">
        <f t="shared" si="18"/>
        <v>NA</v>
      </c>
      <c r="O617">
        <v>1.878344000000002</v>
      </c>
      <c r="S617">
        <f t="shared" si="19"/>
        <v>0.70882124375</v>
      </c>
    </row>
    <row r="618" spans="1:19">
      <c r="A618" s="6">
        <v>42087</v>
      </c>
      <c r="B618" t="s">
        <v>21</v>
      </c>
      <c r="C618">
        <v>12</v>
      </c>
      <c r="D618" t="s">
        <v>19</v>
      </c>
      <c r="F618">
        <v>0.25</v>
      </c>
      <c r="J618">
        <f>SUM(20,32,34)</f>
        <v>86</v>
      </c>
      <c r="K618">
        <v>3</v>
      </c>
      <c r="L618">
        <v>34</v>
      </c>
      <c r="N618" t="str">
        <f t="shared" si="18"/>
        <v>NA</v>
      </c>
      <c r="O618">
        <v>9.7905249999999953</v>
      </c>
      <c r="S618">
        <f t="shared" si="19"/>
        <v>4.9087343749999998E-2</v>
      </c>
    </row>
    <row r="619" spans="1:19">
      <c r="A619" s="6">
        <v>42087</v>
      </c>
      <c r="B619" t="s">
        <v>21</v>
      </c>
      <c r="C619">
        <v>12</v>
      </c>
      <c r="D619" t="s">
        <v>19</v>
      </c>
      <c r="F619">
        <v>0.35</v>
      </c>
      <c r="J619">
        <f>SUM(27,29,34)</f>
        <v>90</v>
      </c>
      <c r="K619">
        <v>3</v>
      </c>
      <c r="L619">
        <v>34</v>
      </c>
      <c r="N619" t="str">
        <f t="shared" si="18"/>
        <v>NA</v>
      </c>
      <c r="O619">
        <v>10.165544999999998</v>
      </c>
      <c r="S619">
        <f t="shared" si="19"/>
        <v>9.6211193749999979E-2</v>
      </c>
    </row>
    <row r="620" spans="1:19">
      <c r="A620" s="6">
        <v>42087</v>
      </c>
      <c r="B620" t="s">
        <v>21</v>
      </c>
      <c r="C620">
        <v>12</v>
      </c>
      <c r="D620" t="s">
        <v>19</v>
      </c>
      <c r="F620">
        <v>0.53999999999999992</v>
      </c>
      <c r="J620">
        <f>SUM(24,25,28,34)</f>
        <v>111</v>
      </c>
      <c r="K620">
        <v>4</v>
      </c>
      <c r="L620">
        <v>34</v>
      </c>
      <c r="N620" t="str">
        <f t="shared" si="18"/>
        <v>NA</v>
      </c>
      <c r="O620">
        <v>5.1120470000000005</v>
      </c>
      <c r="S620">
        <f t="shared" si="19"/>
        <v>0.22902191099999991</v>
      </c>
    </row>
    <row r="621" spans="1:19">
      <c r="A621" s="6">
        <v>42087</v>
      </c>
      <c r="B621" t="s">
        <v>21</v>
      </c>
      <c r="C621">
        <v>12</v>
      </c>
      <c r="D621" t="s">
        <v>19</v>
      </c>
      <c r="F621">
        <v>0.77</v>
      </c>
      <c r="J621">
        <f>SUM(33,38)</f>
        <v>71</v>
      </c>
      <c r="K621">
        <v>2</v>
      </c>
      <c r="L621">
        <v>38</v>
      </c>
      <c r="N621" t="str">
        <f t="shared" si="18"/>
        <v>NA</v>
      </c>
      <c r="O621">
        <v>14.201572999999996</v>
      </c>
      <c r="S621">
        <f t="shared" si="19"/>
        <v>0.46566217774999996</v>
      </c>
    </row>
    <row r="622" spans="1:19">
      <c r="A622" s="6">
        <v>42087</v>
      </c>
      <c r="B622" t="s">
        <v>21</v>
      </c>
      <c r="C622">
        <v>12</v>
      </c>
      <c r="D622" t="s">
        <v>19</v>
      </c>
      <c r="F622">
        <v>0.71</v>
      </c>
      <c r="J622">
        <f>SUM(28,28,33)</f>
        <v>89</v>
      </c>
      <c r="K622">
        <v>3</v>
      </c>
      <c r="L622">
        <v>33</v>
      </c>
      <c r="N622" t="str">
        <f t="shared" si="18"/>
        <v>NA</v>
      </c>
      <c r="O622">
        <v>10.373034999999998</v>
      </c>
      <c r="S622">
        <f t="shared" si="19"/>
        <v>0.39591887974999995</v>
      </c>
    </row>
    <row r="623" spans="1:19">
      <c r="A623" s="6">
        <v>42087</v>
      </c>
      <c r="B623" t="s">
        <v>21</v>
      </c>
      <c r="C623">
        <v>12</v>
      </c>
      <c r="D623" t="s">
        <v>19</v>
      </c>
      <c r="F623">
        <v>0.4</v>
      </c>
      <c r="J623">
        <f>SUM(28,37,40)</f>
        <v>105</v>
      </c>
      <c r="K623">
        <v>3</v>
      </c>
      <c r="L623">
        <v>40</v>
      </c>
      <c r="N623" t="str">
        <f t="shared" si="18"/>
        <v>NA</v>
      </c>
      <c r="O623">
        <v>9.7643999999999949</v>
      </c>
      <c r="S623">
        <f t="shared" si="19"/>
        <v>0.12566360000000001</v>
      </c>
    </row>
    <row r="624" spans="1:19">
      <c r="A624" s="6">
        <v>42087</v>
      </c>
      <c r="B624" t="s">
        <v>21</v>
      </c>
      <c r="C624">
        <v>12</v>
      </c>
      <c r="D624" t="s">
        <v>19</v>
      </c>
      <c r="F624">
        <v>0.43000000000000005</v>
      </c>
      <c r="J624">
        <f>SUM(24,38,40,48)</f>
        <v>150</v>
      </c>
      <c r="K624">
        <v>4</v>
      </c>
      <c r="L624">
        <v>48</v>
      </c>
      <c r="N624" t="str">
        <f t="shared" si="18"/>
        <v>NA</v>
      </c>
      <c r="O624">
        <v>4.5510619999999982</v>
      </c>
      <c r="S624">
        <f t="shared" si="19"/>
        <v>0.14521999775000002</v>
      </c>
    </row>
    <row r="625" spans="1:19">
      <c r="A625" s="6">
        <v>42087</v>
      </c>
      <c r="B625" t="s">
        <v>21</v>
      </c>
      <c r="C625">
        <v>12</v>
      </c>
      <c r="D625" t="s">
        <v>19</v>
      </c>
      <c r="F625">
        <v>0.56999999999999995</v>
      </c>
      <c r="J625">
        <f>SUM(30,35,62)</f>
        <v>127</v>
      </c>
      <c r="K625">
        <v>3</v>
      </c>
      <c r="L625">
        <v>62</v>
      </c>
      <c r="N625" t="str">
        <f t="shared" si="18"/>
        <v>NA</v>
      </c>
      <c r="O625">
        <v>5.1996199999999959</v>
      </c>
      <c r="S625">
        <f t="shared" si="19"/>
        <v>0.25517564774999996</v>
      </c>
    </row>
    <row r="626" spans="1:19">
      <c r="A626" s="6">
        <v>42087</v>
      </c>
      <c r="B626" t="s">
        <v>21</v>
      </c>
      <c r="C626">
        <v>12</v>
      </c>
      <c r="D626" t="s">
        <v>19</v>
      </c>
      <c r="F626">
        <v>0.94</v>
      </c>
      <c r="J626">
        <f>SUM(27,30,41)</f>
        <v>98</v>
      </c>
      <c r="K626">
        <v>3</v>
      </c>
      <c r="L626">
        <v>41</v>
      </c>
      <c r="N626" t="str">
        <f t="shared" si="18"/>
        <v>NA</v>
      </c>
      <c r="O626">
        <v>8.8068699999999964</v>
      </c>
      <c r="S626">
        <f t="shared" si="19"/>
        <v>0.69397723099999997</v>
      </c>
    </row>
    <row r="627" spans="1:19">
      <c r="A627" s="6">
        <v>42087</v>
      </c>
      <c r="B627" t="s">
        <v>21</v>
      </c>
      <c r="C627">
        <v>12</v>
      </c>
      <c r="D627" t="s">
        <v>19</v>
      </c>
      <c r="F627">
        <v>0.53999999999999992</v>
      </c>
      <c r="J627">
        <f>SUM(31,33,39,52)</f>
        <v>155</v>
      </c>
      <c r="K627">
        <v>4</v>
      </c>
      <c r="L627">
        <v>52</v>
      </c>
      <c r="N627" t="str">
        <f t="shared" si="18"/>
        <v>NA</v>
      </c>
      <c r="O627">
        <v>3.8148569999999999</v>
      </c>
      <c r="S627">
        <f t="shared" si="19"/>
        <v>0.22902191099999991</v>
      </c>
    </row>
    <row r="628" spans="1:19">
      <c r="A628" s="6">
        <v>42087</v>
      </c>
      <c r="B628" t="s">
        <v>21</v>
      </c>
      <c r="C628">
        <v>12</v>
      </c>
      <c r="D628" t="s">
        <v>19</v>
      </c>
      <c r="F628">
        <v>0.54999999999999993</v>
      </c>
      <c r="J628">
        <f>SUM(39,39,47,48)</f>
        <v>173</v>
      </c>
      <c r="K628">
        <v>4</v>
      </c>
      <c r="L628">
        <v>48</v>
      </c>
      <c r="N628" t="str">
        <f t="shared" si="18"/>
        <v>NA</v>
      </c>
      <c r="O628">
        <v>6.7074269999999991</v>
      </c>
      <c r="S628">
        <f t="shared" si="19"/>
        <v>0.23758274374999994</v>
      </c>
    </row>
    <row r="629" spans="1:19">
      <c r="A629" s="6">
        <v>42087</v>
      </c>
      <c r="B629" t="s">
        <v>21</v>
      </c>
      <c r="C629">
        <v>12</v>
      </c>
      <c r="D629" t="s">
        <v>19</v>
      </c>
      <c r="F629">
        <v>0.97</v>
      </c>
      <c r="J629">
        <f>SUM(27,48,52,53)</f>
        <v>180</v>
      </c>
      <c r="K629">
        <v>4</v>
      </c>
      <c r="L629">
        <v>53</v>
      </c>
      <c r="N629" t="str">
        <f t="shared" si="18"/>
        <v>NA</v>
      </c>
      <c r="O629">
        <v>5.857486999999999</v>
      </c>
      <c r="S629">
        <f t="shared" si="19"/>
        <v>0.7389805077499999</v>
      </c>
    </row>
    <row r="630" spans="1:19">
      <c r="A630" s="6">
        <v>42087</v>
      </c>
      <c r="B630" t="s">
        <v>21</v>
      </c>
      <c r="C630">
        <v>12</v>
      </c>
      <c r="D630" t="s">
        <v>19</v>
      </c>
      <c r="F630">
        <v>0.91999999999999993</v>
      </c>
      <c r="J630">
        <f>SUM(37,43,44,46)</f>
        <v>170</v>
      </c>
      <c r="K630">
        <v>4</v>
      </c>
      <c r="L630">
        <v>46</v>
      </c>
      <c r="N630" t="str">
        <f t="shared" si="18"/>
        <v>NA</v>
      </c>
      <c r="O630">
        <v>7.028652000000001</v>
      </c>
      <c r="S630">
        <f t="shared" si="19"/>
        <v>0.66476044399999978</v>
      </c>
    </row>
    <row r="631" spans="1:19">
      <c r="A631" s="6">
        <v>42087</v>
      </c>
      <c r="B631" t="s">
        <v>21</v>
      </c>
      <c r="C631">
        <v>12</v>
      </c>
      <c r="D631" t="s">
        <v>19</v>
      </c>
      <c r="F631">
        <v>0.41000000000000003</v>
      </c>
      <c r="J631">
        <f>SUM(32,35)</f>
        <v>67</v>
      </c>
      <c r="K631">
        <v>2</v>
      </c>
      <c r="L631">
        <v>35</v>
      </c>
      <c r="N631" t="str">
        <f t="shared" si="18"/>
        <v>NA</v>
      </c>
      <c r="O631">
        <v>14.730287999999998</v>
      </c>
      <c r="S631">
        <f t="shared" si="19"/>
        <v>0.13202531975000001</v>
      </c>
    </row>
    <row r="632" spans="1:19">
      <c r="A632" s="6">
        <v>42087</v>
      </c>
      <c r="B632" t="s">
        <v>21</v>
      </c>
      <c r="C632">
        <v>12</v>
      </c>
      <c r="D632" t="s">
        <v>19</v>
      </c>
      <c r="F632">
        <v>0.49</v>
      </c>
      <c r="J632">
        <f>SUM(28,29,35,45)</f>
        <v>137</v>
      </c>
      <c r="K632">
        <v>4</v>
      </c>
      <c r="L632">
        <v>45</v>
      </c>
      <c r="N632" t="str">
        <f t="shared" si="18"/>
        <v>NA</v>
      </c>
      <c r="O632">
        <v>4.2359819999999999</v>
      </c>
      <c r="S632">
        <f t="shared" si="19"/>
        <v>0.18857393974999997</v>
      </c>
    </row>
    <row r="633" spans="1:19">
      <c r="A633" s="6">
        <v>42087</v>
      </c>
      <c r="B633" t="s">
        <v>21</v>
      </c>
      <c r="C633">
        <v>12</v>
      </c>
      <c r="D633" t="s">
        <v>19</v>
      </c>
      <c r="F633">
        <v>0.54999999999999993</v>
      </c>
      <c r="J633">
        <f>SUM(26,32,36,38)</f>
        <v>132</v>
      </c>
      <c r="K633">
        <v>4</v>
      </c>
      <c r="L633">
        <v>38</v>
      </c>
      <c r="N633" t="str">
        <f t="shared" si="18"/>
        <v>NA</v>
      </c>
      <c r="O633">
        <v>5.8759219999999956</v>
      </c>
      <c r="S633">
        <f t="shared" si="19"/>
        <v>0.23758274374999994</v>
      </c>
    </row>
    <row r="634" spans="1:19">
      <c r="A634" s="6">
        <v>42087</v>
      </c>
      <c r="B634" t="s">
        <v>21</v>
      </c>
      <c r="C634">
        <v>12</v>
      </c>
      <c r="D634" t="s">
        <v>19</v>
      </c>
      <c r="F634">
        <v>0.44999999999999996</v>
      </c>
      <c r="J634">
        <f>SUM(26,56)</f>
        <v>82</v>
      </c>
      <c r="K634">
        <v>2</v>
      </c>
      <c r="L634">
        <v>56</v>
      </c>
      <c r="N634" t="str">
        <f t="shared" si="18"/>
        <v>NA</v>
      </c>
      <c r="O634">
        <v>9.8104679999999966</v>
      </c>
      <c r="S634">
        <f t="shared" si="19"/>
        <v>0.15904299374999997</v>
      </c>
    </row>
    <row r="635" spans="1:19">
      <c r="A635" s="6">
        <v>42087</v>
      </c>
      <c r="B635" t="s">
        <v>21</v>
      </c>
      <c r="C635">
        <v>12</v>
      </c>
      <c r="D635" t="s">
        <v>19</v>
      </c>
      <c r="F635">
        <v>0.73</v>
      </c>
      <c r="J635">
        <f>SUM(31,33,34)</f>
        <v>98</v>
      </c>
      <c r="K635">
        <v>3</v>
      </c>
      <c r="L635">
        <v>34</v>
      </c>
      <c r="N635" t="str">
        <f t="shared" si="18"/>
        <v>NA</v>
      </c>
      <c r="O635">
        <v>10.915585</v>
      </c>
      <c r="S635">
        <f t="shared" si="19"/>
        <v>0.41853832774999994</v>
      </c>
    </row>
    <row r="636" spans="1:19">
      <c r="A636" s="6">
        <v>42087</v>
      </c>
      <c r="B636" t="s">
        <v>21</v>
      </c>
      <c r="C636">
        <v>12</v>
      </c>
      <c r="D636" t="s">
        <v>19</v>
      </c>
      <c r="F636">
        <v>0.77</v>
      </c>
      <c r="J636">
        <f>SUM(24,34,34,33)</f>
        <v>125</v>
      </c>
      <c r="K636">
        <v>4</v>
      </c>
      <c r="L636">
        <v>34</v>
      </c>
      <c r="N636" t="str">
        <f t="shared" si="18"/>
        <v>NA</v>
      </c>
      <c r="O636">
        <v>6.4246170000000014</v>
      </c>
      <c r="S636">
        <f t="shared" si="19"/>
        <v>0.46566217774999996</v>
      </c>
    </row>
    <row r="637" spans="1:19">
      <c r="A637" s="6">
        <v>42087</v>
      </c>
      <c r="B637" t="s">
        <v>21</v>
      </c>
      <c r="C637">
        <v>12</v>
      </c>
      <c r="D637" t="s">
        <v>19</v>
      </c>
      <c r="F637">
        <v>0.79999999999999993</v>
      </c>
      <c r="J637">
        <f>SUM(26,28,43)</f>
        <v>97</v>
      </c>
      <c r="K637">
        <v>3</v>
      </c>
      <c r="L637">
        <v>43</v>
      </c>
      <c r="N637" t="str">
        <f t="shared" si="18"/>
        <v>NA</v>
      </c>
      <c r="O637">
        <v>8.1106249999999989</v>
      </c>
      <c r="S637">
        <f t="shared" si="19"/>
        <v>0.50265439999999995</v>
      </c>
    </row>
    <row r="638" spans="1:19">
      <c r="A638" s="6">
        <v>42087</v>
      </c>
      <c r="B638" t="s">
        <v>21</v>
      </c>
      <c r="C638">
        <v>12</v>
      </c>
      <c r="D638" t="s">
        <v>19</v>
      </c>
      <c r="F638">
        <v>0.59</v>
      </c>
      <c r="J638">
        <f>SUM(29,35,46,57)</f>
        <v>167</v>
      </c>
      <c r="K638">
        <v>4</v>
      </c>
      <c r="L638">
        <v>57</v>
      </c>
      <c r="N638" t="str">
        <f t="shared" si="18"/>
        <v>NA</v>
      </c>
      <c r="O638">
        <v>3.4336920000000006</v>
      </c>
      <c r="S638">
        <f t="shared" si="19"/>
        <v>0.27339686974999994</v>
      </c>
    </row>
    <row r="639" spans="1:19">
      <c r="A639" s="6">
        <v>42087</v>
      </c>
      <c r="B639" t="s">
        <v>21</v>
      </c>
      <c r="C639">
        <v>12</v>
      </c>
      <c r="D639" t="s">
        <v>19</v>
      </c>
      <c r="F639">
        <v>0.17</v>
      </c>
      <c r="J639">
        <f>SUM(17,17,19)</f>
        <v>53</v>
      </c>
      <c r="K639">
        <v>3</v>
      </c>
      <c r="L639">
        <v>19</v>
      </c>
      <c r="N639" t="str">
        <f t="shared" si="18"/>
        <v>NA</v>
      </c>
      <c r="O639">
        <v>11.215284999999994</v>
      </c>
      <c r="S639">
        <f t="shared" si="19"/>
        <v>2.2697987750000002E-2</v>
      </c>
    </row>
    <row r="640" spans="1:19">
      <c r="A640" s="6">
        <v>42087</v>
      </c>
      <c r="B640" t="s">
        <v>21</v>
      </c>
      <c r="C640">
        <v>12</v>
      </c>
      <c r="D640" t="s">
        <v>19</v>
      </c>
      <c r="F640">
        <v>2.12</v>
      </c>
      <c r="J640">
        <f>SUM(51,91,96,123,126,148,156)</f>
        <v>791</v>
      </c>
      <c r="K640">
        <v>7</v>
      </c>
      <c r="L640">
        <v>156</v>
      </c>
      <c r="N640" t="str">
        <f t="shared" si="18"/>
        <v>NA</v>
      </c>
      <c r="O640">
        <v>11.046498000000007</v>
      </c>
      <c r="S640">
        <f t="shared" si="19"/>
        <v>3.5298905240000003</v>
      </c>
    </row>
    <row r="641" spans="1:19">
      <c r="A641" s="6">
        <v>42087</v>
      </c>
      <c r="B641" t="s">
        <v>21</v>
      </c>
      <c r="C641">
        <v>17</v>
      </c>
      <c r="D641" t="s">
        <v>60</v>
      </c>
      <c r="F641">
        <v>0.85</v>
      </c>
      <c r="J641">
        <f>SUM(61,90,112,119,134)</f>
        <v>516</v>
      </c>
      <c r="K641">
        <v>5</v>
      </c>
      <c r="L641">
        <v>134</v>
      </c>
      <c r="N641" t="str">
        <f t="shared" si="18"/>
        <v>NA</v>
      </c>
      <c r="O641">
        <v>5.9359690000000001</v>
      </c>
      <c r="S641">
        <f t="shared" si="19"/>
        <v>0.56744969374999987</v>
      </c>
    </row>
    <row r="642" spans="1:19">
      <c r="A642" s="6">
        <v>42087</v>
      </c>
      <c r="B642" t="s">
        <v>21</v>
      </c>
      <c r="C642">
        <v>17</v>
      </c>
      <c r="D642" t="s">
        <v>60</v>
      </c>
      <c r="F642">
        <v>2.08</v>
      </c>
      <c r="J642">
        <f>SUM(94,135,159,181,193,202)</f>
        <v>964</v>
      </c>
      <c r="K642">
        <v>6</v>
      </c>
      <c r="L642">
        <v>202</v>
      </c>
      <c r="N642" t="str">
        <f t="shared" si="18"/>
        <v>NA</v>
      </c>
      <c r="O642">
        <v>20.431196000000007</v>
      </c>
      <c r="S642">
        <f t="shared" si="19"/>
        <v>3.3979437440000004</v>
      </c>
    </row>
    <row r="643" spans="1:19">
      <c r="A643" s="6">
        <v>42087</v>
      </c>
      <c r="B643" t="s">
        <v>21</v>
      </c>
      <c r="C643">
        <v>17</v>
      </c>
      <c r="D643" t="s">
        <v>60</v>
      </c>
      <c r="F643">
        <v>2.2400000000000002</v>
      </c>
      <c r="J643">
        <f>SUM(130,142,148,175,206,207)</f>
        <v>1008</v>
      </c>
      <c r="K643">
        <v>6</v>
      </c>
      <c r="L643">
        <v>207</v>
      </c>
      <c r="N643" t="str">
        <f t="shared" si="18"/>
        <v>NA</v>
      </c>
      <c r="O643">
        <v>23.050191000000005</v>
      </c>
      <c r="S643">
        <f t="shared" si="19"/>
        <v>3.9408104960000006</v>
      </c>
    </row>
    <row r="644" spans="1:19">
      <c r="A644" s="6">
        <v>42087</v>
      </c>
      <c r="B644" t="s">
        <v>21</v>
      </c>
      <c r="C644">
        <v>17</v>
      </c>
      <c r="D644" t="s">
        <v>60</v>
      </c>
      <c r="F644">
        <v>2.12</v>
      </c>
      <c r="J644">
        <f>SUM(72,109,123,156,157,190,192)</f>
        <v>999</v>
      </c>
      <c r="K644">
        <v>7</v>
      </c>
      <c r="L644">
        <v>192</v>
      </c>
      <c r="N644" t="str">
        <f t="shared" ref="N644:N707" si="20">IF(OR(D644="S. acutus", D644="S. tabernaemontani", D644="S. californicus"),(1/3)*(3.14159)*((F644/2)^2)*E644,"NA")</f>
        <v>NA</v>
      </c>
      <c r="O644">
        <v>19.702718000000012</v>
      </c>
      <c r="S644">
        <f t="shared" si="19"/>
        <v>3.5298905240000003</v>
      </c>
    </row>
    <row r="645" spans="1:19">
      <c r="A645" s="6">
        <v>42087</v>
      </c>
      <c r="B645" t="s">
        <v>21</v>
      </c>
      <c r="C645">
        <v>17</v>
      </c>
      <c r="D645" t="s">
        <v>60</v>
      </c>
      <c r="F645">
        <v>1.67</v>
      </c>
      <c r="J645">
        <f>SUM(93,93,122,143,156,171,180)</f>
        <v>958</v>
      </c>
      <c r="K645">
        <v>7</v>
      </c>
      <c r="L645">
        <v>180</v>
      </c>
      <c r="N645" t="str">
        <f t="shared" si="20"/>
        <v>NA</v>
      </c>
      <c r="O645">
        <v>19.473703</v>
      </c>
      <c r="S645">
        <f t="shared" ref="S645:S708" si="21">3.14159*((F645/2)^2)</f>
        <v>2.1903950877499998</v>
      </c>
    </row>
    <row r="646" spans="1:19">
      <c r="A646" s="6">
        <v>42087</v>
      </c>
      <c r="B646" t="s">
        <v>21</v>
      </c>
      <c r="C646">
        <v>17</v>
      </c>
      <c r="D646" t="s">
        <v>19</v>
      </c>
      <c r="F646">
        <v>1.9</v>
      </c>
      <c r="J646">
        <f>SUM(102,127,134,164,173,188,195)</f>
        <v>1083</v>
      </c>
      <c r="K646">
        <v>7</v>
      </c>
      <c r="L646">
        <v>195</v>
      </c>
      <c r="N646" t="str">
        <f t="shared" si="20"/>
        <v>NA</v>
      </c>
      <c r="O646">
        <v>26.674403000000005</v>
      </c>
      <c r="S646">
        <f t="shared" si="21"/>
        <v>2.835284975</v>
      </c>
    </row>
    <row r="647" spans="1:19">
      <c r="A647" s="6">
        <v>42087</v>
      </c>
      <c r="B647" t="s">
        <v>21</v>
      </c>
      <c r="C647">
        <v>17</v>
      </c>
      <c r="D647" t="s">
        <v>19</v>
      </c>
      <c r="F647">
        <v>0.55999999999999994</v>
      </c>
      <c r="J647">
        <f>SUM(64,66,89)</f>
        <v>219</v>
      </c>
      <c r="K647">
        <v>3</v>
      </c>
      <c r="L647">
        <v>89</v>
      </c>
      <c r="N647" t="str">
        <f t="shared" si="20"/>
        <v>NA</v>
      </c>
      <c r="O647">
        <v>5.6914649999999973</v>
      </c>
      <c r="S647">
        <f t="shared" si="21"/>
        <v>0.24630065599999995</v>
      </c>
    </row>
    <row r="648" spans="1:19">
      <c r="A648" s="6">
        <v>42087</v>
      </c>
      <c r="B648" t="s">
        <v>21</v>
      </c>
      <c r="C648">
        <v>17</v>
      </c>
      <c r="D648" t="s">
        <v>19</v>
      </c>
      <c r="F648">
        <v>0.82</v>
      </c>
      <c r="J648">
        <f>SUM(27,75,118,120)</f>
        <v>340</v>
      </c>
      <c r="K648">
        <v>4</v>
      </c>
      <c r="L648">
        <v>120</v>
      </c>
      <c r="N648" t="str">
        <f t="shared" si="20"/>
        <v>NA</v>
      </c>
      <c r="O648">
        <v>0.67487200000000058</v>
      </c>
      <c r="S648">
        <f t="shared" si="21"/>
        <v>0.52810127899999992</v>
      </c>
    </row>
    <row r="649" spans="1:19">
      <c r="A649" s="6">
        <v>42087</v>
      </c>
      <c r="B649" t="s">
        <v>21</v>
      </c>
      <c r="C649">
        <v>17</v>
      </c>
      <c r="D649" t="s">
        <v>19</v>
      </c>
      <c r="F649">
        <v>0.66999999999999993</v>
      </c>
      <c r="J649">
        <f>SUM(71,73,103,113)</f>
        <v>360</v>
      </c>
      <c r="K649">
        <v>4</v>
      </c>
      <c r="L649">
        <v>113</v>
      </c>
      <c r="N649" t="str">
        <f t="shared" si="20"/>
        <v>NA</v>
      </c>
      <c r="O649">
        <v>4.658687000000004</v>
      </c>
      <c r="S649">
        <f t="shared" si="21"/>
        <v>0.35256493774999992</v>
      </c>
    </row>
    <row r="650" spans="1:19">
      <c r="A650" s="6">
        <v>42087</v>
      </c>
      <c r="B650" t="s">
        <v>21</v>
      </c>
      <c r="C650">
        <v>17</v>
      </c>
      <c r="D650" t="s">
        <v>19</v>
      </c>
      <c r="F650">
        <v>0.30000000000000004</v>
      </c>
      <c r="J650">
        <f>SUM(30,31,54)</f>
        <v>115</v>
      </c>
      <c r="K650">
        <v>3</v>
      </c>
      <c r="L650">
        <v>54</v>
      </c>
      <c r="N650" t="str">
        <f t="shared" si="20"/>
        <v>NA</v>
      </c>
      <c r="O650">
        <v>6.4845199999999998</v>
      </c>
      <c r="S650">
        <f t="shared" si="21"/>
        <v>7.068577500000002E-2</v>
      </c>
    </row>
    <row r="651" spans="1:19">
      <c r="A651" s="6">
        <v>42087</v>
      </c>
      <c r="B651" t="s">
        <v>21</v>
      </c>
      <c r="C651">
        <v>17</v>
      </c>
      <c r="D651" t="s">
        <v>19</v>
      </c>
      <c r="F651">
        <v>0.77</v>
      </c>
      <c r="J651">
        <f>SUM(43,87,94,119,131)</f>
        <v>474</v>
      </c>
      <c r="K651">
        <v>5</v>
      </c>
      <c r="L651">
        <v>131</v>
      </c>
      <c r="N651" t="str">
        <f t="shared" si="20"/>
        <v>NA</v>
      </c>
      <c r="O651">
        <v>2.901994000000002</v>
      </c>
      <c r="S651">
        <f t="shared" si="21"/>
        <v>0.46566217774999996</v>
      </c>
    </row>
    <row r="652" spans="1:19">
      <c r="A652" s="6">
        <v>42087</v>
      </c>
      <c r="B652" t="s">
        <v>21</v>
      </c>
      <c r="C652">
        <v>17</v>
      </c>
      <c r="D652" t="s">
        <v>19</v>
      </c>
      <c r="F652">
        <v>1.07</v>
      </c>
      <c r="J652">
        <f>SUM(94,125,150,156,177)</f>
        <v>702</v>
      </c>
      <c r="K652">
        <v>5</v>
      </c>
      <c r="L652">
        <v>177</v>
      </c>
      <c r="N652" t="str">
        <f t="shared" si="20"/>
        <v>NA</v>
      </c>
      <c r="O652">
        <v>10.420864000000009</v>
      </c>
      <c r="S652">
        <f t="shared" si="21"/>
        <v>0.89920159774999997</v>
      </c>
    </row>
    <row r="653" spans="1:19">
      <c r="A653" s="6">
        <v>42087</v>
      </c>
      <c r="B653" t="s">
        <v>21</v>
      </c>
      <c r="C653">
        <v>17</v>
      </c>
      <c r="D653" t="s">
        <v>19</v>
      </c>
      <c r="F653">
        <v>0.99</v>
      </c>
      <c r="J653">
        <f>SUM(83,94,133,146,174,181)</f>
        <v>811</v>
      </c>
      <c r="K653">
        <v>6</v>
      </c>
      <c r="L653">
        <v>181</v>
      </c>
      <c r="N653" t="str">
        <f t="shared" si="20"/>
        <v>NA</v>
      </c>
      <c r="O653">
        <v>12.41282600000001</v>
      </c>
      <c r="S653">
        <f t="shared" si="21"/>
        <v>0.76976808975</v>
      </c>
    </row>
    <row r="654" spans="1:19">
      <c r="A654" s="6">
        <v>42087</v>
      </c>
      <c r="B654" t="s">
        <v>21</v>
      </c>
      <c r="C654">
        <v>17</v>
      </c>
      <c r="D654" t="s">
        <v>19</v>
      </c>
      <c r="F654">
        <v>0.5</v>
      </c>
      <c r="J654">
        <f>SUM(22,36,40)</f>
        <v>98</v>
      </c>
      <c r="K654">
        <v>3</v>
      </c>
      <c r="L654">
        <v>40</v>
      </c>
      <c r="N654" t="str">
        <f t="shared" si="20"/>
        <v>NA</v>
      </c>
      <c r="O654">
        <v>9.108114999999998</v>
      </c>
      <c r="S654">
        <f t="shared" si="21"/>
        <v>0.19634937499999999</v>
      </c>
    </row>
    <row r="655" spans="1:19">
      <c r="A655" s="6">
        <v>42087</v>
      </c>
      <c r="B655" t="s">
        <v>21</v>
      </c>
      <c r="C655">
        <v>17</v>
      </c>
      <c r="D655" t="s">
        <v>19</v>
      </c>
      <c r="F655">
        <v>0.73</v>
      </c>
      <c r="J655">
        <f>SUM(53,91,116,123)</f>
        <v>383</v>
      </c>
      <c r="K655">
        <v>4</v>
      </c>
      <c r="L655">
        <v>123</v>
      </c>
      <c r="N655" t="str">
        <f t="shared" si="20"/>
        <v>NA</v>
      </c>
      <c r="O655">
        <v>3.8026020000000038</v>
      </c>
      <c r="S655">
        <f t="shared" si="21"/>
        <v>0.41853832774999994</v>
      </c>
    </row>
    <row r="656" spans="1:19">
      <c r="A656" s="6">
        <v>42087</v>
      </c>
      <c r="B656" t="s">
        <v>21</v>
      </c>
      <c r="C656">
        <v>17</v>
      </c>
      <c r="D656" t="s">
        <v>19</v>
      </c>
      <c r="F656">
        <v>0.66999999999999993</v>
      </c>
      <c r="J656">
        <f>SUM(46,64,93,94,115)</f>
        <v>412</v>
      </c>
      <c r="K656">
        <v>5</v>
      </c>
      <c r="L656">
        <v>115</v>
      </c>
      <c r="N656" t="str">
        <f t="shared" si="20"/>
        <v>NA</v>
      </c>
      <c r="O656">
        <v>1.9091039999999992</v>
      </c>
      <c r="S656">
        <f t="shared" si="21"/>
        <v>0.35256493774999992</v>
      </c>
    </row>
    <row r="657" spans="1:19">
      <c r="A657" s="6">
        <v>42087</v>
      </c>
      <c r="B657" t="s">
        <v>21</v>
      </c>
      <c r="C657">
        <v>17</v>
      </c>
      <c r="D657" t="s">
        <v>19</v>
      </c>
      <c r="F657">
        <v>0.9</v>
      </c>
      <c r="J657">
        <f>SUM(57,78,104,105,125)</f>
        <v>469</v>
      </c>
      <c r="K657">
        <v>5</v>
      </c>
      <c r="L657">
        <v>125</v>
      </c>
      <c r="N657" t="str">
        <f t="shared" si="20"/>
        <v>NA</v>
      </c>
      <c r="O657">
        <v>4.2406890000000033</v>
      </c>
      <c r="S657">
        <f t="shared" si="21"/>
        <v>0.636171975</v>
      </c>
    </row>
    <row r="658" spans="1:19">
      <c r="A658" s="6">
        <v>42087</v>
      </c>
      <c r="B658" t="s">
        <v>21</v>
      </c>
      <c r="C658">
        <v>29</v>
      </c>
      <c r="D658" s="8" t="s">
        <v>60</v>
      </c>
      <c r="F658">
        <v>2.9200000000000004</v>
      </c>
      <c r="J658">
        <f>SUM(83,144,173,187,108,121,131)</f>
        <v>947</v>
      </c>
      <c r="K658">
        <v>7</v>
      </c>
      <c r="L658">
        <v>187</v>
      </c>
      <c r="N658" t="str">
        <f t="shared" si="20"/>
        <v>NA</v>
      </c>
      <c r="O658">
        <v>16.333683000000015</v>
      </c>
      <c r="S658">
        <f t="shared" si="21"/>
        <v>6.6966132440000017</v>
      </c>
    </row>
    <row r="659" spans="1:19">
      <c r="A659" s="6">
        <v>42087</v>
      </c>
      <c r="B659" t="s">
        <v>21</v>
      </c>
      <c r="C659">
        <v>29</v>
      </c>
      <c r="D659" s="8" t="s">
        <v>60</v>
      </c>
      <c r="F659">
        <v>2.27</v>
      </c>
      <c r="J659">
        <f>SUM(84,123,167,173,199,196)</f>
        <v>942</v>
      </c>
      <c r="K659">
        <v>6</v>
      </c>
      <c r="L659">
        <v>199</v>
      </c>
      <c r="N659" t="str">
        <f t="shared" si="20"/>
        <v>NA</v>
      </c>
      <c r="O659">
        <v>19.272321000000005</v>
      </c>
      <c r="S659">
        <f t="shared" si="21"/>
        <v>4.0470747777499998</v>
      </c>
    </row>
    <row r="660" spans="1:19">
      <c r="A660" s="6">
        <v>42087</v>
      </c>
      <c r="B660" t="s">
        <v>21</v>
      </c>
      <c r="C660">
        <v>29</v>
      </c>
      <c r="D660" t="s">
        <v>60</v>
      </c>
      <c r="F660">
        <v>2.75</v>
      </c>
      <c r="J660">
        <f>SUM(91,110,144,159,181,213)</f>
        <v>898</v>
      </c>
      <c r="K660">
        <v>6</v>
      </c>
      <c r="L660">
        <v>213</v>
      </c>
      <c r="N660" t="str">
        <f t="shared" si="20"/>
        <v>NA</v>
      </c>
      <c r="O660">
        <v>10.929671000000006</v>
      </c>
      <c r="S660">
        <f t="shared" si="21"/>
        <v>5.9395685937499998</v>
      </c>
    </row>
    <row r="661" spans="1:19">
      <c r="A661" s="6">
        <v>42087</v>
      </c>
      <c r="B661" t="s">
        <v>21</v>
      </c>
      <c r="C661">
        <v>29</v>
      </c>
      <c r="D661" t="s">
        <v>19</v>
      </c>
      <c r="F661">
        <v>1.25</v>
      </c>
      <c r="J661">
        <f>SUM(73,81,110,108,143)</f>
        <v>515</v>
      </c>
      <c r="K661">
        <v>5</v>
      </c>
      <c r="L661">
        <v>143</v>
      </c>
      <c r="N661" t="str">
        <f t="shared" si="20"/>
        <v>NA</v>
      </c>
      <c r="O661">
        <v>3.1310089999999988</v>
      </c>
      <c r="S661">
        <f t="shared" si="21"/>
        <v>1.22718359375</v>
      </c>
    </row>
    <row r="662" spans="1:19">
      <c r="A662" s="6">
        <v>42087</v>
      </c>
      <c r="B662" t="s">
        <v>21</v>
      </c>
      <c r="C662">
        <v>29</v>
      </c>
      <c r="D662" t="s">
        <v>19</v>
      </c>
      <c r="F662">
        <v>2.3200000000000003</v>
      </c>
      <c r="J662">
        <f>SUM(73,118,152,173,176)</f>
        <v>692</v>
      </c>
      <c r="K662">
        <v>5</v>
      </c>
      <c r="L662">
        <v>176</v>
      </c>
      <c r="N662" t="str">
        <f t="shared" si="20"/>
        <v>NA</v>
      </c>
      <c r="O662">
        <v>9.7845590000000016</v>
      </c>
      <c r="S662">
        <f t="shared" si="21"/>
        <v>4.227323504000001</v>
      </c>
    </row>
    <row r="663" spans="1:19">
      <c r="A663" s="6">
        <v>42087</v>
      </c>
      <c r="B663" t="s">
        <v>21</v>
      </c>
      <c r="C663">
        <v>29</v>
      </c>
      <c r="D663" t="s">
        <v>19</v>
      </c>
      <c r="F663">
        <v>1.22</v>
      </c>
      <c r="J663">
        <f>SUM(72,75,107,112,133,143)</f>
        <v>642</v>
      </c>
      <c r="K663">
        <v>6</v>
      </c>
      <c r="L663">
        <v>143</v>
      </c>
      <c r="N663" t="str">
        <f t="shared" si="20"/>
        <v>NA</v>
      </c>
      <c r="O663">
        <v>8.0155409999999989</v>
      </c>
      <c r="S663">
        <f t="shared" si="21"/>
        <v>1.168985639</v>
      </c>
    </row>
    <row r="664" spans="1:19">
      <c r="A664" s="6">
        <v>42087</v>
      </c>
      <c r="B664" t="s">
        <v>21</v>
      </c>
      <c r="C664">
        <v>29</v>
      </c>
      <c r="D664" t="s">
        <v>19</v>
      </c>
      <c r="F664">
        <v>1.3</v>
      </c>
      <c r="J664">
        <f>SUM(46,72,83,119,116)</f>
        <v>436</v>
      </c>
      <c r="K664">
        <v>5</v>
      </c>
      <c r="L664">
        <v>119</v>
      </c>
      <c r="N664" t="str">
        <f t="shared" si="20"/>
        <v>NA</v>
      </c>
      <c r="O664">
        <v>2.9542440000000028</v>
      </c>
      <c r="S664">
        <f t="shared" si="21"/>
        <v>1.3273217750000001</v>
      </c>
    </row>
    <row r="665" spans="1:19">
      <c r="A665" s="6">
        <v>42087</v>
      </c>
      <c r="B665" t="s">
        <v>21</v>
      </c>
      <c r="C665">
        <v>29</v>
      </c>
      <c r="D665" t="s">
        <v>19</v>
      </c>
      <c r="F665">
        <v>1.52</v>
      </c>
      <c r="J665">
        <f>SUM(55,66,109,151,157,166)</f>
        <v>704</v>
      </c>
      <c r="K665">
        <v>6</v>
      </c>
      <c r="L665">
        <v>166</v>
      </c>
      <c r="N665" t="str">
        <f t="shared" si="20"/>
        <v>NA</v>
      </c>
      <c r="O665">
        <v>6.8997160000000051</v>
      </c>
      <c r="S665">
        <f t="shared" si="21"/>
        <v>1.8145823839999999</v>
      </c>
    </row>
    <row r="666" spans="1:19">
      <c r="A666" s="6">
        <v>42087</v>
      </c>
      <c r="B666" t="s">
        <v>21</v>
      </c>
      <c r="C666">
        <v>29</v>
      </c>
      <c r="D666" t="s">
        <v>19</v>
      </c>
      <c r="F666">
        <v>0.99</v>
      </c>
      <c r="J666">
        <f>SUM(65,69,74,83,86,115)</f>
        <v>492</v>
      </c>
      <c r="K666">
        <v>6</v>
      </c>
      <c r="L666">
        <v>115</v>
      </c>
      <c r="N666" t="str">
        <f t="shared" si="20"/>
        <v>NA</v>
      </c>
      <c r="O666">
        <v>2.3871509999999958</v>
      </c>
      <c r="S666">
        <f t="shared" si="21"/>
        <v>0.76976808975</v>
      </c>
    </row>
    <row r="667" spans="1:19">
      <c r="A667" s="6">
        <v>42087</v>
      </c>
      <c r="B667" t="s">
        <v>21</v>
      </c>
      <c r="C667">
        <v>29</v>
      </c>
      <c r="D667" t="s">
        <v>19</v>
      </c>
      <c r="F667">
        <v>0.91999999999999993</v>
      </c>
      <c r="J667">
        <f>SUM(48,52,87,102,125,137)</f>
        <v>551</v>
      </c>
      <c r="K667">
        <v>6</v>
      </c>
      <c r="L667">
        <v>137</v>
      </c>
      <c r="N667" t="str">
        <f t="shared" si="20"/>
        <v>NA</v>
      </c>
      <c r="O667">
        <v>1.2913059999999987</v>
      </c>
      <c r="S667">
        <f t="shared" si="21"/>
        <v>0.66476044399999978</v>
      </c>
    </row>
    <row r="668" spans="1:19">
      <c r="A668" s="6">
        <v>42087</v>
      </c>
      <c r="B668" t="s">
        <v>21</v>
      </c>
      <c r="C668">
        <v>29</v>
      </c>
      <c r="D668" t="s">
        <v>19</v>
      </c>
      <c r="F668">
        <v>0.99</v>
      </c>
      <c r="J668">
        <f>SUM(48,74,70,73,76)</f>
        <v>341</v>
      </c>
      <c r="K668">
        <v>5</v>
      </c>
      <c r="L668">
        <v>76</v>
      </c>
      <c r="N668" t="str">
        <f t="shared" si="20"/>
        <v>NA</v>
      </c>
      <c r="O668">
        <v>7.0010539999999999</v>
      </c>
      <c r="S668">
        <f t="shared" si="21"/>
        <v>0.76976808975</v>
      </c>
    </row>
    <row r="669" spans="1:19">
      <c r="A669" s="6">
        <v>42087</v>
      </c>
      <c r="B669" t="s">
        <v>21</v>
      </c>
      <c r="C669">
        <v>29</v>
      </c>
      <c r="D669" t="s">
        <v>19</v>
      </c>
      <c r="F669">
        <v>0.27</v>
      </c>
      <c r="J669">
        <v>98</v>
      </c>
      <c r="K669">
        <v>2</v>
      </c>
      <c r="L669">
        <v>49</v>
      </c>
      <c r="N669" t="str">
        <f t="shared" si="20"/>
        <v>NA</v>
      </c>
      <c r="O669">
        <v>13.419263000000001</v>
      </c>
      <c r="S669">
        <f t="shared" si="21"/>
        <v>5.7255477750000006E-2</v>
      </c>
    </row>
    <row r="670" spans="1:19">
      <c r="A670" s="6">
        <v>42087</v>
      </c>
      <c r="B670" t="s">
        <v>21</v>
      </c>
      <c r="C670">
        <v>29</v>
      </c>
      <c r="D670" t="s">
        <v>19</v>
      </c>
      <c r="F670">
        <v>0.63</v>
      </c>
      <c r="J670">
        <f>SUM(44,47,78,83)</f>
        <v>252</v>
      </c>
      <c r="K670">
        <v>4</v>
      </c>
      <c r="L670">
        <v>83</v>
      </c>
      <c r="N670" t="str">
        <f t="shared" si="20"/>
        <v>NA</v>
      </c>
      <c r="O670">
        <v>3.5704969999999996</v>
      </c>
      <c r="S670">
        <f t="shared" si="21"/>
        <v>0.31172426775000001</v>
      </c>
    </row>
    <row r="671" spans="1:19">
      <c r="A671" s="6">
        <v>42087</v>
      </c>
      <c r="B671" t="s">
        <v>21</v>
      </c>
      <c r="C671">
        <v>29</v>
      </c>
      <c r="D671" t="s">
        <v>19</v>
      </c>
      <c r="F671">
        <v>1.39</v>
      </c>
      <c r="J671">
        <f>SUM(50,90,97,129,134,154)</f>
        <v>654</v>
      </c>
      <c r="K671">
        <v>6</v>
      </c>
      <c r="L671">
        <v>154</v>
      </c>
      <c r="N671" t="str">
        <f t="shared" si="20"/>
        <v>NA</v>
      </c>
      <c r="O671">
        <v>5.826906000000001</v>
      </c>
      <c r="S671">
        <f t="shared" si="21"/>
        <v>1.5174665097499997</v>
      </c>
    </row>
    <row r="672" spans="1:19">
      <c r="A672" s="6">
        <v>42087</v>
      </c>
      <c r="B672" t="s">
        <v>21</v>
      </c>
      <c r="C672">
        <v>29</v>
      </c>
      <c r="D672" t="s">
        <v>19</v>
      </c>
      <c r="F672">
        <v>0.69</v>
      </c>
      <c r="J672">
        <f>SUM(36,73,85,99)</f>
        <v>293</v>
      </c>
      <c r="K672">
        <v>4</v>
      </c>
      <c r="L672">
        <v>99</v>
      </c>
      <c r="N672" t="str">
        <f t="shared" si="20"/>
        <v>NA</v>
      </c>
      <c r="O672">
        <v>2.5945320000000009</v>
      </c>
      <c r="S672">
        <f t="shared" si="21"/>
        <v>0.37392774974999993</v>
      </c>
    </row>
    <row r="673" spans="1:19">
      <c r="A673" s="6">
        <v>42087</v>
      </c>
      <c r="B673" t="s">
        <v>21</v>
      </c>
      <c r="C673">
        <v>29</v>
      </c>
      <c r="D673" t="s">
        <v>19</v>
      </c>
      <c r="F673">
        <v>0.85</v>
      </c>
      <c r="J673">
        <f>SUM(51,63,71)</f>
        <v>185</v>
      </c>
      <c r="K673">
        <v>3</v>
      </c>
      <c r="L673">
        <v>71</v>
      </c>
      <c r="N673" t="str">
        <f t="shared" si="20"/>
        <v>NA</v>
      </c>
      <c r="O673">
        <v>7.9262049999999995</v>
      </c>
      <c r="S673">
        <f t="shared" si="21"/>
        <v>0.56744969374999987</v>
      </c>
    </row>
    <row r="674" spans="1:19">
      <c r="A674" s="6">
        <v>42087</v>
      </c>
      <c r="B674" t="s">
        <v>21</v>
      </c>
      <c r="C674">
        <v>29</v>
      </c>
      <c r="D674" t="s">
        <v>19</v>
      </c>
      <c r="F674">
        <v>1.1199999999999999</v>
      </c>
      <c r="J674">
        <f>SUM(44,55,58,87)</f>
        <v>244</v>
      </c>
      <c r="K674">
        <v>4</v>
      </c>
      <c r="L674">
        <v>87</v>
      </c>
      <c r="N674" t="str">
        <f t="shared" si="20"/>
        <v>NA</v>
      </c>
      <c r="O674">
        <v>1.6154769999999985</v>
      </c>
      <c r="S674">
        <f t="shared" si="21"/>
        <v>0.9852026239999998</v>
      </c>
    </row>
    <row r="675" spans="1:19">
      <c r="A675" s="6">
        <v>42087</v>
      </c>
      <c r="B675" t="s">
        <v>21</v>
      </c>
      <c r="C675">
        <v>29</v>
      </c>
      <c r="D675" t="s">
        <v>19</v>
      </c>
      <c r="F675">
        <v>1.81</v>
      </c>
      <c r="J675">
        <f>SUM(74,81,111,126,143,157,167)</f>
        <v>859</v>
      </c>
      <c r="K675">
        <v>7</v>
      </c>
      <c r="L675">
        <v>169</v>
      </c>
      <c r="N675" t="str">
        <f t="shared" si="20"/>
        <v>NA</v>
      </c>
      <c r="O675">
        <v>13.505653000000002</v>
      </c>
      <c r="S675">
        <f t="shared" si="21"/>
        <v>2.5730407497500001</v>
      </c>
    </row>
    <row r="676" spans="1:19">
      <c r="A676" s="6">
        <v>42087</v>
      </c>
      <c r="B676" t="s">
        <v>21</v>
      </c>
      <c r="C676">
        <v>29</v>
      </c>
      <c r="D676" t="s">
        <v>19</v>
      </c>
      <c r="F676">
        <v>0.35</v>
      </c>
      <c r="J676">
        <f>SUM(48,54)</f>
        <v>102</v>
      </c>
      <c r="K676">
        <v>2</v>
      </c>
      <c r="L676">
        <v>54</v>
      </c>
      <c r="N676" t="str">
        <f t="shared" si="20"/>
        <v>NA</v>
      </c>
      <c r="O676">
        <v>12.288057999999999</v>
      </c>
      <c r="S676">
        <f t="shared" si="21"/>
        <v>9.6211193749999979E-2</v>
      </c>
    </row>
    <row r="677" spans="1:19">
      <c r="A677" s="6">
        <v>42087</v>
      </c>
      <c r="B677" t="s">
        <v>21</v>
      </c>
      <c r="C677">
        <v>29</v>
      </c>
      <c r="D677" t="s">
        <v>19</v>
      </c>
      <c r="F677">
        <v>0.15</v>
      </c>
      <c r="J677">
        <f>SUM(32,40)</f>
        <v>72</v>
      </c>
      <c r="K677">
        <v>2</v>
      </c>
      <c r="L677">
        <v>40</v>
      </c>
      <c r="N677" t="str">
        <f t="shared" si="20"/>
        <v>NA</v>
      </c>
      <c r="O677">
        <v>13.692837999999998</v>
      </c>
      <c r="S677">
        <f t="shared" si="21"/>
        <v>1.7671443749999998E-2</v>
      </c>
    </row>
    <row r="678" spans="1:19">
      <c r="A678" s="6">
        <v>42087</v>
      </c>
      <c r="B678" t="s">
        <v>21</v>
      </c>
      <c r="C678">
        <v>29</v>
      </c>
      <c r="D678" t="s">
        <v>19</v>
      </c>
      <c r="F678">
        <v>1.17</v>
      </c>
      <c r="J678">
        <f>SUM(74,123,123,153)</f>
        <v>473</v>
      </c>
      <c r="K678">
        <v>4</v>
      </c>
      <c r="L678">
        <v>153</v>
      </c>
      <c r="N678" t="str">
        <f t="shared" si="20"/>
        <v>NA</v>
      </c>
      <c r="O678">
        <v>3.203202000000001</v>
      </c>
      <c r="S678">
        <f t="shared" si="21"/>
        <v>1.0751306377499998</v>
      </c>
    </row>
    <row r="679" spans="1:19">
      <c r="A679" s="6">
        <v>42087</v>
      </c>
      <c r="B679" t="s">
        <v>21</v>
      </c>
      <c r="C679">
        <v>29</v>
      </c>
      <c r="D679" t="s">
        <v>19</v>
      </c>
      <c r="F679">
        <v>1.32</v>
      </c>
      <c r="J679">
        <f>SUM(62,60,109,139,143,158)</f>
        <v>671</v>
      </c>
      <c r="K679">
        <v>6</v>
      </c>
      <c r="L679">
        <v>158</v>
      </c>
      <c r="N679" t="str">
        <f t="shared" si="20"/>
        <v>NA</v>
      </c>
      <c r="O679">
        <v>6.2157610000000076</v>
      </c>
      <c r="S679">
        <f t="shared" si="21"/>
        <v>1.368476604</v>
      </c>
    </row>
    <row r="680" spans="1:19">
      <c r="A680" s="6">
        <v>42087</v>
      </c>
      <c r="B680" t="s">
        <v>21</v>
      </c>
      <c r="C680">
        <v>29</v>
      </c>
      <c r="D680" t="s">
        <v>19</v>
      </c>
      <c r="F680">
        <v>0.52</v>
      </c>
      <c r="J680">
        <f>SUM(47,69,97)</f>
        <v>213</v>
      </c>
      <c r="K680">
        <v>3</v>
      </c>
      <c r="L680">
        <v>97</v>
      </c>
      <c r="N680" t="str">
        <f t="shared" si="20"/>
        <v>NA</v>
      </c>
      <c r="O680">
        <v>2.7189749999999968</v>
      </c>
      <c r="S680">
        <f t="shared" si="21"/>
        <v>0.21237148400000003</v>
      </c>
    </row>
    <row r="681" spans="1:19">
      <c r="A681" s="6">
        <v>42087</v>
      </c>
      <c r="B681" t="s">
        <v>21</v>
      </c>
      <c r="C681">
        <v>29</v>
      </c>
      <c r="D681" t="s">
        <v>19</v>
      </c>
      <c r="F681">
        <v>1.89</v>
      </c>
      <c r="J681">
        <f>SUM(83,91,124,146,164,179,188)</f>
        <v>975</v>
      </c>
      <c r="K681">
        <v>7</v>
      </c>
      <c r="L681">
        <v>188</v>
      </c>
      <c r="N681" t="str">
        <f t="shared" si="20"/>
        <v>NA</v>
      </c>
      <c r="O681">
        <v>18.657578000000001</v>
      </c>
      <c r="S681">
        <f t="shared" si="21"/>
        <v>2.8055184097499999</v>
      </c>
    </row>
    <row r="682" spans="1:19">
      <c r="A682" s="6">
        <v>42087</v>
      </c>
      <c r="B682" t="s">
        <v>21</v>
      </c>
      <c r="C682">
        <v>29</v>
      </c>
      <c r="D682" t="s">
        <v>19</v>
      </c>
      <c r="F682">
        <v>1.22</v>
      </c>
      <c r="J682">
        <f>SUM(69,80,114,137,154,166)</f>
        <v>720</v>
      </c>
      <c r="K682">
        <v>6</v>
      </c>
      <c r="L682">
        <v>166</v>
      </c>
      <c r="N682" t="str">
        <f t="shared" si="20"/>
        <v>NA</v>
      </c>
      <c r="O682">
        <v>8.399796000000002</v>
      </c>
      <c r="S682">
        <f t="shared" si="21"/>
        <v>1.168985639</v>
      </c>
    </row>
    <row r="683" spans="1:19">
      <c r="A683" s="6">
        <v>42087</v>
      </c>
      <c r="B683" t="s">
        <v>21</v>
      </c>
      <c r="C683">
        <v>29</v>
      </c>
      <c r="D683" t="s">
        <v>19</v>
      </c>
      <c r="F683">
        <v>1.19</v>
      </c>
      <c r="J683">
        <f>SUM(47,83,90,137,163)</f>
        <v>520</v>
      </c>
      <c r="K683">
        <v>5</v>
      </c>
      <c r="L683">
        <v>163</v>
      </c>
      <c r="N683" t="str">
        <f t="shared" si="20"/>
        <v>NA</v>
      </c>
      <c r="O683" t="s">
        <v>64</v>
      </c>
      <c r="S683">
        <f t="shared" si="21"/>
        <v>1.11220139975</v>
      </c>
    </row>
    <row r="684" spans="1:19">
      <c r="A684" s="6">
        <v>42087</v>
      </c>
      <c r="B684" t="s">
        <v>21</v>
      </c>
      <c r="C684">
        <v>29</v>
      </c>
      <c r="D684" t="s">
        <v>19</v>
      </c>
      <c r="F684">
        <v>0.32999999999999996</v>
      </c>
      <c r="J684">
        <f>SUM(57,64,93)</f>
        <v>214</v>
      </c>
      <c r="K684">
        <v>3</v>
      </c>
      <c r="L684">
        <v>93</v>
      </c>
      <c r="N684" t="str">
        <f t="shared" si="20"/>
        <v>NA</v>
      </c>
      <c r="O684">
        <v>4.017710000000001</v>
      </c>
      <c r="S684">
        <f t="shared" si="21"/>
        <v>8.5529787749999975E-2</v>
      </c>
    </row>
    <row r="685" spans="1:19">
      <c r="A685" s="6">
        <v>42087</v>
      </c>
      <c r="B685" t="s">
        <v>21</v>
      </c>
      <c r="C685">
        <v>29</v>
      </c>
      <c r="D685" t="s">
        <v>19</v>
      </c>
      <c r="F685">
        <v>0.13</v>
      </c>
      <c r="J685">
        <v>31</v>
      </c>
      <c r="K685">
        <v>1</v>
      </c>
      <c r="L685">
        <v>31</v>
      </c>
      <c r="N685" t="str">
        <f t="shared" si="20"/>
        <v>NA</v>
      </c>
      <c r="O685">
        <v>19.582440999999996</v>
      </c>
      <c r="S685">
        <f t="shared" si="21"/>
        <v>1.3273217750000002E-2</v>
      </c>
    </row>
    <row r="686" spans="1:19">
      <c r="A686" s="6">
        <v>42087</v>
      </c>
      <c r="B686" t="s">
        <v>21</v>
      </c>
      <c r="C686">
        <v>29</v>
      </c>
      <c r="D686" t="s">
        <v>19</v>
      </c>
      <c r="F686">
        <v>1.55</v>
      </c>
      <c r="J686">
        <f>SUM(82,97,124,144,169,182,196)</f>
        <v>994</v>
      </c>
      <c r="K686">
        <v>7</v>
      </c>
      <c r="L686">
        <v>196</v>
      </c>
      <c r="N686" t="str">
        <f t="shared" si="20"/>
        <v>NA</v>
      </c>
      <c r="O686">
        <v>18.028963000000005</v>
      </c>
      <c r="S686">
        <f t="shared" si="21"/>
        <v>1.8869174937500002</v>
      </c>
    </row>
    <row r="687" spans="1:19">
      <c r="A687" s="6">
        <v>42087</v>
      </c>
      <c r="B687" t="s">
        <v>21</v>
      </c>
      <c r="C687">
        <v>29</v>
      </c>
      <c r="D687" t="s">
        <v>19</v>
      </c>
      <c r="F687">
        <v>1.19</v>
      </c>
      <c r="J687">
        <f>SUM(80,90,118,134,160,162)</f>
        <v>744</v>
      </c>
      <c r="K687">
        <v>6</v>
      </c>
      <c r="L687">
        <v>162</v>
      </c>
      <c r="N687" t="str">
        <f t="shared" si="20"/>
        <v>NA</v>
      </c>
      <c r="O687">
        <v>11.854895999999997</v>
      </c>
      <c r="S687">
        <f t="shared" si="21"/>
        <v>1.11220139975</v>
      </c>
    </row>
    <row r="688" spans="1:19">
      <c r="A688" s="6">
        <v>42087</v>
      </c>
      <c r="B688" t="s">
        <v>21</v>
      </c>
      <c r="C688">
        <v>29</v>
      </c>
      <c r="D688" t="s">
        <v>19</v>
      </c>
      <c r="F688">
        <v>0.99</v>
      </c>
      <c r="J688">
        <f>SUM(77,84,111,132,138)</f>
        <v>542</v>
      </c>
      <c r="K688">
        <v>5</v>
      </c>
      <c r="L688">
        <v>138</v>
      </c>
      <c r="N688" t="str">
        <f t="shared" si="20"/>
        <v>NA</v>
      </c>
      <c r="O688">
        <v>7.1686189999999996</v>
      </c>
      <c r="S688">
        <f t="shared" si="21"/>
        <v>0.76976808975</v>
      </c>
    </row>
    <row r="689" spans="1:19">
      <c r="A689" s="6">
        <v>42087</v>
      </c>
      <c r="B689" t="s">
        <v>21</v>
      </c>
      <c r="C689">
        <v>31</v>
      </c>
      <c r="D689" t="s">
        <v>19</v>
      </c>
      <c r="F689">
        <v>0.56999999999999995</v>
      </c>
      <c r="J689">
        <f>SUM(35,32,36)</f>
        <v>103</v>
      </c>
      <c r="K689">
        <v>3</v>
      </c>
      <c r="L689">
        <v>36</v>
      </c>
      <c r="N689" t="str">
        <f t="shared" si="20"/>
        <v>NA</v>
      </c>
      <c r="O689">
        <v>10.781869999999998</v>
      </c>
      <c r="S689">
        <f t="shared" si="21"/>
        <v>0.25517564774999996</v>
      </c>
    </row>
    <row r="690" spans="1:19">
      <c r="A690" s="6">
        <v>42087</v>
      </c>
      <c r="B690" t="s">
        <v>21</v>
      </c>
      <c r="C690">
        <v>31</v>
      </c>
      <c r="D690" t="s">
        <v>19</v>
      </c>
      <c r="F690">
        <v>1.05</v>
      </c>
      <c r="J690">
        <f>SUM(57,76,81,116,121)</f>
        <v>451</v>
      </c>
      <c r="K690">
        <v>5</v>
      </c>
      <c r="L690">
        <v>121</v>
      </c>
      <c r="N690" t="str">
        <f t="shared" si="20"/>
        <v>NA</v>
      </c>
      <c r="O690">
        <v>3.7580790000000022</v>
      </c>
      <c r="S690">
        <f t="shared" si="21"/>
        <v>0.86590074375000003</v>
      </c>
    </row>
    <row r="691" spans="1:19">
      <c r="A691" s="6">
        <v>42087</v>
      </c>
      <c r="B691" t="s">
        <v>21</v>
      </c>
      <c r="C691">
        <v>31</v>
      </c>
      <c r="D691" t="s">
        <v>19</v>
      </c>
      <c r="F691">
        <v>1.58</v>
      </c>
      <c r="J691">
        <f>SUM(32,69,82,129,145,171,190)</f>
        <v>818</v>
      </c>
      <c r="K691">
        <v>7</v>
      </c>
      <c r="L691">
        <v>190</v>
      </c>
      <c r="N691" t="str">
        <f t="shared" si="20"/>
        <v>NA</v>
      </c>
      <c r="O691">
        <v>3.3355530000000115</v>
      </c>
      <c r="S691">
        <f t="shared" si="21"/>
        <v>1.9606663190000002</v>
      </c>
    </row>
    <row r="692" spans="1:19">
      <c r="A692" s="6">
        <v>42087</v>
      </c>
      <c r="B692" t="s">
        <v>21</v>
      </c>
      <c r="C692">
        <v>31</v>
      </c>
      <c r="D692" t="s">
        <v>19</v>
      </c>
      <c r="F692">
        <v>0.79999999999999993</v>
      </c>
      <c r="J692">
        <f>SUM(34,56,92,100,105)</f>
        <v>387</v>
      </c>
      <c r="K692">
        <v>5</v>
      </c>
      <c r="L692">
        <v>105</v>
      </c>
      <c r="N692" t="str">
        <f t="shared" si="20"/>
        <v>NA</v>
      </c>
      <c r="O692">
        <v>2.5776790000000034</v>
      </c>
      <c r="S692">
        <f t="shared" si="21"/>
        <v>0.50265439999999995</v>
      </c>
    </row>
    <row r="693" spans="1:19">
      <c r="A693" s="6">
        <v>42087</v>
      </c>
      <c r="B693" t="s">
        <v>21</v>
      </c>
      <c r="C693">
        <v>31</v>
      </c>
      <c r="D693" t="s">
        <v>19</v>
      </c>
      <c r="F693">
        <v>0.72</v>
      </c>
      <c r="J693">
        <f>SUM(28,64,86,78)</f>
        <v>256</v>
      </c>
      <c r="K693">
        <v>4</v>
      </c>
      <c r="L693">
        <v>86</v>
      </c>
      <c r="N693" t="str">
        <f t="shared" si="20"/>
        <v>NA</v>
      </c>
      <c r="O693">
        <v>3.0417820000000013</v>
      </c>
      <c r="S693">
        <f t="shared" si="21"/>
        <v>0.40715006399999998</v>
      </c>
    </row>
    <row r="694" spans="1:19">
      <c r="A694" s="6">
        <v>42087</v>
      </c>
      <c r="B694" t="s">
        <v>21</v>
      </c>
      <c r="C694">
        <v>31</v>
      </c>
      <c r="D694" t="s">
        <v>19</v>
      </c>
      <c r="F694">
        <v>0.39</v>
      </c>
      <c r="J694">
        <f>SUM(43,60,64)</f>
        <v>167</v>
      </c>
      <c r="K694">
        <v>3</v>
      </c>
      <c r="L694">
        <v>64</v>
      </c>
      <c r="N694" t="str">
        <f t="shared" si="20"/>
        <v>NA</v>
      </c>
      <c r="O694">
        <v>8.3473299999999995</v>
      </c>
      <c r="S694">
        <f t="shared" si="21"/>
        <v>0.11945895975000001</v>
      </c>
    </row>
    <row r="695" spans="1:19">
      <c r="A695" s="6">
        <v>42087</v>
      </c>
      <c r="B695" t="s">
        <v>21</v>
      </c>
      <c r="C695">
        <v>31</v>
      </c>
      <c r="D695" t="s">
        <v>19</v>
      </c>
      <c r="F695">
        <v>1.05</v>
      </c>
      <c r="J695">
        <f>SUM(35,36,36,70,113)</f>
        <v>290</v>
      </c>
      <c r="K695">
        <v>5</v>
      </c>
      <c r="L695">
        <v>113</v>
      </c>
      <c r="N695" t="str">
        <f t="shared" si="20"/>
        <v>NA</v>
      </c>
      <c r="O695" t="s">
        <v>64</v>
      </c>
      <c r="S695">
        <f t="shared" si="21"/>
        <v>0.86590074375000003</v>
      </c>
    </row>
    <row r="696" spans="1:19">
      <c r="A696" s="6">
        <v>42087</v>
      </c>
      <c r="B696" t="s">
        <v>21</v>
      </c>
      <c r="C696">
        <v>31</v>
      </c>
      <c r="D696" t="s">
        <v>19</v>
      </c>
      <c r="F696">
        <v>1.5999999999999999</v>
      </c>
      <c r="J696">
        <f>SUM(86,93,98,136,140,164)</f>
        <v>717</v>
      </c>
      <c r="K696">
        <v>6</v>
      </c>
      <c r="L696">
        <v>164</v>
      </c>
      <c r="N696" t="str">
        <f t="shared" si="20"/>
        <v>NA</v>
      </c>
      <c r="O696">
        <v>8.7210210000000004</v>
      </c>
      <c r="S696">
        <f t="shared" si="21"/>
        <v>2.0106175999999998</v>
      </c>
    </row>
    <row r="697" spans="1:19">
      <c r="A697" s="6">
        <v>42087</v>
      </c>
      <c r="B697" t="s">
        <v>21</v>
      </c>
      <c r="C697">
        <v>31</v>
      </c>
      <c r="D697" t="s">
        <v>19</v>
      </c>
      <c r="F697">
        <v>1.29</v>
      </c>
      <c r="J697">
        <f>SUM(50,90,131,133,159,166)</f>
        <v>729</v>
      </c>
      <c r="K697">
        <v>6</v>
      </c>
      <c r="L697">
        <v>166</v>
      </c>
      <c r="N697" t="str">
        <f t="shared" si="20"/>
        <v>NA</v>
      </c>
      <c r="O697">
        <v>9.2435910000000021</v>
      </c>
      <c r="S697">
        <f t="shared" si="21"/>
        <v>1.3069799797500001</v>
      </c>
    </row>
    <row r="698" spans="1:19">
      <c r="A698" s="6">
        <v>42087</v>
      </c>
      <c r="B698" t="s">
        <v>21</v>
      </c>
      <c r="C698">
        <v>31</v>
      </c>
      <c r="D698" t="s">
        <v>19</v>
      </c>
      <c r="F698">
        <v>0.94</v>
      </c>
      <c r="J698">
        <f>SUM(36,58,77,95,96)</f>
        <v>362</v>
      </c>
      <c r="K698">
        <v>5</v>
      </c>
      <c r="L698">
        <v>96</v>
      </c>
      <c r="N698" t="str">
        <f t="shared" si="20"/>
        <v>NA</v>
      </c>
      <c r="O698">
        <v>2.9450089999999989</v>
      </c>
      <c r="S698">
        <f t="shared" si="21"/>
        <v>0.69397723099999997</v>
      </c>
    </row>
    <row r="699" spans="1:19">
      <c r="A699" s="6">
        <v>42087</v>
      </c>
      <c r="B699" t="s">
        <v>21</v>
      </c>
      <c r="C699">
        <v>31</v>
      </c>
      <c r="D699" t="s">
        <v>19</v>
      </c>
      <c r="F699">
        <v>0.37</v>
      </c>
      <c r="J699">
        <f>SUM(25,70,60)</f>
        <v>155</v>
      </c>
      <c r="K699">
        <v>3</v>
      </c>
      <c r="L699">
        <v>70</v>
      </c>
      <c r="N699" t="str">
        <f t="shared" si="20"/>
        <v>NA</v>
      </c>
      <c r="O699">
        <v>5.4147999999999996</v>
      </c>
      <c r="S699">
        <f t="shared" si="21"/>
        <v>0.10752091774999999</v>
      </c>
    </row>
    <row r="700" spans="1:19">
      <c r="A700" s="6">
        <v>42087</v>
      </c>
      <c r="B700" t="s">
        <v>21</v>
      </c>
      <c r="C700">
        <v>31</v>
      </c>
      <c r="D700" t="s">
        <v>19</v>
      </c>
      <c r="F700">
        <v>0.14000000000000001</v>
      </c>
      <c r="J700">
        <v>31</v>
      </c>
      <c r="K700">
        <v>1</v>
      </c>
      <c r="L700">
        <v>31</v>
      </c>
      <c r="N700" t="str">
        <f t="shared" si="20"/>
        <v>NA</v>
      </c>
      <c r="O700">
        <v>19.582440999999996</v>
      </c>
      <c r="S700">
        <f t="shared" si="21"/>
        <v>1.5393791000000002E-2</v>
      </c>
    </row>
    <row r="701" spans="1:19">
      <c r="A701" s="6">
        <v>42087</v>
      </c>
      <c r="B701" t="s">
        <v>21</v>
      </c>
      <c r="C701">
        <v>31</v>
      </c>
      <c r="D701" t="s">
        <v>19</v>
      </c>
      <c r="F701">
        <v>0.39</v>
      </c>
      <c r="J701">
        <f>SUM(37,69,73)</f>
        <v>179</v>
      </c>
      <c r="K701">
        <v>3</v>
      </c>
      <c r="L701">
        <v>73</v>
      </c>
      <c r="N701" t="str">
        <f t="shared" si="20"/>
        <v>NA</v>
      </c>
      <c r="O701">
        <v>6.7611849999999976</v>
      </c>
      <c r="S701">
        <f t="shared" si="21"/>
        <v>0.11945895975000001</v>
      </c>
    </row>
    <row r="702" spans="1:19">
      <c r="A702" s="6">
        <v>42087</v>
      </c>
      <c r="B702" t="s">
        <v>21</v>
      </c>
      <c r="C702">
        <v>31</v>
      </c>
      <c r="D702" t="s">
        <v>19</v>
      </c>
      <c r="F702">
        <v>0.99</v>
      </c>
      <c r="J702">
        <f>SUM(64,73,83,106,120,129)</f>
        <v>575</v>
      </c>
      <c r="K702">
        <v>6</v>
      </c>
      <c r="L702">
        <v>129</v>
      </c>
      <c r="N702" t="str">
        <f t="shared" si="20"/>
        <v>NA</v>
      </c>
      <c r="O702">
        <v>5.9513859999999994</v>
      </c>
      <c r="S702">
        <f t="shared" si="21"/>
        <v>0.76976808975</v>
      </c>
    </row>
    <row r="703" spans="1:19">
      <c r="A703" s="6">
        <v>42087</v>
      </c>
      <c r="B703" t="s">
        <v>21</v>
      </c>
      <c r="C703">
        <v>31</v>
      </c>
      <c r="D703" t="s">
        <v>19</v>
      </c>
      <c r="F703">
        <v>1.97</v>
      </c>
      <c r="J703">
        <f>SUM(91,98,123,133,165,173,191)</f>
        <v>974</v>
      </c>
      <c r="K703">
        <v>7</v>
      </c>
      <c r="L703">
        <v>191</v>
      </c>
      <c r="N703" t="str">
        <f t="shared" si="20"/>
        <v>NA</v>
      </c>
      <c r="O703">
        <v>17.660088000000016</v>
      </c>
      <c r="S703">
        <f t="shared" si="21"/>
        <v>3.04804915775</v>
      </c>
    </row>
    <row r="704" spans="1:19">
      <c r="A704" s="6">
        <v>42087</v>
      </c>
      <c r="B704" t="s">
        <v>21</v>
      </c>
      <c r="C704">
        <v>48</v>
      </c>
      <c r="D704" t="s">
        <v>63</v>
      </c>
      <c r="E704">
        <v>124</v>
      </c>
      <c r="F704" s="8">
        <v>2.0100000000000002</v>
      </c>
      <c r="M704" s="8"/>
      <c r="N704">
        <f t="shared" si="20"/>
        <v>131.15415684300001</v>
      </c>
      <c r="O704">
        <v>4.1024230000000008</v>
      </c>
      <c r="S704">
        <f t="shared" si="21"/>
        <v>3.1730844397500002</v>
      </c>
    </row>
    <row r="705" spans="1:19">
      <c r="A705" s="6">
        <v>42087</v>
      </c>
      <c r="B705" t="s">
        <v>21</v>
      </c>
      <c r="C705">
        <v>48</v>
      </c>
      <c r="D705" t="s">
        <v>63</v>
      </c>
      <c r="E705">
        <v>89</v>
      </c>
      <c r="F705" s="8">
        <v>0.69</v>
      </c>
      <c r="M705" s="8"/>
      <c r="N705">
        <f t="shared" si="20"/>
        <v>11.093189909249997</v>
      </c>
      <c r="O705">
        <v>1.6487480000000003</v>
      </c>
      <c r="S705">
        <f t="shared" si="21"/>
        <v>0.37392774974999993</v>
      </c>
    </row>
    <row r="706" spans="1:19">
      <c r="A706" s="6">
        <v>42087</v>
      </c>
      <c r="B706" t="s">
        <v>21</v>
      </c>
      <c r="C706">
        <v>48</v>
      </c>
      <c r="D706" t="s">
        <v>63</v>
      </c>
      <c r="E706">
        <v>179</v>
      </c>
      <c r="F706" s="8">
        <v>1.47</v>
      </c>
      <c r="M706" s="8"/>
      <c r="N706">
        <f t="shared" si="20"/>
        <v>101.26420564574998</v>
      </c>
      <c r="O706">
        <v>7.9581980000000003</v>
      </c>
      <c r="S706">
        <f t="shared" si="21"/>
        <v>1.6971654577499997</v>
      </c>
    </row>
    <row r="707" spans="1:19">
      <c r="A707" s="6">
        <v>42087</v>
      </c>
      <c r="B707" t="s">
        <v>21</v>
      </c>
      <c r="C707">
        <v>48</v>
      </c>
      <c r="D707" t="s">
        <v>63</v>
      </c>
      <c r="E707">
        <v>152</v>
      </c>
      <c r="F707" s="8">
        <v>1.77</v>
      </c>
      <c r="M707" s="8"/>
      <c r="N707">
        <f t="shared" si="20"/>
        <v>124.668972606</v>
      </c>
      <c r="O707">
        <v>6.0653630000000005</v>
      </c>
      <c r="S707">
        <f t="shared" si="21"/>
        <v>2.4605718277499999</v>
      </c>
    </row>
    <row r="708" spans="1:19">
      <c r="A708" s="6">
        <v>42087</v>
      </c>
      <c r="B708" t="s">
        <v>21</v>
      </c>
      <c r="C708">
        <v>48</v>
      </c>
      <c r="D708" t="s">
        <v>63</v>
      </c>
      <c r="E708">
        <v>187</v>
      </c>
      <c r="F708" s="8">
        <v>1.38</v>
      </c>
      <c r="G708">
        <v>10</v>
      </c>
      <c r="M708" s="8"/>
      <c r="N708">
        <f t="shared" ref="N708:N765" si="22">IF(OR(D708="S. acutus", D708="S. tabernaemontani", D708="S. californicus"),(1/3)*(3.14159)*((F708/2)^2)*E708,"NA")</f>
        <v>93.232652270999978</v>
      </c>
      <c r="O708">
        <v>4.5803032000000004</v>
      </c>
      <c r="S708">
        <f t="shared" si="21"/>
        <v>1.4957109989999997</v>
      </c>
    </row>
    <row r="709" spans="1:19">
      <c r="A709" s="6">
        <v>42087</v>
      </c>
      <c r="B709" t="s">
        <v>21</v>
      </c>
      <c r="C709">
        <v>48</v>
      </c>
      <c r="D709" t="s">
        <v>63</v>
      </c>
      <c r="E709">
        <v>289</v>
      </c>
      <c r="F709" s="8">
        <v>1.59</v>
      </c>
      <c r="M709" s="8"/>
      <c r="N709">
        <f t="shared" si="22"/>
        <v>191.27594276925001</v>
      </c>
      <c r="O709">
        <v>15.669748000000002</v>
      </c>
      <c r="S709">
        <f t="shared" ref="S709:S765" si="23">3.14159*((F709/2)^2)</f>
        <v>1.9855634197500001</v>
      </c>
    </row>
    <row r="710" spans="1:19">
      <c r="A710" s="6">
        <v>42087</v>
      </c>
      <c r="B710" t="s">
        <v>21</v>
      </c>
      <c r="C710">
        <v>48</v>
      </c>
      <c r="D710" t="s">
        <v>63</v>
      </c>
      <c r="E710">
        <v>278</v>
      </c>
      <c r="F710" s="8">
        <v>3.04</v>
      </c>
      <c r="M710" s="8"/>
      <c r="N710">
        <f t="shared" si="22"/>
        <v>672.60520366933326</v>
      </c>
      <c r="O710">
        <v>14.898593000000002</v>
      </c>
      <c r="S710">
        <f t="shared" si="23"/>
        <v>7.2583295359999997</v>
      </c>
    </row>
    <row r="711" spans="1:19">
      <c r="A711" s="6">
        <v>42087</v>
      </c>
      <c r="B711" t="s">
        <v>21</v>
      </c>
      <c r="C711">
        <v>48</v>
      </c>
      <c r="D711" t="s">
        <v>63</v>
      </c>
      <c r="E711">
        <v>88</v>
      </c>
      <c r="F711" s="8">
        <v>0.69</v>
      </c>
      <c r="G711">
        <v>12</v>
      </c>
      <c r="M711" s="8"/>
      <c r="N711">
        <f t="shared" si="22"/>
        <v>10.968547325999998</v>
      </c>
      <c r="O711">
        <v>2.1554367999999999</v>
      </c>
      <c r="S711">
        <f t="shared" si="23"/>
        <v>0.37392774974999993</v>
      </c>
    </row>
    <row r="712" spans="1:19">
      <c r="A712" s="6">
        <v>42087</v>
      </c>
      <c r="B712" t="s">
        <v>21</v>
      </c>
      <c r="C712">
        <v>48</v>
      </c>
      <c r="D712" t="s">
        <v>63</v>
      </c>
      <c r="E712">
        <v>30</v>
      </c>
      <c r="F712" s="8">
        <v>0.35</v>
      </c>
      <c r="M712" s="8"/>
      <c r="N712">
        <f t="shared" si="22"/>
        <v>0.96211193749999979</v>
      </c>
      <c r="O712" t="s">
        <v>64</v>
      </c>
      <c r="S712">
        <f t="shared" si="23"/>
        <v>9.6211193749999979E-2</v>
      </c>
    </row>
    <row r="713" spans="1:19">
      <c r="A713" s="6">
        <v>42087</v>
      </c>
      <c r="B713" t="s">
        <v>21</v>
      </c>
      <c r="C713">
        <v>48</v>
      </c>
      <c r="D713" t="s">
        <v>63</v>
      </c>
      <c r="E713">
        <v>98</v>
      </c>
      <c r="F713" s="8">
        <v>0.79999999999999993</v>
      </c>
      <c r="G713">
        <v>11</v>
      </c>
      <c r="M713" s="8"/>
      <c r="N713">
        <f t="shared" si="22"/>
        <v>16.42004373333333</v>
      </c>
      <c r="O713">
        <v>2.4003728</v>
      </c>
      <c r="S713">
        <f t="shared" si="23"/>
        <v>0.50265439999999995</v>
      </c>
    </row>
    <row r="714" spans="1:19">
      <c r="A714" s="6">
        <v>42087</v>
      </c>
      <c r="B714" t="s">
        <v>21</v>
      </c>
      <c r="C714">
        <v>48</v>
      </c>
      <c r="D714" t="s">
        <v>63</v>
      </c>
      <c r="E714">
        <v>134</v>
      </c>
      <c r="F714" s="8">
        <v>0.91999999999999993</v>
      </c>
      <c r="M714" s="8"/>
      <c r="N714">
        <f t="shared" si="22"/>
        <v>29.692633165333326</v>
      </c>
      <c r="O714">
        <v>4.8034729999999994</v>
      </c>
      <c r="S714">
        <f t="shared" si="23"/>
        <v>0.66476044399999978</v>
      </c>
    </row>
    <row r="715" spans="1:19">
      <c r="A715" s="6">
        <v>42087</v>
      </c>
      <c r="B715" t="s">
        <v>21</v>
      </c>
      <c r="C715">
        <v>48</v>
      </c>
      <c r="D715" t="s">
        <v>63</v>
      </c>
      <c r="E715">
        <v>129</v>
      </c>
      <c r="F715" s="8">
        <v>1.03</v>
      </c>
      <c r="M715" s="8"/>
      <c r="N715">
        <f t="shared" si="22"/>
        <v>35.828812933249999</v>
      </c>
      <c r="O715">
        <v>4.4529480000000001</v>
      </c>
      <c r="S715">
        <f t="shared" si="23"/>
        <v>0.83322820774999995</v>
      </c>
    </row>
    <row r="716" spans="1:19">
      <c r="A716" s="6">
        <v>42087</v>
      </c>
      <c r="B716" t="s">
        <v>21</v>
      </c>
      <c r="C716">
        <v>48</v>
      </c>
      <c r="D716" t="s">
        <v>63</v>
      </c>
      <c r="E716">
        <v>125</v>
      </c>
      <c r="F716" s="8">
        <v>0.78</v>
      </c>
      <c r="G716">
        <v>11</v>
      </c>
      <c r="M716" s="8"/>
      <c r="N716">
        <f t="shared" si="22"/>
        <v>19.909826624999997</v>
      </c>
      <c r="O716">
        <v>3.0617000000000001</v>
      </c>
      <c r="S716">
        <f t="shared" si="23"/>
        <v>0.47783583900000004</v>
      </c>
    </row>
    <row r="717" spans="1:19">
      <c r="A717" s="6">
        <v>42087</v>
      </c>
      <c r="B717" t="s">
        <v>21</v>
      </c>
      <c r="C717">
        <v>48</v>
      </c>
      <c r="D717" t="s">
        <v>63</v>
      </c>
      <c r="E717">
        <v>64</v>
      </c>
      <c r="F717" s="8">
        <v>0.59</v>
      </c>
      <c r="M717" s="8"/>
      <c r="N717">
        <f t="shared" si="22"/>
        <v>5.8324665546666656</v>
      </c>
      <c r="O717" t="s">
        <v>64</v>
      </c>
      <c r="S717">
        <f t="shared" si="23"/>
        <v>0.27339686974999994</v>
      </c>
    </row>
    <row r="718" spans="1:19">
      <c r="A718" s="6">
        <v>42087</v>
      </c>
      <c r="B718" t="s">
        <v>21</v>
      </c>
      <c r="C718">
        <v>48</v>
      </c>
      <c r="D718" t="s">
        <v>63</v>
      </c>
      <c r="E718">
        <v>116</v>
      </c>
      <c r="F718" s="8">
        <v>0.78999999999999992</v>
      </c>
      <c r="G718">
        <v>6</v>
      </c>
      <c r="M718" s="8"/>
      <c r="N718">
        <f t="shared" si="22"/>
        <v>18.953107750333331</v>
      </c>
      <c r="O718">
        <v>2.8412576</v>
      </c>
      <c r="S718">
        <f t="shared" si="23"/>
        <v>0.49016657974999989</v>
      </c>
    </row>
    <row r="719" spans="1:19">
      <c r="A719" s="6">
        <v>42087</v>
      </c>
      <c r="B719" t="s">
        <v>21</v>
      </c>
      <c r="C719">
        <v>48</v>
      </c>
      <c r="D719" t="s">
        <v>63</v>
      </c>
      <c r="E719">
        <v>267</v>
      </c>
      <c r="F719" s="8">
        <v>2.08</v>
      </c>
      <c r="M719" s="8"/>
      <c r="N719">
        <f t="shared" si="22"/>
        <v>302.41699321599998</v>
      </c>
      <c r="O719">
        <v>14.127438000000001</v>
      </c>
      <c r="S719">
        <f t="shared" si="23"/>
        <v>3.3979437440000004</v>
      </c>
    </row>
    <row r="720" spans="1:19">
      <c r="A720" s="6">
        <v>42087</v>
      </c>
      <c r="B720" t="s">
        <v>21</v>
      </c>
      <c r="C720">
        <v>48</v>
      </c>
      <c r="D720" t="s">
        <v>63</v>
      </c>
      <c r="E720">
        <v>163</v>
      </c>
      <c r="F720" s="8">
        <v>1.47</v>
      </c>
      <c r="G720">
        <v>5</v>
      </c>
      <c r="M720" s="8"/>
      <c r="N720">
        <f t="shared" si="22"/>
        <v>92.212656537749979</v>
      </c>
      <c r="O720">
        <v>3.9924568000000002</v>
      </c>
      <c r="S720">
        <f t="shared" si="23"/>
        <v>1.6971654577499997</v>
      </c>
    </row>
    <row r="721" spans="1:19">
      <c r="A721" s="6">
        <v>42087</v>
      </c>
      <c r="B721" t="s">
        <v>21</v>
      </c>
      <c r="C721">
        <v>48</v>
      </c>
      <c r="D721" t="s">
        <v>63</v>
      </c>
      <c r="E721">
        <v>210</v>
      </c>
      <c r="F721" s="8">
        <v>1.32</v>
      </c>
      <c r="G721">
        <v>1</v>
      </c>
      <c r="M721" s="8"/>
      <c r="N721">
        <f t="shared" si="22"/>
        <v>95.793362279999997</v>
      </c>
      <c r="O721">
        <v>5.143656</v>
      </c>
      <c r="S721">
        <f t="shared" si="23"/>
        <v>1.368476604</v>
      </c>
    </row>
    <row r="722" spans="1:19">
      <c r="A722" s="6">
        <v>42087</v>
      </c>
      <c r="B722" t="s">
        <v>21</v>
      </c>
      <c r="C722">
        <v>48</v>
      </c>
      <c r="D722" t="s">
        <v>63</v>
      </c>
      <c r="E722">
        <v>217</v>
      </c>
      <c r="F722" s="8">
        <v>1.2</v>
      </c>
      <c r="M722" s="8"/>
      <c r="N722">
        <f t="shared" si="22"/>
        <v>81.807003599999987</v>
      </c>
      <c r="O722">
        <v>10.622188000000001</v>
      </c>
      <c r="S722">
        <f t="shared" si="23"/>
        <v>1.1309723999999999</v>
      </c>
    </row>
    <row r="723" spans="1:19">
      <c r="A723" s="6">
        <v>42087</v>
      </c>
      <c r="B723" t="s">
        <v>21</v>
      </c>
      <c r="C723">
        <v>48</v>
      </c>
      <c r="D723" t="s">
        <v>63</v>
      </c>
      <c r="E723">
        <v>73</v>
      </c>
      <c r="F723" s="8">
        <v>0.7</v>
      </c>
      <c r="G723">
        <v>11</v>
      </c>
      <c r="M723" s="8"/>
      <c r="N723">
        <f t="shared" si="22"/>
        <v>9.3645561916666651</v>
      </c>
      <c r="O723">
        <v>1.7880328000000001</v>
      </c>
      <c r="S723">
        <f t="shared" si="23"/>
        <v>0.38484477499999992</v>
      </c>
    </row>
    <row r="724" spans="1:19">
      <c r="A724" s="6">
        <v>42087</v>
      </c>
      <c r="B724" t="s">
        <v>21</v>
      </c>
      <c r="C724">
        <v>48</v>
      </c>
      <c r="D724" t="s">
        <v>63</v>
      </c>
      <c r="E724">
        <v>61</v>
      </c>
      <c r="F724" s="8">
        <v>0.61</v>
      </c>
      <c r="M724" s="8"/>
      <c r="N724">
        <f t="shared" si="22"/>
        <v>5.9423436649166659</v>
      </c>
      <c r="O724" t="s">
        <v>64</v>
      </c>
      <c r="S724">
        <f t="shared" si="23"/>
        <v>0.29224640974999999</v>
      </c>
    </row>
    <row r="725" spans="1:19">
      <c r="A725" s="6">
        <v>42087</v>
      </c>
      <c r="B725" t="s">
        <v>21</v>
      </c>
      <c r="C725">
        <v>48</v>
      </c>
      <c r="D725" t="s">
        <v>63</v>
      </c>
      <c r="E725">
        <v>143</v>
      </c>
      <c r="F725" s="8">
        <v>1.42</v>
      </c>
      <c r="M725" s="8"/>
      <c r="N725">
        <f t="shared" si="22"/>
        <v>75.488533072333325</v>
      </c>
      <c r="O725">
        <v>5.434418</v>
      </c>
      <c r="S725">
        <f t="shared" si="23"/>
        <v>1.5836755189999998</v>
      </c>
    </row>
    <row r="726" spans="1:19">
      <c r="A726" s="6">
        <v>42087</v>
      </c>
      <c r="B726" t="s">
        <v>21</v>
      </c>
      <c r="C726">
        <v>48</v>
      </c>
      <c r="D726" t="s">
        <v>63</v>
      </c>
      <c r="E726">
        <v>275</v>
      </c>
      <c r="F726" s="8">
        <v>2.33</v>
      </c>
      <c r="M726" s="8"/>
      <c r="N726">
        <f t="shared" si="22"/>
        <v>390.85241137708334</v>
      </c>
      <c r="O726">
        <v>14.688278</v>
      </c>
      <c r="S726">
        <f t="shared" si="23"/>
        <v>4.2638444877500001</v>
      </c>
    </row>
    <row r="727" spans="1:19">
      <c r="A727" s="6">
        <v>42087</v>
      </c>
      <c r="B727" t="s">
        <v>21</v>
      </c>
      <c r="C727">
        <v>48</v>
      </c>
      <c r="D727" t="s">
        <v>63</v>
      </c>
      <c r="E727">
        <v>81</v>
      </c>
      <c r="F727" s="8">
        <v>0.91999999999999993</v>
      </c>
      <c r="G727">
        <v>4</v>
      </c>
      <c r="M727" s="8"/>
      <c r="N727">
        <f t="shared" si="22"/>
        <v>17.948531987999996</v>
      </c>
      <c r="O727">
        <v>1.9839816000000001</v>
      </c>
      <c r="S727">
        <f t="shared" si="23"/>
        <v>0.66476044399999978</v>
      </c>
    </row>
    <row r="728" spans="1:19">
      <c r="A728" s="6">
        <v>42087</v>
      </c>
      <c r="B728" t="s">
        <v>21</v>
      </c>
      <c r="C728">
        <v>48</v>
      </c>
      <c r="D728" t="s">
        <v>63</v>
      </c>
      <c r="E728">
        <v>92</v>
      </c>
      <c r="F728" s="8">
        <v>0.77</v>
      </c>
      <c r="G728">
        <v>8</v>
      </c>
      <c r="M728" s="8"/>
      <c r="N728">
        <f t="shared" si="22"/>
        <v>14.28030678433333</v>
      </c>
      <c r="O728">
        <v>2.2534111999999999</v>
      </c>
      <c r="S728">
        <f t="shared" si="23"/>
        <v>0.46566217774999996</v>
      </c>
    </row>
    <row r="729" spans="1:19">
      <c r="A729" s="6">
        <v>42087</v>
      </c>
      <c r="B729" t="s">
        <v>21</v>
      </c>
      <c r="C729">
        <v>48</v>
      </c>
      <c r="D729" t="s">
        <v>63</v>
      </c>
      <c r="E729">
        <v>136</v>
      </c>
      <c r="F729">
        <v>0.99</v>
      </c>
      <c r="N729">
        <f t="shared" si="22"/>
        <v>34.896153401999996</v>
      </c>
      <c r="O729">
        <v>4.9436830000000009</v>
      </c>
      <c r="S729">
        <f t="shared" si="23"/>
        <v>0.76976808975</v>
      </c>
    </row>
    <row r="730" spans="1:19">
      <c r="A730" s="6">
        <v>42087</v>
      </c>
      <c r="B730" t="s">
        <v>21</v>
      </c>
      <c r="C730">
        <v>48</v>
      </c>
      <c r="D730" t="s">
        <v>63</v>
      </c>
      <c r="E730">
        <v>108</v>
      </c>
      <c r="F730">
        <v>0.85</v>
      </c>
      <c r="G730">
        <v>6</v>
      </c>
      <c r="N730">
        <f t="shared" si="22"/>
        <v>20.428188974999994</v>
      </c>
      <c r="O730">
        <v>2.6453088</v>
      </c>
      <c r="S730">
        <f t="shared" si="23"/>
        <v>0.56744969374999987</v>
      </c>
    </row>
    <row r="731" spans="1:19">
      <c r="A731" s="6">
        <v>42087</v>
      </c>
      <c r="B731" t="s">
        <v>21</v>
      </c>
      <c r="C731">
        <v>48</v>
      </c>
      <c r="D731" t="s">
        <v>63</v>
      </c>
      <c r="E731">
        <v>150</v>
      </c>
      <c r="F731">
        <v>1.05</v>
      </c>
      <c r="N731">
        <f t="shared" si="22"/>
        <v>43.2950371875</v>
      </c>
      <c r="O731">
        <v>5.9251530000000008</v>
      </c>
      <c r="S731">
        <f t="shared" si="23"/>
        <v>0.86590074375000003</v>
      </c>
    </row>
    <row r="732" spans="1:19">
      <c r="A732" s="6">
        <v>42087</v>
      </c>
      <c r="B732" t="s">
        <v>21</v>
      </c>
      <c r="C732">
        <v>48</v>
      </c>
      <c r="D732" t="s">
        <v>63</v>
      </c>
      <c r="E732">
        <v>109</v>
      </c>
      <c r="F732">
        <v>0.72</v>
      </c>
      <c r="G732">
        <v>6</v>
      </c>
      <c r="N732">
        <f t="shared" si="22"/>
        <v>14.793118991999997</v>
      </c>
      <c r="O732">
        <v>2.6698024</v>
      </c>
      <c r="S732">
        <f t="shared" si="23"/>
        <v>0.40715006399999998</v>
      </c>
    </row>
    <row r="733" spans="1:19">
      <c r="A733" s="6">
        <v>42087</v>
      </c>
      <c r="B733" t="s">
        <v>21</v>
      </c>
      <c r="C733">
        <v>48</v>
      </c>
      <c r="D733" t="s">
        <v>63</v>
      </c>
      <c r="E733">
        <v>75</v>
      </c>
      <c r="F733">
        <v>0.51</v>
      </c>
      <c r="N733">
        <f t="shared" si="22"/>
        <v>5.1070472437499994</v>
      </c>
      <c r="O733">
        <v>0.66727800000000048</v>
      </c>
      <c r="S733">
        <f t="shared" si="23"/>
        <v>0.20428188975</v>
      </c>
    </row>
    <row r="734" spans="1:19">
      <c r="A734" s="6">
        <v>42087</v>
      </c>
      <c r="B734" t="s">
        <v>21</v>
      </c>
      <c r="C734">
        <v>48</v>
      </c>
      <c r="D734" t="s">
        <v>63</v>
      </c>
      <c r="E734">
        <v>151</v>
      </c>
      <c r="F734">
        <v>1.49</v>
      </c>
      <c r="N734">
        <f t="shared" si="22"/>
        <v>87.764269817416661</v>
      </c>
      <c r="O734">
        <v>5.9952580000000006</v>
      </c>
      <c r="S734">
        <f t="shared" si="23"/>
        <v>1.7436609897499999</v>
      </c>
    </row>
    <row r="735" spans="1:19">
      <c r="A735" s="6">
        <v>42087</v>
      </c>
      <c r="B735" t="s">
        <v>21</v>
      </c>
      <c r="C735">
        <v>48</v>
      </c>
      <c r="D735" t="s">
        <v>63</v>
      </c>
      <c r="E735">
        <v>166</v>
      </c>
      <c r="F735">
        <v>1.42</v>
      </c>
      <c r="G735">
        <v>4</v>
      </c>
      <c r="N735">
        <f t="shared" si="22"/>
        <v>87.630045384666658</v>
      </c>
      <c r="O735">
        <v>4.0659375999999998</v>
      </c>
      <c r="S735">
        <f t="shared" si="23"/>
        <v>1.5836755189999998</v>
      </c>
    </row>
    <row r="736" spans="1:19">
      <c r="A736" s="6">
        <v>42087</v>
      </c>
      <c r="B736" t="s">
        <v>21</v>
      </c>
      <c r="C736">
        <v>48</v>
      </c>
      <c r="D736" t="s">
        <v>63</v>
      </c>
      <c r="E736">
        <v>236</v>
      </c>
      <c r="F736">
        <v>1.97</v>
      </c>
      <c r="N736">
        <f t="shared" si="22"/>
        <v>239.77986707633332</v>
      </c>
      <c r="O736">
        <v>11.954183</v>
      </c>
      <c r="S736">
        <f t="shared" si="23"/>
        <v>3.04804915775</v>
      </c>
    </row>
    <row r="737" spans="1:19">
      <c r="A737" s="6">
        <v>42087</v>
      </c>
      <c r="B737" t="s">
        <v>21</v>
      </c>
      <c r="C737">
        <v>48</v>
      </c>
      <c r="D737" t="s">
        <v>63</v>
      </c>
      <c r="E737">
        <v>119</v>
      </c>
      <c r="F737">
        <v>1.22</v>
      </c>
      <c r="G737">
        <v>9</v>
      </c>
      <c r="N737">
        <f t="shared" si="22"/>
        <v>46.369763680333328</v>
      </c>
      <c r="O737">
        <v>2.9147384000000001</v>
      </c>
      <c r="S737">
        <f t="shared" si="23"/>
        <v>1.168985639</v>
      </c>
    </row>
    <row r="738" spans="1:19">
      <c r="A738" s="6">
        <v>42087</v>
      </c>
      <c r="B738" t="s">
        <v>21</v>
      </c>
      <c r="C738">
        <v>48</v>
      </c>
      <c r="D738" t="s">
        <v>63</v>
      </c>
      <c r="E738">
        <v>28</v>
      </c>
      <c r="F738">
        <v>0.67999999999999994</v>
      </c>
      <c r="N738">
        <f t="shared" si="22"/>
        <v>3.3895661706666655</v>
      </c>
      <c r="O738" t="s">
        <v>64</v>
      </c>
      <c r="S738">
        <f t="shared" si="23"/>
        <v>0.36316780399999993</v>
      </c>
    </row>
    <row r="739" spans="1:19">
      <c r="A739" s="6">
        <v>42087</v>
      </c>
      <c r="B739" t="s">
        <v>21</v>
      </c>
      <c r="C739">
        <v>48</v>
      </c>
      <c r="D739" t="s">
        <v>63</v>
      </c>
      <c r="E739">
        <v>219</v>
      </c>
      <c r="F739">
        <v>1.67</v>
      </c>
      <c r="G739">
        <v>5</v>
      </c>
      <c r="N739">
        <f t="shared" si="22"/>
        <v>159.89884140574998</v>
      </c>
      <c r="O739">
        <v>5.3640984000000005</v>
      </c>
      <c r="S739">
        <f t="shared" si="23"/>
        <v>2.1903950877499998</v>
      </c>
    </row>
    <row r="740" spans="1:19">
      <c r="A740" s="6">
        <v>42087</v>
      </c>
      <c r="B740" t="s">
        <v>21</v>
      </c>
      <c r="C740">
        <v>48</v>
      </c>
      <c r="D740" t="s">
        <v>63</v>
      </c>
      <c r="E740">
        <v>313</v>
      </c>
      <c r="F740">
        <v>1.3699999999999999</v>
      </c>
      <c r="N740">
        <f t="shared" si="22"/>
        <v>153.79907790191663</v>
      </c>
      <c r="O740">
        <v>17.352268000000002</v>
      </c>
      <c r="S740">
        <f t="shared" si="23"/>
        <v>1.4741125677499998</v>
      </c>
    </row>
    <row r="741" spans="1:19">
      <c r="A741" s="6">
        <v>42087</v>
      </c>
      <c r="B741" t="s">
        <v>21</v>
      </c>
      <c r="C741">
        <v>48</v>
      </c>
      <c r="D741" t="s">
        <v>63</v>
      </c>
      <c r="E741">
        <v>169</v>
      </c>
      <c r="F741">
        <v>1.27</v>
      </c>
      <c r="G741">
        <v>11</v>
      </c>
      <c r="N741">
        <f t="shared" si="22"/>
        <v>71.361243029916665</v>
      </c>
      <c r="O741">
        <v>4.1394184000000003</v>
      </c>
      <c r="S741">
        <f t="shared" si="23"/>
        <v>1.26676762775</v>
      </c>
    </row>
    <row r="742" spans="1:19">
      <c r="A742" s="6">
        <v>42087</v>
      </c>
      <c r="B742" t="s">
        <v>21</v>
      </c>
      <c r="C742">
        <v>48</v>
      </c>
      <c r="D742" t="s">
        <v>63</v>
      </c>
      <c r="E742">
        <v>187</v>
      </c>
      <c r="F742">
        <v>1.24</v>
      </c>
      <c r="N742">
        <f t="shared" si="22"/>
        <v>75.27542855066666</v>
      </c>
      <c r="O742">
        <v>8.5190380000000019</v>
      </c>
      <c r="S742">
        <f t="shared" si="23"/>
        <v>1.207627196</v>
      </c>
    </row>
    <row r="743" spans="1:19">
      <c r="A743" s="6">
        <v>42087</v>
      </c>
      <c r="B743" t="s">
        <v>21</v>
      </c>
      <c r="C743">
        <v>48</v>
      </c>
      <c r="D743" t="s">
        <v>63</v>
      </c>
      <c r="E743">
        <v>314</v>
      </c>
      <c r="F743">
        <v>1.29</v>
      </c>
      <c r="N743">
        <f t="shared" si="22"/>
        <v>136.79723788050001</v>
      </c>
      <c r="O743">
        <v>17.422373</v>
      </c>
      <c r="S743">
        <f t="shared" si="23"/>
        <v>1.3069799797500001</v>
      </c>
    </row>
    <row r="744" spans="1:19">
      <c r="A744" s="6">
        <v>42087</v>
      </c>
      <c r="B744" t="s">
        <v>21</v>
      </c>
      <c r="C744">
        <v>48</v>
      </c>
      <c r="D744" t="s">
        <v>63</v>
      </c>
      <c r="E744">
        <v>119</v>
      </c>
      <c r="F744">
        <v>0.91999999999999993</v>
      </c>
      <c r="G744">
        <v>6</v>
      </c>
      <c r="N744">
        <f t="shared" si="22"/>
        <v>26.368830945333325</v>
      </c>
      <c r="O744">
        <v>2.9147384000000001</v>
      </c>
      <c r="S744">
        <f t="shared" si="23"/>
        <v>0.66476044399999978</v>
      </c>
    </row>
    <row r="745" spans="1:19">
      <c r="A745" s="6">
        <v>42087</v>
      </c>
      <c r="B745" t="s">
        <v>21</v>
      </c>
      <c r="C745">
        <v>48</v>
      </c>
      <c r="D745" t="s">
        <v>63</v>
      </c>
      <c r="E745">
        <v>37</v>
      </c>
      <c r="F745">
        <v>1.45</v>
      </c>
      <c r="N745">
        <f t="shared" si="22"/>
        <v>20.366011672916667</v>
      </c>
      <c r="O745" t="s">
        <v>64</v>
      </c>
      <c r="S745">
        <f t="shared" si="23"/>
        <v>1.6512982437499999</v>
      </c>
    </row>
    <row r="746" spans="1:19">
      <c r="A746" s="6">
        <v>42087</v>
      </c>
      <c r="B746" t="s">
        <v>21</v>
      </c>
      <c r="C746">
        <v>48</v>
      </c>
      <c r="D746" t="s">
        <v>63</v>
      </c>
      <c r="E746">
        <v>68</v>
      </c>
      <c r="F746">
        <v>1.69</v>
      </c>
      <c r="N746">
        <f t="shared" si="22"/>
        <v>50.845272794333326</v>
      </c>
      <c r="O746">
        <v>0.17654300000000056</v>
      </c>
      <c r="S746">
        <f t="shared" si="23"/>
        <v>2.2431737997499996</v>
      </c>
    </row>
    <row r="747" spans="1:19">
      <c r="A747" s="6">
        <v>42087</v>
      </c>
      <c r="B747" t="s">
        <v>21</v>
      </c>
      <c r="C747">
        <v>48</v>
      </c>
      <c r="D747" t="s">
        <v>63</v>
      </c>
      <c r="E747">
        <v>38</v>
      </c>
      <c r="F747">
        <v>0.55999999999999994</v>
      </c>
      <c r="N747">
        <f t="shared" si="22"/>
        <v>3.1198083093333322</v>
      </c>
      <c r="O747" t="s">
        <v>64</v>
      </c>
      <c r="S747">
        <f t="shared" si="23"/>
        <v>0.24630065599999995</v>
      </c>
    </row>
    <row r="748" spans="1:19">
      <c r="A748" s="6">
        <v>42087</v>
      </c>
      <c r="B748" t="s">
        <v>21</v>
      </c>
      <c r="C748">
        <v>48</v>
      </c>
      <c r="D748" t="s">
        <v>63</v>
      </c>
      <c r="E748">
        <v>171</v>
      </c>
      <c r="F748">
        <v>0.91999999999999993</v>
      </c>
      <c r="G748">
        <v>3</v>
      </c>
      <c r="N748">
        <f t="shared" si="22"/>
        <v>37.891345307999991</v>
      </c>
      <c r="O748">
        <v>4.1884056000000003</v>
      </c>
      <c r="S748">
        <f t="shared" si="23"/>
        <v>0.66476044399999978</v>
      </c>
    </row>
    <row r="749" spans="1:19">
      <c r="A749" s="6">
        <v>42087</v>
      </c>
      <c r="B749" t="s">
        <v>21</v>
      </c>
      <c r="C749">
        <v>48</v>
      </c>
      <c r="D749" t="s">
        <v>63</v>
      </c>
      <c r="E749">
        <v>300</v>
      </c>
      <c r="F749">
        <v>1.8</v>
      </c>
      <c r="N749">
        <f t="shared" si="22"/>
        <v>254.46878999999998</v>
      </c>
      <c r="O749">
        <v>16.440903000000002</v>
      </c>
      <c r="S749">
        <f t="shared" si="23"/>
        <v>2.5446879</v>
      </c>
    </row>
    <row r="750" spans="1:19">
      <c r="A750" s="6">
        <v>42087</v>
      </c>
      <c r="B750" t="s">
        <v>21</v>
      </c>
      <c r="C750">
        <v>48</v>
      </c>
      <c r="D750" t="s">
        <v>63</v>
      </c>
      <c r="E750">
        <v>246</v>
      </c>
      <c r="F750">
        <v>1.92</v>
      </c>
      <c r="N750">
        <f t="shared" si="22"/>
        <v>237.41372620799996</v>
      </c>
      <c r="O750">
        <v>12.655233000000003</v>
      </c>
      <c r="S750">
        <f t="shared" si="23"/>
        <v>2.8952893439999996</v>
      </c>
    </row>
    <row r="751" spans="1:19">
      <c r="A751" s="6">
        <v>42087</v>
      </c>
      <c r="B751" t="s">
        <v>21</v>
      </c>
      <c r="C751">
        <v>48</v>
      </c>
      <c r="D751" t="s">
        <v>63</v>
      </c>
      <c r="E751">
        <v>322</v>
      </c>
      <c r="F751">
        <v>1.49</v>
      </c>
      <c r="N751">
        <f t="shared" si="22"/>
        <v>187.15294623316666</v>
      </c>
      <c r="O751">
        <v>17.983213000000003</v>
      </c>
      <c r="S751">
        <f t="shared" si="23"/>
        <v>1.7436609897499999</v>
      </c>
    </row>
    <row r="752" spans="1:19">
      <c r="A752" s="6">
        <v>42087</v>
      </c>
      <c r="B752" t="s">
        <v>21</v>
      </c>
      <c r="C752">
        <v>48</v>
      </c>
      <c r="D752" t="s">
        <v>63</v>
      </c>
      <c r="E752">
        <v>266</v>
      </c>
      <c r="F752">
        <v>1.93</v>
      </c>
      <c r="N752">
        <f t="shared" si="22"/>
        <v>259.39674043383332</v>
      </c>
      <c r="O752">
        <v>14.057333</v>
      </c>
      <c r="S752">
        <f t="shared" si="23"/>
        <v>2.92552714775</v>
      </c>
    </row>
    <row r="753" spans="1:19">
      <c r="A753" s="6">
        <v>42087</v>
      </c>
      <c r="B753" t="s">
        <v>21</v>
      </c>
      <c r="C753">
        <v>48</v>
      </c>
      <c r="D753" t="s">
        <v>63</v>
      </c>
      <c r="E753">
        <v>262</v>
      </c>
      <c r="F753">
        <v>1.69</v>
      </c>
      <c r="G753">
        <v>5</v>
      </c>
      <c r="N753">
        <f t="shared" si="22"/>
        <v>195.90384517816662</v>
      </c>
      <c r="O753">
        <v>6.4173232000000002</v>
      </c>
      <c r="S753">
        <f t="shared" si="23"/>
        <v>2.2431737997499996</v>
      </c>
    </row>
    <row r="754" spans="1:19">
      <c r="A754" s="6">
        <v>42087</v>
      </c>
      <c r="B754" t="s">
        <v>21</v>
      </c>
      <c r="C754">
        <v>48</v>
      </c>
      <c r="D754" t="s">
        <v>63</v>
      </c>
      <c r="E754">
        <v>97</v>
      </c>
      <c r="F754">
        <v>0.64</v>
      </c>
      <c r="N754">
        <f t="shared" si="22"/>
        <v>10.401595050666666</v>
      </c>
      <c r="O754">
        <v>2.2095880000000001</v>
      </c>
      <c r="S754">
        <f t="shared" si="23"/>
        <v>0.321698816</v>
      </c>
    </row>
    <row r="755" spans="1:19">
      <c r="A755" s="6">
        <v>42087</v>
      </c>
      <c r="B755" t="s">
        <v>21</v>
      </c>
      <c r="C755">
        <v>48</v>
      </c>
      <c r="D755" t="s">
        <v>63</v>
      </c>
      <c r="E755">
        <v>189</v>
      </c>
      <c r="F755">
        <v>1.95</v>
      </c>
      <c r="N755">
        <f t="shared" si="22"/>
        <v>188.14786160624996</v>
      </c>
      <c r="O755">
        <v>8.6592480000000016</v>
      </c>
      <c r="S755">
        <f t="shared" si="23"/>
        <v>2.9864739937499998</v>
      </c>
    </row>
    <row r="756" spans="1:19">
      <c r="A756" s="6">
        <v>42087</v>
      </c>
      <c r="B756" t="s">
        <v>21</v>
      </c>
      <c r="C756">
        <v>48</v>
      </c>
      <c r="D756" t="s">
        <v>63</v>
      </c>
      <c r="E756">
        <v>273</v>
      </c>
      <c r="F756">
        <v>1.97</v>
      </c>
      <c r="N756">
        <f t="shared" si="22"/>
        <v>277.37247335525001</v>
      </c>
      <c r="O756">
        <v>14.548068000000001</v>
      </c>
      <c r="S756">
        <f t="shared" si="23"/>
        <v>3.04804915775</v>
      </c>
    </row>
    <row r="757" spans="1:19">
      <c r="A757" s="6">
        <v>42087</v>
      </c>
      <c r="B757" t="s">
        <v>21</v>
      </c>
      <c r="C757">
        <v>48</v>
      </c>
      <c r="D757" t="s">
        <v>63</v>
      </c>
      <c r="E757">
        <v>247</v>
      </c>
      <c r="F757">
        <v>1.97</v>
      </c>
      <c r="N757">
        <f t="shared" si="22"/>
        <v>250.95604732141666</v>
      </c>
      <c r="O757">
        <v>12.725338000000001</v>
      </c>
      <c r="S757">
        <f t="shared" si="23"/>
        <v>3.04804915775</v>
      </c>
    </row>
    <row r="758" spans="1:19">
      <c r="A758" s="6">
        <v>42087</v>
      </c>
      <c r="B758" t="s">
        <v>21</v>
      </c>
      <c r="C758">
        <v>48</v>
      </c>
      <c r="D758" t="s">
        <v>63</v>
      </c>
      <c r="E758">
        <v>308</v>
      </c>
      <c r="F758">
        <v>1.79</v>
      </c>
      <c r="N758">
        <f t="shared" si="22"/>
        <v>258.35985865433327</v>
      </c>
      <c r="O758">
        <v>17.001743000000001</v>
      </c>
      <c r="S758">
        <f t="shared" si="23"/>
        <v>2.51649212975</v>
      </c>
    </row>
    <row r="759" spans="1:19">
      <c r="A759" s="6">
        <v>42087</v>
      </c>
      <c r="B759" t="s">
        <v>21</v>
      </c>
      <c r="C759">
        <v>48</v>
      </c>
      <c r="D759" t="s">
        <v>63</v>
      </c>
      <c r="E759">
        <v>320</v>
      </c>
      <c r="F759">
        <v>2.5500000000000003</v>
      </c>
      <c r="N759">
        <f t="shared" si="22"/>
        <v>544.75170600000001</v>
      </c>
      <c r="O759">
        <v>17.843003</v>
      </c>
      <c r="S759">
        <f t="shared" si="23"/>
        <v>5.1070472437500012</v>
      </c>
    </row>
    <row r="760" spans="1:19">
      <c r="A760" s="6">
        <v>42087</v>
      </c>
      <c r="B760" t="s">
        <v>21</v>
      </c>
      <c r="C760">
        <v>48</v>
      </c>
      <c r="D760" t="s">
        <v>63</v>
      </c>
      <c r="E760">
        <v>198</v>
      </c>
      <c r="F760">
        <v>1.0999999999999999</v>
      </c>
      <c r="G760">
        <v>3</v>
      </c>
      <c r="N760">
        <f t="shared" si="22"/>
        <v>62.721844349999976</v>
      </c>
      <c r="O760">
        <v>4.8497328</v>
      </c>
      <c r="S760">
        <f t="shared" si="23"/>
        <v>0.95033097499999974</v>
      </c>
    </row>
    <row r="761" spans="1:19">
      <c r="A761" s="6">
        <v>42087</v>
      </c>
      <c r="B761" t="s">
        <v>21</v>
      </c>
      <c r="C761">
        <v>48</v>
      </c>
      <c r="D761" t="s">
        <v>63</v>
      </c>
      <c r="E761">
        <v>244</v>
      </c>
      <c r="F761">
        <v>1.18</v>
      </c>
      <c r="N761">
        <f t="shared" si="22"/>
        <v>88.94511495866665</v>
      </c>
      <c r="O761">
        <v>12.515023000000003</v>
      </c>
      <c r="S761">
        <f t="shared" si="23"/>
        <v>1.0935874789999998</v>
      </c>
    </row>
    <row r="762" spans="1:19">
      <c r="A762" s="6">
        <v>42087</v>
      </c>
      <c r="B762" t="s">
        <v>21</v>
      </c>
      <c r="C762">
        <v>48</v>
      </c>
      <c r="D762" t="s">
        <v>63</v>
      </c>
      <c r="E762">
        <v>214</v>
      </c>
      <c r="F762">
        <v>1.24</v>
      </c>
      <c r="N762">
        <f t="shared" si="22"/>
        <v>86.144073314666656</v>
      </c>
      <c r="O762">
        <v>10.411873</v>
      </c>
      <c r="S762">
        <f t="shared" si="23"/>
        <v>1.207627196</v>
      </c>
    </row>
    <row r="763" spans="1:19">
      <c r="A763" s="6">
        <v>42087</v>
      </c>
      <c r="B763" t="s">
        <v>21</v>
      </c>
      <c r="C763">
        <v>48</v>
      </c>
      <c r="D763" t="s">
        <v>63</v>
      </c>
      <c r="E763">
        <v>72</v>
      </c>
      <c r="F763">
        <v>0.67999999999999994</v>
      </c>
      <c r="N763">
        <f t="shared" si="22"/>
        <v>8.7160272959999965</v>
      </c>
      <c r="O763">
        <v>0.45696300000000001</v>
      </c>
      <c r="S763">
        <f t="shared" si="23"/>
        <v>0.36316780399999993</v>
      </c>
    </row>
    <row r="764" spans="1:19">
      <c r="A764" s="6">
        <v>42087</v>
      </c>
      <c r="B764" t="s">
        <v>21</v>
      </c>
      <c r="C764">
        <v>48</v>
      </c>
      <c r="D764" t="s">
        <v>63</v>
      </c>
      <c r="E764">
        <v>318</v>
      </c>
      <c r="F764">
        <v>1.8699999999999999</v>
      </c>
      <c r="N764">
        <f t="shared" si="22"/>
        <v>291.12439088149995</v>
      </c>
      <c r="O764">
        <v>17.702793</v>
      </c>
      <c r="S764">
        <f t="shared" si="23"/>
        <v>2.7464565177499995</v>
      </c>
    </row>
    <row r="765" spans="1:19">
      <c r="A765" s="6">
        <v>42087</v>
      </c>
      <c r="B765" t="s">
        <v>21</v>
      </c>
      <c r="C765">
        <v>48</v>
      </c>
      <c r="D765" t="s">
        <v>63</v>
      </c>
      <c r="E765">
        <v>174</v>
      </c>
      <c r="F765">
        <v>1.57</v>
      </c>
      <c r="N765">
        <f t="shared" si="22"/>
        <v>112.2837252695</v>
      </c>
      <c r="O765">
        <v>7.607673000000001</v>
      </c>
      <c r="S765">
        <f t="shared" si="23"/>
        <v>1.93592629775</v>
      </c>
    </row>
    <row r="766" spans="1:19">
      <c r="A766" s="6"/>
    </row>
    <row r="767" spans="1:19">
      <c r="A767" s="6"/>
      <c r="Q767" s="7" t="s">
        <v>67</v>
      </c>
      <c r="S767">
        <f>SUM(S4:S765)</f>
        <v>1636.6217562867498</v>
      </c>
    </row>
    <row r="768" spans="1:19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</sheetData>
  <sortState ref="A4:Q765">
    <sortCondition ref="B4:B765"/>
    <sortCondition ref="C4:C765"/>
    <sortCondition ref="D4:D765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W1" workbookViewId="0">
      <pane ySplit="2640" topLeftCell="A29" activePane="bottomLeft"/>
      <selection pane="bottomLeft" activeCell="I53" sqref="I53"/>
    </sheetView>
  </sheetViews>
  <sheetFormatPr baseColWidth="10" defaultRowHeight="15" x14ac:dyDescent="0"/>
  <sheetData>
    <row r="1" spans="1:34" ht="20" thickBot="1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9"/>
      <c r="AA1" s="9"/>
    </row>
    <row r="2" spans="1:34" ht="99" thickTop="1">
      <c r="A2" s="10" t="s">
        <v>31</v>
      </c>
      <c r="B2" s="10" t="s">
        <v>4</v>
      </c>
      <c r="C2" s="4" t="s">
        <v>32</v>
      </c>
      <c r="D2" s="11" t="s">
        <v>33</v>
      </c>
      <c r="E2" s="10" t="s">
        <v>34</v>
      </c>
      <c r="F2" s="4" t="s">
        <v>35</v>
      </c>
      <c r="G2" s="4" t="s">
        <v>33</v>
      </c>
      <c r="H2" s="10" t="s">
        <v>36</v>
      </c>
      <c r="I2" s="4" t="s">
        <v>37</v>
      </c>
      <c r="J2" s="4" t="s">
        <v>33</v>
      </c>
      <c r="K2" s="10" t="s">
        <v>38</v>
      </c>
      <c r="L2" s="4" t="s">
        <v>39</v>
      </c>
      <c r="M2" s="12" t="s">
        <v>33</v>
      </c>
      <c r="N2" s="10" t="s">
        <v>40</v>
      </c>
      <c r="O2" s="4" t="s">
        <v>41</v>
      </c>
      <c r="P2" s="4" t="s">
        <v>33</v>
      </c>
      <c r="Q2" s="10" t="s">
        <v>42</v>
      </c>
      <c r="R2" s="4" t="s">
        <v>43</v>
      </c>
      <c r="S2" s="12" t="s">
        <v>33</v>
      </c>
      <c r="T2" s="10" t="s">
        <v>44</v>
      </c>
      <c r="U2" s="4" t="s">
        <v>45</v>
      </c>
      <c r="V2" s="4" t="s">
        <v>33</v>
      </c>
      <c r="W2" s="10" t="s">
        <v>46</v>
      </c>
      <c r="X2" s="10" t="s">
        <v>47</v>
      </c>
      <c r="Y2" s="10" t="s">
        <v>48</v>
      </c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53</v>
      </c>
      <c r="AE2" s="10" t="s">
        <v>54</v>
      </c>
      <c r="AF2" s="13" t="s">
        <v>55</v>
      </c>
      <c r="AG2" s="13" t="s">
        <v>56</v>
      </c>
      <c r="AH2" s="13" t="s">
        <v>57</v>
      </c>
    </row>
    <row r="3" spans="1:34">
      <c r="A3" s="14" t="s">
        <v>25</v>
      </c>
      <c r="B3" s="15">
        <v>2</v>
      </c>
      <c r="C3" s="16"/>
      <c r="D3" s="17"/>
      <c r="E3" s="15">
        <f>C3*4</f>
        <v>0</v>
      </c>
      <c r="F3" s="16"/>
      <c r="G3" s="18"/>
      <c r="H3" s="15">
        <f>F3*4</f>
        <v>0</v>
      </c>
      <c r="I3" s="16"/>
      <c r="J3" s="18"/>
      <c r="K3" s="15">
        <f>I3*4</f>
        <v>0</v>
      </c>
      <c r="L3" s="16"/>
      <c r="M3" s="18"/>
      <c r="N3" s="15">
        <f>L3*4</f>
        <v>0</v>
      </c>
      <c r="O3" s="16"/>
      <c r="P3" s="18"/>
      <c r="Q3" s="15">
        <f>O3*4</f>
        <v>0</v>
      </c>
      <c r="R3" s="16">
        <f>SUM('Plant Measurments'!O4:O24)</f>
        <v>174.43040200000007</v>
      </c>
      <c r="S3" s="18"/>
      <c r="T3" s="15">
        <f>R3*4</f>
        <v>697.72160800000029</v>
      </c>
      <c r="U3" s="16"/>
      <c r="V3" s="18"/>
      <c r="W3" s="15">
        <f>U3*4</f>
        <v>0</v>
      </c>
      <c r="X3" s="15">
        <f>SUM(W3,T3,Q3,N3,K3,H3,E3)</f>
        <v>697.72160800000029</v>
      </c>
      <c r="Y3" s="19">
        <f>AVERAGE(X3:X7)</f>
        <v>505.13942640000022</v>
      </c>
      <c r="Z3" s="20">
        <f>E3+Q3</f>
        <v>0</v>
      </c>
      <c r="AA3" s="20">
        <f>W3+T3</f>
        <v>697.72160800000029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2935.1233514422092</v>
      </c>
    </row>
    <row r="4" spans="1:34">
      <c r="A4" s="21" t="s">
        <v>25</v>
      </c>
      <c r="B4" s="22">
        <v>18</v>
      </c>
      <c r="C4" s="23"/>
      <c r="D4" s="24"/>
      <c r="E4" s="15">
        <f t="shared" ref="E4:E52" si="0">C4*4</f>
        <v>0</v>
      </c>
      <c r="F4" s="23"/>
      <c r="G4" s="25"/>
      <c r="H4" s="15">
        <f t="shared" ref="H4:H7" si="1">F4*4</f>
        <v>0</v>
      </c>
      <c r="I4" s="23"/>
      <c r="J4" s="25"/>
      <c r="K4" s="15">
        <f t="shared" ref="K4:K52" si="2">I4*4</f>
        <v>0</v>
      </c>
      <c r="L4" s="23"/>
      <c r="M4" s="25"/>
      <c r="N4" s="15">
        <f t="shared" ref="N4:N52" si="3">L4*4</f>
        <v>0</v>
      </c>
      <c r="O4" s="23"/>
      <c r="P4" s="25"/>
      <c r="Q4" s="15">
        <f t="shared" ref="Q4:Q52" si="4">O4*4</f>
        <v>0</v>
      </c>
      <c r="R4" s="23">
        <f>SUM('Plant Measurments'!O25:O26)</f>
        <v>74.004014000000012</v>
      </c>
      <c r="S4" s="25"/>
      <c r="T4" s="15">
        <f t="shared" ref="T4:T52" si="5">R4*4</f>
        <v>296.01605600000005</v>
      </c>
      <c r="U4" s="23"/>
      <c r="V4" s="25"/>
      <c r="W4" s="15">
        <f t="shared" ref="W4:W52" si="6">U4*4</f>
        <v>0</v>
      </c>
      <c r="X4" s="22">
        <f t="shared" ref="X4:X52" si="7">SUM(W4,T4,Q4,N4,K4,H4,E4)</f>
        <v>296.01605600000005</v>
      </c>
      <c r="Y4" s="26"/>
      <c r="Z4" s="20">
        <f t="shared" ref="Z4:Z52" si="8">E4+Q4</f>
        <v>0</v>
      </c>
      <c r="AA4" s="20">
        <f t="shared" ref="AA4:AA52" si="9">W4+T4</f>
        <v>296.01605600000005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1245.2583213782659</v>
      </c>
    </row>
    <row r="5" spans="1:34">
      <c r="A5" s="21" t="s">
        <v>25</v>
      </c>
      <c r="B5" s="22">
        <v>20</v>
      </c>
      <c r="C5" s="23"/>
      <c r="D5" s="24"/>
      <c r="E5" s="15">
        <f t="shared" si="0"/>
        <v>0</v>
      </c>
      <c r="F5" s="23"/>
      <c r="G5" s="25"/>
      <c r="H5" s="15">
        <f t="shared" si="1"/>
        <v>0</v>
      </c>
      <c r="I5" s="23"/>
      <c r="J5" s="25"/>
      <c r="K5" s="15">
        <f t="shared" si="2"/>
        <v>0</v>
      </c>
      <c r="L5" s="23"/>
      <c r="M5" s="25"/>
      <c r="N5" s="15">
        <f t="shared" si="3"/>
        <v>0</v>
      </c>
      <c r="O5" s="23"/>
      <c r="P5" s="25"/>
      <c r="Q5" s="15">
        <f t="shared" si="4"/>
        <v>0</v>
      </c>
      <c r="R5" s="23">
        <f>SUM('Plant Measurments'!O27:O40)</f>
        <v>112.44045000000003</v>
      </c>
      <c r="S5" s="25"/>
      <c r="T5" s="15">
        <f t="shared" si="5"/>
        <v>449.76180000000011</v>
      </c>
      <c r="U5" s="23"/>
      <c r="V5" s="25"/>
      <c r="W5" s="15">
        <f t="shared" si="6"/>
        <v>0</v>
      </c>
      <c r="X5" s="22">
        <f t="shared" si="7"/>
        <v>449.76180000000011</v>
      </c>
      <c r="Y5" s="26"/>
      <c r="Z5" s="20">
        <f t="shared" si="8"/>
        <v>0</v>
      </c>
      <c r="AA5" s="20">
        <f t="shared" si="9"/>
        <v>449.76180000000011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1892.0244788616044</v>
      </c>
    </row>
    <row r="6" spans="1:34">
      <c r="A6" s="21" t="s">
        <v>25</v>
      </c>
      <c r="B6" s="22">
        <v>22</v>
      </c>
      <c r="C6" s="23"/>
      <c r="D6" s="24"/>
      <c r="E6" s="15">
        <f t="shared" si="0"/>
        <v>0</v>
      </c>
      <c r="F6" s="23"/>
      <c r="G6" s="25"/>
      <c r="H6" s="15">
        <f t="shared" si="1"/>
        <v>0</v>
      </c>
      <c r="I6" s="23"/>
      <c r="J6" s="25"/>
      <c r="K6" s="15">
        <f t="shared" si="2"/>
        <v>0</v>
      </c>
      <c r="L6" s="23"/>
      <c r="M6" s="25"/>
      <c r="N6" s="15">
        <f t="shared" si="3"/>
        <v>0</v>
      </c>
      <c r="O6" s="23"/>
      <c r="P6" s="25"/>
      <c r="Q6" s="15">
        <f t="shared" si="4"/>
        <v>0</v>
      </c>
      <c r="R6" s="23">
        <f>SUM('Plant Measurments'!O41:O57)</f>
        <v>224.36801000000014</v>
      </c>
      <c r="S6" s="25"/>
      <c r="T6" s="15">
        <f t="shared" si="5"/>
        <v>897.47204000000056</v>
      </c>
      <c r="U6" s="23"/>
      <c r="V6" s="25"/>
      <c r="W6" s="15">
        <f t="shared" si="6"/>
        <v>0</v>
      </c>
      <c r="X6" s="22">
        <f t="shared" si="7"/>
        <v>897.47204000000056</v>
      </c>
      <c r="Y6" s="26"/>
      <c r="Z6" s="20">
        <f t="shared" si="8"/>
        <v>0</v>
      </c>
      <c r="AA6" s="20">
        <f t="shared" si="9"/>
        <v>897.47204000000056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3775.4186077471704</v>
      </c>
    </row>
    <row r="7" spans="1:34">
      <c r="A7" s="27" t="s">
        <v>25</v>
      </c>
      <c r="B7" s="28">
        <v>33</v>
      </c>
      <c r="C7" s="29"/>
      <c r="D7" s="30"/>
      <c r="E7" s="15">
        <f t="shared" si="0"/>
        <v>0</v>
      </c>
      <c r="F7" s="29"/>
      <c r="G7" s="31"/>
      <c r="H7" s="15">
        <f t="shared" si="1"/>
        <v>0</v>
      </c>
      <c r="I7" s="29"/>
      <c r="J7" s="31"/>
      <c r="K7" s="15">
        <f t="shared" si="2"/>
        <v>0</v>
      </c>
      <c r="L7" s="29"/>
      <c r="M7" s="31"/>
      <c r="N7" s="15">
        <f t="shared" si="3"/>
        <v>0</v>
      </c>
      <c r="O7" s="29"/>
      <c r="P7" s="31"/>
      <c r="Q7" s="15">
        <f t="shared" si="4"/>
        <v>0</v>
      </c>
      <c r="R7" s="29">
        <f>SUM('Plant Measurments'!O58:O66)</f>
        <v>46.181407000000007</v>
      </c>
      <c r="S7" s="31"/>
      <c r="T7" s="15">
        <f t="shared" si="5"/>
        <v>184.72562800000003</v>
      </c>
      <c r="U7" s="29"/>
      <c r="V7" s="31"/>
      <c r="W7" s="15">
        <f t="shared" si="6"/>
        <v>0</v>
      </c>
      <c r="X7" s="28">
        <f t="shared" si="7"/>
        <v>184.72562800000003</v>
      </c>
      <c r="Y7" s="32"/>
      <c r="Z7" s="20">
        <f t="shared" si="8"/>
        <v>0</v>
      </c>
      <c r="AA7" s="20">
        <f t="shared" si="9"/>
        <v>184.72562800000003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777.09002865312834</v>
      </c>
    </row>
    <row r="8" spans="1:34">
      <c r="A8" s="14" t="s">
        <v>28</v>
      </c>
      <c r="B8" s="15">
        <v>11</v>
      </c>
      <c r="C8" s="16">
        <f>SUM('Plant Measurments'!O67:O69)</f>
        <v>14.444191000000002</v>
      </c>
      <c r="D8" s="17"/>
      <c r="E8" s="15">
        <f t="shared" si="0"/>
        <v>57.776764000000007</v>
      </c>
      <c r="F8" s="16"/>
      <c r="G8" s="18"/>
      <c r="H8" s="15"/>
      <c r="I8" s="16"/>
      <c r="J8" s="18"/>
      <c r="K8" s="15">
        <f t="shared" si="2"/>
        <v>0</v>
      </c>
      <c r="L8" s="16"/>
      <c r="M8" s="18"/>
      <c r="N8" s="15">
        <f t="shared" si="3"/>
        <v>0</v>
      </c>
      <c r="O8" s="16"/>
      <c r="P8" s="18"/>
      <c r="Q8" s="15">
        <f t="shared" si="4"/>
        <v>0</v>
      </c>
      <c r="R8" s="16">
        <f>SUM('Plant Measurments'!O70:O99)</f>
        <v>193.75770300000011</v>
      </c>
      <c r="S8" s="18"/>
      <c r="T8" s="15">
        <f t="shared" si="5"/>
        <v>775.03081200000042</v>
      </c>
      <c r="U8" s="16"/>
      <c r="V8" s="18"/>
      <c r="W8" s="15">
        <f t="shared" si="6"/>
        <v>0</v>
      </c>
      <c r="X8" s="15">
        <f t="shared" si="7"/>
        <v>832.80757600000038</v>
      </c>
      <c r="Y8" s="19">
        <f>AVERAGE(X8:X12)</f>
        <v>406.0428960000001</v>
      </c>
      <c r="Z8" s="20">
        <f t="shared" si="8"/>
        <v>57.776764000000007</v>
      </c>
      <c r="AA8" s="20">
        <f t="shared" si="9"/>
        <v>775.03081200000042</v>
      </c>
      <c r="AB8">
        <f t="shared" si="10"/>
        <v>6.9375886657399938E-2</v>
      </c>
      <c r="AC8">
        <f t="shared" si="11"/>
        <v>0</v>
      </c>
      <c r="AD8">
        <f t="shared" si="12"/>
        <v>0</v>
      </c>
      <c r="AE8">
        <f t="shared" si="13"/>
        <v>0.93062411334260009</v>
      </c>
      <c r="AF8">
        <f t="shared" si="14"/>
        <v>21033.62801</v>
      </c>
      <c r="AG8">
        <f t="shared" si="15"/>
        <v>4206.7256020000004</v>
      </c>
      <c r="AH8">
        <f t="shared" si="16"/>
        <v>3503.3929514987626</v>
      </c>
    </row>
    <row r="9" spans="1:34">
      <c r="A9" s="21" t="s">
        <v>28</v>
      </c>
      <c r="B9" s="22">
        <v>20</v>
      </c>
      <c r="C9" s="23"/>
      <c r="D9" s="24"/>
      <c r="E9" s="15">
        <f t="shared" si="0"/>
        <v>0</v>
      </c>
      <c r="F9" s="23"/>
      <c r="G9" s="25"/>
      <c r="H9" s="22">
        <f>F9*4</f>
        <v>0</v>
      </c>
      <c r="I9" s="23"/>
      <c r="J9" s="25"/>
      <c r="K9" s="15">
        <f t="shared" si="2"/>
        <v>0</v>
      </c>
      <c r="L9" s="23"/>
      <c r="M9" s="25"/>
      <c r="N9" s="15">
        <f t="shared" si="3"/>
        <v>0</v>
      </c>
      <c r="O9" s="23"/>
      <c r="P9" s="25"/>
      <c r="Q9" s="15">
        <f t="shared" si="4"/>
        <v>0</v>
      </c>
      <c r="R9" s="23">
        <f>SUM('Plant Measurments'!O100:O131)</f>
        <v>165.56836400000003</v>
      </c>
      <c r="S9" s="25"/>
      <c r="T9" s="15">
        <f t="shared" si="5"/>
        <v>662.27345600000012</v>
      </c>
      <c r="U9" s="23"/>
      <c r="V9" s="25"/>
      <c r="W9" s="15">
        <f t="shared" si="6"/>
        <v>0</v>
      </c>
      <c r="X9" s="22">
        <f>SUM(W9,T9,Q9,N9,K9,H9,E9)</f>
        <v>662.27345600000012</v>
      </c>
      <c r="Y9" s="26"/>
      <c r="Z9" s="20">
        <f t="shared" si="8"/>
        <v>0</v>
      </c>
      <c r="AA9" s="20">
        <f t="shared" si="9"/>
        <v>662.27345600000012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2786.0027028802215</v>
      </c>
    </row>
    <row r="10" spans="1:34">
      <c r="A10" s="21" t="s">
        <v>28</v>
      </c>
      <c r="B10" s="22">
        <v>24</v>
      </c>
      <c r="C10" s="23"/>
      <c r="D10" s="24"/>
      <c r="E10" s="15">
        <f t="shared" si="0"/>
        <v>0</v>
      </c>
      <c r="F10" s="23"/>
      <c r="G10" s="25"/>
      <c r="H10" s="22">
        <f t="shared" ref="H10:H42" si="17">F10*4</f>
        <v>0</v>
      </c>
      <c r="I10" s="23"/>
      <c r="J10" s="25"/>
      <c r="K10" s="15">
        <f t="shared" si="2"/>
        <v>0</v>
      </c>
      <c r="L10" s="23"/>
      <c r="M10" s="25"/>
      <c r="N10" s="15">
        <f t="shared" si="3"/>
        <v>0</v>
      </c>
      <c r="O10" s="23"/>
      <c r="P10" s="25"/>
      <c r="Q10" s="15">
        <f t="shared" si="4"/>
        <v>0</v>
      </c>
      <c r="R10" s="23">
        <f>SUM('Plant Measurments'!O132:O135)</f>
        <v>23.366953000000002</v>
      </c>
      <c r="S10" s="25"/>
      <c r="T10" s="15">
        <f t="shared" si="5"/>
        <v>93.467812000000009</v>
      </c>
      <c r="U10" s="23"/>
      <c r="V10" s="25"/>
      <c r="W10" s="15">
        <f t="shared" si="6"/>
        <v>0</v>
      </c>
      <c r="X10" s="22">
        <f t="shared" si="7"/>
        <v>93.467812000000009</v>
      </c>
      <c r="Y10" s="26"/>
      <c r="Z10" s="20">
        <f t="shared" si="8"/>
        <v>0</v>
      </c>
      <c r="AA10" s="20">
        <f t="shared" si="9"/>
        <v>93.467812000000009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393.1934377033229</v>
      </c>
    </row>
    <row r="11" spans="1:34">
      <c r="A11" s="21" t="s">
        <v>28</v>
      </c>
      <c r="B11" s="22">
        <v>37</v>
      </c>
      <c r="C11" s="23"/>
      <c r="D11" s="24"/>
      <c r="E11" s="15">
        <f t="shared" si="0"/>
        <v>0</v>
      </c>
      <c r="F11" s="23"/>
      <c r="G11" s="25"/>
      <c r="H11" s="22">
        <f t="shared" si="17"/>
        <v>0</v>
      </c>
      <c r="I11" s="23"/>
      <c r="J11" s="25"/>
      <c r="K11" s="15">
        <f t="shared" si="2"/>
        <v>0</v>
      </c>
      <c r="L11" s="23"/>
      <c r="M11" s="25"/>
      <c r="N11" s="15">
        <f t="shared" si="3"/>
        <v>0</v>
      </c>
      <c r="O11" s="23"/>
      <c r="P11" s="25"/>
      <c r="Q11" s="15">
        <f t="shared" si="4"/>
        <v>0</v>
      </c>
      <c r="R11" s="23">
        <f>SUM('Plant Measurments'!O136:O147)</f>
        <v>65.191684000000009</v>
      </c>
      <c r="S11" s="25"/>
      <c r="T11" s="15">
        <f t="shared" si="5"/>
        <v>260.76673600000004</v>
      </c>
      <c r="U11" s="23"/>
      <c r="V11" s="25"/>
      <c r="W11" s="15">
        <f t="shared" si="6"/>
        <v>0</v>
      </c>
      <c r="X11" s="22">
        <f t="shared" si="7"/>
        <v>260.76673600000004</v>
      </c>
      <c r="Y11" s="26"/>
      <c r="Z11" s="20">
        <f t="shared" si="8"/>
        <v>0</v>
      </c>
      <c r="AA11" s="20">
        <f t="shared" si="9"/>
        <v>260.76673600000004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1096.9741044811753</v>
      </c>
    </row>
    <row r="12" spans="1:34">
      <c r="A12" s="27" t="s">
        <v>28</v>
      </c>
      <c r="B12" s="28">
        <v>40</v>
      </c>
      <c r="C12" s="29"/>
      <c r="D12" s="30"/>
      <c r="E12" s="15">
        <f t="shared" si="0"/>
        <v>0</v>
      </c>
      <c r="F12" s="29"/>
      <c r="G12" s="31"/>
      <c r="H12" s="22">
        <f t="shared" si="17"/>
        <v>0</v>
      </c>
      <c r="I12" s="29"/>
      <c r="J12" s="31"/>
      <c r="K12" s="15">
        <f t="shared" si="2"/>
        <v>0</v>
      </c>
      <c r="L12" s="29"/>
      <c r="M12" s="31"/>
      <c r="N12" s="15">
        <f t="shared" si="3"/>
        <v>0</v>
      </c>
      <c r="O12" s="29"/>
      <c r="P12" s="31"/>
      <c r="Q12" s="15">
        <f t="shared" si="4"/>
        <v>0</v>
      </c>
      <c r="R12" s="29">
        <f>SUM('Plant Measurments'!O148:O155)</f>
        <v>45.224724999999992</v>
      </c>
      <c r="S12" s="31"/>
      <c r="T12" s="15">
        <f t="shared" si="5"/>
        <v>180.89889999999997</v>
      </c>
      <c r="U12" s="29"/>
      <c r="V12" s="31"/>
      <c r="W12" s="15">
        <f t="shared" si="6"/>
        <v>0</v>
      </c>
      <c r="X12" s="28">
        <f t="shared" si="7"/>
        <v>180.89889999999997</v>
      </c>
      <c r="Y12" s="32"/>
      <c r="Z12" s="20">
        <f t="shared" si="8"/>
        <v>0</v>
      </c>
      <c r="AA12" s="20">
        <f t="shared" si="9"/>
        <v>180.89889999999997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760.99203400363774</v>
      </c>
    </row>
    <row r="13" spans="1:34">
      <c r="A13" s="33" t="s">
        <v>20</v>
      </c>
      <c r="B13" s="34">
        <v>4</v>
      </c>
      <c r="C13" s="16"/>
      <c r="D13" s="17"/>
      <c r="E13" s="15">
        <f t="shared" si="0"/>
        <v>0</v>
      </c>
      <c r="F13" s="16"/>
      <c r="G13" s="18"/>
      <c r="H13" s="22">
        <f t="shared" si="17"/>
        <v>0</v>
      </c>
      <c r="I13" s="16"/>
      <c r="J13" s="18"/>
      <c r="K13" s="15">
        <f t="shared" si="2"/>
        <v>0</v>
      </c>
      <c r="L13" s="16"/>
      <c r="M13" s="18"/>
      <c r="N13" s="15">
        <f t="shared" si="3"/>
        <v>0</v>
      </c>
      <c r="O13" s="16"/>
      <c r="P13" s="18"/>
      <c r="Q13" s="15">
        <f t="shared" si="4"/>
        <v>0</v>
      </c>
      <c r="R13" s="16">
        <v>0</v>
      </c>
      <c r="S13" s="18"/>
      <c r="T13" s="15">
        <f t="shared" si="5"/>
        <v>0</v>
      </c>
      <c r="U13" s="16"/>
      <c r="V13" s="18"/>
      <c r="W13" s="15">
        <f t="shared" si="6"/>
        <v>0</v>
      </c>
      <c r="X13" s="15">
        <f t="shared" si="7"/>
        <v>0</v>
      </c>
      <c r="Y13" s="19">
        <f>AVERAGE(X13:X17)</f>
        <v>365.13101840000002</v>
      </c>
      <c r="Z13" s="20">
        <f t="shared" si="8"/>
        <v>0</v>
      </c>
      <c r="AA13" s="20">
        <f t="shared" si="9"/>
        <v>0</v>
      </c>
      <c r="AB13" t="str">
        <f t="shared" si="10"/>
        <v xml:space="preserve"> </v>
      </c>
      <c r="AC13" t="str">
        <f t="shared" si="11"/>
        <v xml:space="preserve"> </v>
      </c>
      <c r="AD13" t="str">
        <f t="shared" si="12"/>
        <v xml:space="preserve"> </v>
      </c>
      <c r="AE13" t="str">
        <f t="shared" si="13"/>
        <v xml:space="preserve"> </v>
      </c>
      <c r="AF13">
        <f t="shared" si="14"/>
        <v>21033.62801</v>
      </c>
      <c r="AG13">
        <f t="shared" si="15"/>
        <v>4206.7256020000004</v>
      </c>
      <c r="AH13">
        <f t="shared" si="16"/>
        <v>0</v>
      </c>
    </row>
    <row r="14" spans="1:34">
      <c r="A14" s="21" t="s">
        <v>20</v>
      </c>
      <c r="B14" s="22">
        <v>22</v>
      </c>
      <c r="C14" s="23"/>
      <c r="D14" s="24"/>
      <c r="E14" s="15">
        <f t="shared" si="0"/>
        <v>0</v>
      </c>
      <c r="F14" s="23"/>
      <c r="G14" s="25"/>
      <c r="H14" s="22">
        <f t="shared" si="17"/>
        <v>0</v>
      </c>
      <c r="I14" s="23"/>
      <c r="J14" s="25"/>
      <c r="K14" s="15">
        <f t="shared" si="2"/>
        <v>0</v>
      </c>
      <c r="L14" s="23"/>
      <c r="M14" s="25"/>
      <c r="N14" s="15">
        <f t="shared" si="3"/>
        <v>0</v>
      </c>
      <c r="O14" s="23"/>
      <c r="P14" s="25"/>
      <c r="Q14" s="15">
        <f t="shared" si="4"/>
        <v>0</v>
      </c>
      <c r="R14" s="23">
        <f>SUM('Plant Measurments'!O157:O159)</f>
        <v>31.400729999999992</v>
      </c>
      <c r="S14" s="25"/>
      <c r="T14" s="15">
        <f t="shared" si="5"/>
        <v>125.60291999999997</v>
      </c>
      <c r="U14" s="23"/>
      <c r="V14" s="25"/>
      <c r="W14" s="15">
        <f t="shared" si="6"/>
        <v>0</v>
      </c>
      <c r="X14" s="22">
        <f t="shared" si="7"/>
        <v>125.60291999999997</v>
      </c>
      <c r="Y14" s="26"/>
      <c r="Z14" s="20">
        <f t="shared" si="8"/>
        <v>0</v>
      </c>
      <c r="AA14" s="20">
        <f t="shared" si="9"/>
        <v>125.60291999999997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528.3770192499577</v>
      </c>
    </row>
    <row r="15" spans="1:34">
      <c r="A15" s="21" t="s">
        <v>20</v>
      </c>
      <c r="B15" s="22">
        <v>23</v>
      </c>
      <c r="C15" s="23">
        <v>0</v>
      </c>
      <c r="D15" s="24"/>
      <c r="E15" s="15">
        <f t="shared" si="0"/>
        <v>0</v>
      </c>
      <c r="F15" s="23"/>
      <c r="G15" s="25"/>
      <c r="H15" s="22">
        <f t="shared" si="17"/>
        <v>0</v>
      </c>
      <c r="I15" s="23"/>
      <c r="J15" s="25"/>
      <c r="K15" s="15">
        <f t="shared" si="2"/>
        <v>0</v>
      </c>
      <c r="L15" s="23"/>
      <c r="M15" s="25"/>
      <c r="N15" s="15">
        <f t="shared" si="3"/>
        <v>0</v>
      </c>
      <c r="O15" s="23"/>
      <c r="P15" s="25"/>
      <c r="Q15" s="15">
        <f t="shared" si="4"/>
        <v>0</v>
      </c>
      <c r="R15" s="23">
        <f>SUM('Plant Measurments'!O162:O177)</f>
        <v>84.266915999999981</v>
      </c>
      <c r="S15" s="25"/>
      <c r="T15" s="15">
        <f t="shared" si="5"/>
        <v>337.06766399999992</v>
      </c>
      <c r="U15" s="23"/>
      <c r="V15" s="25"/>
      <c r="W15" s="15">
        <f t="shared" si="6"/>
        <v>0</v>
      </c>
      <c r="X15" s="22">
        <f t="shared" si="7"/>
        <v>337.06766399999992</v>
      </c>
      <c r="Y15" s="26"/>
      <c r="Z15" s="20">
        <f t="shared" si="8"/>
        <v>0</v>
      </c>
      <c r="AA15" s="20">
        <f t="shared" si="9"/>
        <v>337.06766399999992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1417.9511717551336</v>
      </c>
    </row>
    <row r="16" spans="1:34">
      <c r="A16" s="21" t="s">
        <v>20</v>
      </c>
      <c r="B16" s="22">
        <v>29</v>
      </c>
      <c r="C16" s="23"/>
      <c r="D16" s="24"/>
      <c r="E16" s="15">
        <f t="shared" si="0"/>
        <v>0</v>
      </c>
      <c r="F16" s="23"/>
      <c r="G16" s="25"/>
      <c r="H16" s="22">
        <f t="shared" si="17"/>
        <v>0</v>
      </c>
      <c r="I16" s="23"/>
      <c r="J16" s="25"/>
      <c r="K16" s="15">
        <f t="shared" si="2"/>
        <v>0</v>
      </c>
      <c r="L16" s="23"/>
      <c r="M16" s="25"/>
      <c r="N16" s="15">
        <f t="shared" si="3"/>
        <v>0</v>
      </c>
      <c r="O16" s="23"/>
      <c r="P16" s="25"/>
      <c r="Q16" s="15">
        <f t="shared" si="4"/>
        <v>0</v>
      </c>
      <c r="R16" s="23">
        <f>SUM('Plant Measurments'!O178:O197)</f>
        <v>208.92456900000002</v>
      </c>
      <c r="S16" s="25"/>
      <c r="T16" s="15">
        <f t="shared" si="5"/>
        <v>835.69827600000008</v>
      </c>
      <c r="U16" s="23"/>
      <c r="V16" s="25"/>
      <c r="W16" s="15">
        <f t="shared" si="6"/>
        <v>0</v>
      </c>
      <c r="X16" s="22">
        <f t="shared" si="7"/>
        <v>835.69827600000008</v>
      </c>
      <c r="Y16" s="26"/>
      <c r="Z16" s="20">
        <f t="shared" si="8"/>
        <v>0</v>
      </c>
      <c r="AA16" s="20">
        <f t="shared" si="9"/>
        <v>835.69827600000008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3515.553333196463</v>
      </c>
    </row>
    <row r="17" spans="1:34">
      <c r="A17" s="27" t="s">
        <v>20</v>
      </c>
      <c r="B17" s="28">
        <v>41</v>
      </c>
      <c r="C17" s="29"/>
      <c r="D17" s="30"/>
      <c r="E17" s="15">
        <f t="shared" si="0"/>
        <v>0</v>
      </c>
      <c r="F17" s="29"/>
      <c r="G17" s="31"/>
      <c r="H17" s="22">
        <f t="shared" si="17"/>
        <v>0</v>
      </c>
      <c r="I17" s="29"/>
      <c r="J17" s="31"/>
      <c r="K17" s="15">
        <f t="shared" si="2"/>
        <v>0</v>
      </c>
      <c r="L17" s="29"/>
      <c r="M17" s="31"/>
      <c r="N17" s="15">
        <f t="shared" si="3"/>
        <v>0</v>
      </c>
      <c r="O17" s="29"/>
      <c r="P17" s="31"/>
      <c r="Q17" s="15">
        <f t="shared" si="4"/>
        <v>0</v>
      </c>
      <c r="R17" s="29">
        <f>SUM('Plant Measurments'!O198:O216)</f>
        <v>131.82155799999998</v>
      </c>
      <c r="S17" s="31"/>
      <c r="T17" s="15">
        <f t="shared" si="5"/>
        <v>527.28623199999993</v>
      </c>
      <c r="U17" s="29"/>
      <c r="V17" s="31"/>
      <c r="W17" s="15">
        <f t="shared" si="6"/>
        <v>0</v>
      </c>
      <c r="X17" s="28">
        <f t="shared" si="7"/>
        <v>527.28623199999993</v>
      </c>
      <c r="Y17" s="32"/>
      <c r="Z17" s="20">
        <f t="shared" si="8"/>
        <v>0</v>
      </c>
      <c r="AA17" s="20">
        <f t="shared" si="9"/>
        <v>527.28623199999993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2218.1484917365119</v>
      </c>
    </row>
    <row r="18" spans="1:34">
      <c r="A18" s="14" t="s">
        <v>22</v>
      </c>
      <c r="B18" s="15">
        <v>2</v>
      </c>
      <c r="C18" s="16"/>
      <c r="D18" s="17"/>
      <c r="E18" s="15">
        <f t="shared" si="0"/>
        <v>0</v>
      </c>
      <c r="F18" s="16"/>
      <c r="G18" s="18"/>
      <c r="H18" s="22">
        <f t="shared" si="17"/>
        <v>0</v>
      </c>
      <c r="I18" s="16"/>
      <c r="J18" s="18"/>
      <c r="K18" s="15">
        <f t="shared" si="2"/>
        <v>0</v>
      </c>
      <c r="L18" s="16"/>
      <c r="M18" s="18"/>
      <c r="N18" s="15">
        <f t="shared" si="3"/>
        <v>0</v>
      </c>
      <c r="O18" s="16"/>
      <c r="P18" s="18"/>
      <c r="Q18" s="15">
        <f t="shared" si="4"/>
        <v>0</v>
      </c>
      <c r="R18" s="16">
        <f>SUM('Plant Measurments'!O217:O224)</f>
        <v>122.594808</v>
      </c>
      <c r="S18" s="18"/>
      <c r="T18" s="15">
        <f t="shared" si="5"/>
        <v>490.379232</v>
      </c>
      <c r="U18" s="16"/>
      <c r="V18" s="18"/>
      <c r="W18" s="15">
        <f t="shared" si="6"/>
        <v>0</v>
      </c>
      <c r="X18" s="15">
        <f t="shared" si="7"/>
        <v>490.379232</v>
      </c>
      <c r="Y18" s="19">
        <f>AVERAGE(X18:X22)</f>
        <v>321.63789600000007</v>
      </c>
      <c r="Z18" s="20">
        <f t="shared" si="8"/>
        <v>0</v>
      </c>
      <c r="AA18" s="20">
        <f t="shared" si="9"/>
        <v>490.379232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2062.8908699434978</v>
      </c>
    </row>
    <row r="19" spans="1:34">
      <c r="A19" s="21" t="s">
        <v>22</v>
      </c>
      <c r="B19" s="39">
        <v>7</v>
      </c>
      <c r="C19" s="23"/>
      <c r="D19" s="24"/>
      <c r="E19" s="15">
        <f t="shared" si="0"/>
        <v>0</v>
      </c>
      <c r="F19" s="23"/>
      <c r="G19" s="25"/>
      <c r="H19" s="22">
        <f t="shared" si="17"/>
        <v>0</v>
      </c>
      <c r="I19" s="23"/>
      <c r="J19" s="25"/>
      <c r="K19" s="15">
        <f t="shared" si="2"/>
        <v>0</v>
      </c>
      <c r="L19" s="23"/>
      <c r="M19" s="25"/>
      <c r="N19" s="15">
        <f t="shared" si="3"/>
        <v>0</v>
      </c>
      <c r="O19" s="23"/>
      <c r="P19" s="25"/>
      <c r="Q19" s="15">
        <f t="shared" si="4"/>
        <v>0</v>
      </c>
      <c r="R19" s="23">
        <f>SUM('Plant Measurments'!O225:O229)</f>
        <v>41.516836999999988</v>
      </c>
      <c r="S19" s="25"/>
      <c r="T19" s="15">
        <f t="shared" si="5"/>
        <v>166.06734799999995</v>
      </c>
      <c r="U19" s="23"/>
      <c r="V19" s="25"/>
      <c r="W19" s="15">
        <f t="shared" si="6"/>
        <v>0</v>
      </c>
      <c r="X19" s="22">
        <f t="shared" si="7"/>
        <v>166.06734799999995</v>
      </c>
      <c r="Y19" s="26"/>
      <c r="Z19" s="20">
        <f t="shared" si="8"/>
        <v>0</v>
      </c>
      <c r="AA19" s="20">
        <f t="shared" si="9"/>
        <v>166.06734799999995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698.59976448784334</v>
      </c>
    </row>
    <row r="20" spans="1:34">
      <c r="A20" s="21" t="s">
        <v>22</v>
      </c>
      <c r="B20" s="22">
        <v>18</v>
      </c>
      <c r="C20" s="23"/>
      <c r="D20" s="24"/>
      <c r="E20" s="15">
        <f t="shared" si="0"/>
        <v>0</v>
      </c>
      <c r="F20" s="23"/>
      <c r="G20" s="25"/>
      <c r="H20" s="22">
        <f t="shared" si="17"/>
        <v>0</v>
      </c>
      <c r="I20" s="23"/>
      <c r="J20" s="25"/>
      <c r="K20" s="15">
        <f t="shared" si="2"/>
        <v>0</v>
      </c>
      <c r="L20" s="23"/>
      <c r="M20" s="25"/>
      <c r="N20" s="15">
        <f t="shared" si="3"/>
        <v>0</v>
      </c>
      <c r="O20" s="23"/>
      <c r="P20" s="25"/>
      <c r="Q20" s="15">
        <f t="shared" si="4"/>
        <v>0</v>
      </c>
      <c r="R20" s="23">
        <f>SUM('Plant Measurments'!O230:O252)</f>
        <v>151.12631100000004</v>
      </c>
      <c r="S20" s="25"/>
      <c r="T20" s="15">
        <f t="shared" si="5"/>
        <v>604.50524400000018</v>
      </c>
      <c r="U20" s="23"/>
      <c r="V20" s="25"/>
      <c r="W20" s="15">
        <f t="shared" si="6"/>
        <v>0</v>
      </c>
      <c r="X20" s="22">
        <f t="shared" si="7"/>
        <v>604.50524400000018</v>
      </c>
      <c r="Y20" s="26"/>
      <c r="Z20" s="20">
        <f t="shared" si="8"/>
        <v>0</v>
      </c>
      <c r="AA20" s="20">
        <f t="shared" si="9"/>
        <v>604.50524400000018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2542.9876864780581</v>
      </c>
    </row>
    <row r="21" spans="1:34">
      <c r="A21" s="21" t="s">
        <v>22</v>
      </c>
      <c r="B21" s="22">
        <v>31</v>
      </c>
      <c r="C21" s="23"/>
      <c r="D21" s="24"/>
      <c r="E21" s="15">
        <f t="shared" si="0"/>
        <v>0</v>
      </c>
      <c r="F21" s="23"/>
      <c r="G21" s="25"/>
      <c r="H21" s="22">
        <f t="shared" si="17"/>
        <v>0</v>
      </c>
      <c r="I21" s="23"/>
      <c r="J21" s="25"/>
      <c r="K21" s="15">
        <f t="shared" si="2"/>
        <v>0</v>
      </c>
      <c r="L21" s="23"/>
      <c r="M21" s="25"/>
      <c r="N21" s="15">
        <f t="shared" si="3"/>
        <v>0</v>
      </c>
      <c r="O21" s="23"/>
      <c r="P21" s="25"/>
      <c r="Q21" s="15">
        <f t="shared" si="4"/>
        <v>0</v>
      </c>
      <c r="R21" s="23">
        <f>SUM('Plant Measurments'!O253)</f>
        <v>0</v>
      </c>
      <c r="S21" s="25"/>
      <c r="T21" s="15">
        <f t="shared" si="5"/>
        <v>0</v>
      </c>
      <c r="U21" s="23"/>
      <c r="V21" s="25"/>
      <c r="W21" s="15">
        <f t="shared" si="6"/>
        <v>0</v>
      </c>
      <c r="X21" s="22">
        <f t="shared" si="7"/>
        <v>0</v>
      </c>
      <c r="Y21" s="26"/>
      <c r="Z21" s="20">
        <f t="shared" si="8"/>
        <v>0</v>
      </c>
      <c r="AA21" s="20">
        <f t="shared" si="9"/>
        <v>0</v>
      </c>
      <c r="AB21" t="str">
        <f t="shared" si="10"/>
        <v xml:space="preserve"> </v>
      </c>
      <c r="AC21" t="str">
        <f t="shared" si="11"/>
        <v xml:space="preserve"> </v>
      </c>
      <c r="AD21" t="str">
        <f t="shared" si="12"/>
        <v xml:space="preserve"> </v>
      </c>
      <c r="AE21" t="str">
        <f t="shared" si="13"/>
        <v xml:space="preserve"> </v>
      </c>
      <c r="AF21">
        <f t="shared" si="14"/>
        <v>21033.62801</v>
      </c>
      <c r="AG21">
        <f t="shared" si="15"/>
        <v>4206.7256020000004</v>
      </c>
      <c r="AH21">
        <f t="shared" si="16"/>
        <v>0</v>
      </c>
    </row>
    <row r="22" spans="1:34">
      <c r="A22" s="27" t="s">
        <v>22</v>
      </c>
      <c r="B22" s="22">
        <v>36</v>
      </c>
      <c r="C22" s="29"/>
      <c r="D22" s="30"/>
      <c r="E22" s="15">
        <f t="shared" si="0"/>
        <v>0</v>
      </c>
      <c r="F22" s="29"/>
      <c r="G22" s="31"/>
      <c r="H22" s="22">
        <f t="shared" si="17"/>
        <v>0</v>
      </c>
      <c r="I22" s="29"/>
      <c r="J22" s="31"/>
      <c r="K22" s="15">
        <f t="shared" si="2"/>
        <v>0</v>
      </c>
      <c r="L22" s="29"/>
      <c r="M22" s="31"/>
      <c r="N22" s="15">
        <f t="shared" si="3"/>
        <v>0</v>
      </c>
      <c r="O22" s="29"/>
      <c r="P22" s="31"/>
      <c r="Q22" s="15">
        <f t="shared" si="4"/>
        <v>0</v>
      </c>
      <c r="R22" s="29">
        <f>SUM('Plant Measurments'!O254:O267)</f>
        <v>86.80941399999999</v>
      </c>
      <c r="S22" s="31"/>
      <c r="T22" s="15">
        <f t="shared" si="5"/>
        <v>347.23765599999996</v>
      </c>
      <c r="U22" s="29"/>
      <c r="V22" s="31"/>
      <c r="W22" s="15">
        <f t="shared" si="6"/>
        <v>0</v>
      </c>
      <c r="X22" s="28">
        <f t="shared" si="7"/>
        <v>347.23765599999996</v>
      </c>
      <c r="Y22" s="32"/>
      <c r="Z22" s="20">
        <f t="shared" si="8"/>
        <v>0</v>
      </c>
      <c r="AA22" s="20">
        <f t="shared" si="9"/>
        <v>347.23765599999996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1460.7335374736688</v>
      </c>
    </row>
    <row r="23" spans="1:34">
      <c r="A23" s="14" t="s">
        <v>23</v>
      </c>
      <c r="B23" s="15">
        <v>21</v>
      </c>
      <c r="C23" s="16">
        <f>SUM('Plant Measurments'!O268:O282)</f>
        <v>47.030257200000008</v>
      </c>
      <c r="D23" s="17"/>
      <c r="E23" s="15">
        <f t="shared" si="0"/>
        <v>188.12102880000003</v>
      </c>
      <c r="F23" s="16"/>
      <c r="G23" s="18"/>
      <c r="H23" s="22">
        <f t="shared" si="17"/>
        <v>0</v>
      </c>
      <c r="I23" s="16"/>
      <c r="J23" s="18"/>
      <c r="K23" s="15">
        <f t="shared" si="2"/>
        <v>0</v>
      </c>
      <c r="L23" s="16"/>
      <c r="M23" s="18"/>
      <c r="N23" s="15">
        <f t="shared" si="3"/>
        <v>0</v>
      </c>
      <c r="O23" s="16"/>
      <c r="P23" s="18"/>
      <c r="Q23" s="15">
        <f t="shared" si="4"/>
        <v>0</v>
      </c>
      <c r="R23" s="16"/>
      <c r="S23" s="18"/>
      <c r="T23" s="15">
        <f t="shared" si="5"/>
        <v>0</v>
      </c>
      <c r="U23" s="16"/>
      <c r="V23" s="18"/>
      <c r="W23" s="15">
        <f t="shared" si="6"/>
        <v>0</v>
      </c>
      <c r="X23" s="15">
        <f t="shared" si="7"/>
        <v>188.12102880000003</v>
      </c>
      <c r="Y23" s="19">
        <f>AVERAGE(X23:X27)</f>
        <v>267.16075856000015</v>
      </c>
      <c r="Z23" s="20">
        <f t="shared" si="8"/>
        <v>188.12102880000003</v>
      </c>
      <c r="AA23" s="20">
        <f t="shared" si="9"/>
        <v>0</v>
      </c>
      <c r="AB23">
        <f t="shared" si="10"/>
        <v>1</v>
      </c>
      <c r="AC23">
        <f t="shared" si="11"/>
        <v>0</v>
      </c>
      <c r="AD23">
        <f t="shared" si="12"/>
        <v>0</v>
      </c>
      <c r="AE23">
        <f t="shared" si="13"/>
        <v>0</v>
      </c>
      <c r="AF23">
        <f t="shared" si="14"/>
        <v>21033.62801</v>
      </c>
      <c r="AG23">
        <f t="shared" si="15"/>
        <v>4206.7256020000004</v>
      </c>
      <c r="AH23">
        <f t="shared" si="16"/>
        <v>791.37354812753961</v>
      </c>
    </row>
    <row r="24" spans="1:34">
      <c r="A24" s="21" t="s">
        <v>23</v>
      </c>
      <c r="B24" s="22">
        <v>32</v>
      </c>
      <c r="C24" s="23"/>
      <c r="D24" s="24"/>
      <c r="E24" s="15">
        <f t="shared" si="0"/>
        <v>0</v>
      </c>
      <c r="F24" s="23"/>
      <c r="G24" s="25"/>
      <c r="H24" s="22">
        <f t="shared" si="17"/>
        <v>0</v>
      </c>
      <c r="I24" s="23"/>
      <c r="J24" s="25"/>
      <c r="K24" s="15">
        <f t="shared" si="2"/>
        <v>0</v>
      </c>
      <c r="L24" s="23"/>
      <c r="M24" s="25"/>
      <c r="N24" s="15">
        <f t="shared" si="3"/>
        <v>0</v>
      </c>
      <c r="O24" s="23"/>
      <c r="P24" s="25"/>
      <c r="Q24" s="15">
        <f t="shared" si="4"/>
        <v>0</v>
      </c>
      <c r="R24" s="23">
        <f>SUM('Plant Measurments'!O283)</f>
        <v>2.771443000000005</v>
      </c>
      <c r="S24" s="25"/>
      <c r="T24" s="15">
        <f t="shared" si="5"/>
        <v>11.08577200000002</v>
      </c>
      <c r="U24" s="23"/>
      <c r="V24" s="25"/>
      <c r="W24" s="15">
        <f t="shared" si="6"/>
        <v>0</v>
      </c>
      <c r="X24" s="22">
        <f t="shared" si="7"/>
        <v>11.08577200000002</v>
      </c>
      <c r="Y24" s="26"/>
      <c r="Z24" s="20">
        <f t="shared" si="8"/>
        <v>0</v>
      </c>
      <c r="AA24" s="20">
        <f t="shared" si="9"/>
        <v>11.08577200000002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1</v>
      </c>
      <c r="AF24">
        <f t="shared" si="14"/>
        <v>21033.62801</v>
      </c>
      <c r="AG24">
        <f t="shared" si="15"/>
        <v>4206.7256020000004</v>
      </c>
      <c r="AH24">
        <f t="shared" si="16"/>
        <v>46.63480089033483</v>
      </c>
    </row>
    <row r="25" spans="1:34">
      <c r="A25" s="21" t="s">
        <v>23</v>
      </c>
      <c r="B25" s="22">
        <v>42</v>
      </c>
      <c r="C25" s="23"/>
      <c r="D25" s="24"/>
      <c r="E25" s="15">
        <f t="shared" si="0"/>
        <v>0</v>
      </c>
      <c r="F25" s="23"/>
      <c r="G25" s="25"/>
      <c r="H25" s="22">
        <f t="shared" si="17"/>
        <v>0</v>
      </c>
      <c r="I25" s="23"/>
      <c r="J25" s="25"/>
      <c r="K25" s="15">
        <f t="shared" si="2"/>
        <v>0</v>
      </c>
      <c r="L25" s="23"/>
      <c r="M25" s="25"/>
      <c r="N25" s="15">
        <f t="shared" si="3"/>
        <v>0</v>
      </c>
      <c r="O25" s="23"/>
      <c r="P25" s="25"/>
      <c r="Q25" s="15">
        <f t="shared" si="4"/>
        <v>0</v>
      </c>
      <c r="R25" s="23">
        <f>SUM('Plant Measurments'!O284:O290)</f>
        <v>37.987756000000047</v>
      </c>
      <c r="S25" s="25"/>
      <c r="T25" s="15">
        <f t="shared" si="5"/>
        <v>151.95102400000019</v>
      </c>
      <c r="U25" s="23"/>
      <c r="V25" s="25"/>
      <c r="W25" s="15">
        <f t="shared" si="6"/>
        <v>0</v>
      </c>
      <c r="X25" s="22">
        <f t="shared" si="7"/>
        <v>151.95102400000019</v>
      </c>
      <c r="Y25" s="26"/>
      <c r="Z25" s="20">
        <f t="shared" si="8"/>
        <v>0</v>
      </c>
      <c r="AA25" s="20">
        <f t="shared" si="9"/>
        <v>151.95102400000019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639.21626291091729</v>
      </c>
    </row>
    <row r="26" spans="1:34">
      <c r="A26" s="21" t="s">
        <v>23</v>
      </c>
      <c r="B26" s="22">
        <v>43</v>
      </c>
      <c r="C26" s="23"/>
      <c r="D26" s="24"/>
      <c r="E26" s="15">
        <f t="shared" si="0"/>
        <v>0</v>
      </c>
      <c r="F26" s="23"/>
      <c r="G26" s="25"/>
      <c r="H26" s="22">
        <f t="shared" si="17"/>
        <v>0</v>
      </c>
      <c r="I26" s="23"/>
      <c r="J26" s="25"/>
      <c r="K26" s="15">
        <f t="shared" si="2"/>
        <v>0</v>
      </c>
      <c r="L26" s="23"/>
      <c r="M26" s="25"/>
      <c r="N26" s="15">
        <f t="shared" si="3"/>
        <v>0</v>
      </c>
      <c r="O26" s="23"/>
      <c r="P26" s="25"/>
      <c r="Q26" s="15">
        <f t="shared" si="4"/>
        <v>0</v>
      </c>
      <c r="R26" s="23">
        <f>SUM('Plant Measurments'!O291:O297)</f>
        <v>103.93777700000004</v>
      </c>
      <c r="S26" s="25"/>
      <c r="T26" s="15">
        <f t="shared" si="5"/>
        <v>415.75110800000016</v>
      </c>
      <c r="U26" s="23"/>
      <c r="V26" s="25"/>
      <c r="W26" s="15">
        <f t="shared" si="6"/>
        <v>0</v>
      </c>
      <c r="X26" s="22">
        <f t="shared" si="7"/>
        <v>415.75110800000016</v>
      </c>
      <c r="Y26" s="26"/>
      <c r="Z26" s="20">
        <f t="shared" si="8"/>
        <v>0</v>
      </c>
      <c r="AA26" s="20">
        <f t="shared" si="9"/>
        <v>415.75110800000016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1748.9508300834677</v>
      </c>
    </row>
    <row r="27" spans="1:34">
      <c r="A27" s="27" t="s">
        <v>23</v>
      </c>
      <c r="B27" s="28">
        <v>50</v>
      </c>
      <c r="C27" s="29"/>
      <c r="D27" s="30"/>
      <c r="E27" s="15">
        <f t="shared" si="0"/>
        <v>0</v>
      </c>
      <c r="F27" s="29"/>
      <c r="G27" s="31"/>
      <c r="H27" s="22">
        <f t="shared" si="17"/>
        <v>0</v>
      </c>
      <c r="I27" s="29">
        <f>SUM('Plant Measurments'!O298:O300)</f>
        <v>16.967971000000002</v>
      </c>
      <c r="J27" s="31"/>
      <c r="K27" s="15">
        <f t="shared" si="2"/>
        <v>67.871884000000009</v>
      </c>
      <c r="L27" s="29"/>
      <c r="M27" s="31"/>
      <c r="N27" s="15">
        <f t="shared" si="3"/>
        <v>0</v>
      </c>
      <c r="O27" s="29"/>
      <c r="P27" s="31"/>
      <c r="Q27" s="15">
        <f t="shared" si="4"/>
        <v>0</v>
      </c>
      <c r="R27" s="29">
        <f>SUM('Plant Measurments'!O301:O310)</f>
        <v>125.25574400000008</v>
      </c>
      <c r="S27" s="31"/>
      <c r="T27" s="15">
        <f t="shared" si="5"/>
        <v>501.02297600000031</v>
      </c>
      <c r="U27" s="29"/>
      <c r="V27" s="31"/>
      <c r="W27" s="15">
        <f t="shared" si="6"/>
        <v>0</v>
      </c>
      <c r="X27" s="28">
        <f t="shared" si="7"/>
        <v>568.89486000000034</v>
      </c>
      <c r="Y27" s="32"/>
      <c r="Z27" s="20">
        <f t="shared" si="8"/>
        <v>0</v>
      </c>
      <c r="AA27" s="20">
        <f t="shared" si="9"/>
        <v>501.02297600000031</v>
      </c>
      <c r="AB27">
        <f t="shared" si="10"/>
        <v>0</v>
      </c>
      <c r="AC27">
        <f t="shared" si="11"/>
        <v>0</v>
      </c>
      <c r="AD27">
        <f t="shared" si="12"/>
        <v>0.11930479385944877</v>
      </c>
      <c r="AE27">
        <f t="shared" si="13"/>
        <v>0.88069520614055119</v>
      </c>
      <c r="AF27">
        <f t="shared" si="14"/>
        <v>21033.62801</v>
      </c>
      <c r="AG27">
        <f t="shared" si="15"/>
        <v>4206.7256020000004</v>
      </c>
      <c r="AH27">
        <f t="shared" si="16"/>
        <v>2393.1845724082073</v>
      </c>
    </row>
    <row r="28" spans="1:34">
      <c r="A28" s="14" t="s">
        <v>24</v>
      </c>
      <c r="B28" s="34">
        <v>4</v>
      </c>
      <c r="C28" s="16"/>
      <c r="D28" s="17"/>
      <c r="E28" s="15">
        <f t="shared" si="0"/>
        <v>0</v>
      </c>
      <c r="F28" s="16"/>
      <c r="G28" s="18"/>
      <c r="H28" s="22">
        <f t="shared" si="17"/>
        <v>0</v>
      </c>
      <c r="I28" s="16">
        <f>SUM('Plant Measurments'!O311:O352)</f>
        <v>73.857473200000015</v>
      </c>
      <c r="J28" s="18"/>
      <c r="K28" s="15">
        <f t="shared" si="2"/>
        <v>295.42989280000006</v>
      </c>
      <c r="L28" s="16"/>
      <c r="M28" s="18"/>
      <c r="N28" s="15">
        <f t="shared" si="3"/>
        <v>0</v>
      </c>
      <c r="O28" s="16"/>
      <c r="P28" s="18"/>
      <c r="Q28" s="15">
        <f t="shared" si="4"/>
        <v>0</v>
      </c>
      <c r="R28" s="16">
        <f>SUM('Plant Measurments'!O353:O359)</f>
        <v>25.734347999999994</v>
      </c>
      <c r="S28" s="18"/>
      <c r="T28" s="15">
        <f t="shared" si="5"/>
        <v>102.93739199999997</v>
      </c>
      <c r="U28" s="16"/>
      <c r="V28" s="18"/>
      <c r="W28" s="15">
        <f t="shared" si="6"/>
        <v>0</v>
      </c>
      <c r="X28" s="15">
        <f t="shared" si="7"/>
        <v>398.36728480000005</v>
      </c>
      <c r="Y28" s="19">
        <f>AVERAGE(X28:X32)</f>
        <v>969.9692467440002</v>
      </c>
      <c r="Z28" s="20">
        <f t="shared" si="8"/>
        <v>0</v>
      </c>
      <c r="AA28" s="20">
        <f t="shared" si="9"/>
        <v>102.93739199999997</v>
      </c>
      <c r="AB28">
        <f t="shared" si="10"/>
        <v>0</v>
      </c>
      <c r="AC28">
        <f t="shared" si="11"/>
        <v>0</v>
      </c>
      <c r="AD28">
        <f t="shared" si="12"/>
        <v>0.74160179330067322</v>
      </c>
      <c r="AE28">
        <f t="shared" si="13"/>
        <v>0.25839820669932673</v>
      </c>
      <c r="AF28">
        <f t="shared" si="14"/>
        <v>21033.62801</v>
      </c>
      <c r="AG28">
        <f t="shared" si="15"/>
        <v>4206.7256020000004</v>
      </c>
      <c r="AH28">
        <f t="shared" si="16"/>
        <v>1675.821855967386</v>
      </c>
    </row>
    <row r="29" spans="1:34">
      <c r="A29" s="21" t="s">
        <v>24</v>
      </c>
      <c r="B29" s="22">
        <v>11</v>
      </c>
      <c r="C29" s="23"/>
      <c r="D29" s="24"/>
      <c r="E29" s="15">
        <f t="shared" si="0"/>
        <v>0</v>
      </c>
      <c r="F29" s="23"/>
      <c r="G29" s="25"/>
      <c r="H29" s="22">
        <f t="shared" si="17"/>
        <v>0</v>
      </c>
      <c r="I29" s="23"/>
      <c r="J29" s="25"/>
      <c r="K29" s="15">
        <f t="shared" si="2"/>
        <v>0</v>
      </c>
      <c r="L29" s="23"/>
      <c r="M29" s="25"/>
      <c r="N29" s="15">
        <f t="shared" si="3"/>
        <v>0</v>
      </c>
      <c r="O29" s="23"/>
      <c r="P29" s="25"/>
      <c r="Q29" s="15">
        <f t="shared" si="4"/>
        <v>0</v>
      </c>
      <c r="R29" s="23">
        <f>SUM('Plant Measurments'!O360:O365)</f>
        <v>68.550977000000017</v>
      </c>
      <c r="S29" s="25"/>
      <c r="T29" s="15">
        <f t="shared" si="5"/>
        <v>274.20390800000007</v>
      </c>
      <c r="U29" s="23"/>
      <c r="V29" s="25"/>
      <c r="W29" s="15">
        <f t="shared" si="6"/>
        <v>0</v>
      </c>
      <c r="X29" s="22">
        <f t="shared" si="7"/>
        <v>274.20390800000007</v>
      </c>
      <c r="Y29" s="26"/>
      <c r="Z29" s="20">
        <f t="shared" si="8"/>
        <v>0</v>
      </c>
      <c r="AA29" s="20">
        <f t="shared" si="9"/>
        <v>274.20390800000007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1153.5005999520531</v>
      </c>
    </row>
    <row r="30" spans="1:34">
      <c r="A30" s="21" t="s">
        <v>24</v>
      </c>
      <c r="B30" s="39">
        <v>24</v>
      </c>
      <c r="C30" s="23">
        <f>SUM('Plant Measurments'!O366:O380)</f>
        <v>63.671574000000014</v>
      </c>
      <c r="D30" s="24"/>
      <c r="E30" s="15">
        <f t="shared" si="0"/>
        <v>254.68629600000006</v>
      </c>
      <c r="F30" s="23"/>
      <c r="G30" s="25"/>
      <c r="H30" s="22">
        <f t="shared" si="17"/>
        <v>0</v>
      </c>
      <c r="I30" s="23"/>
      <c r="J30" s="25"/>
      <c r="K30" s="15">
        <f t="shared" si="2"/>
        <v>0</v>
      </c>
      <c r="L30" s="23"/>
      <c r="M30" s="25"/>
      <c r="N30" s="15">
        <f t="shared" si="3"/>
        <v>0</v>
      </c>
      <c r="O30" s="23"/>
      <c r="P30" s="25"/>
      <c r="Q30" s="15">
        <f t="shared" si="4"/>
        <v>0</v>
      </c>
      <c r="R30" s="23"/>
      <c r="S30" s="25"/>
      <c r="T30" s="15">
        <f t="shared" si="5"/>
        <v>0</v>
      </c>
      <c r="U30" s="23"/>
      <c r="V30" s="25"/>
      <c r="W30" s="15">
        <f t="shared" si="6"/>
        <v>0</v>
      </c>
      <c r="X30" s="22">
        <f t="shared" si="7"/>
        <v>254.68629600000006</v>
      </c>
      <c r="Y30" s="26"/>
      <c r="Z30" s="20">
        <f t="shared" si="8"/>
        <v>254.68629600000006</v>
      </c>
      <c r="AA30" s="20">
        <f t="shared" si="9"/>
        <v>0</v>
      </c>
      <c r="AB30">
        <f t="shared" si="10"/>
        <v>1</v>
      </c>
      <c r="AC30">
        <f t="shared" si="11"/>
        <v>0</v>
      </c>
      <c r="AD30">
        <f t="shared" si="12"/>
        <v>0</v>
      </c>
      <c r="AE30">
        <f t="shared" si="13"/>
        <v>0</v>
      </c>
      <c r="AF30">
        <f t="shared" si="14"/>
        <v>21033.62801</v>
      </c>
      <c r="AG30">
        <f t="shared" si="15"/>
        <v>4206.7256020000004</v>
      </c>
      <c r="AH30">
        <f t="shared" si="16"/>
        <v>1071.3953618617504</v>
      </c>
    </row>
    <row r="31" spans="1:34">
      <c r="A31" s="21" t="s">
        <v>24</v>
      </c>
      <c r="B31" s="22">
        <v>52</v>
      </c>
      <c r="C31" s="23"/>
      <c r="D31" s="24"/>
      <c r="E31" s="15">
        <f t="shared" si="0"/>
        <v>0</v>
      </c>
      <c r="F31" s="23"/>
      <c r="G31" s="25"/>
      <c r="H31" s="22">
        <f t="shared" si="17"/>
        <v>0</v>
      </c>
      <c r="I31" s="23">
        <f>SUM('Plant Measurments'!O381:O390)</f>
        <v>126.33009940000001</v>
      </c>
      <c r="J31" s="25"/>
      <c r="K31" s="15">
        <f t="shared" si="2"/>
        <v>505.32039760000004</v>
      </c>
      <c r="L31" s="23"/>
      <c r="M31" s="25"/>
      <c r="N31" s="15">
        <f t="shared" si="3"/>
        <v>0</v>
      </c>
      <c r="O31" s="23"/>
      <c r="P31" s="25"/>
      <c r="Q31" s="15">
        <f t="shared" si="4"/>
        <v>0</v>
      </c>
      <c r="R31" s="23"/>
      <c r="S31" s="25"/>
      <c r="T31" s="15">
        <f t="shared" si="5"/>
        <v>0</v>
      </c>
      <c r="U31" s="23"/>
      <c r="V31" s="25"/>
      <c r="W31" s="15">
        <f t="shared" si="6"/>
        <v>0</v>
      </c>
      <c r="X31" s="22">
        <f t="shared" si="7"/>
        <v>505.32039760000004</v>
      </c>
      <c r="Y31" s="26"/>
      <c r="Z31" s="20">
        <f t="shared" si="8"/>
        <v>0</v>
      </c>
      <c r="AA31" s="20">
        <f t="shared" si="9"/>
        <v>0</v>
      </c>
      <c r="AB31">
        <f t="shared" si="10"/>
        <v>0</v>
      </c>
      <c r="AC31">
        <f t="shared" si="11"/>
        <v>0</v>
      </c>
      <c r="AD31">
        <f t="shared" si="12"/>
        <v>1</v>
      </c>
      <c r="AE31">
        <f t="shared" si="13"/>
        <v>0</v>
      </c>
      <c r="AF31">
        <f t="shared" si="14"/>
        <v>21033.62801</v>
      </c>
      <c r="AG31">
        <f t="shared" si="15"/>
        <v>4206.7256020000004</v>
      </c>
      <c r="AH31">
        <f t="shared" si="16"/>
        <v>2125.7442537967395</v>
      </c>
    </row>
    <row r="32" spans="1:34">
      <c r="A32" s="27" t="s">
        <v>24</v>
      </c>
      <c r="B32" s="22">
        <v>53</v>
      </c>
      <c r="C32" s="29"/>
      <c r="D32" s="30"/>
      <c r="E32" s="15">
        <f t="shared" si="0"/>
        <v>0</v>
      </c>
      <c r="F32" s="29"/>
      <c r="G32" s="31"/>
      <c r="H32" s="22">
        <f t="shared" si="17"/>
        <v>0</v>
      </c>
      <c r="I32" s="29">
        <f>SUM('Plant Measurments'!O391:O392)</f>
        <v>13.375522399999998</v>
      </c>
      <c r="J32" s="31"/>
      <c r="K32" s="15">
        <f t="shared" si="2"/>
        <v>53.502089599999991</v>
      </c>
      <c r="L32" s="29"/>
      <c r="M32" s="31"/>
      <c r="N32" s="15">
        <f t="shared" si="3"/>
        <v>0</v>
      </c>
      <c r="O32" s="29"/>
      <c r="P32" s="31"/>
      <c r="Q32" s="15">
        <f t="shared" si="4"/>
        <v>0</v>
      </c>
      <c r="R32" s="29">
        <f>SUM('Plant Measurments'!O393:O396)</f>
        <v>840.9415644300002</v>
      </c>
      <c r="S32" s="31"/>
      <c r="T32" s="15">
        <f t="shared" si="5"/>
        <v>3363.7662577200008</v>
      </c>
      <c r="U32" s="29"/>
      <c r="V32" s="31"/>
      <c r="W32" s="15">
        <f t="shared" si="6"/>
        <v>0</v>
      </c>
      <c r="X32" s="28">
        <f t="shared" si="7"/>
        <v>3417.2683473200009</v>
      </c>
      <c r="Y32" s="32"/>
      <c r="Z32" s="20">
        <f t="shared" si="8"/>
        <v>0</v>
      </c>
      <c r="AA32" s="20">
        <f t="shared" si="9"/>
        <v>3363.7662577200008</v>
      </c>
      <c r="AB32">
        <f t="shared" si="10"/>
        <v>0</v>
      </c>
      <c r="AC32">
        <f t="shared" si="11"/>
        <v>0</v>
      </c>
      <c r="AD32">
        <f t="shared" si="12"/>
        <v>1.565639105923862E-2</v>
      </c>
      <c r="AE32">
        <f t="shared" si="13"/>
        <v>0.98434360894076134</v>
      </c>
      <c r="AF32">
        <f t="shared" si="14"/>
        <v>21033.62801</v>
      </c>
      <c r="AG32">
        <f t="shared" si="15"/>
        <v>4206.7256020000004</v>
      </c>
      <c r="AH32">
        <f t="shared" si="16"/>
        <v>14375.510245575277</v>
      </c>
    </row>
    <row r="33" spans="1:34">
      <c r="A33" s="14" t="s">
        <v>29</v>
      </c>
      <c r="B33" s="15">
        <v>11</v>
      </c>
      <c r="C33" s="16">
        <f>SUM('Plant Measurments'!O397:O401)</f>
        <v>17.294399500000001</v>
      </c>
      <c r="D33" s="35"/>
      <c r="E33" s="15">
        <f t="shared" si="0"/>
        <v>69.177598000000003</v>
      </c>
      <c r="F33" s="16"/>
      <c r="G33" s="18"/>
      <c r="H33" s="22">
        <f t="shared" si="17"/>
        <v>0</v>
      </c>
      <c r="I33" s="16"/>
      <c r="J33" s="18"/>
      <c r="K33" s="15">
        <f t="shared" si="2"/>
        <v>0</v>
      </c>
      <c r="L33" s="16"/>
      <c r="M33" s="18"/>
      <c r="N33" s="15">
        <f t="shared" si="3"/>
        <v>0</v>
      </c>
      <c r="O33" s="16"/>
      <c r="P33" s="18"/>
      <c r="Q33" s="15">
        <f t="shared" si="4"/>
        <v>0</v>
      </c>
      <c r="R33" s="16"/>
      <c r="S33" s="18"/>
      <c r="T33" s="15">
        <f t="shared" si="5"/>
        <v>0</v>
      </c>
      <c r="U33" s="16"/>
      <c r="V33" s="18"/>
      <c r="W33" s="15">
        <f t="shared" si="6"/>
        <v>0</v>
      </c>
      <c r="X33" s="15">
        <f t="shared" si="7"/>
        <v>69.177598000000003</v>
      </c>
      <c r="Y33" s="19">
        <f>AVERAGE(X33:X37)</f>
        <v>513.67105400000037</v>
      </c>
      <c r="Z33" s="20">
        <f t="shared" si="8"/>
        <v>69.177598000000003</v>
      </c>
      <c r="AA33" s="20">
        <f t="shared" si="9"/>
        <v>0</v>
      </c>
      <c r="AB33">
        <f t="shared" si="10"/>
        <v>1</v>
      </c>
      <c r="AC33">
        <f t="shared" si="11"/>
        <v>0</v>
      </c>
      <c r="AD33">
        <f t="shared" si="12"/>
        <v>0</v>
      </c>
      <c r="AE33">
        <f t="shared" si="13"/>
        <v>0</v>
      </c>
      <c r="AF33">
        <f t="shared" si="14"/>
        <v>21033.62801</v>
      </c>
      <c r="AG33">
        <f t="shared" si="15"/>
        <v>4206.7256020000004</v>
      </c>
      <c r="AH33">
        <f t="shared" si="16"/>
        <v>291.011172591464</v>
      </c>
    </row>
    <row r="34" spans="1:34">
      <c r="A34" s="21" t="s">
        <v>29</v>
      </c>
      <c r="B34" s="22">
        <v>20</v>
      </c>
      <c r="C34" s="23"/>
      <c r="D34" s="24"/>
      <c r="E34" s="15">
        <f t="shared" si="0"/>
        <v>0</v>
      </c>
      <c r="F34" s="23"/>
      <c r="G34" s="25"/>
      <c r="H34" s="22">
        <f t="shared" si="17"/>
        <v>0</v>
      </c>
      <c r="I34" s="23"/>
      <c r="J34" s="25"/>
      <c r="K34" s="15">
        <f t="shared" si="2"/>
        <v>0</v>
      </c>
      <c r="L34" s="23"/>
      <c r="M34" s="25"/>
      <c r="N34" s="15">
        <f t="shared" si="3"/>
        <v>0</v>
      </c>
      <c r="O34" s="23"/>
      <c r="P34" s="25"/>
      <c r="Q34" s="15">
        <f t="shared" si="4"/>
        <v>0</v>
      </c>
      <c r="R34" s="23">
        <v>0</v>
      </c>
      <c r="S34" s="25"/>
      <c r="T34" s="15">
        <f t="shared" si="5"/>
        <v>0</v>
      </c>
      <c r="U34" s="23"/>
      <c r="V34" s="25"/>
      <c r="W34" s="15">
        <f t="shared" si="6"/>
        <v>0</v>
      </c>
      <c r="X34" s="22">
        <f t="shared" si="7"/>
        <v>0</v>
      </c>
      <c r="Y34" s="26"/>
      <c r="Z34" s="20">
        <f t="shared" si="8"/>
        <v>0</v>
      </c>
      <c r="AA34" s="20">
        <f t="shared" si="9"/>
        <v>0</v>
      </c>
      <c r="AB34" t="str">
        <f t="shared" si="10"/>
        <v xml:space="preserve"> </v>
      </c>
      <c r="AC34" t="str">
        <f t="shared" si="11"/>
        <v xml:space="preserve"> </v>
      </c>
      <c r="AD34" t="str">
        <f t="shared" si="12"/>
        <v xml:space="preserve"> </v>
      </c>
      <c r="AE34" t="str">
        <f t="shared" si="13"/>
        <v xml:space="preserve"> </v>
      </c>
      <c r="AF34">
        <f t="shared" si="14"/>
        <v>21033.62801</v>
      </c>
      <c r="AG34">
        <f t="shared" si="15"/>
        <v>4206.7256020000004</v>
      </c>
      <c r="AH34">
        <f t="shared" si="16"/>
        <v>0</v>
      </c>
    </row>
    <row r="35" spans="1:34">
      <c r="A35" s="21" t="s">
        <v>29</v>
      </c>
      <c r="B35" s="22">
        <v>34</v>
      </c>
      <c r="C35" s="23"/>
      <c r="D35" s="24"/>
      <c r="E35" s="15">
        <f t="shared" si="0"/>
        <v>0</v>
      </c>
      <c r="F35" s="23"/>
      <c r="G35" s="25"/>
      <c r="H35" s="22">
        <f t="shared" si="17"/>
        <v>0</v>
      </c>
      <c r="I35" s="23"/>
      <c r="J35" s="25"/>
      <c r="K35" s="15">
        <f t="shared" si="2"/>
        <v>0</v>
      </c>
      <c r="L35" s="23"/>
      <c r="M35" s="25"/>
      <c r="N35" s="15">
        <f t="shared" si="3"/>
        <v>0</v>
      </c>
      <c r="O35" s="23"/>
      <c r="P35" s="25"/>
      <c r="Q35" s="15">
        <f t="shared" si="4"/>
        <v>0</v>
      </c>
      <c r="R35" s="23">
        <f>SUM('Plant Measurments'!O403:O405)</f>
        <v>24.151086000000014</v>
      </c>
      <c r="S35" s="25"/>
      <c r="T35" s="15">
        <f t="shared" si="5"/>
        <v>96.604344000000054</v>
      </c>
      <c r="U35" s="23"/>
      <c r="V35" s="25"/>
      <c r="W35" s="15">
        <f t="shared" si="6"/>
        <v>0</v>
      </c>
      <c r="X35" s="22">
        <f t="shared" si="7"/>
        <v>96.604344000000054</v>
      </c>
      <c r="Y35" s="26"/>
      <c r="Z35" s="20">
        <f t="shared" si="8"/>
        <v>0</v>
      </c>
      <c r="AA35" s="20">
        <f t="shared" si="9"/>
        <v>96.604344000000054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406.38796716921536</v>
      </c>
    </row>
    <row r="36" spans="1:34">
      <c r="A36" s="21" t="s">
        <v>29</v>
      </c>
      <c r="B36" s="22">
        <v>37</v>
      </c>
      <c r="C36" s="23"/>
      <c r="D36" s="24"/>
      <c r="E36" s="15">
        <f t="shared" si="0"/>
        <v>0</v>
      </c>
      <c r="F36" s="23"/>
      <c r="G36" s="25"/>
      <c r="H36" s="22">
        <f t="shared" si="17"/>
        <v>0</v>
      </c>
      <c r="I36" s="23"/>
      <c r="J36" s="25"/>
      <c r="K36" s="15">
        <f t="shared" si="2"/>
        <v>0</v>
      </c>
      <c r="L36" s="23"/>
      <c r="M36" s="25"/>
      <c r="N36" s="15">
        <f t="shared" si="3"/>
        <v>0</v>
      </c>
      <c r="O36" s="23"/>
      <c r="P36" s="25"/>
      <c r="Q36" s="15">
        <f t="shared" si="4"/>
        <v>0</v>
      </c>
      <c r="R36" s="23">
        <f>SUM('Plant Measurments'!O406:O430)</f>
        <v>579.68811200000039</v>
      </c>
      <c r="S36" s="25"/>
      <c r="T36" s="15">
        <f t="shared" si="5"/>
        <v>2318.7524480000016</v>
      </c>
      <c r="U36" s="23"/>
      <c r="V36" s="25"/>
      <c r="W36" s="15">
        <f t="shared" si="6"/>
        <v>0</v>
      </c>
      <c r="X36" s="22">
        <f t="shared" si="7"/>
        <v>2318.7524480000016</v>
      </c>
      <c r="Y36" s="26"/>
      <c r="Z36" s="20">
        <f t="shared" si="8"/>
        <v>0</v>
      </c>
      <c r="AA36" s="20">
        <f t="shared" si="9"/>
        <v>2318.7524480000016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9754.355287701781</v>
      </c>
    </row>
    <row r="37" spans="1:34">
      <c r="A37" s="27" t="s">
        <v>29</v>
      </c>
      <c r="B37" s="28">
        <v>40</v>
      </c>
      <c r="C37" s="29"/>
      <c r="D37" s="30"/>
      <c r="E37" s="15">
        <f t="shared" si="0"/>
        <v>0</v>
      </c>
      <c r="F37" s="29"/>
      <c r="G37" s="31"/>
      <c r="H37" s="22">
        <f t="shared" si="17"/>
        <v>0</v>
      </c>
      <c r="I37" s="29"/>
      <c r="J37" s="31"/>
      <c r="K37" s="15">
        <f t="shared" si="2"/>
        <v>0</v>
      </c>
      <c r="L37" s="29"/>
      <c r="M37" s="31"/>
      <c r="N37" s="15">
        <f t="shared" si="3"/>
        <v>0</v>
      </c>
      <c r="O37" s="29"/>
      <c r="P37" s="31"/>
      <c r="Q37" s="15">
        <f t="shared" si="4"/>
        <v>0</v>
      </c>
      <c r="R37" s="29">
        <f>SUM('Plant Measurments'!O431:O434)</f>
        <v>20.955220000000001</v>
      </c>
      <c r="S37" s="31"/>
      <c r="T37" s="15">
        <f t="shared" si="5"/>
        <v>83.820880000000002</v>
      </c>
      <c r="U37" s="29"/>
      <c r="V37" s="31"/>
      <c r="W37" s="15">
        <f t="shared" si="6"/>
        <v>0</v>
      </c>
      <c r="X37" s="28">
        <f t="shared" si="7"/>
        <v>83.820880000000002</v>
      </c>
      <c r="Y37" s="32"/>
      <c r="Z37" s="20">
        <f t="shared" si="8"/>
        <v>0</v>
      </c>
      <c r="AA37" s="20">
        <f t="shared" si="9"/>
        <v>83.820880000000002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352.61144187816984</v>
      </c>
    </row>
    <row r="38" spans="1:34">
      <c r="A38" s="14" t="s">
        <v>27</v>
      </c>
      <c r="B38" s="15">
        <v>1</v>
      </c>
      <c r="C38" s="16">
        <f>SUM('Plant Measurments'!O435:O438)</f>
        <v>0</v>
      </c>
      <c r="D38" s="17"/>
      <c r="E38" s="15">
        <f t="shared" si="0"/>
        <v>0</v>
      </c>
      <c r="F38" s="16"/>
      <c r="G38" s="18"/>
      <c r="H38" s="22">
        <f t="shared" si="17"/>
        <v>0</v>
      </c>
      <c r="I38" s="16"/>
      <c r="J38" s="18"/>
      <c r="K38" s="15">
        <f t="shared" si="2"/>
        <v>0</v>
      </c>
      <c r="L38" s="16"/>
      <c r="M38" s="18"/>
      <c r="N38" s="15">
        <f t="shared" si="3"/>
        <v>0</v>
      </c>
      <c r="O38" s="16"/>
      <c r="P38" s="18"/>
      <c r="Q38" s="15">
        <f t="shared" si="4"/>
        <v>0</v>
      </c>
      <c r="R38" s="16">
        <f>SUM('Plant Measurments'!O439:O445)</f>
        <v>52.025092999999984</v>
      </c>
      <c r="S38" s="18"/>
      <c r="T38" s="15">
        <f t="shared" si="5"/>
        <v>208.10037199999994</v>
      </c>
      <c r="U38" s="16"/>
      <c r="V38" s="18"/>
      <c r="W38" s="15">
        <f t="shared" si="6"/>
        <v>0</v>
      </c>
      <c r="X38" s="15">
        <f t="shared" si="7"/>
        <v>208.10037199999994</v>
      </c>
      <c r="Y38" s="19">
        <f>AVERAGE(X38:X42)</f>
        <v>324.02553448000003</v>
      </c>
      <c r="Z38" s="20">
        <f t="shared" si="8"/>
        <v>0</v>
      </c>
      <c r="AA38" s="20">
        <f t="shared" si="9"/>
        <v>208.10037199999994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875.42116267812378</v>
      </c>
    </row>
    <row r="39" spans="1:34">
      <c r="A39" s="21" t="s">
        <v>27</v>
      </c>
      <c r="B39" s="22">
        <v>17</v>
      </c>
      <c r="C39" s="23">
        <f>SUM('Plant Measurments'!O446:O452)</f>
        <v>32.950113600000002</v>
      </c>
      <c r="D39" s="24"/>
      <c r="E39" s="15">
        <f t="shared" si="0"/>
        <v>131.80045440000001</v>
      </c>
      <c r="F39" s="23"/>
      <c r="G39" s="25"/>
      <c r="H39" s="22">
        <f t="shared" si="17"/>
        <v>0</v>
      </c>
      <c r="I39" s="23"/>
      <c r="J39" s="25"/>
      <c r="K39" s="15">
        <f t="shared" si="2"/>
        <v>0</v>
      </c>
      <c r="L39" s="23"/>
      <c r="M39" s="25"/>
      <c r="N39" s="15">
        <f t="shared" si="3"/>
        <v>0</v>
      </c>
      <c r="O39" s="23"/>
      <c r="P39" s="25"/>
      <c r="Q39" s="15">
        <f t="shared" si="4"/>
        <v>0</v>
      </c>
      <c r="R39" s="23">
        <f>SUM('Plant Measurments'!O453:O468)</f>
        <v>130.80322100000006</v>
      </c>
      <c r="S39" s="25"/>
      <c r="T39" s="15">
        <f t="shared" si="5"/>
        <v>523.21288400000026</v>
      </c>
      <c r="U39" s="23"/>
      <c r="V39" s="25"/>
      <c r="W39" s="15">
        <f t="shared" si="6"/>
        <v>0</v>
      </c>
      <c r="X39" s="22">
        <f t="shared" si="7"/>
        <v>655.01333840000029</v>
      </c>
      <c r="Y39" s="26"/>
      <c r="Z39" s="20">
        <f t="shared" si="8"/>
        <v>131.80045440000001</v>
      </c>
      <c r="AA39" s="20">
        <f t="shared" si="9"/>
        <v>523.21288400000026</v>
      </c>
      <c r="AB39">
        <f t="shared" si="10"/>
        <v>0.20121797018965859</v>
      </c>
      <c r="AC39">
        <f t="shared" si="11"/>
        <v>0</v>
      </c>
      <c r="AD39">
        <f t="shared" si="12"/>
        <v>0</v>
      </c>
      <c r="AE39">
        <f t="shared" si="13"/>
        <v>0.79878202981034141</v>
      </c>
      <c r="AF39">
        <f t="shared" si="14"/>
        <v>21033.62801</v>
      </c>
      <c r="AG39">
        <f t="shared" si="15"/>
        <v>4206.7256020000004</v>
      </c>
      <c r="AH39">
        <f t="shared" si="16"/>
        <v>2755.4613802987715</v>
      </c>
    </row>
    <row r="40" spans="1:34">
      <c r="A40" s="21" t="s">
        <v>27</v>
      </c>
      <c r="B40" s="22">
        <v>19</v>
      </c>
      <c r="C40" s="23">
        <f>SUM('Plant Measurments'!O469:O499)</f>
        <v>127.31407450000003</v>
      </c>
      <c r="D40" s="24"/>
      <c r="E40" s="15">
        <f t="shared" si="0"/>
        <v>509.25629800000013</v>
      </c>
      <c r="F40" s="23"/>
      <c r="G40" s="25"/>
      <c r="H40" s="22">
        <f t="shared" si="17"/>
        <v>0</v>
      </c>
      <c r="I40" s="23"/>
      <c r="J40" s="25"/>
      <c r="K40" s="15">
        <f t="shared" si="2"/>
        <v>0</v>
      </c>
      <c r="L40" s="23"/>
      <c r="M40" s="25"/>
      <c r="N40" s="15">
        <f t="shared" si="3"/>
        <v>0</v>
      </c>
      <c r="O40" s="23"/>
      <c r="P40" s="25"/>
      <c r="Q40" s="15">
        <f t="shared" si="4"/>
        <v>0</v>
      </c>
      <c r="R40" s="23"/>
      <c r="S40" s="25"/>
      <c r="T40" s="15">
        <f t="shared" si="5"/>
        <v>0</v>
      </c>
      <c r="U40" s="23"/>
      <c r="V40" s="25"/>
      <c r="W40" s="15">
        <f t="shared" si="6"/>
        <v>0</v>
      </c>
      <c r="X40" s="22">
        <f t="shared" si="7"/>
        <v>509.25629800000013</v>
      </c>
      <c r="Y40" s="26"/>
      <c r="Z40" s="20">
        <f t="shared" si="8"/>
        <v>509.25629800000013</v>
      </c>
      <c r="AA40" s="20">
        <f t="shared" si="9"/>
        <v>0</v>
      </c>
      <c r="AB40">
        <f t="shared" si="10"/>
        <v>1</v>
      </c>
      <c r="AC40">
        <f t="shared" si="11"/>
        <v>0</v>
      </c>
      <c r="AD40">
        <f t="shared" si="12"/>
        <v>0</v>
      </c>
      <c r="AE40">
        <f t="shared" si="13"/>
        <v>0</v>
      </c>
      <c r="AF40">
        <f t="shared" si="14"/>
        <v>21033.62801</v>
      </c>
      <c r="AG40">
        <f t="shared" si="15"/>
        <v>4206.7256020000004</v>
      </c>
      <c r="AH40">
        <f t="shared" si="16"/>
        <v>2142.3015067763422</v>
      </c>
    </row>
    <row r="41" spans="1:34">
      <c r="A41" s="21" t="s">
        <v>27</v>
      </c>
      <c r="B41" s="22">
        <v>45</v>
      </c>
      <c r="C41" s="23"/>
      <c r="D41" s="24"/>
      <c r="E41" s="15">
        <f t="shared" si="0"/>
        <v>0</v>
      </c>
      <c r="F41" s="23"/>
      <c r="G41" s="25"/>
      <c r="H41" s="22">
        <f t="shared" si="17"/>
        <v>0</v>
      </c>
      <c r="I41" s="23"/>
      <c r="J41" s="25"/>
      <c r="K41" s="15">
        <f t="shared" si="2"/>
        <v>0</v>
      </c>
      <c r="L41" s="23"/>
      <c r="M41" s="25"/>
      <c r="N41" s="15">
        <f t="shared" si="3"/>
        <v>0</v>
      </c>
      <c r="O41" s="23"/>
      <c r="P41" s="25"/>
      <c r="Q41" s="15">
        <f t="shared" si="4"/>
        <v>0</v>
      </c>
      <c r="R41" s="23">
        <f>SUM('Plant Measurments'!O500:O504)</f>
        <v>28.985996999999994</v>
      </c>
      <c r="S41" s="25"/>
      <c r="T41" s="15">
        <f t="shared" si="5"/>
        <v>115.94398799999998</v>
      </c>
      <c r="U41" s="23"/>
      <c r="V41" s="25"/>
      <c r="W41" s="15">
        <f t="shared" si="6"/>
        <v>0</v>
      </c>
      <c r="X41" s="22">
        <f t="shared" si="7"/>
        <v>115.94398799999998</v>
      </c>
      <c r="Y41" s="26"/>
      <c r="Z41" s="20">
        <f t="shared" si="8"/>
        <v>0</v>
      </c>
      <c r="AA41" s="20">
        <f t="shared" si="9"/>
        <v>115.94398799999998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487.74454271758071</v>
      </c>
    </row>
    <row r="42" spans="1:34">
      <c r="A42" s="27" t="s">
        <v>27</v>
      </c>
      <c r="B42" s="28">
        <v>47</v>
      </c>
      <c r="C42" s="29"/>
      <c r="D42" s="30"/>
      <c r="E42" s="15">
        <f>C42*4</f>
        <v>0</v>
      </c>
      <c r="F42" s="29"/>
      <c r="G42" s="31"/>
      <c r="H42" s="22">
        <f t="shared" si="17"/>
        <v>0</v>
      </c>
      <c r="I42" s="29"/>
      <c r="J42" s="31"/>
      <c r="K42" s="15">
        <f t="shared" si="2"/>
        <v>0</v>
      </c>
      <c r="L42" s="29"/>
      <c r="M42" s="31"/>
      <c r="N42" s="15">
        <f t="shared" si="3"/>
        <v>0</v>
      </c>
      <c r="O42" s="29"/>
      <c r="P42" s="31"/>
      <c r="Q42" s="15">
        <f t="shared" si="4"/>
        <v>0</v>
      </c>
      <c r="R42" s="29">
        <f>SUM('Plant Measurments'!O505:O513)</f>
        <v>32.953419000000004</v>
      </c>
      <c r="S42" s="31"/>
      <c r="T42" s="15">
        <f t="shared" si="5"/>
        <v>131.81367600000002</v>
      </c>
      <c r="U42" s="29"/>
      <c r="V42" s="31"/>
      <c r="W42" s="15">
        <f t="shared" si="6"/>
        <v>0</v>
      </c>
      <c r="X42" s="28">
        <f t="shared" si="7"/>
        <v>131.81367600000002</v>
      </c>
      <c r="Y42" s="32"/>
      <c r="Z42" s="20">
        <f t="shared" si="8"/>
        <v>0</v>
      </c>
      <c r="AA42" s="20">
        <f t="shared" si="9"/>
        <v>131.81367600000002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1</v>
      </c>
      <c r="AF42">
        <f t="shared" si="14"/>
        <v>21033.62801</v>
      </c>
      <c r="AG42">
        <f t="shared" si="15"/>
        <v>4206.7256020000004</v>
      </c>
      <c r="AH42">
        <f t="shared" si="16"/>
        <v>554.50396552293307</v>
      </c>
    </row>
    <row r="43" spans="1:34">
      <c r="A43" s="14" t="s">
        <v>26</v>
      </c>
      <c r="B43" s="15">
        <v>22</v>
      </c>
      <c r="C43" s="16"/>
      <c r="D43" s="36"/>
      <c r="E43" s="15">
        <f>C43*4</f>
        <v>0</v>
      </c>
      <c r="F43" s="16"/>
      <c r="G43" s="18"/>
      <c r="H43" s="15"/>
      <c r="I43" s="16"/>
      <c r="J43" s="18"/>
      <c r="K43" s="15">
        <f t="shared" si="2"/>
        <v>0</v>
      </c>
      <c r="L43" s="16"/>
      <c r="M43" s="18"/>
      <c r="N43" s="15">
        <f t="shared" si="3"/>
        <v>0</v>
      </c>
      <c r="O43" s="16"/>
      <c r="P43" s="18"/>
      <c r="Q43" s="15">
        <f t="shared" si="4"/>
        <v>0</v>
      </c>
      <c r="R43" s="16">
        <f>SUM('Plant Measurments'!O514:O522)</f>
        <v>119.53985900000004</v>
      </c>
      <c r="S43" s="18"/>
      <c r="T43" s="15">
        <f t="shared" si="5"/>
        <v>478.15943600000014</v>
      </c>
      <c r="U43" s="16"/>
      <c r="V43" s="17"/>
      <c r="W43" s="15">
        <f t="shared" si="6"/>
        <v>0</v>
      </c>
      <c r="X43" s="15">
        <f t="shared" si="7"/>
        <v>478.15943600000014</v>
      </c>
      <c r="Y43" s="19">
        <f>AVERAGE(X43:X47)</f>
        <v>495.12580719999994</v>
      </c>
      <c r="Z43" s="20">
        <f t="shared" si="8"/>
        <v>0</v>
      </c>
      <c r="AA43" s="20">
        <f t="shared" si="9"/>
        <v>478.15943600000014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2011.4855412590814</v>
      </c>
    </row>
    <row r="44" spans="1:34">
      <c r="A44" s="21" t="s">
        <v>26</v>
      </c>
      <c r="B44" s="22">
        <v>25</v>
      </c>
      <c r="C44" s="23">
        <f>SUM('Plant Measurments'!O523:O574)</f>
        <v>236.82967099999999</v>
      </c>
      <c r="D44" s="24"/>
      <c r="E44" s="15">
        <f>C44*4</f>
        <v>947.31868399999996</v>
      </c>
      <c r="F44" s="23"/>
      <c r="G44" s="25"/>
      <c r="H44" s="22"/>
      <c r="I44" s="23">
        <f>SUM('Plant Measurments'!O575:O595)</f>
        <v>132.14447759999999</v>
      </c>
      <c r="J44" s="25"/>
      <c r="K44" s="15">
        <f t="shared" si="2"/>
        <v>528.57791039999995</v>
      </c>
      <c r="L44" s="23"/>
      <c r="M44" s="25"/>
      <c r="N44" s="15">
        <f t="shared" si="3"/>
        <v>0</v>
      </c>
      <c r="O44" s="23"/>
      <c r="P44" s="25"/>
      <c r="Q44" s="15">
        <f t="shared" si="4"/>
        <v>0</v>
      </c>
      <c r="R44" s="23"/>
      <c r="S44" s="25"/>
      <c r="T44" s="15">
        <f t="shared" si="5"/>
        <v>0</v>
      </c>
      <c r="U44" s="23"/>
      <c r="V44" s="25"/>
      <c r="W44" s="15">
        <f t="shared" si="6"/>
        <v>0</v>
      </c>
      <c r="X44" s="22">
        <f t="shared" si="7"/>
        <v>1475.8965943999999</v>
      </c>
      <c r="Y44" s="26"/>
      <c r="Z44" s="20">
        <f t="shared" si="8"/>
        <v>947.31868399999996</v>
      </c>
      <c r="AA44" s="20">
        <f t="shared" si="9"/>
        <v>0</v>
      </c>
      <c r="AB44">
        <f t="shared" si="10"/>
        <v>0.64185979396823256</v>
      </c>
      <c r="AC44">
        <f t="shared" si="11"/>
        <v>0</v>
      </c>
      <c r="AD44">
        <f t="shared" si="12"/>
        <v>0.35814020603176749</v>
      </c>
      <c r="AE44">
        <f t="shared" si="13"/>
        <v>0</v>
      </c>
      <c r="AF44">
        <f t="shared" si="14"/>
        <v>21033.62801</v>
      </c>
      <c r="AG44">
        <f t="shared" si="15"/>
        <v>4206.7256020000004</v>
      </c>
      <c r="AH44">
        <f t="shared" si="16"/>
        <v>6208.6919895670899</v>
      </c>
    </row>
    <row r="45" spans="1:34">
      <c r="A45" s="21" t="s">
        <v>26</v>
      </c>
      <c r="B45" s="22">
        <v>43</v>
      </c>
      <c r="C45" s="23"/>
      <c r="D45" s="24"/>
      <c r="E45" s="15">
        <f>C45*4</f>
        <v>0</v>
      </c>
      <c r="F45" s="23"/>
      <c r="G45" s="25"/>
      <c r="H45" s="22"/>
      <c r="I45" s="23"/>
      <c r="J45" s="25"/>
      <c r="K45" s="15">
        <f t="shared" si="2"/>
        <v>0</v>
      </c>
      <c r="L45" s="23"/>
      <c r="M45" s="25"/>
      <c r="N45" s="15">
        <f t="shared" si="3"/>
        <v>0</v>
      </c>
      <c r="O45" s="23"/>
      <c r="P45" s="25"/>
      <c r="Q45" s="15">
        <f t="shared" si="4"/>
        <v>0</v>
      </c>
      <c r="R45" s="23">
        <f>SUM('Plant Measurments'!O596:O601)</f>
        <v>28.929815000000005</v>
      </c>
      <c r="S45" s="25"/>
      <c r="T45" s="15">
        <f t="shared" si="5"/>
        <v>115.71926000000002</v>
      </c>
      <c r="U45" s="23"/>
      <c r="V45" s="25"/>
      <c r="W45" s="15">
        <f t="shared" si="6"/>
        <v>0</v>
      </c>
      <c r="X45" s="22">
        <f t="shared" si="7"/>
        <v>115.71926000000002</v>
      </c>
      <c r="Y45" s="26"/>
      <c r="Z45" s="20">
        <f t="shared" si="8"/>
        <v>0</v>
      </c>
      <c r="AA45" s="20">
        <f t="shared" si="9"/>
        <v>115.71926000000002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486.79917368649467</v>
      </c>
    </row>
    <row r="46" spans="1:34">
      <c r="A46" s="21" t="s">
        <v>26</v>
      </c>
      <c r="B46" s="22">
        <v>45</v>
      </c>
      <c r="C46" s="23"/>
      <c r="D46" s="24"/>
      <c r="E46" s="15">
        <f>C46*4</f>
        <v>0</v>
      </c>
      <c r="F46" s="23"/>
      <c r="G46" s="25"/>
      <c r="H46" s="22">
        <f>F46*4</f>
        <v>0</v>
      </c>
      <c r="I46" s="23">
        <f>SUM('Plant Measurments'!O602:O616)</f>
        <v>99.585092400000008</v>
      </c>
      <c r="J46" s="25"/>
      <c r="K46" s="15">
        <f t="shared" si="2"/>
        <v>398.34036960000003</v>
      </c>
      <c r="L46" s="23"/>
      <c r="M46" s="25"/>
      <c r="N46" s="15">
        <f t="shared" si="3"/>
        <v>0</v>
      </c>
      <c r="O46" s="23"/>
      <c r="P46" s="25"/>
      <c r="Q46" s="15">
        <f t="shared" si="4"/>
        <v>0</v>
      </c>
      <c r="R46" s="23">
        <f>SUM('Plant Measurments'!O617)</f>
        <v>1.878344000000002</v>
      </c>
      <c r="S46" s="25"/>
      <c r="T46" s="15">
        <f t="shared" si="5"/>
        <v>7.513376000000008</v>
      </c>
      <c r="U46" s="23"/>
      <c r="V46" s="25"/>
      <c r="W46" s="15">
        <f t="shared" si="6"/>
        <v>0</v>
      </c>
      <c r="X46" s="22">
        <f t="shared" si="7"/>
        <v>405.85374560000002</v>
      </c>
      <c r="Y46" s="26"/>
      <c r="Z46" s="20">
        <f t="shared" si="8"/>
        <v>0</v>
      </c>
      <c r="AA46" s="20">
        <f t="shared" si="9"/>
        <v>7.513376000000008</v>
      </c>
      <c r="AB46">
        <f t="shared" si="10"/>
        <v>0</v>
      </c>
      <c r="AC46">
        <f t="shared" si="11"/>
        <v>0</v>
      </c>
      <c r="AD46">
        <f t="shared" si="12"/>
        <v>0.98148747897129174</v>
      </c>
      <c r="AE46">
        <f t="shared" si="13"/>
        <v>1.8512521028708248E-2</v>
      </c>
      <c r="AF46">
        <f t="shared" si="14"/>
        <v>21033.62801</v>
      </c>
      <c r="AG46">
        <f t="shared" si="15"/>
        <v>4206.7256020000004</v>
      </c>
      <c r="AH46">
        <f t="shared" si="16"/>
        <v>1707.3153422831151</v>
      </c>
    </row>
    <row r="47" spans="1:34">
      <c r="A47" s="27" t="s">
        <v>26</v>
      </c>
      <c r="B47" s="28" t="s">
        <v>65</v>
      </c>
      <c r="C47" s="29"/>
      <c r="D47" s="30"/>
      <c r="E47" s="15">
        <f t="shared" si="0"/>
        <v>0</v>
      </c>
      <c r="F47" s="29"/>
      <c r="G47" s="31"/>
      <c r="H47" s="28"/>
      <c r="I47" s="29"/>
      <c r="J47" s="31"/>
      <c r="K47" s="15">
        <f t="shared" si="2"/>
        <v>0</v>
      </c>
      <c r="L47" s="29"/>
      <c r="M47" s="31"/>
      <c r="N47" s="15">
        <f t="shared" si="3"/>
        <v>0</v>
      </c>
      <c r="O47" s="29"/>
      <c r="P47" s="31"/>
      <c r="Q47" s="15">
        <f t="shared" si="4"/>
        <v>0</v>
      </c>
      <c r="R47" s="29"/>
      <c r="S47" s="31"/>
      <c r="T47" s="15">
        <f t="shared" si="5"/>
        <v>0</v>
      </c>
      <c r="U47" s="29"/>
      <c r="V47" s="31"/>
      <c r="W47" s="15">
        <f t="shared" si="6"/>
        <v>0</v>
      </c>
      <c r="X47" s="28">
        <f t="shared" si="7"/>
        <v>0</v>
      </c>
      <c r="Y47" s="32"/>
      <c r="Z47" s="20">
        <f t="shared" si="8"/>
        <v>0</v>
      </c>
      <c r="AA47" s="20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>
      <c r="A48" s="14" t="s">
        <v>21</v>
      </c>
      <c r="B48" s="15">
        <v>12</v>
      </c>
      <c r="C48" s="16"/>
      <c r="D48" s="17"/>
      <c r="E48" s="15">
        <f t="shared" si="0"/>
        <v>0</v>
      </c>
      <c r="F48" s="16"/>
      <c r="G48" s="18"/>
      <c r="H48" s="15"/>
      <c r="I48" s="16"/>
      <c r="J48" s="18"/>
      <c r="K48" s="15">
        <f t="shared" si="2"/>
        <v>0</v>
      </c>
      <c r="L48" s="16"/>
      <c r="M48" s="18"/>
      <c r="N48" s="15">
        <f t="shared" si="3"/>
        <v>0</v>
      </c>
      <c r="O48" s="16"/>
      <c r="P48" s="18"/>
      <c r="Q48" s="15">
        <f t="shared" si="4"/>
        <v>0</v>
      </c>
      <c r="R48" s="16">
        <f>SUM('Plant Measurments'!O617:O640)</f>
        <v>189.05040600000001</v>
      </c>
      <c r="S48" s="18"/>
      <c r="T48" s="15">
        <f t="shared" si="5"/>
        <v>756.20162400000004</v>
      </c>
      <c r="U48" s="16"/>
      <c r="V48" s="18"/>
      <c r="W48" s="15">
        <f t="shared" si="6"/>
        <v>0</v>
      </c>
      <c r="X48" s="15">
        <f t="shared" si="7"/>
        <v>756.20162400000004</v>
      </c>
      <c r="Y48" s="19">
        <f>AVERAGE(X48:X52)</f>
        <v>934.1195710400001</v>
      </c>
      <c r="Z48" s="20">
        <f>E48+Q48</f>
        <v>0</v>
      </c>
      <c r="AA48" s="20">
        <f t="shared" si="9"/>
        <v>756.20162400000004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3181.1327319547781</v>
      </c>
    </row>
    <row r="49" spans="1:34">
      <c r="A49" s="21" t="s">
        <v>21</v>
      </c>
      <c r="B49" s="22">
        <v>17</v>
      </c>
      <c r="C49" s="23"/>
      <c r="D49" s="24"/>
      <c r="E49" s="15">
        <f t="shared" si="0"/>
        <v>0</v>
      </c>
      <c r="F49" s="23"/>
      <c r="G49" s="25"/>
      <c r="H49" s="22"/>
      <c r="I49" s="23"/>
      <c r="J49" s="25"/>
      <c r="K49" s="15">
        <f t="shared" si="2"/>
        <v>0</v>
      </c>
      <c r="L49" s="23"/>
      <c r="M49" s="25"/>
      <c r="N49" s="15">
        <f t="shared" si="3"/>
        <v>0</v>
      </c>
      <c r="O49" s="23"/>
      <c r="P49" s="25"/>
      <c r="Q49" s="15">
        <f t="shared" si="4"/>
        <v>0</v>
      </c>
      <c r="R49" s="23">
        <f>SUM('Plant Measurments'!O646:O657)</f>
        <v>88.980141000000046</v>
      </c>
      <c r="S49" s="25"/>
      <c r="T49" s="15">
        <f t="shared" si="5"/>
        <v>355.92056400000018</v>
      </c>
      <c r="U49" s="23">
        <f>SUM('Plant Measurments'!O641:O645)</f>
        <v>88.593777000000017</v>
      </c>
      <c r="V49" s="25"/>
      <c r="W49" s="15">
        <f t="shared" si="6"/>
        <v>354.37510800000007</v>
      </c>
      <c r="X49" s="22">
        <f t="shared" si="7"/>
        <v>710.2956720000002</v>
      </c>
      <c r="Y49" s="26"/>
      <c r="Z49" s="20">
        <f t="shared" si="8"/>
        <v>0</v>
      </c>
      <c r="AA49" s="20">
        <f t="shared" si="9"/>
        <v>710.2956720000002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2988.0189883921958</v>
      </c>
    </row>
    <row r="50" spans="1:34">
      <c r="A50" s="21" t="s">
        <v>21</v>
      </c>
      <c r="B50" s="22">
        <v>29</v>
      </c>
      <c r="C50" s="23"/>
      <c r="D50" s="24"/>
      <c r="E50" s="15">
        <f t="shared" si="0"/>
        <v>0</v>
      </c>
      <c r="F50" s="23"/>
      <c r="G50" s="25"/>
      <c r="H50" s="22">
        <f>F50*4</f>
        <v>0</v>
      </c>
      <c r="I50" s="23"/>
      <c r="J50" s="25"/>
      <c r="K50" s="15">
        <f t="shared" si="2"/>
        <v>0</v>
      </c>
      <c r="L50" s="23"/>
      <c r="M50" s="25"/>
      <c r="N50" s="15">
        <f t="shared" si="3"/>
        <v>0</v>
      </c>
      <c r="O50" s="23"/>
      <c r="P50" s="25"/>
      <c r="Q50" s="15">
        <f t="shared" si="4"/>
        <v>0</v>
      </c>
      <c r="R50" s="23">
        <f>SUM('Plant Measurments'!O661:O688)</f>
        <v>215.75195000000002</v>
      </c>
      <c r="S50" s="25"/>
      <c r="T50" s="15">
        <f t="shared" si="5"/>
        <v>863.00780000000009</v>
      </c>
      <c r="U50" s="23">
        <f>SUM('Plant Measurments'!O658:O660)</f>
        <v>46.535675000000026</v>
      </c>
      <c r="V50" s="25"/>
      <c r="W50" s="15">
        <f t="shared" si="6"/>
        <v>186.1427000000001</v>
      </c>
      <c r="X50" s="22">
        <f t="shared" si="7"/>
        <v>1049.1505000000002</v>
      </c>
      <c r="Y50" s="26"/>
      <c r="Z50" s="20">
        <f t="shared" si="8"/>
        <v>0</v>
      </c>
      <c r="AA50" s="20">
        <f t="shared" si="9"/>
        <v>1049.1505000000002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4413.4882687011022</v>
      </c>
    </row>
    <row r="51" spans="1:34">
      <c r="A51" s="21" t="s">
        <v>21</v>
      </c>
      <c r="B51" s="22">
        <v>31</v>
      </c>
      <c r="C51" s="23"/>
      <c r="D51" s="24"/>
      <c r="E51" s="15">
        <f t="shared" si="0"/>
        <v>0</v>
      </c>
      <c r="F51" s="23"/>
      <c r="G51" s="25"/>
      <c r="H51" s="22">
        <f>F51*4</f>
        <v>0</v>
      </c>
      <c r="I51" s="23"/>
      <c r="J51" s="25"/>
      <c r="K51" s="15">
        <f t="shared" si="2"/>
        <v>0</v>
      </c>
      <c r="L51" s="23"/>
      <c r="M51" s="25"/>
      <c r="N51" s="15">
        <f t="shared" si="3"/>
        <v>0</v>
      </c>
      <c r="O51" s="23"/>
      <c r="P51" s="25"/>
      <c r="Q51" s="15">
        <f t="shared" si="4"/>
        <v>0</v>
      </c>
      <c r="R51" s="23">
        <f>SUM('Plant Measurments'!O689:O703)</f>
        <v>108.12181400000003</v>
      </c>
      <c r="S51" s="25"/>
      <c r="T51" s="15">
        <f t="shared" si="5"/>
        <v>432.48725600000012</v>
      </c>
      <c r="U51" s="23"/>
      <c r="V51" s="25"/>
      <c r="W51" s="15">
        <f t="shared" si="6"/>
        <v>0</v>
      </c>
      <c r="X51" s="22">
        <f t="shared" si="7"/>
        <v>432.48725600000012</v>
      </c>
      <c r="Y51" s="26"/>
      <c r="Z51" s="20">
        <f t="shared" si="8"/>
        <v>0</v>
      </c>
      <c r="AA51" s="20">
        <f t="shared" si="9"/>
        <v>432.48725600000012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1819.3552123539287</v>
      </c>
    </row>
    <row r="52" spans="1:34">
      <c r="A52" s="27" t="s">
        <v>21</v>
      </c>
      <c r="B52" s="28">
        <v>48</v>
      </c>
      <c r="C52" s="29"/>
      <c r="D52" s="30"/>
      <c r="E52" s="15">
        <f t="shared" si="0"/>
        <v>0</v>
      </c>
      <c r="F52" s="29"/>
      <c r="G52" s="31"/>
      <c r="H52" s="28"/>
      <c r="I52" s="29">
        <f>SUM('Plant Measurments'!O704:O765)</f>
        <v>430.61570080000001</v>
      </c>
      <c r="J52" s="31"/>
      <c r="K52" s="15">
        <f t="shared" si="2"/>
        <v>1722.4628032000001</v>
      </c>
      <c r="L52" s="29"/>
      <c r="M52" s="31"/>
      <c r="N52" s="15">
        <f t="shared" si="3"/>
        <v>0</v>
      </c>
      <c r="O52" s="29"/>
      <c r="P52" s="31"/>
      <c r="Q52" s="15">
        <f t="shared" si="4"/>
        <v>0</v>
      </c>
      <c r="R52" s="29"/>
      <c r="S52" s="31"/>
      <c r="T52" s="15">
        <f t="shared" si="5"/>
        <v>0</v>
      </c>
      <c r="U52" s="29"/>
      <c r="V52" s="31"/>
      <c r="W52" s="15">
        <f t="shared" si="6"/>
        <v>0</v>
      </c>
      <c r="X52" s="28">
        <f t="shared" si="7"/>
        <v>1722.4628032000001</v>
      </c>
      <c r="Y52" s="32"/>
      <c r="Z52" s="20">
        <f t="shared" si="8"/>
        <v>0</v>
      </c>
      <c r="AA52" s="20">
        <f t="shared" si="9"/>
        <v>0</v>
      </c>
      <c r="AB52">
        <f t="shared" si="10"/>
        <v>0</v>
      </c>
      <c r="AC52">
        <f t="shared" si="11"/>
        <v>0</v>
      </c>
      <c r="AD52">
        <f t="shared" si="12"/>
        <v>1</v>
      </c>
      <c r="AE52">
        <f t="shared" si="13"/>
        <v>0</v>
      </c>
      <c r="AF52">
        <f t="shared" si="14"/>
        <v>21033.62801</v>
      </c>
      <c r="AG52">
        <f t="shared" si="15"/>
        <v>4206.7256020000004</v>
      </c>
      <c r="AH52">
        <f t="shared" si="16"/>
        <v>7245.9283727141283</v>
      </c>
    </row>
    <row r="53" spans="1:34">
      <c r="Y53" t="s">
        <v>58</v>
      </c>
      <c r="AB53">
        <f>AVERAGE(AB3:AB52)</f>
        <v>0.10679247066989764</v>
      </c>
      <c r="AC53">
        <f t="shared" ref="AC53:AE53" si="18">AVERAGE(AC3:AC52)</f>
        <v>0</v>
      </c>
      <c r="AD53">
        <f t="shared" si="18"/>
        <v>9.1656318765704792E-2</v>
      </c>
      <c r="AE53">
        <f t="shared" si="18"/>
        <v>0.80155121056439749</v>
      </c>
      <c r="AG53" t="s">
        <v>59</v>
      </c>
      <c r="AH53">
        <f>SUM(AH3:AH52)</f>
        <v>107314.05827279059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2013-06-17T16:19:05Z</dcterms:created>
  <dcterms:modified xsi:type="dcterms:W3CDTF">2015-07-29T22:45:48Z</dcterms:modified>
</cp:coreProperties>
</file>