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8080" yWindow="540" windowWidth="28540" windowHeight="22080" tabRatio="500" activeTab="1"/>
  </bookViews>
  <sheets>
    <sheet name="Plant Measurements" sheetId="1" r:id="rId1"/>
    <sheet name="Quadrat Totals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21" i="1" l="1"/>
  <c r="O622" i="1"/>
  <c r="O623" i="1"/>
  <c r="O624" i="1"/>
  <c r="O625" i="1"/>
  <c r="R52" i="2"/>
  <c r="O618" i="1"/>
  <c r="O619" i="1"/>
  <c r="O620" i="1"/>
  <c r="U52" i="2"/>
  <c r="O616" i="1"/>
  <c r="O617" i="1"/>
  <c r="R51" i="2"/>
  <c r="O598" i="1"/>
  <c r="O599" i="1"/>
  <c r="O600" i="1"/>
  <c r="O601" i="1"/>
  <c r="O602" i="1"/>
  <c r="O603" i="1"/>
  <c r="U50" i="2"/>
  <c r="O590" i="1"/>
  <c r="O591" i="1"/>
  <c r="O592" i="1"/>
  <c r="O593" i="1"/>
  <c r="O594" i="1"/>
  <c r="O595" i="1"/>
  <c r="O596" i="1"/>
  <c r="O597" i="1"/>
  <c r="U49" i="2"/>
  <c r="O578" i="1"/>
  <c r="O579" i="1"/>
  <c r="O580" i="1"/>
  <c r="O581" i="1"/>
  <c r="O582" i="1"/>
  <c r="O583" i="1"/>
  <c r="O584" i="1"/>
  <c r="R48" i="2"/>
  <c r="O576" i="1"/>
  <c r="O577" i="1"/>
  <c r="U48" i="2"/>
  <c r="O570" i="1"/>
  <c r="O571" i="1"/>
  <c r="O572" i="1"/>
  <c r="O573" i="1"/>
  <c r="O574" i="1"/>
  <c r="O575" i="1"/>
  <c r="I48" i="2"/>
  <c r="O563" i="1"/>
  <c r="O564" i="1"/>
  <c r="O565" i="1"/>
  <c r="O566" i="1"/>
  <c r="O567" i="1"/>
  <c r="O568" i="1"/>
  <c r="O569" i="1"/>
  <c r="R47" i="2"/>
  <c r="O561" i="1"/>
  <c r="O562" i="1"/>
  <c r="U47" i="2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I47" i="2"/>
  <c r="O545" i="1"/>
  <c r="O546" i="1"/>
  <c r="O547" i="1"/>
  <c r="R46" i="2"/>
  <c r="O538" i="1"/>
  <c r="O539" i="1"/>
  <c r="O540" i="1"/>
  <c r="O541" i="1"/>
  <c r="O542" i="1"/>
  <c r="O543" i="1"/>
  <c r="O544" i="1"/>
  <c r="U46" i="2"/>
  <c r="O537" i="1"/>
  <c r="C46" i="2"/>
  <c r="O529" i="1"/>
  <c r="O530" i="1"/>
  <c r="O531" i="1"/>
  <c r="O532" i="1"/>
  <c r="O533" i="1"/>
  <c r="O534" i="1"/>
  <c r="O535" i="1"/>
  <c r="O536" i="1"/>
  <c r="R45" i="2"/>
  <c r="O525" i="1"/>
  <c r="O526" i="1"/>
  <c r="O527" i="1"/>
  <c r="O528" i="1"/>
  <c r="U45" i="2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C44" i="2"/>
  <c r="O510" i="1"/>
  <c r="R43" i="2"/>
  <c r="O509" i="1"/>
  <c r="U43" i="2"/>
  <c r="O505" i="1"/>
  <c r="O506" i="1"/>
  <c r="O507" i="1"/>
  <c r="O508" i="1"/>
  <c r="R42" i="2"/>
  <c r="O494" i="1"/>
  <c r="O495" i="1"/>
  <c r="O496" i="1"/>
  <c r="O497" i="1"/>
  <c r="O498" i="1"/>
  <c r="O499" i="1"/>
  <c r="O500" i="1"/>
  <c r="O501" i="1"/>
  <c r="O502" i="1"/>
  <c r="O503" i="1"/>
  <c r="O504" i="1"/>
  <c r="C42" i="2"/>
  <c r="O487" i="1"/>
  <c r="O488" i="1"/>
  <c r="O489" i="1"/>
  <c r="O490" i="1"/>
  <c r="O491" i="1"/>
  <c r="O492" i="1"/>
  <c r="O493" i="1"/>
  <c r="R41" i="2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R40" i="2"/>
  <c r="O467" i="1"/>
  <c r="O468" i="1"/>
  <c r="O469" i="1"/>
  <c r="R39" i="2"/>
  <c r="O457" i="1"/>
  <c r="O458" i="1"/>
  <c r="O459" i="1"/>
  <c r="O460" i="1"/>
  <c r="O461" i="1"/>
  <c r="O462" i="1"/>
  <c r="O463" i="1"/>
  <c r="O464" i="1"/>
  <c r="O465" i="1"/>
  <c r="O466" i="1"/>
  <c r="C39" i="2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R38" i="2"/>
  <c r="O432" i="1"/>
  <c r="O433" i="1"/>
  <c r="O434" i="1"/>
  <c r="O435" i="1"/>
  <c r="O436" i="1"/>
  <c r="O437" i="1"/>
  <c r="O438" i="1"/>
  <c r="O439" i="1"/>
  <c r="O440" i="1"/>
  <c r="O441" i="1"/>
  <c r="R37" i="2"/>
  <c r="O431" i="1"/>
  <c r="U37" i="2"/>
  <c r="O426" i="1"/>
  <c r="O427" i="1"/>
  <c r="O428" i="1"/>
  <c r="O429" i="1"/>
  <c r="C35" i="2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C34" i="2"/>
  <c r="O407" i="1"/>
  <c r="O408" i="1"/>
  <c r="O409" i="1"/>
  <c r="O410" i="1"/>
  <c r="R33" i="2"/>
  <c r="O405" i="1"/>
  <c r="O406" i="1"/>
  <c r="U33" i="2"/>
  <c r="O401" i="1"/>
  <c r="O402" i="1"/>
  <c r="O403" i="1"/>
  <c r="O404" i="1"/>
  <c r="I33" i="2"/>
  <c r="O389" i="1"/>
  <c r="O390" i="1"/>
  <c r="O391" i="1"/>
  <c r="O392" i="1"/>
  <c r="O393" i="1"/>
  <c r="O394" i="1"/>
  <c r="O395" i="1"/>
  <c r="O396" i="1"/>
  <c r="O397" i="1"/>
  <c r="O398" i="1"/>
  <c r="O399" i="1"/>
  <c r="O400" i="1"/>
  <c r="C33" i="2"/>
  <c r="O383" i="1"/>
  <c r="O384" i="1"/>
  <c r="O385" i="1"/>
  <c r="O386" i="1"/>
  <c r="O387" i="1"/>
  <c r="O388" i="1"/>
  <c r="R32" i="2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R31" i="2"/>
  <c r="O364" i="1"/>
  <c r="O365" i="1"/>
  <c r="O366" i="1"/>
  <c r="O367" i="1"/>
  <c r="O368" i="1"/>
  <c r="O369" i="1"/>
  <c r="U31" i="2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C31" i="2"/>
  <c r="O332" i="1"/>
  <c r="O333" i="1"/>
  <c r="O334" i="1"/>
  <c r="O335" i="1"/>
  <c r="O336" i="1"/>
  <c r="O337" i="1"/>
  <c r="O338" i="1"/>
  <c r="I30" i="2"/>
  <c r="O325" i="1"/>
  <c r="O326" i="1"/>
  <c r="O327" i="1"/>
  <c r="O328" i="1"/>
  <c r="O329" i="1"/>
  <c r="O330" i="1"/>
  <c r="O331" i="1"/>
  <c r="R29" i="2"/>
  <c r="O323" i="1"/>
  <c r="O324" i="1"/>
  <c r="I29" i="2"/>
  <c r="O321" i="1"/>
  <c r="O322" i="1"/>
  <c r="R28" i="2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I28" i="2"/>
  <c r="O289" i="1"/>
  <c r="O290" i="1"/>
  <c r="O291" i="1"/>
  <c r="O292" i="1"/>
  <c r="O293" i="1"/>
  <c r="O294" i="1"/>
  <c r="O295" i="1"/>
  <c r="O296" i="1"/>
  <c r="O297" i="1"/>
  <c r="O298" i="1"/>
  <c r="O299" i="1"/>
  <c r="O300" i="1"/>
  <c r="R27" i="2"/>
  <c r="O288" i="1"/>
  <c r="U27" i="2"/>
  <c r="O286" i="1"/>
  <c r="O287" i="1"/>
  <c r="R26" i="2"/>
  <c r="O284" i="1"/>
  <c r="O285" i="1"/>
  <c r="C26" i="2"/>
  <c r="O279" i="1"/>
  <c r="O280" i="1"/>
  <c r="O281" i="1"/>
  <c r="O282" i="1"/>
  <c r="O283" i="1"/>
  <c r="R25" i="2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C25" i="2"/>
  <c r="O261" i="1"/>
  <c r="O262" i="1"/>
  <c r="R24" i="2"/>
  <c r="O260" i="1"/>
  <c r="U24" i="2"/>
  <c r="O248" i="1"/>
  <c r="O249" i="1"/>
  <c r="O250" i="1"/>
  <c r="O251" i="1"/>
  <c r="O252" i="1"/>
  <c r="O253" i="1"/>
  <c r="O254" i="1"/>
  <c r="O255" i="1"/>
  <c r="O256" i="1"/>
  <c r="O257" i="1"/>
  <c r="O258" i="1"/>
  <c r="O259" i="1"/>
  <c r="I24" i="2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I23" i="2"/>
  <c r="O231" i="1"/>
  <c r="O232" i="1"/>
  <c r="O233" i="1"/>
  <c r="O234" i="1"/>
  <c r="R22" i="2"/>
  <c r="O226" i="1"/>
  <c r="O227" i="1"/>
  <c r="O228" i="1"/>
  <c r="O229" i="1"/>
  <c r="O230" i="1"/>
  <c r="U22" i="2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R21" i="2"/>
  <c r="O209" i="1"/>
  <c r="O210" i="1"/>
  <c r="O211" i="1"/>
  <c r="U21" i="2"/>
  <c r="O200" i="1"/>
  <c r="O201" i="1"/>
  <c r="O202" i="1"/>
  <c r="O203" i="1"/>
  <c r="O204" i="1"/>
  <c r="O205" i="1"/>
  <c r="O206" i="1"/>
  <c r="O207" i="1"/>
  <c r="O208" i="1"/>
  <c r="I20" i="2"/>
  <c r="O197" i="1"/>
  <c r="O198" i="1"/>
  <c r="O199" i="1"/>
  <c r="R19" i="2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I18" i="2"/>
  <c r="O178" i="1"/>
  <c r="R17" i="2"/>
  <c r="O177" i="1"/>
  <c r="R16" i="2"/>
  <c r="O174" i="1"/>
  <c r="O175" i="1"/>
  <c r="O176" i="1"/>
  <c r="U16" i="2"/>
  <c r="O173" i="1"/>
  <c r="C16" i="2"/>
  <c r="O170" i="1"/>
  <c r="O171" i="1"/>
  <c r="O172" i="1"/>
  <c r="R15" i="2"/>
  <c r="O164" i="1"/>
  <c r="O165" i="1"/>
  <c r="O166" i="1"/>
  <c r="O167" i="1"/>
  <c r="O168" i="1"/>
  <c r="O169" i="1"/>
  <c r="U15" i="2"/>
  <c r="O159" i="1"/>
  <c r="O160" i="1"/>
  <c r="O161" i="1"/>
  <c r="O162" i="1"/>
  <c r="O163" i="1"/>
  <c r="I14" i="2"/>
  <c r="O158" i="1"/>
  <c r="R13" i="2"/>
  <c r="O151" i="1"/>
  <c r="O152" i="1"/>
  <c r="O153" i="1"/>
  <c r="O154" i="1"/>
  <c r="O155" i="1"/>
  <c r="O156" i="1"/>
  <c r="O157" i="1"/>
  <c r="R12" i="2"/>
  <c r="O141" i="1"/>
  <c r="O142" i="1"/>
  <c r="O143" i="1"/>
  <c r="O144" i="1"/>
  <c r="O145" i="1"/>
  <c r="O146" i="1"/>
  <c r="O147" i="1"/>
  <c r="O148" i="1"/>
  <c r="O149" i="1"/>
  <c r="O150" i="1"/>
  <c r="R11" i="2"/>
  <c r="O133" i="1"/>
  <c r="O134" i="1"/>
  <c r="O135" i="1"/>
  <c r="O136" i="1"/>
  <c r="O137" i="1"/>
  <c r="O138" i="1"/>
  <c r="O139" i="1"/>
  <c r="O140" i="1"/>
  <c r="R10" i="2"/>
  <c r="O130" i="1"/>
  <c r="O131" i="1"/>
  <c r="O132" i="1"/>
  <c r="R9" i="2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R8" i="2"/>
  <c r="O106" i="1"/>
  <c r="O107" i="1"/>
  <c r="O108" i="1"/>
  <c r="O109" i="1"/>
  <c r="O110" i="1"/>
  <c r="O111" i="1"/>
  <c r="O112" i="1"/>
  <c r="C8" i="2"/>
  <c r="O103" i="1"/>
  <c r="O104" i="1"/>
  <c r="O105" i="1"/>
  <c r="R7" i="2"/>
  <c r="O93" i="1"/>
  <c r="O94" i="1"/>
  <c r="O95" i="1"/>
  <c r="O96" i="1"/>
  <c r="O97" i="1"/>
  <c r="O98" i="1"/>
  <c r="O99" i="1"/>
  <c r="O100" i="1"/>
  <c r="O101" i="1"/>
  <c r="O102" i="1"/>
  <c r="U7" i="2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R6" i="2"/>
  <c r="O78" i="1"/>
  <c r="O79" i="1"/>
  <c r="U6" i="2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R5" i="2"/>
  <c r="O59" i="1"/>
  <c r="O60" i="1"/>
  <c r="O61" i="1"/>
  <c r="O62" i="1"/>
  <c r="U5" i="2"/>
  <c r="O50" i="1"/>
  <c r="O51" i="1"/>
  <c r="O52" i="1"/>
  <c r="O53" i="1"/>
  <c r="O54" i="1"/>
  <c r="O55" i="1"/>
  <c r="O56" i="1"/>
  <c r="O57" i="1"/>
  <c r="O58" i="1"/>
  <c r="R4" i="2"/>
  <c r="O41" i="1"/>
  <c r="O42" i="1"/>
  <c r="O43" i="1"/>
  <c r="O44" i="1"/>
  <c r="O45" i="1"/>
  <c r="O46" i="1"/>
  <c r="O47" i="1"/>
  <c r="O48" i="1"/>
  <c r="O49" i="1"/>
  <c r="C4" i="2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R3" i="2"/>
  <c r="O5" i="1"/>
  <c r="U3" i="2"/>
  <c r="O4" i="1"/>
  <c r="C3" i="2"/>
  <c r="B30" i="2"/>
  <c r="B3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32" i="1"/>
  <c r="N333" i="1"/>
  <c r="N334" i="1"/>
  <c r="N335" i="1"/>
  <c r="N336" i="1"/>
  <c r="N337" i="1"/>
  <c r="N338" i="1"/>
  <c r="N325" i="1"/>
  <c r="N326" i="1"/>
  <c r="N327" i="1"/>
  <c r="N328" i="1"/>
  <c r="N329" i="1"/>
  <c r="N330" i="1"/>
  <c r="N331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O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O585" i="1"/>
  <c r="N586" i="1"/>
  <c r="O586" i="1"/>
  <c r="N587" i="1"/>
  <c r="O587" i="1"/>
  <c r="N588" i="1"/>
  <c r="O588" i="1"/>
  <c r="N589" i="1"/>
  <c r="O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N617" i="1"/>
  <c r="N618" i="1"/>
  <c r="N619" i="1"/>
  <c r="N620" i="1"/>
  <c r="N621" i="1"/>
  <c r="N622" i="1"/>
  <c r="N623" i="1"/>
  <c r="N624" i="1"/>
  <c r="N625" i="1"/>
  <c r="N4" i="1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E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J536" i="1"/>
  <c r="J535" i="1"/>
  <c r="J534" i="1"/>
  <c r="J533" i="1"/>
  <c r="J528" i="1"/>
  <c r="J527" i="1"/>
  <c r="J532" i="1"/>
  <c r="J526" i="1"/>
  <c r="J525" i="1"/>
  <c r="J531" i="1"/>
  <c r="J530" i="1"/>
  <c r="J529" i="1"/>
  <c r="J510" i="1"/>
  <c r="J509" i="1"/>
  <c r="J382" i="1"/>
  <c r="J381" i="1"/>
  <c r="J380" i="1"/>
  <c r="J379" i="1"/>
  <c r="J378" i="1"/>
  <c r="J369" i="1"/>
  <c r="J377" i="1"/>
  <c r="J376" i="1"/>
  <c r="J368" i="1"/>
  <c r="J367" i="1"/>
  <c r="J365" i="1"/>
  <c r="J366" i="1"/>
  <c r="J375" i="1"/>
  <c r="J374" i="1"/>
  <c r="J373" i="1"/>
  <c r="J372" i="1"/>
  <c r="J371" i="1"/>
  <c r="J370" i="1"/>
  <c r="J364" i="1"/>
  <c r="J388" i="1"/>
  <c r="J387" i="1"/>
  <c r="J386" i="1"/>
  <c r="J385" i="1"/>
  <c r="J384" i="1"/>
  <c r="J383" i="1"/>
  <c r="J283" i="1"/>
  <c r="J282" i="1"/>
  <c r="J281" i="1"/>
  <c r="J280" i="1"/>
  <c r="J279" i="1"/>
  <c r="J287" i="1"/>
  <c r="J286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34" i="1"/>
  <c r="J233" i="1"/>
  <c r="J225" i="1"/>
  <c r="J224" i="1"/>
  <c r="J211" i="1"/>
  <c r="J223" i="1"/>
  <c r="J222" i="1"/>
  <c r="J221" i="1"/>
  <c r="J220" i="1"/>
  <c r="J219" i="1"/>
  <c r="J218" i="1"/>
  <c r="J217" i="1"/>
  <c r="J216" i="1"/>
  <c r="J215" i="1"/>
  <c r="J210" i="1"/>
  <c r="J209" i="1"/>
  <c r="J214" i="1"/>
  <c r="J213" i="1"/>
  <c r="J212" i="1"/>
  <c r="J230" i="1"/>
  <c r="J232" i="1"/>
  <c r="J231" i="1"/>
  <c r="J229" i="1"/>
  <c r="J228" i="1"/>
  <c r="J227" i="1"/>
  <c r="J226" i="1"/>
  <c r="J589" i="1"/>
  <c r="J588" i="1"/>
  <c r="J597" i="1"/>
  <c r="J587" i="1"/>
  <c r="J586" i="1"/>
  <c r="J596" i="1"/>
  <c r="J595" i="1"/>
  <c r="J594" i="1"/>
  <c r="J593" i="1"/>
  <c r="J592" i="1"/>
  <c r="J591" i="1"/>
  <c r="J585" i="1"/>
  <c r="J590" i="1"/>
  <c r="J584" i="1"/>
  <c r="J583" i="1"/>
  <c r="J582" i="1"/>
  <c r="J581" i="1"/>
  <c r="J580" i="1"/>
  <c r="J577" i="1"/>
  <c r="J576" i="1"/>
  <c r="J579" i="1"/>
  <c r="J578" i="1"/>
  <c r="J169" i="1"/>
  <c r="J172" i="1"/>
  <c r="J171" i="1"/>
  <c r="J170" i="1"/>
  <c r="J168" i="1"/>
  <c r="J167" i="1"/>
  <c r="J166" i="1"/>
  <c r="J165" i="1"/>
  <c r="J164" i="1"/>
  <c r="J158" i="1"/>
  <c r="J410" i="1"/>
  <c r="J406" i="1"/>
  <c r="J409" i="1"/>
  <c r="J408" i="1"/>
  <c r="J407" i="1"/>
  <c r="J405" i="1"/>
  <c r="J441" i="1"/>
  <c r="J440" i="1"/>
  <c r="J439" i="1"/>
  <c r="J438" i="1"/>
  <c r="J437" i="1"/>
  <c r="J436" i="1"/>
  <c r="J435" i="1"/>
  <c r="J434" i="1"/>
  <c r="J433" i="1"/>
  <c r="J432" i="1"/>
  <c r="J129" i="1"/>
  <c r="J128" i="1"/>
  <c r="J127" i="1"/>
  <c r="J126" i="1"/>
  <c r="J125" i="1"/>
  <c r="J124" i="1"/>
  <c r="J123" i="1"/>
  <c r="J122" i="1"/>
  <c r="J121" i="1"/>
  <c r="J120" i="1"/>
  <c r="J119" i="1"/>
  <c r="J117" i="1"/>
  <c r="J118" i="1"/>
  <c r="J116" i="1"/>
  <c r="J115" i="1"/>
  <c r="J114" i="1"/>
  <c r="J113" i="1"/>
  <c r="J132" i="1"/>
  <c r="J131" i="1"/>
  <c r="J130" i="1"/>
  <c r="J140" i="1"/>
  <c r="J139" i="1"/>
  <c r="J138" i="1"/>
  <c r="J137" i="1"/>
  <c r="J136" i="1"/>
  <c r="J135" i="1"/>
  <c r="J134" i="1"/>
  <c r="J133" i="1"/>
  <c r="J150" i="1"/>
  <c r="J149" i="1"/>
  <c r="J148" i="1"/>
  <c r="J147" i="1"/>
  <c r="J146" i="1"/>
  <c r="J145" i="1"/>
  <c r="J144" i="1"/>
  <c r="J143" i="1"/>
  <c r="J142" i="1"/>
  <c r="J141" i="1"/>
  <c r="J157" i="1"/>
  <c r="J156" i="1"/>
  <c r="J155" i="1"/>
  <c r="J154" i="1"/>
  <c r="J153" i="1"/>
  <c r="J152" i="1"/>
  <c r="J151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69" i="1"/>
  <c r="J468" i="1"/>
  <c r="J46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93" i="1"/>
  <c r="J492" i="1"/>
  <c r="J491" i="1"/>
  <c r="J490" i="1"/>
  <c r="J489" i="1"/>
  <c r="J488" i="1"/>
  <c r="J487" i="1"/>
  <c r="J508" i="1"/>
  <c r="J507" i="1"/>
  <c r="J506" i="1"/>
  <c r="J505" i="1"/>
  <c r="J544" i="1"/>
  <c r="J543" i="1"/>
  <c r="J547" i="1"/>
  <c r="J541" i="1"/>
  <c r="J546" i="1"/>
  <c r="J540" i="1"/>
  <c r="J545" i="1"/>
  <c r="J569" i="1"/>
  <c r="J568" i="1"/>
  <c r="J567" i="1"/>
  <c r="J566" i="1"/>
  <c r="J565" i="1"/>
  <c r="J564" i="1"/>
  <c r="J563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J57" i="1"/>
  <c r="J56" i="1"/>
  <c r="J55" i="1"/>
  <c r="J54" i="1"/>
  <c r="J53" i="1"/>
  <c r="J52" i="1"/>
  <c r="J51" i="1"/>
  <c r="J50" i="1"/>
  <c r="J77" i="1"/>
  <c r="J76" i="1"/>
  <c r="J75" i="1"/>
  <c r="J74" i="1"/>
  <c r="J73" i="1"/>
  <c r="J72" i="1"/>
  <c r="J71" i="1"/>
  <c r="J70" i="1"/>
  <c r="J69" i="1"/>
  <c r="J68" i="1"/>
  <c r="J67" i="1"/>
  <c r="J62" i="1"/>
  <c r="J66" i="1"/>
  <c r="J61" i="1"/>
  <c r="J65" i="1"/>
  <c r="J60" i="1"/>
  <c r="J64" i="1"/>
  <c r="J59" i="1"/>
  <c r="J63" i="1"/>
  <c r="J92" i="1"/>
  <c r="J91" i="1"/>
  <c r="J90" i="1"/>
  <c r="J89" i="1"/>
  <c r="J88" i="1"/>
  <c r="J87" i="1"/>
  <c r="J86" i="1"/>
  <c r="J79" i="1"/>
  <c r="J85" i="1"/>
  <c r="J84" i="1"/>
  <c r="J83" i="1"/>
  <c r="J82" i="1"/>
  <c r="J78" i="1"/>
  <c r="J81" i="1"/>
  <c r="J80" i="1"/>
  <c r="J102" i="1"/>
  <c r="J101" i="1"/>
  <c r="J100" i="1"/>
  <c r="J99" i="1"/>
  <c r="J98" i="1"/>
  <c r="J97" i="1"/>
  <c r="J96" i="1"/>
  <c r="J104" i="1"/>
  <c r="J95" i="1"/>
  <c r="J94" i="1"/>
  <c r="J93" i="1"/>
  <c r="J103" i="1"/>
  <c r="J331" i="1"/>
  <c r="J330" i="1"/>
  <c r="J329" i="1"/>
  <c r="J328" i="1"/>
  <c r="J327" i="1"/>
  <c r="J326" i="1"/>
  <c r="J325" i="1"/>
  <c r="J322" i="1"/>
  <c r="J321" i="1"/>
  <c r="J260" i="1"/>
  <c r="J262" i="1"/>
  <c r="J261" i="1"/>
  <c r="J199" i="1"/>
  <c r="J198" i="1"/>
  <c r="J197" i="1"/>
  <c r="J603" i="1"/>
  <c r="J602" i="1"/>
  <c r="J601" i="1"/>
  <c r="J600" i="1"/>
  <c r="J599" i="1"/>
  <c r="J598" i="1"/>
  <c r="J606" i="1"/>
  <c r="J605" i="1"/>
  <c r="J604" i="1"/>
  <c r="J615" i="1"/>
  <c r="J614" i="1"/>
  <c r="J617" i="1"/>
  <c r="J616" i="1"/>
  <c r="J613" i="1"/>
  <c r="J612" i="1"/>
  <c r="J611" i="1"/>
  <c r="J610" i="1"/>
  <c r="J609" i="1"/>
  <c r="J620" i="1"/>
  <c r="J625" i="1"/>
  <c r="J624" i="1"/>
  <c r="J623" i="1"/>
  <c r="J619" i="1"/>
  <c r="J622" i="1"/>
  <c r="J621" i="1"/>
  <c r="J618" i="1"/>
  <c r="J176" i="1"/>
  <c r="J175" i="1"/>
  <c r="J174" i="1"/>
  <c r="J177" i="1"/>
  <c r="J178" i="1"/>
</calcChain>
</file>

<file path=xl/sharedStrings.xml><?xml version="1.0" encoding="utf-8"?>
<sst xmlns="http://schemas.openxmlformats.org/spreadsheetml/2006/main" count="1350" uniqueCount="64">
  <si>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</si>
  <si>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</si>
  <si>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</si>
  <si>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</si>
  <si>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</si>
  <si>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</si>
  <si>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</si>
  <si>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</si>
  <si>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</si>
  <si>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</si>
  <si>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</si>
  <si>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</si>
  <si>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</si>
  <si>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</si>
  <si>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</si>
  <si>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</si>
  <si>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</si>
  <si>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</si>
  <si>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</si>
  <si>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</si>
  <si>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S. acutus</t>
  </si>
  <si>
    <t>M-1-E</t>
  </si>
  <si>
    <t>M-5</t>
  </si>
  <si>
    <t>T. Domingensis</t>
  </si>
  <si>
    <t>M-1-W</t>
  </si>
  <si>
    <t>S. californicus</t>
  </si>
  <si>
    <t>M-2</t>
  </si>
  <si>
    <t>M-3</t>
  </si>
  <si>
    <t>C-1</t>
  </si>
  <si>
    <t>M-4-S</t>
  </si>
  <si>
    <t>M-4-N</t>
  </si>
  <si>
    <t>C-2</t>
  </si>
  <si>
    <t>M-4-C</t>
  </si>
  <si>
    <t>THATCHED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</si>
  <si>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</si>
  <si>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</si>
  <si>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</si>
  <si>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</si>
  <si>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</si>
  <si>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</si>
  <si>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</si>
  <si>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</si>
  <si>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</si>
  <si>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</si>
  <si>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</si>
  <si>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</si>
  <si>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</si>
  <si>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</si>
  <si>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</si>
  <si>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</si>
  <si>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</si>
  <si>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</si>
  <si>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</si>
  <si>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</si>
  <si>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</si>
  <si>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</si>
  <si>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</si>
  <si>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</si>
  <si>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</si>
  <si>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</si>
  <si>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</si>
  <si>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</si>
  <si>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avg %</t>
  </si>
  <si>
    <t>total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</si>
</sst>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</borders>
  <cellStyleXfs count="14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4" fontId="0" fillId="0" borderId="0" xfId="0" applyNumberFormat="1" applyAlignment="1">
      <alignment horizontal="right"/>
    </xf>
    <xf numFmtId="14" fontId="5" fillId="0" borderId="0" xfId="0" applyNumberFormat="1" applyFont="1"/>
    <xf numFmtId="0" fontId="6" fillId="2" borderId="1" xfId="1439" applyFill="1" applyAlignment="1">
      <alignment horizontal="center"/>
    </xf>
    <xf numFmtId="0" fontId="7" fillId="2" borderId="2" xfId="1440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1449" applyBorder="1" applyAlignment="1">
      <alignment wrapText="1"/>
    </xf>
    <xf numFmtId="0" fontId="7" fillId="2" borderId="3" xfId="1440" applyBorder="1"/>
    <xf numFmtId="0" fontId="7" fillId="2" borderId="4" xfId="1440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1440" applyBorder="1"/>
    <xf numFmtId="0" fontId="7" fillId="2" borderId="0" xfId="1440" applyBorder="1"/>
    <xf numFmtId="0" fontId="7" fillId="2" borderId="8" xfId="1440" applyBorder="1"/>
    <xf numFmtId="0" fontId="7" fillId="2" borderId="2" xfId="1440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1440" applyBorder="1"/>
    <xf numFmtId="0" fontId="7" fillId="2" borderId="11" xfId="1440" applyBorder="1"/>
    <xf numFmtId="0" fontId="7" fillId="2" borderId="12" xfId="1440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1440" applyBorder="1"/>
    <xf numFmtId="0" fontId="7" fillId="0" borderId="3" xfId="1440" applyFill="1" applyBorder="1"/>
    <xf numFmtId="0" fontId="7" fillId="0" borderId="4" xfId="1440" applyFill="1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1439" applyFill="1" applyAlignment="1">
      <alignment horizontal="center"/>
    </xf>
  </cellXfs>
  <cellStyles count="14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1" builtinId="9" hidden="1"/>
    <cellStyle name="Heading 1" xfId="1439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50" builtinId="8" hidden="1"/>
    <cellStyle name="Normal" xfId="0" builtinId="0"/>
    <cellStyle name="Output" xfId="1440" builtinId="21"/>
    <cellStyle name="Output 2" xfId="144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4"/>
  <sheetViews>
    <sheetView topLeftCell="A514" workbookViewId="0">
      <selection activeCell="O585" sqref="O585"/>
    </sheetView>
  </sheetViews>
  <sheetFormatPr baseColWidth="10" defaultRowHeight="15" x14ac:dyDescent="0"/>
  <cols>
    <col min="2" max="2" width="10.83203125" style="7"/>
    <col min="4" max="4" width="18.6640625" customWidth="1"/>
    <col min="5" max="5" width="0.33203125" customWidth="1"/>
    <col min="6" max="6" width="11" hidden="1" customWidth="1"/>
    <col min="7" max="7" width="15.5" hidden="1" customWidth="1"/>
    <col min="8" max="8" width="19.83203125" hidden="1" customWidth="1"/>
    <col min="9" max="9" width="12.83203125" hidden="1" customWidth="1"/>
    <col min="10" max="10" width="13.5" hidden="1" customWidth="1"/>
    <col min="11" max="11" width="14" hidden="1" customWidth="1"/>
    <col min="12" max="12" width="6" hidden="1" customWidth="1"/>
    <col min="13" max="13" width="13" hidden="1" customWidth="1"/>
    <col min="14" max="14" width="6.1640625" hidden="1" customWidth="1"/>
  </cols>
  <sheetData>
    <row r="1" spans="1:17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1"/>
      <c r="Q1" s="1"/>
    </row>
    <row r="2" spans="1:17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2"/>
      <c r="Q2" s="2"/>
    </row>
    <row r="3" spans="1:17" ht="330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9">
        <v>41768</v>
      </c>
      <c r="B4" s="7" t="s">
        <v>28</v>
      </c>
      <c r="C4">
        <v>1</v>
      </c>
      <c r="D4" t="s">
        <v>20</v>
      </c>
      <c r="E4">
        <v>65</v>
      </c>
      <c r="F4">
        <v>0.24</v>
      </c>
      <c r="N4">
        <f t="shared" ref="N4:N67" si="0">IF(OR(D4="S. acutus", D4="S. tabernaemontani", D4="S. californicus"),(1/3)*(3.14159)*((F4/2)^2)*E4,"NA")</f>
        <v>0.98017607999999978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-3.3771999999999913E-2</v>
      </c>
    </row>
    <row r="5" spans="1:17">
      <c r="A5" s="9">
        <v>41768</v>
      </c>
      <c r="B5" s="7" t="s">
        <v>28</v>
      </c>
      <c r="C5">
        <v>1</v>
      </c>
      <c r="D5" t="s">
        <v>23</v>
      </c>
      <c r="F5">
        <v>2.52</v>
      </c>
      <c r="J5">
        <f>84+130+161+170+188+192</f>
        <v>925</v>
      </c>
      <c r="K5">
        <v>6</v>
      </c>
      <c r="L5">
        <v>192</v>
      </c>
      <c r="N5" t="str">
        <f t="shared" si="0"/>
        <v>NA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19.787201000000003</v>
      </c>
    </row>
    <row r="6" spans="1:17">
      <c r="A6" s="9">
        <v>41768</v>
      </c>
      <c r="B6" s="7" t="s">
        <v>28</v>
      </c>
      <c r="C6">
        <v>1</v>
      </c>
      <c r="D6" t="s">
        <v>19</v>
      </c>
      <c r="F6">
        <v>1.1100000000000001</v>
      </c>
      <c r="J6">
        <f>40+71+75+81+22+25+122+125+142</f>
        <v>703</v>
      </c>
      <c r="K6">
        <v>9</v>
      </c>
      <c r="L6">
        <v>142</v>
      </c>
      <c r="N6" t="str">
        <f t="shared" si="0"/>
        <v>NA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-7.0312179999999955</v>
      </c>
    </row>
    <row r="7" spans="1:17">
      <c r="A7" s="9">
        <v>41768</v>
      </c>
      <c r="B7" s="7" t="s">
        <v>28</v>
      </c>
      <c r="C7">
        <v>1</v>
      </c>
      <c r="D7" t="s">
        <v>19</v>
      </c>
      <c r="F7">
        <v>1.47</v>
      </c>
      <c r="J7">
        <f>66+111+127+154+180</f>
        <v>638</v>
      </c>
      <c r="K7">
        <v>5</v>
      </c>
      <c r="L7">
        <v>180</v>
      </c>
      <c r="N7" t="str">
        <f t="shared" si="0"/>
        <v>NA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3.5168090000000021</v>
      </c>
    </row>
    <row r="8" spans="1:17">
      <c r="A8" s="9">
        <v>41768</v>
      </c>
      <c r="B8" s="7" t="s">
        <v>28</v>
      </c>
      <c r="C8">
        <v>1</v>
      </c>
      <c r="D8" t="s">
        <v>19</v>
      </c>
      <c r="F8">
        <v>2.66</v>
      </c>
      <c r="J8">
        <f>107+152+180</f>
        <v>439</v>
      </c>
      <c r="K8">
        <v>3</v>
      </c>
      <c r="L8">
        <v>180</v>
      </c>
      <c r="N8" t="str">
        <f t="shared" si="0"/>
        <v>NA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-1.0957300000000032</v>
      </c>
    </row>
    <row r="9" spans="1:17">
      <c r="A9" s="9">
        <v>41768</v>
      </c>
      <c r="B9" s="7" t="s">
        <v>28</v>
      </c>
      <c r="C9">
        <v>1</v>
      </c>
      <c r="D9" t="s">
        <v>19</v>
      </c>
      <c r="F9">
        <v>0.55000000000000004</v>
      </c>
      <c r="J9">
        <f>36+46+57+193+220+232+241+256+260+265</f>
        <v>1806</v>
      </c>
      <c r="K9">
        <v>10</v>
      </c>
      <c r="L9">
        <v>265</v>
      </c>
      <c r="N9" t="str">
        <f t="shared" si="0"/>
        <v>NA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52.305058999999993</v>
      </c>
    </row>
    <row r="10" spans="1:17">
      <c r="A10" s="9">
        <v>41768</v>
      </c>
      <c r="B10" s="7" t="s">
        <v>28</v>
      </c>
      <c r="C10">
        <v>1</v>
      </c>
      <c r="D10" t="s">
        <v>19</v>
      </c>
      <c r="F10">
        <v>1.08</v>
      </c>
      <c r="J10">
        <f>85+147+165+181</f>
        <v>578</v>
      </c>
      <c r="K10">
        <v>4</v>
      </c>
      <c r="L10">
        <v>181</v>
      </c>
      <c r="N10" t="str">
        <f t="shared" si="0"/>
        <v>NA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4.6126170000000037</v>
      </c>
    </row>
    <row r="11" spans="1:17">
      <c r="A11" s="9">
        <v>41768</v>
      </c>
      <c r="B11" s="7" t="s">
        <v>28</v>
      </c>
      <c r="C11">
        <v>1</v>
      </c>
      <c r="D11" t="s">
        <v>19</v>
      </c>
      <c r="F11">
        <v>3.63</v>
      </c>
      <c r="J11">
        <f>101+139+165+187+189+212+231+242+270</f>
        <v>1736</v>
      </c>
      <c r="K11">
        <v>9</v>
      </c>
      <c r="L11">
        <v>270</v>
      </c>
      <c r="N11" t="str">
        <f t="shared" si="0"/>
        <v>NA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51.258337000000004</v>
      </c>
    </row>
    <row r="12" spans="1:17">
      <c r="A12" s="9">
        <v>41768</v>
      </c>
      <c r="B12" s="7" t="s">
        <v>28</v>
      </c>
      <c r="C12">
        <v>1</v>
      </c>
      <c r="D12" t="s">
        <v>19</v>
      </c>
      <c r="F12">
        <v>1.01</v>
      </c>
      <c r="J12">
        <f>96+157+85+106+114</f>
        <v>558</v>
      </c>
      <c r="K12">
        <v>5</v>
      </c>
      <c r="L12">
        <v>157</v>
      </c>
      <c r="N12" t="str">
        <f t="shared" si="0"/>
        <v>NA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2.9450440000000029</v>
      </c>
    </row>
    <row r="13" spans="1:17">
      <c r="A13" s="9">
        <v>41768</v>
      </c>
      <c r="B13" s="7" t="s">
        <v>28</v>
      </c>
      <c r="C13">
        <v>1</v>
      </c>
      <c r="D13" t="s">
        <v>19</v>
      </c>
      <c r="F13">
        <v>0.59</v>
      </c>
      <c r="J13">
        <f>26+42+79</f>
        <v>147</v>
      </c>
      <c r="K13">
        <v>3</v>
      </c>
      <c r="L13">
        <v>79</v>
      </c>
      <c r="N13" t="str">
        <f t="shared" si="0"/>
        <v>NA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1.9535550000000015</v>
      </c>
    </row>
    <row r="14" spans="1:17">
      <c r="A14" s="9">
        <v>41768</v>
      </c>
      <c r="B14" s="7" t="s">
        <v>28</v>
      </c>
      <c r="C14">
        <v>1</v>
      </c>
      <c r="D14" t="s">
        <v>19</v>
      </c>
      <c r="F14">
        <v>0.74</v>
      </c>
      <c r="J14">
        <f>78+76+120+125</f>
        <v>399</v>
      </c>
      <c r="K14">
        <v>4</v>
      </c>
      <c r="L14">
        <v>125</v>
      </c>
      <c r="N14" t="str">
        <f t="shared" si="0"/>
        <v>NA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4.7001919999999977</v>
      </c>
    </row>
    <row r="15" spans="1:17">
      <c r="A15" s="9">
        <v>41768</v>
      </c>
      <c r="B15" s="7" t="s">
        <v>28</v>
      </c>
      <c r="C15">
        <v>1</v>
      </c>
      <c r="D15" t="s">
        <v>19</v>
      </c>
      <c r="F15">
        <v>0.85</v>
      </c>
      <c r="J15">
        <f>58+90+113+137</f>
        <v>398</v>
      </c>
      <c r="K15">
        <v>4</v>
      </c>
      <c r="L15">
        <v>137</v>
      </c>
      <c r="N15" t="str">
        <f t="shared" si="0"/>
        <v>NA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0.99149700000000252</v>
      </c>
    </row>
    <row r="16" spans="1:17">
      <c r="A16" s="9">
        <v>41768</v>
      </c>
      <c r="B16" s="7" t="s">
        <v>28</v>
      </c>
      <c r="C16">
        <v>1</v>
      </c>
      <c r="D16" t="s">
        <v>19</v>
      </c>
      <c r="F16">
        <v>0.44</v>
      </c>
      <c r="J16">
        <f>41+59</f>
        <v>100</v>
      </c>
      <c r="K16">
        <v>2</v>
      </c>
      <c r="L16">
        <v>59</v>
      </c>
      <c r="N16" t="str">
        <f t="shared" si="0"/>
        <v>NA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10.594322999999999</v>
      </c>
    </row>
    <row r="17" spans="1:15">
      <c r="A17" s="9">
        <v>41768</v>
      </c>
      <c r="B17" s="7" t="s">
        <v>28</v>
      </c>
      <c r="C17">
        <v>1</v>
      </c>
      <c r="D17" t="s">
        <v>19</v>
      </c>
      <c r="F17">
        <v>1.55</v>
      </c>
      <c r="J17">
        <f>167+223+242+249+285+291+302</f>
        <v>1759</v>
      </c>
      <c r="K17">
        <v>7</v>
      </c>
      <c r="L17">
        <v>302</v>
      </c>
      <c r="N17" t="str">
        <f t="shared" si="0"/>
        <v>NA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57.819568000000025</v>
      </c>
    </row>
    <row r="18" spans="1:15">
      <c r="A18" s="9">
        <v>41768</v>
      </c>
      <c r="B18" s="7" t="s">
        <v>28</v>
      </c>
      <c r="C18">
        <v>1</v>
      </c>
      <c r="D18" t="s">
        <v>19</v>
      </c>
      <c r="F18">
        <v>2.4</v>
      </c>
      <c r="J18">
        <f>94+145+170+192+215+225</f>
        <v>1041</v>
      </c>
      <c r="K18">
        <v>6</v>
      </c>
      <c r="L18">
        <v>225</v>
      </c>
      <c r="N18" t="str">
        <f t="shared" si="0"/>
        <v>NA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20.721696000000001</v>
      </c>
    </row>
    <row r="19" spans="1:15">
      <c r="A19" s="9">
        <v>41768</v>
      </c>
      <c r="B19" s="7" t="s">
        <v>28</v>
      </c>
      <c r="C19">
        <v>1</v>
      </c>
      <c r="D19" t="s">
        <v>19</v>
      </c>
      <c r="F19">
        <v>1.6</v>
      </c>
      <c r="J19">
        <f>113+144+155+170+188+200</f>
        <v>970</v>
      </c>
      <c r="K19">
        <v>6</v>
      </c>
      <c r="L19">
        <v>200</v>
      </c>
      <c r="N19" t="str">
        <f t="shared" si="0"/>
        <v>NA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21.596216000000005</v>
      </c>
    </row>
    <row r="20" spans="1:15">
      <c r="A20" s="9">
        <v>41768</v>
      </c>
      <c r="B20" s="7" t="s">
        <v>28</v>
      </c>
      <c r="C20">
        <v>1</v>
      </c>
      <c r="D20" t="s">
        <v>19</v>
      </c>
      <c r="F20">
        <v>1.78</v>
      </c>
      <c r="J20">
        <f>24+94+123+115+135+155+172+188+201</f>
        <v>1207</v>
      </c>
      <c r="K20">
        <v>9</v>
      </c>
      <c r="L20">
        <v>201</v>
      </c>
      <c r="N20" t="str">
        <f t="shared" si="0"/>
        <v>NA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22.44784700000001</v>
      </c>
    </row>
    <row r="21" spans="1:15">
      <c r="A21" s="9">
        <v>41768</v>
      </c>
      <c r="B21" s="7" t="s">
        <v>28</v>
      </c>
      <c r="C21">
        <v>1</v>
      </c>
      <c r="D21" t="s">
        <v>19</v>
      </c>
      <c r="F21">
        <v>1.51</v>
      </c>
      <c r="J21">
        <f>80+114+140+185+189+209</f>
        <v>917</v>
      </c>
      <c r="K21">
        <v>6</v>
      </c>
      <c r="L21">
        <v>209</v>
      </c>
      <c r="N21" t="str">
        <f t="shared" si="0"/>
        <v>NA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13.915996000000007</v>
      </c>
    </row>
    <row r="22" spans="1:15">
      <c r="A22" s="9">
        <v>41768</v>
      </c>
      <c r="B22" s="7" t="s">
        <v>28</v>
      </c>
      <c r="C22">
        <v>1</v>
      </c>
      <c r="D22" t="s">
        <v>19</v>
      </c>
      <c r="F22">
        <v>1.31</v>
      </c>
      <c r="J22">
        <f>74+87+136+151+171+182</f>
        <v>801</v>
      </c>
      <c r="K22">
        <v>6</v>
      </c>
      <c r="L22">
        <v>182</v>
      </c>
      <c r="N22" t="str">
        <f t="shared" si="0"/>
        <v>NA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11.174031000000006</v>
      </c>
    </row>
    <row r="23" spans="1:15">
      <c r="A23" s="9">
        <v>41768</v>
      </c>
      <c r="B23" s="7" t="s">
        <v>28</v>
      </c>
      <c r="C23">
        <v>1</v>
      </c>
      <c r="D23" t="s">
        <v>19</v>
      </c>
      <c r="F23">
        <v>2.39</v>
      </c>
      <c r="J23">
        <f>54+146+190+217+232+263+264+283+284</f>
        <v>1933</v>
      </c>
      <c r="K23">
        <v>9</v>
      </c>
      <c r="L23">
        <v>284</v>
      </c>
      <c r="N23" t="str">
        <f t="shared" si="0"/>
        <v>NA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65.510642000000018</v>
      </c>
    </row>
    <row r="24" spans="1:15">
      <c r="A24" s="9">
        <v>41768</v>
      </c>
      <c r="B24" s="7" t="s">
        <v>28</v>
      </c>
      <c r="C24">
        <v>1</v>
      </c>
      <c r="D24" t="s">
        <v>19</v>
      </c>
      <c r="F24">
        <v>1.1499999999999999</v>
      </c>
      <c r="J24">
        <f>148+95+109+125</f>
        <v>477</v>
      </c>
      <c r="K24">
        <v>4</v>
      </c>
      <c r="L24">
        <v>125</v>
      </c>
      <c r="N24" t="str">
        <f t="shared" si="0"/>
        <v>NA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12.013082000000001</v>
      </c>
    </row>
    <row r="25" spans="1:15">
      <c r="A25" s="9">
        <v>41768</v>
      </c>
      <c r="B25" s="7" t="s">
        <v>28</v>
      </c>
      <c r="C25">
        <v>1</v>
      </c>
      <c r="D25" t="s">
        <v>19</v>
      </c>
      <c r="F25">
        <v>1.51</v>
      </c>
      <c r="J25">
        <f>107+135+139+172+175+199</f>
        <v>927</v>
      </c>
      <c r="K25">
        <v>6</v>
      </c>
      <c r="L25">
        <v>199</v>
      </c>
      <c r="N25" t="str">
        <f t="shared" si="0"/>
        <v>NA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17.86599600000001</v>
      </c>
    </row>
    <row r="26" spans="1:15">
      <c r="A26" s="9">
        <v>41768</v>
      </c>
      <c r="B26" s="7" t="s">
        <v>28</v>
      </c>
      <c r="C26">
        <v>1</v>
      </c>
      <c r="D26" t="s">
        <v>19</v>
      </c>
      <c r="F26">
        <v>1.59</v>
      </c>
      <c r="J26">
        <f>101+110+151+165+179+203</f>
        <v>909</v>
      </c>
      <c r="K26">
        <v>6</v>
      </c>
      <c r="L26">
        <v>203</v>
      </c>
      <c r="N26" t="str">
        <f t="shared" si="0"/>
        <v>NA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14.973426000000003</v>
      </c>
    </row>
    <row r="27" spans="1:15">
      <c r="A27" s="9">
        <v>41768</v>
      </c>
      <c r="B27" s="7" t="s">
        <v>28</v>
      </c>
      <c r="C27">
        <v>1</v>
      </c>
      <c r="D27" t="s">
        <v>19</v>
      </c>
      <c r="F27">
        <v>1.01</v>
      </c>
      <c r="J27">
        <f>116+148+150+190+204+222</f>
        <v>1030</v>
      </c>
      <c r="K27">
        <v>6</v>
      </c>
      <c r="L27">
        <v>222</v>
      </c>
      <c r="N27" t="str">
        <f t="shared" si="0"/>
        <v>NA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20.594125999999996</v>
      </c>
    </row>
    <row r="28" spans="1:15">
      <c r="A28" s="9">
        <v>41768</v>
      </c>
      <c r="B28" s="7" t="s">
        <v>28</v>
      </c>
      <c r="C28">
        <v>1</v>
      </c>
      <c r="D28" t="s">
        <v>19</v>
      </c>
      <c r="F28">
        <v>1.69</v>
      </c>
      <c r="J28">
        <f>100+148+159+196+221+245+254</f>
        <v>1323</v>
      </c>
      <c r="K28">
        <v>7</v>
      </c>
      <c r="L28">
        <v>254</v>
      </c>
      <c r="N28" t="str">
        <f t="shared" si="0"/>
        <v>NA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31.402148000000018</v>
      </c>
    </row>
    <row r="29" spans="1:15">
      <c r="A29" s="9">
        <v>41768</v>
      </c>
      <c r="B29" s="7" t="s">
        <v>28</v>
      </c>
      <c r="C29">
        <v>1</v>
      </c>
      <c r="D29" t="s">
        <v>19</v>
      </c>
      <c r="F29">
        <v>2.27</v>
      </c>
      <c r="J29">
        <f>94+151+193+171+230+240+253+258</f>
        <v>1590</v>
      </c>
      <c r="K29">
        <v>8</v>
      </c>
      <c r="L29">
        <v>258</v>
      </c>
      <c r="N29" t="str">
        <f t="shared" si="0"/>
        <v>NA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48.2074</v>
      </c>
    </row>
    <row r="30" spans="1:15">
      <c r="A30" s="9">
        <v>41768</v>
      </c>
      <c r="B30" s="7" t="s">
        <v>28</v>
      </c>
      <c r="C30">
        <v>1</v>
      </c>
      <c r="D30" t="s">
        <v>19</v>
      </c>
      <c r="F30">
        <v>1.86</v>
      </c>
      <c r="J30">
        <f>181+184+117+148+146+195+213+215</f>
        <v>1399</v>
      </c>
      <c r="K30">
        <v>8</v>
      </c>
      <c r="L30">
        <v>215</v>
      </c>
      <c r="N30" t="str">
        <f t="shared" si="0"/>
        <v>NA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43.253730000000026</v>
      </c>
    </row>
    <row r="31" spans="1:15">
      <c r="A31" s="9">
        <v>41768</v>
      </c>
      <c r="B31" s="7" t="s">
        <v>28</v>
      </c>
      <c r="C31">
        <v>1</v>
      </c>
      <c r="D31" t="s">
        <v>19</v>
      </c>
      <c r="F31">
        <v>1.1200000000000001</v>
      </c>
      <c r="J31">
        <f>41+76+107+110</f>
        <v>334</v>
      </c>
      <c r="K31">
        <v>4</v>
      </c>
      <c r="L31">
        <v>110</v>
      </c>
      <c r="N31" t="str">
        <f t="shared" si="0"/>
        <v>NA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3.1247919999999993</v>
      </c>
    </row>
    <row r="32" spans="1:15">
      <c r="A32" s="9">
        <v>41768</v>
      </c>
      <c r="B32" s="7" t="s">
        <v>28</v>
      </c>
      <c r="C32">
        <v>1</v>
      </c>
      <c r="D32" t="s">
        <v>19</v>
      </c>
      <c r="F32">
        <v>1.34</v>
      </c>
      <c r="J32">
        <f>98+171+176+221+222</f>
        <v>888</v>
      </c>
      <c r="K32">
        <v>5</v>
      </c>
      <c r="L32">
        <v>222</v>
      </c>
      <c r="N32" t="str">
        <f t="shared" si="0"/>
        <v>NA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14.303269</v>
      </c>
    </row>
    <row r="33" spans="1:15">
      <c r="A33" s="9">
        <v>41768</v>
      </c>
      <c r="B33" s="7" t="s">
        <v>28</v>
      </c>
      <c r="C33">
        <v>1</v>
      </c>
      <c r="D33" t="s">
        <v>19</v>
      </c>
      <c r="F33">
        <v>2.31</v>
      </c>
      <c r="J33">
        <f>72+160+173+179+230+238+283+289</f>
        <v>1624</v>
      </c>
      <c r="K33">
        <v>8</v>
      </c>
      <c r="L33">
        <v>289</v>
      </c>
      <c r="N33" t="str">
        <f t="shared" si="0"/>
        <v>NA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42.056475000000027</v>
      </c>
    </row>
    <row r="34" spans="1:15">
      <c r="A34" s="9">
        <v>41768</v>
      </c>
      <c r="B34" s="7" t="s">
        <v>28</v>
      </c>
      <c r="C34">
        <v>1</v>
      </c>
      <c r="D34" t="s">
        <v>19</v>
      </c>
      <c r="F34">
        <v>1.49</v>
      </c>
      <c r="J34">
        <f>110+151+174+176+196+205</f>
        <v>1012</v>
      </c>
      <c r="K34">
        <v>6</v>
      </c>
      <c r="L34">
        <v>205</v>
      </c>
      <c r="N34" t="str">
        <f t="shared" si="0"/>
        <v>NA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24.027701</v>
      </c>
    </row>
    <row r="35" spans="1:15">
      <c r="A35" s="9">
        <v>41768</v>
      </c>
      <c r="B35" s="7" t="s">
        <v>28</v>
      </c>
      <c r="C35">
        <v>1</v>
      </c>
      <c r="D35" t="s">
        <v>19</v>
      </c>
      <c r="F35">
        <v>1.65</v>
      </c>
      <c r="J35">
        <f>88+141+187+241+248+275</f>
        <v>1180</v>
      </c>
      <c r="K35">
        <v>6</v>
      </c>
      <c r="L35">
        <v>275</v>
      </c>
      <c r="N35" t="str">
        <f t="shared" si="0"/>
        <v>NA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18.691391000000017</v>
      </c>
    </row>
    <row r="36" spans="1:15">
      <c r="A36" s="9">
        <v>41768</v>
      </c>
      <c r="B36" s="7" t="s">
        <v>28</v>
      </c>
      <c r="C36">
        <v>1</v>
      </c>
      <c r="D36" t="s">
        <v>19</v>
      </c>
      <c r="F36">
        <v>1.45</v>
      </c>
      <c r="J36">
        <f>39+37+81+118+133+136+145+147</f>
        <v>836</v>
      </c>
      <c r="K36">
        <v>8</v>
      </c>
      <c r="L36">
        <v>147</v>
      </c>
      <c r="N36" t="str">
        <f t="shared" si="0"/>
        <v>NA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10.954325000000004</v>
      </c>
    </row>
    <row r="37" spans="1:15">
      <c r="A37" s="9">
        <v>41768</v>
      </c>
      <c r="B37" s="7" t="s">
        <v>28</v>
      </c>
      <c r="C37">
        <v>1</v>
      </c>
      <c r="D37" t="s">
        <v>19</v>
      </c>
      <c r="F37">
        <v>1.63</v>
      </c>
      <c r="J37">
        <f>75+78+132+140+147+157</f>
        <v>729</v>
      </c>
      <c r="K37">
        <v>6</v>
      </c>
      <c r="L37">
        <v>157</v>
      </c>
      <c r="N37" t="str">
        <f t="shared" si="0"/>
        <v>NA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11.954796000000002</v>
      </c>
    </row>
    <row r="38" spans="1:15">
      <c r="A38" s="9">
        <v>41768</v>
      </c>
      <c r="B38" s="7" t="s">
        <v>28</v>
      </c>
      <c r="C38">
        <v>1</v>
      </c>
      <c r="D38" t="s">
        <v>19</v>
      </c>
      <c r="F38">
        <v>0.73</v>
      </c>
      <c r="J38">
        <f>23+63+90+216+139</f>
        <v>531</v>
      </c>
      <c r="K38">
        <v>5</v>
      </c>
      <c r="L38">
        <v>216</v>
      </c>
      <c r="N38" t="str">
        <f t="shared" si="0"/>
        <v>NA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-17.359795999999989</v>
      </c>
    </row>
    <row r="39" spans="1:15">
      <c r="A39" s="9">
        <v>41768</v>
      </c>
      <c r="B39" s="7" t="s">
        <v>28</v>
      </c>
      <c r="C39">
        <v>1</v>
      </c>
      <c r="D39" t="s">
        <v>19</v>
      </c>
      <c r="F39">
        <v>1</v>
      </c>
      <c r="J39">
        <f>43+83+139+152+152</f>
        <v>569</v>
      </c>
      <c r="K39">
        <v>5</v>
      </c>
      <c r="L39">
        <v>152</v>
      </c>
      <c r="N39" t="str">
        <f t="shared" si="0"/>
        <v>NA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5.4825739999999996</v>
      </c>
    </row>
    <row r="40" spans="1:15">
      <c r="A40" s="9">
        <v>41768</v>
      </c>
      <c r="B40" s="7" t="s">
        <v>28</v>
      </c>
      <c r="C40">
        <v>1</v>
      </c>
      <c r="D40" t="s">
        <v>19</v>
      </c>
      <c r="F40">
        <v>0.94</v>
      </c>
      <c r="J40">
        <f>30+54+55+64+134+121+109</f>
        <v>567</v>
      </c>
      <c r="K40">
        <v>7</v>
      </c>
      <c r="L40">
        <v>134</v>
      </c>
      <c r="N40" t="str">
        <f t="shared" si="0"/>
        <v>NA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-3.3272319999999951</v>
      </c>
    </row>
    <row r="41" spans="1:15">
      <c r="A41" s="9">
        <v>41768</v>
      </c>
      <c r="B41" s="7" t="s">
        <v>28</v>
      </c>
      <c r="C41">
        <v>5</v>
      </c>
      <c r="D41" t="s">
        <v>20</v>
      </c>
      <c r="E41">
        <v>183</v>
      </c>
      <c r="F41">
        <v>0.53</v>
      </c>
      <c r="N41">
        <f t="shared" si="0"/>
        <v>13.45770762275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8.2386179999999989</v>
      </c>
    </row>
    <row r="42" spans="1:15">
      <c r="A42" s="9">
        <v>41768</v>
      </c>
      <c r="B42" s="7" t="s">
        <v>28</v>
      </c>
      <c r="C42">
        <v>5</v>
      </c>
      <c r="D42" t="s">
        <v>20</v>
      </c>
      <c r="E42">
        <v>147</v>
      </c>
      <c r="F42">
        <v>0.53</v>
      </c>
      <c r="N42">
        <f t="shared" si="0"/>
        <v>10.81028972975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5.7148379999999994</v>
      </c>
    </row>
    <row r="43" spans="1:15">
      <c r="A43" s="9">
        <v>41768</v>
      </c>
      <c r="B43" s="7" t="s">
        <v>28</v>
      </c>
      <c r="C43">
        <v>5</v>
      </c>
      <c r="D43" t="s">
        <v>20</v>
      </c>
      <c r="E43">
        <v>39</v>
      </c>
      <c r="F43">
        <v>0.65</v>
      </c>
      <c r="N43">
        <f t="shared" si="0"/>
        <v>4.3137957687500004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-1.8565019999999999</v>
      </c>
    </row>
    <row r="44" spans="1:15">
      <c r="A44" s="9">
        <v>41768</v>
      </c>
      <c r="B44" s="7" t="s">
        <v>28</v>
      </c>
      <c r="C44">
        <v>5</v>
      </c>
      <c r="D44" t="s">
        <v>20</v>
      </c>
      <c r="E44">
        <v>23</v>
      </c>
      <c r="F44">
        <v>0.6</v>
      </c>
      <c r="N44">
        <f t="shared" si="0"/>
        <v>2.1676970999999998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-2.9781819999999999</v>
      </c>
    </row>
    <row r="45" spans="1:15">
      <c r="A45" s="9">
        <v>41768</v>
      </c>
      <c r="B45" s="7" t="s">
        <v>28</v>
      </c>
      <c r="C45">
        <v>5</v>
      </c>
      <c r="D45" t="s">
        <v>20</v>
      </c>
      <c r="E45">
        <v>92</v>
      </c>
      <c r="F45">
        <v>0.44</v>
      </c>
      <c r="N45">
        <f t="shared" si="0"/>
        <v>4.6629573173333325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1.8590629999999999</v>
      </c>
    </row>
    <row r="46" spans="1:15">
      <c r="A46" s="9">
        <v>41768</v>
      </c>
      <c r="B46" s="7" t="s">
        <v>28</v>
      </c>
      <c r="C46">
        <v>5</v>
      </c>
      <c r="D46" t="s">
        <v>20</v>
      </c>
      <c r="E46">
        <v>41</v>
      </c>
      <c r="F46">
        <v>0.64</v>
      </c>
      <c r="N46">
        <f t="shared" si="0"/>
        <v>4.396550485333333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-1.7162919999999997</v>
      </c>
    </row>
    <row r="47" spans="1:15">
      <c r="A47" s="9">
        <v>41768</v>
      </c>
      <c r="B47" s="7" t="s">
        <v>28</v>
      </c>
      <c r="C47">
        <v>5</v>
      </c>
      <c r="D47" t="s">
        <v>20</v>
      </c>
      <c r="E47">
        <v>73</v>
      </c>
      <c r="F47">
        <v>0.45</v>
      </c>
      <c r="N47">
        <f t="shared" si="0"/>
        <v>3.8700461812499998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0.52706799999999987</v>
      </c>
    </row>
    <row r="48" spans="1:15">
      <c r="A48" s="9">
        <v>41768</v>
      </c>
      <c r="B48" s="7" t="s">
        <v>28</v>
      </c>
      <c r="C48">
        <v>5</v>
      </c>
      <c r="D48" t="s">
        <v>20</v>
      </c>
      <c r="E48">
        <v>38</v>
      </c>
      <c r="F48">
        <v>0.6</v>
      </c>
      <c r="N48">
        <f t="shared" si="0"/>
        <v>3.5814125999999997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-1.9266069999999997</v>
      </c>
    </row>
    <row r="49" spans="1:15">
      <c r="A49" s="9">
        <v>41768</v>
      </c>
      <c r="B49" s="7" t="s">
        <v>28</v>
      </c>
      <c r="C49">
        <v>5</v>
      </c>
      <c r="D49" t="s">
        <v>20</v>
      </c>
      <c r="E49">
        <v>181</v>
      </c>
      <c r="F49">
        <v>0.49</v>
      </c>
      <c r="N49">
        <f t="shared" si="0"/>
        <v>11.377294364916665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8.0984079999999992</v>
      </c>
    </row>
    <row r="50" spans="1:15">
      <c r="A50" s="9">
        <v>41768</v>
      </c>
      <c r="B50" s="7" t="s">
        <v>28</v>
      </c>
      <c r="C50">
        <v>5</v>
      </c>
      <c r="D50" t="s">
        <v>19</v>
      </c>
      <c r="F50">
        <v>2.21</v>
      </c>
      <c r="J50">
        <f>90+113+147+171+218+221</f>
        <v>960</v>
      </c>
      <c r="K50">
        <v>6</v>
      </c>
      <c r="L50">
        <v>221</v>
      </c>
      <c r="N50" t="str">
        <f t="shared" si="0"/>
        <v>NA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14.332521000000007</v>
      </c>
    </row>
    <row r="51" spans="1:15">
      <c r="A51" s="9">
        <v>41768</v>
      </c>
      <c r="B51" s="7" t="s">
        <v>28</v>
      </c>
      <c r="C51">
        <v>5</v>
      </c>
      <c r="D51" t="s">
        <v>19</v>
      </c>
      <c r="F51">
        <v>2.19</v>
      </c>
      <c r="J51">
        <f>143+184+189+137+141+163</f>
        <v>957</v>
      </c>
      <c r="K51">
        <v>6</v>
      </c>
      <c r="L51">
        <v>189</v>
      </c>
      <c r="N51" t="str">
        <f t="shared" si="0"/>
        <v>NA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23.691095999999995</v>
      </c>
    </row>
    <row r="52" spans="1:15">
      <c r="A52" s="9">
        <v>41768</v>
      </c>
      <c r="B52" s="7" t="s">
        <v>28</v>
      </c>
      <c r="C52">
        <v>5</v>
      </c>
      <c r="D52" t="s">
        <v>19</v>
      </c>
      <c r="F52">
        <v>1.54</v>
      </c>
      <c r="J52">
        <f>90+113+119+172+193</f>
        <v>687</v>
      </c>
      <c r="K52">
        <v>5</v>
      </c>
      <c r="L52">
        <v>193</v>
      </c>
      <c r="N52" t="str">
        <f t="shared" si="0"/>
        <v>NA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4.1946190000000101</v>
      </c>
    </row>
    <row r="53" spans="1:15">
      <c r="A53" s="9">
        <v>41768</v>
      </c>
      <c r="B53" s="7" t="s">
        <v>28</v>
      </c>
      <c r="C53">
        <v>5</v>
      </c>
      <c r="D53" t="s">
        <v>19</v>
      </c>
      <c r="F53">
        <v>2.74</v>
      </c>
      <c r="J53">
        <f>113+230+232+282+310+308</f>
        <v>1475</v>
      </c>
      <c r="K53">
        <v>6</v>
      </c>
      <c r="L53">
        <v>310</v>
      </c>
      <c r="N53" t="str">
        <f t="shared" si="0"/>
        <v>NA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35.805540999999998</v>
      </c>
    </row>
    <row r="54" spans="1:15">
      <c r="A54" s="9">
        <v>41768</v>
      </c>
      <c r="B54" s="7" t="s">
        <v>28</v>
      </c>
      <c r="C54">
        <v>5</v>
      </c>
      <c r="D54" t="s">
        <v>19</v>
      </c>
      <c r="F54">
        <v>2.73</v>
      </c>
      <c r="J54">
        <f>196+244+256+285+294</f>
        <v>1275</v>
      </c>
      <c r="K54">
        <v>5</v>
      </c>
      <c r="L54">
        <v>294</v>
      </c>
      <c r="N54" t="str">
        <f t="shared" si="0"/>
        <v>NA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28.896813999999999</v>
      </c>
    </row>
    <row r="55" spans="1:15">
      <c r="A55" s="9">
        <v>41768</v>
      </c>
      <c r="B55" s="7" t="s">
        <v>28</v>
      </c>
      <c r="C55">
        <v>5</v>
      </c>
      <c r="D55" t="s">
        <v>19</v>
      </c>
      <c r="F55">
        <v>3.94</v>
      </c>
      <c r="J55">
        <f>170+202+247+258+291+316</f>
        <v>1484</v>
      </c>
      <c r="K55">
        <v>6</v>
      </c>
      <c r="L55">
        <v>316</v>
      </c>
      <c r="N55" t="str">
        <f t="shared" si="0"/>
        <v>NA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34.841866000000003</v>
      </c>
    </row>
    <row r="56" spans="1:15">
      <c r="A56" s="9">
        <v>41768</v>
      </c>
      <c r="B56" s="7" t="s">
        <v>28</v>
      </c>
      <c r="C56">
        <v>5</v>
      </c>
      <c r="D56" t="s">
        <v>19</v>
      </c>
      <c r="F56">
        <v>12.01</v>
      </c>
      <c r="J56">
        <f>150+184+190+214+230</f>
        <v>968</v>
      </c>
      <c r="K56">
        <v>5</v>
      </c>
      <c r="L56">
        <v>230</v>
      </c>
      <c r="N56" t="str">
        <f t="shared" si="0"/>
        <v>NA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19.393709000000001</v>
      </c>
    </row>
    <row r="57" spans="1:15">
      <c r="A57" s="9">
        <v>41768</v>
      </c>
      <c r="B57" s="7" t="s">
        <v>28</v>
      </c>
      <c r="C57">
        <v>5</v>
      </c>
      <c r="D57" t="s">
        <v>19</v>
      </c>
      <c r="F57">
        <v>1.76</v>
      </c>
      <c r="J57">
        <f>106+147+173+187+224+226+149+184+203+280+257+197+346+346+350+365+372+383</f>
        <v>4495</v>
      </c>
      <c r="K57">
        <v>18</v>
      </c>
      <c r="L57">
        <v>383</v>
      </c>
      <c r="N57" t="str">
        <f t="shared" si="0"/>
        <v>NA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212.68652000000003</v>
      </c>
    </row>
    <row r="58" spans="1:15">
      <c r="A58" s="9">
        <v>41768</v>
      </c>
      <c r="B58" s="7" t="s">
        <v>28</v>
      </c>
      <c r="C58">
        <v>5</v>
      </c>
      <c r="D58" t="s">
        <v>19</v>
      </c>
      <c r="F58">
        <v>4.05</v>
      </c>
      <c r="J58">
        <f>104+150+200+217+258+263+314+333+344+346</f>
        <v>2529</v>
      </c>
      <c r="K58">
        <v>10</v>
      </c>
      <c r="L58">
        <v>346</v>
      </c>
      <c r="N58" t="str">
        <f t="shared" si="0"/>
        <v>NA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95.689079000000049</v>
      </c>
    </row>
    <row r="59" spans="1:15">
      <c r="A59" s="9">
        <v>41768</v>
      </c>
      <c r="B59" s="7" t="s">
        <v>28</v>
      </c>
      <c r="C59">
        <v>40</v>
      </c>
      <c r="D59" t="s">
        <v>23</v>
      </c>
      <c r="F59">
        <v>2.37</v>
      </c>
      <c r="J59">
        <f>99+107+156+165+186+200+227+237</f>
        <v>1377</v>
      </c>
      <c r="K59">
        <v>8</v>
      </c>
      <c r="L59">
        <v>237</v>
      </c>
      <c r="N59" t="str">
        <f t="shared" si="0"/>
        <v>NA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34.563730000000014</v>
      </c>
    </row>
    <row r="60" spans="1:15">
      <c r="A60" s="9">
        <v>41768</v>
      </c>
      <c r="B60" s="7" t="s">
        <v>28</v>
      </c>
      <c r="C60">
        <v>40</v>
      </c>
      <c r="D60" t="s">
        <v>23</v>
      </c>
      <c r="F60">
        <v>2.1800000000000002</v>
      </c>
      <c r="J60">
        <f>74+128+179+192+234+243</f>
        <v>1050</v>
      </c>
      <c r="K60">
        <v>6</v>
      </c>
      <c r="L60">
        <v>243</v>
      </c>
      <c r="N60" t="str">
        <f t="shared" si="0"/>
        <v>NA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16.143081000000002</v>
      </c>
    </row>
    <row r="61" spans="1:15">
      <c r="A61" s="9">
        <v>41768</v>
      </c>
      <c r="B61" s="7" t="s">
        <v>28</v>
      </c>
      <c r="C61">
        <v>40</v>
      </c>
      <c r="D61" t="s">
        <v>23</v>
      </c>
      <c r="F61">
        <v>2.17</v>
      </c>
      <c r="J61">
        <f>122+128+166+205+234+239+248</f>
        <v>1342</v>
      </c>
      <c r="K61">
        <v>7</v>
      </c>
      <c r="L61">
        <v>248</v>
      </c>
      <c r="N61" t="str">
        <f t="shared" si="0"/>
        <v>NA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34.990963000000015</v>
      </c>
    </row>
    <row r="62" spans="1:15">
      <c r="A62" s="9">
        <v>41768</v>
      </c>
      <c r="B62" s="7" t="s">
        <v>28</v>
      </c>
      <c r="C62">
        <v>40</v>
      </c>
      <c r="D62" t="s">
        <v>23</v>
      </c>
      <c r="F62">
        <v>3.87</v>
      </c>
      <c r="J62">
        <f>153+209+259+263+293+298</f>
        <v>1475</v>
      </c>
      <c r="K62">
        <v>6</v>
      </c>
      <c r="L62">
        <v>298</v>
      </c>
      <c r="N62" t="str">
        <f t="shared" si="0"/>
        <v>NA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39.420481000000002</v>
      </c>
    </row>
    <row r="63" spans="1:15">
      <c r="A63" s="9">
        <v>41768</v>
      </c>
      <c r="B63" s="7" t="s">
        <v>28</v>
      </c>
      <c r="C63">
        <v>40</v>
      </c>
      <c r="D63" t="s">
        <v>19</v>
      </c>
      <c r="F63">
        <v>2.0099999999999998</v>
      </c>
      <c r="J63">
        <f>71+73+125+108+147</f>
        <v>524</v>
      </c>
      <c r="K63">
        <v>5</v>
      </c>
      <c r="L63">
        <v>147</v>
      </c>
      <c r="N63" t="str">
        <f t="shared" si="0"/>
        <v>NA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2.7698239999999998</v>
      </c>
    </row>
    <row r="64" spans="1:15">
      <c r="A64" s="9">
        <v>41768</v>
      </c>
      <c r="B64" s="7" t="s">
        <v>28</v>
      </c>
      <c r="C64">
        <v>40</v>
      </c>
      <c r="D64" t="s">
        <v>19</v>
      </c>
      <c r="F64">
        <v>2.19</v>
      </c>
      <c r="J64">
        <f>58+79+131+113+155+161+173</f>
        <v>870</v>
      </c>
      <c r="K64">
        <v>7</v>
      </c>
      <c r="L64">
        <v>173</v>
      </c>
      <c r="N64" t="str">
        <f t="shared" si="0"/>
        <v>NA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13.331978000000007</v>
      </c>
    </row>
    <row r="65" spans="1:15">
      <c r="A65" s="9">
        <v>41768</v>
      </c>
      <c r="B65" s="7" t="s">
        <v>28</v>
      </c>
      <c r="C65">
        <v>40</v>
      </c>
      <c r="D65" t="s">
        <v>19</v>
      </c>
      <c r="F65">
        <v>3.12</v>
      </c>
      <c r="J65">
        <f>42+31+29+29+181+119+118+157+166+178+157</f>
        <v>1207</v>
      </c>
      <c r="K65">
        <v>11</v>
      </c>
      <c r="L65">
        <v>178</v>
      </c>
      <c r="N65" t="str">
        <f t="shared" si="0"/>
        <v>NA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15.331776000000019</v>
      </c>
    </row>
    <row r="66" spans="1:15">
      <c r="A66" s="9">
        <v>41768</v>
      </c>
      <c r="B66" s="7" t="s">
        <v>28</v>
      </c>
      <c r="C66">
        <v>40</v>
      </c>
      <c r="D66" t="s">
        <v>19</v>
      </c>
      <c r="F66">
        <v>1.54</v>
      </c>
      <c r="J66">
        <f>84+65+135+106+157+144+70</f>
        <v>761</v>
      </c>
      <c r="K66">
        <v>7</v>
      </c>
      <c r="L66">
        <v>157</v>
      </c>
      <c r="N66" t="str">
        <f t="shared" si="0"/>
        <v>NA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7.9326030000000003</v>
      </c>
    </row>
    <row r="67" spans="1:15">
      <c r="A67" s="9">
        <v>41768</v>
      </c>
      <c r="B67" s="7" t="s">
        <v>28</v>
      </c>
      <c r="C67">
        <v>40</v>
      </c>
      <c r="D67" t="s">
        <v>19</v>
      </c>
      <c r="F67">
        <v>4.4800000000000004</v>
      </c>
      <c r="J67">
        <f>57+122+155+158+180+186+177+205+212</f>
        <v>1452</v>
      </c>
      <c r="K67">
        <v>9</v>
      </c>
      <c r="L67">
        <v>212</v>
      </c>
      <c r="N67" t="str">
        <f t="shared" si="0"/>
        <v>NA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42.104126999999998</v>
      </c>
    </row>
    <row r="68" spans="1:15">
      <c r="A68" s="9">
        <v>41768</v>
      </c>
      <c r="B68" s="7" t="s">
        <v>28</v>
      </c>
      <c r="C68">
        <v>40</v>
      </c>
      <c r="D68" t="s">
        <v>19</v>
      </c>
      <c r="F68">
        <v>1.36</v>
      </c>
      <c r="J68">
        <f>96+135+155+173+193+206</f>
        <v>958</v>
      </c>
      <c r="K68">
        <v>6</v>
      </c>
      <c r="L68">
        <v>206</v>
      </c>
      <c r="N68" t="str">
        <f t="shared" ref="N68:N131" si="1">IF(OR(D68="S. acutus", D68="S. tabernaemontani", D68="S. californicus"),(1/3)*(3.14159)*((F68/2)^2)*E68,"NA")</f>
        <v>NA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18.663685999999998</v>
      </c>
    </row>
    <row r="69" spans="1:15">
      <c r="A69" s="9">
        <v>41768</v>
      </c>
      <c r="B69" s="7" t="s">
        <v>28</v>
      </c>
      <c r="C69">
        <v>40</v>
      </c>
      <c r="D69" t="s">
        <v>19</v>
      </c>
      <c r="F69">
        <v>3.31</v>
      </c>
      <c r="J69">
        <f>136+138+181+223+224+245</f>
        <v>1147</v>
      </c>
      <c r="K69">
        <v>6</v>
      </c>
      <c r="L69">
        <v>245</v>
      </c>
      <c r="N69" t="str">
        <f t="shared" si="1"/>
        <v>NA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24.634825999999997</v>
      </c>
    </row>
    <row r="70" spans="1:15">
      <c r="A70" s="9">
        <v>41768</v>
      </c>
      <c r="B70" s="7" t="s">
        <v>28</v>
      </c>
      <c r="C70">
        <v>40</v>
      </c>
      <c r="D70" t="s">
        <v>19</v>
      </c>
      <c r="F70">
        <v>3.2</v>
      </c>
      <c r="J70">
        <f>107+156+160+236+257+267+278+285</f>
        <v>1746</v>
      </c>
      <c r="K70">
        <v>8</v>
      </c>
      <c r="L70">
        <v>285</v>
      </c>
      <c r="N70" t="str">
        <f t="shared" si="1"/>
        <v>NA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54.699565000000028</v>
      </c>
    </row>
    <row r="71" spans="1:15">
      <c r="A71" s="9">
        <v>41768</v>
      </c>
      <c r="B71" s="7" t="s">
        <v>28</v>
      </c>
      <c r="C71">
        <v>40</v>
      </c>
      <c r="D71" t="s">
        <v>19</v>
      </c>
      <c r="F71">
        <v>0.56000000000000005</v>
      </c>
      <c r="J71">
        <f>31+32</f>
        <v>63</v>
      </c>
      <c r="K71">
        <v>2</v>
      </c>
      <c r="L71">
        <v>32</v>
      </c>
      <c r="N71" t="str">
        <f t="shared" si="1"/>
        <v>NA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15.259003</v>
      </c>
    </row>
    <row r="72" spans="1:15">
      <c r="A72" s="9">
        <v>41768</v>
      </c>
      <c r="B72" s="7" t="s">
        <v>28</v>
      </c>
      <c r="C72">
        <v>40</v>
      </c>
      <c r="D72" t="s">
        <v>19</v>
      </c>
      <c r="F72">
        <v>2.19</v>
      </c>
      <c r="J72">
        <f>174+191+128+145+177+185</f>
        <v>1000</v>
      </c>
      <c r="K72">
        <v>6</v>
      </c>
      <c r="L72">
        <v>185</v>
      </c>
      <c r="N72" t="str">
        <f t="shared" si="1"/>
        <v>NA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28.927541000000005</v>
      </c>
    </row>
    <row r="73" spans="1:15">
      <c r="A73" s="9">
        <v>41768</v>
      </c>
      <c r="B73" s="7" t="s">
        <v>28</v>
      </c>
      <c r="C73">
        <v>40</v>
      </c>
      <c r="D73" t="s">
        <v>19</v>
      </c>
      <c r="F73">
        <v>1.85</v>
      </c>
      <c r="J73">
        <f>106+152+191+200+238+257+254</f>
        <v>1398</v>
      </c>
      <c r="K73">
        <v>7</v>
      </c>
      <c r="L73">
        <v>257</v>
      </c>
      <c r="N73" t="str">
        <f t="shared" si="1"/>
        <v>NA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37.530038000000012</v>
      </c>
    </row>
    <row r="74" spans="1:15">
      <c r="A74" s="9">
        <v>41768</v>
      </c>
      <c r="B74" s="7" t="s">
        <v>28</v>
      </c>
      <c r="C74">
        <v>40</v>
      </c>
      <c r="D74" t="s">
        <v>19</v>
      </c>
      <c r="F74">
        <v>3.26</v>
      </c>
      <c r="J74">
        <f>100+65+135+115+150+152+182+184</f>
        <v>1083</v>
      </c>
      <c r="K74">
        <v>8</v>
      </c>
      <c r="L74">
        <v>184</v>
      </c>
      <c r="N74" t="str">
        <f t="shared" si="1"/>
        <v>NA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22.965744999999998</v>
      </c>
    </row>
    <row r="75" spans="1:15">
      <c r="A75" s="9">
        <v>41768</v>
      </c>
      <c r="B75" s="7" t="s">
        <v>28</v>
      </c>
      <c r="C75">
        <v>40</v>
      </c>
      <c r="D75" t="s">
        <v>19</v>
      </c>
      <c r="F75">
        <v>1.77</v>
      </c>
      <c r="J75">
        <f>100+120+157+167+194+203+232</f>
        <v>1173</v>
      </c>
      <c r="K75">
        <v>7</v>
      </c>
      <c r="L75">
        <v>232</v>
      </c>
      <c r="N75" t="str">
        <f t="shared" si="1"/>
        <v>NA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23.966287999999999</v>
      </c>
    </row>
    <row r="76" spans="1:15">
      <c r="A76" s="9">
        <v>41768</v>
      </c>
      <c r="B76" s="7" t="s">
        <v>28</v>
      </c>
      <c r="C76">
        <v>40</v>
      </c>
      <c r="D76" t="s">
        <v>19</v>
      </c>
      <c r="F76">
        <v>4.82</v>
      </c>
      <c r="J76">
        <f>93+176+115+153+182+171+220+217+255+244</f>
        <v>1826</v>
      </c>
      <c r="K76">
        <v>10</v>
      </c>
      <c r="L76">
        <v>255</v>
      </c>
      <c r="N76" t="str">
        <f t="shared" si="1"/>
        <v>NA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57.192608999999997</v>
      </c>
    </row>
    <row r="77" spans="1:15">
      <c r="A77" s="9">
        <v>41768</v>
      </c>
      <c r="B77" s="7" t="s">
        <v>28</v>
      </c>
      <c r="C77">
        <v>40</v>
      </c>
      <c r="D77" t="s">
        <v>19</v>
      </c>
      <c r="F77">
        <v>2.98</v>
      </c>
      <c r="J77">
        <f>142+155+190+192+222+236+250+256</f>
        <v>1643</v>
      </c>
      <c r="K77">
        <v>8</v>
      </c>
      <c r="L77">
        <v>256</v>
      </c>
      <c r="N77" t="str">
        <f t="shared" si="1"/>
        <v>NA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53.778905000000016</v>
      </c>
    </row>
    <row r="78" spans="1:15">
      <c r="A78" s="9">
        <v>41768</v>
      </c>
      <c r="B78" s="7" t="s">
        <v>28</v>
      </c>
      <c r="C78">
        <v>45</v>
      </c>
      <c r="D78" t="s">
        <v>23</v>
      </c>
      <c r="F78">
        <v>2.58</v>
      </c>
      <c r="J78">
        <f>60+182+147+200+338+339</f>
        <v>1266</v>
      </c>
      <c r="K78">
        <v>6</v>
      </c>
      <c r="L78">
        <v>339</v>
      </c>
      <c r="N78" t="str">
        <f t="shared" si="1"/>
        <v>NA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7.4746410000000125</v>
      </c>
    </row>
    <row r="79" spans="1:15">
      <c r="A79" s="9">
        <v>41768</v>
      </c>
      <c r="B79" s="7" t="s">
        <v>28</v>
      </c>
      <c r="C79">
        <v>45</v>
      </c>
      <c r="D79" t="s">
        <v>23</v>
      </c>
      <c r="F79">
        <v>2.19</v>
      </c>
      <c r="J79">
        <f>96+131+184+174+219+227</f>
        <v>1031</v>
      </c>
      <c r="K79">
        <v>6</v>
      </c>
      <c r="L79">
        <v>227</v>
      </c>
      <c r="N79" t="str">
        <f t="shared" si="1"/>
        <v>NA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19.181655999999997</v>
      </c>
    </row>
    <row r="80" spans="1:15">
      <c r="A80" s="9">
        <v>41768</v>
      </c>
      <c r="B80" s="7" t="s">
        <v>28</v>
      </c>
      <c r="C80">
        <v>45</v>
      </c>
      <c r="D80" t="s">
        <v>19</v>
      </c>
      <c r="F80">
        <v>3.89</v>
      </c>
      <c r="J80">
        <f>128+208+252+255+291+298+143</f>
        <v>1575</v>
      </c>
      <c r="K80">
        <v>7</v>
      </c>
      <c r="L80">
        <v>298</v>
      </c>
      <c r="N80" t="str">
        <f t="shared" si="1"/>
        <v>NA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41.773628000000024</v>
      </c>
    </row>
    <row r="81" spans="1:15">
      <c r="A81" s="9">
        <v>41768</v>
      </c>
      <c r="B81" s="7" t="s">
        <v>28</v>
      </c>
      <c r="C81">
        <v>45</v>
      </c>
      <c r="D81" t="s">
        <v>19</v>
      </c>
      <c r="F81">
        <v>2.44</v>
      </c>
      <c r="J81">
        <f>28+32+33+32+26+34+35+153+177+218+143+137</f>
        <v>1048</v>
      </c>
      <c r="K81">
        <v>12</v>
      </c>
      <c r="L81">
        <v>218</v>
      </c>
      <c r="N81" t="str">
        <f t="shared" si="1"/>
        <v>NA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-18.647421999999999</v>
      </c>
    </row>
    <row r="82" spans="1:15">
      <c r="A82" s="9">
        <v>41768</v>
      </c>
      <c r="B82" s="7" t="s">
        <v>28</v>
      </c>
      <c r="C82">
        <v>45</v>
      </c>
      <c r="D82" t="s">
        <v>19</v>
      </c>
      <c r="F82">
        <v>2.4500000000000002</v>
      </c>
      <c r="J82">
        <f>22+88+97+147+163+189+203</f>
        <v>909</v>
      </c>
      <c r="K82">
        <v>7</v>
      </c>
      <c r="L82">
        <v>203</v>
      </c>
      <c r="N82" t="str">
        <f t="shared" si="1"/>
        <v>NA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7.9510730000000081</v>
      </c>
    </row>
    <row r="83" spans="1:15">
      <c r="A83" s="9">
        <v>41768</v>
      </c>
      <c r="B83" s="7" t="s">
        <v>28</v>
      </c>
      <c r="C83">
        <v>45</v>
      </c>
      <c r="D83" t="s">
        <v>19</v>
      </c>
      <c r="F83">
        <v>1.99</v>
      </c>
      <c r="J83">
        <f>93+123+127+167+167</f>
        <v>677</v>
      </c>
      <c r="K83">
        <v>5</v>
      </c>
      <c r="L83">
        <v>167</v>
      </c>
      <c r="N83" t="str">
        <f t="shared" si="1"/>
        <v>NA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11.089439000000006</v>
      </c>
    </row>
    <row r="84" spans="1:15">
      <c r="A84" s="9">
        <v>41768</v>
      </c>
      <c r="B84" s="7" t="s">
        <v>28</v>
      </c>
      <c r="C84">
        <v>45</v>
      </c>
      <c r="D84" t="s">
        <v>19</v>
      </c>
      <c r="F84">
        <v>1.64</v>
      </c>
      <c r="J84">
        <f>88+83+124+142+167+198+209</f>
        <v>1011</v>
      </c>
      <c r="K84">
        <v>7</v>
      </c>
      <c r="L84">
        <v>209</v>
      </c>
      <c r="N84" t="str">
        <f t="shared" si="1"/>
        <v>NA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15.706613000000004</v>
      </c>
    </row>
    <row r="85" spans="1:15">
      <c r="A85" s="9">
        <v>41768</v>
      </c>
      <c r="B85" s="7" t="s">
        <v>28</v>
      </c>
      <c r="C85">
        <v>45</v>
      </c>
      <c r="D85" t="s">
        <v>19</v>
      </c>
      <c r="F85">
        <v>2.96</v>
      </c>
      <c r="J85">
        <f>151+173+123+193+216+232+244</f>
        <v>1332</v>
      </c>
      <c r="K85">
        <v>7</v>
      </c>
      <c r="L85">
        <v>244</v>
      </c>
      <c r="N85" t="str">
        <f t="shared" si="1"/>
        <v>NA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35.258393000000019</v>
      </c>
    </row>
    <row r="86" spans="1:15">
      <c r="A86" s="9">
        <v>41768</v>
      </c>
      <c r="B86" s="7" t="s">
        <v>28</v>
      </c>
      <c r="C86">
        <v>45</v>
      </c>
      <c r="D86" t="s">
        <v>19</v>
      </c>
      <c r="F86">
        <v>1.85</v>
      </c>
      <c r="J86">
        <f>92+117+135+208+220</f>
        <v>772</v>
      </c>
      <c r="K86">
        <v>5</v>
      </c>
      <c r="L86">
        <v>220</v>
      </c>
      <c r="N86" t="str">
        <f t="shared" si="1"/>
        <v>NA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4.030179000000004</v>
      </c>
    </row>
    <row r="87" spans="1:15">
      <c r="A87" s="9">
        <v>41768</v>
      </c>
      <c r="B87" s="7" t="s">
        <v>28</v>
      </c>
      <c r="C87">
        <v>45</v>
      </c>
      <c r="D87" t="s">
        <v>19</v>
      </c>
      <c r="F87">
        <v>1.56</v>
      </c>
      <c r="J87">
        <f>90+108+136</f>
        <v>334</v>
      </c>
      <c r="K87">
        <v>3</v>
      </c>
      <c r="L87">
        <v>136</v>
      </c>
      <c r="N87" t="str">
        <f t="shared" si="1"/>
        <v>NA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2.3147750000000009</v>
      </c>
    </row>
    <row r="88" spans="1:15">
      <c r="A88" s="9">
        <v>41768</v>
      </c>
      <c r="B88" s="7" t="s">
        <v>28</v>
      </c>
      <c r="C88">
        <v>45</v>
      </c>
      <c r="D88" t="s">
        <v>19</v>
      </c>
      <c r="F88">
        <v>1.54</v>
      </c>
      <c r="J88">
        <f>62+69+75+100</f>
        <v>306</v>
      </c>
      <c r="K88">
        <v>4</v>
      </c>
      <c r="L88">
        <v>100</v>
      </c>
      <c r="N88" t="str">
        <f t="shared" si="1"/>
        <v>NA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3.5121020000000023</v>
      </c>
    </row>
    <row r="89" spans="1:15">
      <c r="A89" s="9">
        <v>41768</v>
      </c>
      <c r="B89" s="7" t="s">
        <v>28</v>
      </c>
      <c r="C89">
        <v>45</v>
      </c>
      <c r="D89" t="s">
        <v>19</v>
      </c>
      <c r="F89">
        <v>2.2000000000000002</v>
      </c>
      <c r="J89">
        <f>76+98+106+153+154+128</f>
        <v>715</v>
      </c>
      <c r="K89">
        <v>6</v>
      </c>
      <c r="L89">
        <v>154</v>
      </c>
      <c r="N89" t="str">
        <f t="shared" si="1"/>
        <v>NA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11.545960999999998</v>
      </c>
    </row>
    <row r="90" spans="1:15">
      <c r="A90" s="9">
        <v>41768</v>
      </c>
      <c r="B90" s="7" t="s">
        <v>28</v>
      </c>
      <c r="C90">
        <v>45</v>
      </c>
      <c r="D90" t="s">
        <v>19</v>
      </c>
      <c r="F90">
        <v>1.34</v>
      </c>
      <c r="J90">
        <f>81+33+87+122+133</f>
        <v>456</v>
      </c>
      <c r="K90">
        <v>5</v>
      </c>
      <c r="L90">
        <v>133</v>
      </c>
      <c r="N90" t="str">
        <f t="shared" si="1"/>
        <v>NA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0.61191399999999874</v>
      </c>
    </row>
    <row r="91" spans="1:15">
      <c r="A91" s="9">
        <v>41768</v>
      </c>
      <c r="B91" s="7" t="s">
        <v>28</v>
      </c>
      <c r="C91">
        <v>45</v>
      </c>
      <c r="D91" t="s">
        <v>19</v>
      </c>
      <c r="F91">
        <v>3.91</v>
      </c>
      <c r="J91">
        <f>31+125+157+168+213+265+272+310+310</f>
        <v>1851</v>
      </c>
      <c r="K91">
        <v>9</v>
      </c>
      <c r="L91">
        <v>310</v>
      </c>
      <c r="N91" t="str">
        <f t="shared" si="1"/>
        <v>NA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49.990361999999998</v>
      </c>
    </row>
    <row r="92" spans="1:15">
      <c r="A92" s="9">
        <v>41768</v>
      </c>
      <c r="B92" s="7" t="s">
        <v>28</v>
      </c>
      <c r="C92">
        <v>45</v>
      </c>
      <c r="D92" t="s">
        <v>19</v>
      </c>
      <c r="F92">
        <v>2.9</v>
      </c>
      <c r="J92">
        <f>136+147+187+193+224+236+254</f>
        <v>1377</v>
      </c>
      <c r="K92">
        <v>7</v>
      </c>
      <c r="L92">
        <v>254</v>
      </c>
      <c r="N92" t="str">
        <f t="shared" si="1"/>
        <v>NA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36.464918000000019</v>
      </c>
    </row>
    <row r="93" spans="1:15">
      <c r="A93" s="9">
        <v>41768</v>
      </c>
      <c r="B93" s="7" t="s">
        <v>28</v>
      </c>
      <c r="C93">
        <v>52</v>
      </c>
      <c r="D93" t="s">
        <v>23</v>
      </c>
      <c r="F93">
        <v>4.75</v>
      </c>
      <c r="J93">
        <f>135+140+227+286+198+296+295+248+245+264+296</f>
        <v>2630</v>
      </c>
      <c r="K93">
        <v>11</v>
      </c>
      <c r="L93">
        <v>296</v>
      </c>
      <c r="N93" t="str">
        <f t="shared" si="1"/>
        <v>NA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113.19823100000002</v>
      </c>
    </row>
    <row r="94" spans="1:15">
      <c r="A94" s="9">
        <v>41768</v>
      </c>
      <c r="B94" s="7" t="s">
        <v>28</v>
      </c>
      <c r="C94">
        <v>52</v>
      </c>
      <c r="D94" t="s">
        <v>23</v>
      </c>
      <c r="F94">
        <v>3.6</v>
      </c>
      <c r="J94">
        <f>83+77+78+167+232+256+277+278</f>
        <v>1448</v>
      </c>
      <c r="K94">
        <v>8</v>
      </c>
      <c r="L94">
        <v>278</v>
      </c>
      <c r="N94" t="str">
        <f t="shared" si="1"/>
        <v>NA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28.869289999999999</v>
      </c>
    </row>
    <row r="95" spans="1:15">
      <c r="A95" s="9">
        <v>41768</v>
      </c>
      <c r="B95" s="7" t="s">
        <v>28</v>
      </c>
      <c r="C95">
        <v>52</v>
      </c>
      <c r="D95" t="s">
        <v>23</v>
      </c>
      <c r="F95">
        <v>3.17</v>
      </c>
      <c r="J95">
        <f>247+294+299+313+317+330+330+334+293+312</f>
        <v>3069</v>
      </c>
      <c r="K95">
        <v>10</v>
      </c>
      <c r="L95">
        <v>334</v>
      </c>
      <c r="N95" t="str">
        <f t="shared" si="1"/>
        <v>NA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149.93171900000004</v>
      </c>
    </row>
    <row r="96" spans="1:15">
      <c r="A96" s="9">
        <v>41768</v>
      </c>
      <c r="B96" s="7" t="s">
        <v>28</v>
      </c>
      <c r="C96">
        <v>52</v>
      </c>
      <c r="D96" t="s">
        <v>23</v>
      </c>
      <c r="F96">
        <v>2.19</v>
      </c>
      <c r="J96">
        <f>78+102+154+193+232+250+257</f>
        <v>1266</v>
      </c>
      <c r="K96">
        <v>7</v>
      </c>
      <c r="L96">
        <v>257</v>
      </c>
      <c r="N96" t="str">
        <f t="shared" si="1"/>
        <v>NA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25.154378000000015</v>
      </c>
    </row>
    <row r="97" spans="1:15">
      <c r="A97" s="9">
        <v>41768</v>
      </c>
      <c r="B97" s="7" t="s">
        <v>28</v>
      </c>
      <c r="C97">
        <v>52</v>
      </c>
      <c r="D97" t="s">
        <v>23</v>
      </c>
      <c r="F97">
        <v>3.9</v>
      </c>
      <c r="J97">
        <f>190+141+152+198+227+267+242+256</f>
        <v>1673</v>
      </c>
      <c r="K97">
        <v>8</v>
      </c>
      <c r="L97">
        <v>256</v>
      </c>
      <c r="N97" t="str">
        <f t="shared" si="1"/>
        <v>NA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56.591555000000007</v>
      </c>
    </row>
    <row r="98" spans="1:15">
      <c r="A98" s="9">
        <v>41768</v>
      </c>
      <c r="B98" s="7" t="s">
        <v>28</v>
      </c>
      <c r="C98">
        <v>52</v>
      </c>
      <c r="D98" t="s">
        <v>23</v>
      </c>
      <c r="F98">
        <v>2</v>
      </c>
      <c r="J98">
        <f>91+113+138+151+165+188+197+218</f>
        <v>1261</v>
      </c>
      <c r="K98">
        <v>8</v>
      </c>
      <c r="L98">
        <v>218</v>
      </c>
      <c r="N98" t="str">
        <f t="shared" si="1"/>
        <v>NA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29.411805000000015</v>
      </c>
    </row>
    <row r="99" spans="1:15">
      <c r="A99" s="9">
        <v>41768</v>
      </c>
      <c r="B99" s="7" t="s">
        <v>28</v>
      </c>
      <c r="C99">
        <v>52</v>
      </c>
      <c r="D99" t="s">
        <v>23</v>
      </c>
      <c r="F99">
        <v>4.37</v>
      </c>
      <c r="J99">
        <f>101+92+145+146+187+239+176+138+274</f>
        <v>1498</v>
      </c>
      <c r="K99">
        <v>9</v>
      </c>
      <c r="L99">
        <v>274</v>
      </c>
      <c r="N99" t="str">
        <f t="shared" si="1"/>
        <v>NA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27.739667000000019</v>
      </c>
    </row>
    <row r="100" spans="1:15">
      <c r="A100" s="9">
        <v>41768</v>
      </c>
      <c r="B100" s="7" t="s">
        <v>28</v>
      </c>
      <c r="C100">
        <v>52</v>
      </c>
      <c r="D100" t="s">
        <v>23</v>
      </c>
      <c r="F100">
        <v>1.1100000000000001</v>
      </c>
      <c r="J100">
        <f>119+151+159+184+207+212</f>
        <v>1032</v>
      </c>
      <c r="K100">
        <v>6</v>
      </c>
      <c r="L100">
        <v>212</v>
      </c>
      <c r="N100" t="str">
        <f t="shared" si="1"/>
        <v>NA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23.794086</v>
      </c>
    </row>
    <row r="101" spans="1:15">
      <c r="A101" s="9">
        <v>41768</v>
      </c>
      <c r="B101" s="7" t="s">
        <v>28</v>
      </c>
      <c r="C101">
        <v>52</v>
      </c>
      <c r="D101" t="s">
        <v>23</v>
      </c>
      <c r="F101">
        <v>3.56</v>
      </c>
      <c r="J101">
        <f>181+175+127+227+256+302+301+132+301</f>
        <v>2002</v>
      </c>
      <c r="K101">
        <v>9</v>
      </c>
      <c r="L101">
        <v>302</v>
      </c>
      <c r="N101" t="str">
        <f t="shared" si="1"/>
        <v>NA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66.557327000000015</v>
      </c>
    </row>
    <row r="102" spans="1:15">
      <c r="A102" s="9">
        <v>41768</v>
      </c>
      <c r="B102" s="7" t="s">
        <v>28</v>
      </c>
      <c r="C102">
        <v>52</v>
      </c>
      <c r="D102" t="s">
        <v>23</v>
      </c>
      <c r="F102">
        <v>2.15</v>
      </c>
      <c r="J102">
        <f>86+92+120+132+136+165+198+200+213+123</f>
        <v>1465</v>
      </c>
      <c r="K102">
        <v>10</v>
      </c>
      <c r="L102">
        <v>213</v>
      </c>
      <c r="N102" t="str">
        <f t="shared" si="1"/>
        <v>NA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35.999344000000015</v>
      </c>
    </row>
    <row r="103" spans="1:15">
      <c r="A103" s="9">
        <v>41768</v>
      </c>
      <c r="B103" s="7" t="s">
        <v>28</v>
      </c>
      <c r="C103">
        <v>52</v>
      </c>
      <c r="D103" t="s">
        <v>19</v>
      </c>
      <c r="F103">
        <v>0.83</v>
      </c>
      <c r="J103">
        <f>35+31</f>
        <v>66</v>
      </c>
      <c r="K103">
        <v>2</v>
      </c>
      <c r="L103">
        <v>35</v>
      </c>
      <c r="N103" t="str">
        <f t="shared" si="1"/>
        <v>NA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14.636533</v>
      </c>
    </row>
    <row r="104" spans="1:15">
      <c r="A104" s="9">
        <v>41768</v>
      </c>
      <c r="B104" s="7" t="s">
        <v>28</v>
      </c>
      <c r="C104">
        <v>52</v>
      </c>
      <c r="D104" t="s">
        <v>19</v>
      </c>
      <c r="F104">
        <v>1.51</v>
      </c>
      <c r="J104">
        <f>48+72+91+101+104+88</f>
        <v>504</v>
      </c>
      <c r="K104">
        <v>6</v>
      </c>
      <c r="L104">
        <v>104</v>
      </c>
      <c r="N104" t="str">
        <f t="shared" si="1"/>
        <v>NA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6.8259060000000034</v>
      </c>
    </row>
    <row r="105" spans="1:15">
      <c r="A105" s="9">
        <v>41768</v>
      </c>
      <c r="B105" s="7" t="s">
        <v>28</v>
      </c>
      <c r="C105">
        <v>52</v>
      </c>
      <c r="D105" t="s">
        <v>19</v>
      </c>
      <c r="E105">
        <v>299</v>
      </c>
      <c r="F105">
        <v>11.88</v>
      </c>
      <c r="H105">
        <v>34</v>
      </c>
      <c r="I105">
        <v>1.5</v>
      </c>
      <c r="N105" t="str">
        <f t="shared" si="1"/>
        <v>NA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279.35849456</v>
      </c>
    </row>
    <row r="106" spans="1:15">
      <c r="A106" s="6">
        <v>41774</v>
      </c>
      <c r="B106" s="7" t="s">
        <v>31</v>
      </c>
      <c r="C106">
        <v>1</v>
      </c>
      <c r="D106" t="s">
        <v>20</v>
      </c>
      <c r="E106">
        <v>267</v>
      </c>
      <c r="F106">
        <v>1.4</v>
      </c>
      <c r="N106">
        <f t="shared" si="1"/>
        <v>137.00473989999998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14.127438000000001</v>
      </c>
    </row>
    <row r="107" spans="1:15">
      <c r="A107" s="6">
        <v>41774</v>
      </c>
      <c r="B107" s="7" t="s">
        <v>31</v>
      </c>
      <c r="C107">
        <v>1</v>
      </c>
      <c r="D107" t="s">
        <v>20</v>
      </c>
      <c r="E107">
        <v>155</v>
      </c>
      <c r="F107">
        <v>0.9</v>
      </c>
      <c r="G107">
        <v>9</v>
      </c>
      <c r="N107">
        <f t="shared" si="1"/>
        <v>32.868885374999998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7.0270081910718378</v>
      </c>
    </row>
    <row r="108" spans="1:15">
      <c r="A108" s="6">
        <v>41774</v>
      </c>
      <c r="B108" s="7" t="s">
        <v>31</v>
      </c>
      <c r="C108">
        <v>1</v>
      </c>
      <c r="D108" t="s">
        <v>20</v>
      </c>
      <c r="E108">
        <v>45</v>
      </c>
      <c r="F108">
        <v>0.85</v>
      </c>
      <c r="N108">
        <f t="shared" si="1"/>
        <v>8.5117454062499984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-1.4358719999999998</v>
      </c>
    </row>
    <row r="109" spans="1:15">
      <c r="A109" s="6">
        <v>41774</v>
      </c>
      <c r="B109" s="7" t="s">
        <v>31</v>
      </c>
      <c r="C109">
        <v>1</v>
      </c>
      <c r="D109" t="s">
        <v>20</v>
      </c>
      <c r="E109">
        <v>283</v>
      </c>
      <c r="F109">
        <v>0.9</v>
      </c>
      <c r="N109">
        <f t="shared" si="1"/>
        <v>60.012222975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15.249118000000003</v>
      </c>
    </row>
    <row r="110" spans="1:15">
      <c r="A110" s="6">
        <v>41774</v>
      </c>
      <c r="B110" s="7" t="s">
        <v>31</v>
      </c>
      <c r="C110">
        <v>1</v>
      </c>
      <c r="D110" t="s">
        <v>20</v>
      </c>
      <c r="E110">
        <v>100</v>
      </c>
      <c r="F110">
        <v>0.88</v>
      </c>
      <c r="G110">
        <v>7</v>
      </c>
      <c r="N110">
        <f t="shared" si="1"/>
        <v>20.273727466666664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4.503542270781387</v>
      </c>
    </row>
    <row r="111" spans="1:15">
      <c r="A111" s="6">
        <v>41774</v>
      </c>
      <c r="B111" s="7" t="s">
        <v>31</v>
      </c>
      <c r="C111">
        <v>1</v>
      </c>
      <c r="D111" t="s">
        <v>20</v>
      </c>
      <c r="E111">
        <v>212</v>
      </c>
      <c r="F111">
        <v>1.0900000000000001</v>
      </c>
      <c r="N111">
        <f t="shared" si="1"/>
        <v>65.941241062333333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10.271663</v>
      </c>
    </row>
    <row r="112" spans="1:15">
      <c r="A112" s="6">
        <v>41774</v>
      </c>
      <c r="B112" s="7" t="s">
        <v>31</v>
      </c>
      <c r="C112">
        <v>1</v>
      </c>
      <c r="D112" t="s">
        <v>20</v>
      </c>
      <c r="E112">
        <v>201</v>
      </c>
      <c r="F112">
        <v>1.7</v>
      </c>
      <c r="N112">
        <f t="shared" si="1"/>
        <v>152.07651792499996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9.500508</v>
      </c>
    </row>
    <row r="113" spans="1:15">
      <c r="A113" s="6">
        <v>41774</v>
      </c>
      <c r="B113" s="7" t="s">
        <v>31</v>
      </c>
      <c r="C113">
        <v>1</v>
      </c>
      <c r="D113" t="s">
        <v>19</v>
      </c>
      <c r="F113">
        <v>1.7</v>
      </c>
      <c r="J113">
        <f>58+67+97+99+115</f>
        <v>436</v>
      </c>
      <c r="K113">
        <v>5</v>
      </c>
      <c r="L113">
        <v>115</v>
      </c>
      <c r="N113" t="str">
        <f t="shared" si="1"/>
        <v>NA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4.1592240000000018</v>
      </c>
    </row>
    <row r="114" spans="1:15">
      <c r="A114" s="6">
        <v>41774</v>
      </c>
      <c r="B114" s="7" t="s">
        <v>31</v>
      </c>
      <c r="C114">
        <v>1</v>
      </c>
      <c r="D114" t="s">
        <v>19</v>
      </c>
      <c r="F114">
        <v>0.93</v>
      </c>
      <c r="J114">
        <f>49+73+85+105+113</f>
        <v>425</v>
      </c>
      <c r="K114">
        <v>5</v>
      </c>
      <c r="L114">
        <v>113</v>
      </c>
      <c r="N114" t="str">
        <f t="shared" si="1"/>
        <v>NA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3.7304090000000016</v>
      </c>
    </row>
    <row r="115" spans="1:15">
      <c r="A115" s="6">
        <v>41774</v>
      </c>
      <c r="B115" s="7" t="s">
        <v>31</v>
      </c>
      <c r="C115">
        <v>1</v>
      </c>
      <c r="D115" t="s">
        <v>19</v>
      </c>
      <c r="F115">
        <v>1.04</v>
      </c>
      <c r="J115">
        <f>62+102</f>
        <v>164</v>
      </c>
      <c r="K115">
        <v>2</v>
      </c>
      <c r="L115">
        <v>102</v>
      </c>
      <c r="N115" t="str">
        <f t="shared" si="1"/>
        <v>NA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3.6411080000000027</v>
      </c>
    </row>
    <row r="116" spans="1:15">
      <c r="A116" s="6">
        <v>41774</v>
      </c>
      <c r="B116" s="7" t="s">
        <v>31</v>
      </c>
      <c r="C116">
        <v>1</v>
      </c>
      <c r="D116" t="s">
        <v>19</v>
      </c>
      <c r="F116">
        <v>1.41</v>
      </c>
      <c r="J116">
        <f>51+96+131+145</f>
        <v>423</v>
      </c>
      <c r="K116">
        <v>4</v>
      </c>
      <c r="L116">
        <v>145</v>
      </c>
      <c r="N116" t="str">
        <f t="shared" si="1"/>
        <v>NA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0.92541200000000146</v>
      </c>
    </row>
    <row r="117" spans="1:15">
      <c r="A117" s="6">
        <v>41774</v>
      </c>
      <c r="B117" s="7" t="s">
        <v>31</v>
      </c>
      <c r="C117">
        <v>1</v>
      </c>
      <c r="D117" t="s">
        <v>19</v>
      </c>
      <c r="F117">
        <v>1.87</v>
      </c>
      <c r="J117">
        <f>91+116+143+144+174+178</f>
        <v>846</v>
      </c>
      <c r="K117">
        <v>6</v>
      </c>
      <c r="L117">
        <v>178</v>
      </c>
      <c r="N117" t="str">
        <f t="shared" si="1"/>
        <v>NA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16.597986000000006</v>
      </c>
    </row>
    <row r="118" spans="1:15">
      <c r="A118" s="6">
        <v>41774</v>
      </c>
      <c r="B118" s="7" t="s">
        <v>31</v>
      </c>
      <c r="C118">
        <v>1</v>
      </c>
      <c r="D118" t="s">
        <v>19</v>
      </c>
      <c r="F118">
        <v>0.69</v>
      </c>
      <c r="J118">
        <f>98</f>
        <v>98</v>
      </c>
      <c r="K118">
        <v>1</v>
      </c>
      <c r="L118">
        <v>98</v>
      </c>
      <c r="N118" t="str">
        <f t="shared" si="1"/>
        <v>NA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5.680610999999999</v>
      </c>
    </row>
    <row r="119" spans="1:15">
      <c r="A119" s="6">
        <v>41774</v>
      </c>
      <c r="B119" s="7" t="s">
        <v>31</v>
      </c>
      <c r="C119">
        <v>1</v>
      </c>
      <c r="D119" t="s">
        <v>19</v>
      </c>
      <c r="F119">
        <v>2.42</v>
      </c>
      <c r="J119">
        <f>77+106+161+177+191</f>
        <v>712</v>
      </c>
      <c r="K119">
        <v>5</v>
      </c>
      <c r="L119">
        <v>191</v>
      </c>
      <c r="N119" t="str">
        <f t="shared" si="1"/>
        <v>NA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7.1409840000000102</v>
      </c>
    </row>
    <row r="120" spans="1:15">
      <c r="A120" s="6">
        <v>41774</v>
      </c>
      <c r="B120" s="7" t="s">
        <v>31</v>
      </c>
      <c r="C120">
        <v>1</v>
      </c>
      <c r="D120" t="s">
        <v>19</v>
      </c>
      <c r="F120">
        <v>1.57</v>
      </c>
      <c r="J120">
        <f>90+97+143+185+200+232+230</f>
        <v>1177</v>
      </c>
      <c r="K120">
        <v>7</v>
      </c>
      <c r="L120">
        <v>232</v>
      </c>
      <c r="N120" t="str">
        <f t="shared" si="1"/>
        <v>NA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24.341308000000005</v>
      </c>
    </row>
    <row r="121" spans="1:15">
      <c r="A121" s="6">
        <v>41774</v>
      </c>
      <c r="B121" s="7" t="s">
        <v>31</v>
      </c>
      <c r="C121">
        <v>1</v>
      </c>
      <c r="D121" t="s">
        <v>19</v>
      </c>
      <c r="F121">
        <v>1.91</v>
      </c>
      <c r="J121">
        <f>43+58+96+143+176+201+213</f>
        <v>930</v>
      </c>
      <c r="K121">
        <v>7</v>
      </c>
      <c r="L121">
        <v>213</v>
      </c>
      <c r="N121" t="str">
        <f t="shared" si="1"/>
        <v>NA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6.9074780000000047</v>
      </c>
    </row>
    <row r="122" spans="1:15">
      <c r="A122" s="6">
        <v>41774</v>
      </c>
      <c r="B122" s="7" t="s">
        <v>31</v>
      </c>
      <c r="C122">
        <v>1</v>
      </c>
      <c r="D122" t="s">
        <v>19</v>
      </c>
      <c r="F122">
        <v>0.95</v>
      </c>
      <c r="J122">
        <f>68+125+176+179</f>
        <v>548</v>
      </c>
      <c r="K122">
        <v>4</v>
      </c>
      <c r="L122">
        <v>179</v>
      </c>
      <c r="N122" t="str">
        <f t="shared" si="1"/>
        <v>NA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2.4024570000000018</v>
      </c>
    </row>
    <row r="123" spans="1:15">
      <c r="A123" s="6">
        <v>41774</v>
      </c>
      <c r="B123" s="7" t="s">
        <v>31</v>
      </c>
      <c r="C123">
        <v>1</v>
      </c>
      <c r="D123" t="s">
        <v>19</v>
      </c>
      <c r="F123">
        <v>1.68</v>
      </c>
      <c r="J123">
        <f>99+142</f>
        <v>241</v>
      </c>
      <c r="K123">
        <v>2</v>
      </c>
      <c r="L123">
        <v>142</v>
      </c>
      <c r="N123" t="str">
        <f t="shared" si="1"/>
        <v>NA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-1.1895570000000006</v>
      </c>
    </row>
    <row r="124" spans="1:15">
      <c r="A124" s="6">
        <v>41774</v>
      </c>
      <c r="B124" s="7" t="s">
        <v>31</v>
      </c>
      <c r="C124">
        <v>1</v>
      </c>
      <c r="D124" t="s">
        <v>19</v>
      </c>
      <c r="F124">
        <v>1.35</v>
      </c>
      <c r="J124">
        <f>43+48+85+89+116+144+150+175</f>
        <v>850</v>
      </c>
      <c r="K124">
        <v>8</v>
      </c>
      <c r="L124">
        <v>175</v>
      </c>
      <c r="N124" t="str">
        <f t="shared" si="1"/>
        <v>NA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3.8320349999999976</v>
      </c>
    </row>
    <row r="125" spans="1:15">
      <c r="A125" s="6">
        <v>41774</v>
      </c>
      <c r="B125" s="7" t="s">
        <v>31</v>
      </c>
      <c r="C125">
        <v>1</v>
      </c>
      <c r="D125" t="s">
        <v>19</v>
      </c>
      <c r="F125">
        <v>1.86</v>
      </c>
      <c r="J125">
        <f>69+108+146</f>
        <v>323</v>
      </c>
      <c r="K125">
        <v>3</v>
      </c>
      <c r="L125">
        <v>146</v>
      </c>
      <c r="N125" t="str">
        <f t="shared" si="1"/>
        <v>NA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-1.72898</v>
      </c>
    </row>
    <row r="126" spans="1:15">
      <c r="A126" s="6">
        <v>41774</v>
      </c>
      <c r="B126" s="7" t="s">
        <v>31</v>
      </c>
      <c r="C126">
        <v>1</v>
      </c>
      <c r="D126" t="s">
        <v>19</v>
      </c>
      <c r="F126">
        <v>1.36</v>
      </c>
      <c r="J126">
        <f>53+89+115+123+142</f>
        <v>522</v>
      </c>
      <c r="K126">
        <v>5</v>
      </c>
      <c r="L126">
        <v>142</v>
      </c>
      <c r="N126" t="str">
        <f t="shared" si="1"/>
        <v>NA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4.0885390000000044</v>
      </c>
    </row>
    <row r="127" spans="1:15">
      <c r="A127" s="6">
        <v>41774</v>
      </c>
      <c r="B127" s="7" t="s">
        <v>31</v>
      </c>
      <c r="C127">
        <v>1</v>
      </c>
      <c r="D127" t="s">
        <v>19</v>
      </c>
      <c r="F127">
        <v>1.93</v>
      </c>
      <c r="J127">
        <f>35+102+165+181</f>
        <v>483</v>
      </c>
      <c r="K127">
        <v>4</v>
      </c>
      <c r="L127">
        <v>181</v>
      </c>
      <c r="N127" t="str">
        <f t="shared" si="1"/>
        <v>NA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-4.2941080000000014</v>
      </c>
    </row>
    <row r="128" spans="1:15">
      <c r="A128" s="6">
        <v>41774</v>
      </c>
      <c r="B128" s="7" t="s">
        <v>31</v>
      </c>
      <c r="C128">
        <v>1</v>
      </c>
      <c r="D128" t="s">
        <v>19</v>
      </c>
      <c r="F128">
        <v>1.35</v>
      </c>
      <c r="J128">
        <f>59+27+78+94+136+172</f>
        <v>566</v>
      </c>
      <c r="K128">
        <v>6</v>
      </c>
      <c r="L128">
        <v>172</v>
      </c>
      <c r="N128" t="str">
        <f t="shared" si="1"/>
        <v>NA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-7.8459439999999958</v>
      </c>
    </row>
    <row r="129" spans="1:15">
      <c r="A129" s="6">
        <v>41774</v>
      </c>
      <c r="B129" s="7" t="s">
        <v>31</v>
      </c>
      <c r="C129">
        <v>1</v>
      </c>
      <c r="D129" t="s">
        <v>19</v>
      </c>
      <c r="F129">
        <v>1.32</v>
      </c>
      <c r="J129">
        <f>83+126+145+163+171+125</f>
        <v>813</v>
      </c>
      <c r="K129">
        <v>6</v>
      </c>
      <c r="L129">
        <v>171</v>
      </c>
      <c r="N129" t="str">
        <f t="shared" si="1"/>
        <v>NA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15.612785999999993</v>
      </c>
    </row>
    <row r="130" spans="1:15">
      <c r="A130" s="6">
        <v>41774</v>
      </c>
      <c r="B130" s="7" t="s">
        <v>31</v>
      </c>
      <c r="C130">
        <v>30</v>
      </c>
      <c r="D130" t="s">
        <v>19</v>
      </c>
      <c r="F130">
        <v>2.62</v>
      </c>
      <c r="J130">
        <f>90+109+131+163+175+181+140</f>
        <v>989</v>
      </c>
      <c r="K130">
        <v>7</v>
      </c>
      <c r="L130">
        <v>181</v>
      </c>
      <c r="N130" t="str">
        <f t="shared" si="1"/>
        <v>NA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22.078863000000013</v>
      </c>
    </row>
    <row r="131" spans="1:15">
      <c r="A131" s="6">
        <v>41774</v>
      </c>
      <c r="B131" s="7" t="s">
        <v>31</v>
      </c>
      <c r="C131">
        <v>30</v>
      </c>
      <c r="D131" t="s">
        <v>19</v>
      </c>
      <c r="F131">
        <v>2.5299999999999998</v>
      </c>
      <c r="J131">
        <f>69+74+101+117+145+136+160+172</f>
        <v>974</v>
      </c>
      <c r="K131">
        <v>8</v>
      </c>
      <c r="L131">
        <v>172</v>
      </c>
      <c r="N131" t="str">
        <f t="shared" si="1"/>
        <v>NA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16.361390000000014</v>
      </c>
    </row>
    <row r="132" spans="1:15">
      <c r="A132" s="6">
        <v>41774</v>
      </c>
      <c r="B132" s="7" t="s">
        <v>31</v>
      </c>
      <c r="C132">
        <v>30</v>
      </c>
      <c r="D132" t="s">
        <v>19</v>
      </c>
      <c r="F132">
        <v>1.36</v>
      </c>
      <c r="J132">
        <f>41+78+79+79+108</f>
        <v>385</v>
      </c>
      <c r="K132">
        <v>5</v>
      </c>
      <c r="L132">
        <v>108</v>
      </c>
      <c r="N132" t="str">
        <f t="shared" ref="N132:N195" si="2">IF(OR(D132="S. acutus", D132="S. tabernaemontani", D132="S. californicus"),(1/3)*(3.14159)*((F132/2)^2)*E132,"NA")</f>
        <v>NA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1.4864340000000027</v>
      </c>
    </row>
    <row r="133" spans="1:15">
      <c r="A133" s="6">
        <v>41774</v>
      </c>
      <c r="B133" s="7" t="s">
        <v>31</v>
      </c>
      <c r="C133">
        <v>41</v>
      </c>
      <c r="D133" t="s">
        <v>19</v>
      </c>
      <c r="F133">
        <v>1.72</v>
      </c>
      <c r="J133">
        <f>86+88+123+146+147+122</f>
        <v>712</v>
      </c>
      <c r="K133">
        <v>6</v>
      </c>
      <c r="L133">
        <v>147</v>
      </c>
      <c r="N133" t="str">
        <f t="shared" si="2"/>
        <v>NA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13.373411000000004</v>
      </c>
    </row>
    <row r="134" spans="1:15">
      <c r="A134" s="6">
        <v>41774</v>
      </c>
      <c r="B134" s="7" t="s">
        <v>31</v>
      </c>
      <c r="C134">
        <v>41</v>
      </c>
      <c r="D134" t="s">
        <v>19</v>
      </c>
      <c r="F134">
        <v>2.56</v>
      </c>
      <c r="J134">
        <f>78+94+48+155+135+176+163</f>
        <v>849</v>
      </c>
      <c r="K134">
        <v>7</v>
      </c>
      <c r="L134">
        <v>176</v>
      </c>
      <c r="N134" t="str">
        <f t="shared" si="2"/>
        <v>NA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10.459387999999997</v>
      </c>
    </row>
    <row r="135" spans="1:15">
      <c r="A135" s="6">
        <v>41774</v>
      </c>
      <c r="B135" s="7" t="s">
        <v>31</v>
      </c>
      <c r="C135">
        <v>41</v>
      </c>
      <c r="D135" t="s">
        <v>19</v>
      </c>
      <c r="F135">
        <v>2.41</v>
      </c>
      <c r="J135">
        <f>44+80+81+124+133+154+157+170</f>
        <v>943</v>
      </c>
      <c r="K135">
        <v>8</v>
      </c>
      <c r="L135">
        <v>170</v>
      </c>
      <c r="N135" t="str">
        <f t="shared" si="2"/>
        <v>NA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14.057475000000004</v>
      </c>
    </row>
    <row r="136" spans="1:15">
      <c r="A136" s="6">
        <v>41774</v>
      </c>
      <c r="B136" s="7" t="s">
        <v>31</v>
      </c>
      <c r="C136">
        <v>41</v>
      </c>
      <c r="D136" t="s">
        <v>19</v>
      </c>
      <c r="F136">
        <v>1.68</v>
      </c>
      <c r="J136">
        <f>95+96+126+121+154</f>
        <v>592</v>
      </c>
      <c r="K136">
        <v>5</v>
      </c>
      <c r="L136">
        <v>154</v>
      </c>
      <c r="N136" t="str">
        <f t="shared" si="2"/>
        <v>NA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7.0364490000000046</v>
      </c>
    </row>
    <row r="137" spans="1:15">
      <c r="A137" s="6">
        <v>41774</v>
      </c>
      <c r="B137" s="7" t="s">
        <v>31</v>
      </c>
      <c r="C137">
        <v>41</v>
      </c>
      <c r="D137" t="s">
        <v>19</v>
      </c>
      <c r="F137">
        <v>1.91</v>
      </c>
      <c r="J137">
        <f>73+119+142+148+151+186</f>
        <v>819</v>
      </c>
      <c r="K137">
        <v>6</v>
      </c>
      <c r="L137">
        <v>186</v>
      </c>
      <c r="N137" t="str">
        <f t="shared" si="2"/>
        <v>NA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11.656641000000008</v>
      </c>
    </row>
    <row r="138" spans="1:15">
      <c r="A138" s="6">
        <v>41774</v>
      </c>
      <c r="B138" s="7" t="s">
        <v>31</v>
      </c>
      <c r="C138">
        <v>41</v>
      </c>
      <c r="D138" t="s">
        <v>19</v>
      </c>
      <c r="F138">
        <v>4.7300000000000004</v>
      </c>
      <c r="J138">
        <f>98+133+170+168+205+207+230+236</f>
        <v>1447</v>
      </c>
      <c r="K138">
        <v>8</v>
      </c>
      <c r="L138">
        <v>236</v>
      </c>
      <c r="N138" t="str">
        <f t="shared" si="2"/>
        <v>NA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41.42782500000002</v>
      </c>
    </row>
    <row r="139" spans="1:15">
      <c r="A139" s="6">
        <v>41774</v>
      </c>
      <c r="B139" s="7" t="s">
        <v>31</v>
      </c>
      <c r="C139">
        <v>41</v>
      </c>
      <c r="D139" t="s">
        <v>19</v>
      </c>
      <c r="F139">
        <v>4.01</v>
      </c>
      <c r="J139">
        <f>102+109+149+160+180+201+213+235+237</f>
        <v>1586</v>
      </c>
      <c r="K139">
        <v>9</v>
      </c>
      <c r="L139">
        <v>237</v>
      </c>
      <c r="N139" t="str">
        <f t="shared" si="2"/>
        <v>NA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47.136172000000009</v>
      </c>
    </row>
    <row r="140" spans="1:15">
      <c r="A140" s="6">
        <v>41774</v>
      </c>
      <c r="B140" s="7" t="s">
        <v>31</v>
      </c>
      <c r="C140">
        <v>41</v>
      </c>
      <c r="D140" t="s">
        <v>19</v>
      </c>
      <c r="F140">
        <v>4.5199999999999996</v>
      </c>
      <c r="J140">
        <f>100+134+141+167+174+190+109+115+123</f>
        <v>1253</v>
      </c>
      <c r="K140">
        <v>9</v>
      </c>
      <c r="L140">
        <v>167</v>
      </c>
      <c r="N140" t="str">
        <f t="shared" si="2"/>
        <v>NA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37.002907000000015</v>
      </c>
    </row>
    <row r="141" spans="1:15">
      <c r="A141" s="6">
        <v>41774</v>
      </c>
      <c r="B141" s="7" t="s">
        <v>31</v>
      </c>
      <c r="C141">
        <v>42</v>
      </c>
      <c r="D141" t="s">
        <v>19</v>
      </c>
      <c r="F141">
        <v>3.43</v>
      </c>
      <c r="J141">
        <f>102+145+171+169+127+187+205+213+233</f>
        <v>1552</v>
      </c>
      <c r="K141">
        <v>9</v>
      </c>
      <c r="L141">
        <v>233</v>
      </c>
      <c r="N141" t="str">
        <f t="shared" si="2"/>
        <v>NA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45.153482000000018</v>
      </c>
    </row>
    <row r="142" spans="1:15">
      <c r="A142" s="6">
        <v>41774</v>
      </c>
      <c r="B142" s="7" t="s">
        <v>31</v>
      </c>
      <c r="C142">
        <v>42</v>
      </c>
      <c r="D142" t="s">
        <v>19</v>
      </c>
      <c r="F142">
        <v>3.38</v>
      </c>
      <c r="J142">
        <f>64+140+171+172+196+210+221</f>
        <v>1174</v>
      </c>
      <c r="K142">
        <v>7</v>
      </c>
      <c r="L142">
        <v>221</v>
      </c>
      <c r="N142" t="str">
        <f t="shared" si="2"/>
        <v>NA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27.37373800000001</v>
      </c>
    </row>
    <row r="143" spans="1:15">
      <c r="A143" s="6">
        <v>41774</v>
      </c>
      <c r="B143" s="7" t="s">
        <v>31</v>
      </c>
      <c r="C143">
        <v>42</v>
      </c>
      <c r="D143" t="s">
        <v>19</v>
      </c>
      <c r="F143">
        <v>1.6</v>
      </c>
      <c r="J143">
        <f>31+38+37</f>
        <v>106</v>
      </c>
      <c r="K143">
        <v>3</v>
      </c>
      <c r="L143">
        <v>38</v>
      </c>
      <c r="N143" t="str">
        <f t="shared" si="2"/>
        <v>NA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10.460645</v>
      </c>
    </row>
    <row r="144" spans="1:15">
      <c r="A144" s="6">
        <v>41774</v>
      </c>
      <c r="B144" s="7" t="s">
        <v>31</v>
      </c>
      <c r="C144">
        <v>42</v>
      </c>
      <c r="D144" t="s">
        <v>19</v>
      </c>
      <c r="F144">
        <v>4.76</v>
      </c>
      <c r="J144">
        <f>140+164+174+198+187+218+223+239</f>
        <v>1543</v>
      </c>
      <c r="K144">
        <v>8</v>
      </c>
      <c r="L144">
        <v>239</v>
      </c>
      <c r="N144" t="str">
        <f t="shared" si="2"/>
        <v>NA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49.524570000000033</v>
      </c>
    </row>
    <row r="145" spans="1:15">
      <c r="A145" s="6">
        <v>41774</v>
      </c>
      <c r="B145" s="7" t="s">
        <v>31</v>
      </c>
      <c r="C145">
        <v>42</v>
      </c>
      <c r="D145" t="s">
        <v>19</v>
      </c>
      <c r="F145">
        <v>3.65</v>
      </c>
      <c r="J145">
        <f>62+112+115+163+182+194+227+201</f>
        <v>1256</v>
      </c>
      <c r="K145">
        <v>8</v>
      </c>
      <c r="L145">
        <v>227</v>
      </c>
      <c r="N145" t="str">
        <f t="shared" si="2"/>
        <v>NA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26.231825000000001</v>
      </c>
    </row>
    <row r="146" spans="1:15">
      <c r="A146" s="6">
        <v>41774</v>
      </c>
      <c r="B146" s="7" t="s">
        <v>31</v>
      </c>
      <c r="C146">
        <v>42</v>
      </c>
      <c r="D146" t="s">
        <v>19</v>
      </c>
      <c r="F146">
        <v>3.82</v>
      </c>
      <c r="J146">
        <f>156+118+179+187+208+227+236</f>
        <v>1311</v>
      </c>
      <c r="K146">
        <v>7</v>
      </c>
      <c r="L146">
        <v>236</v>
      </c>
      <c r="N146" t="str">
        <f t="shared" si="2"/>
        <v>NA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35.699498000000013</v>
      </c>
    </row>
    <row r="147" spans="1:15">
      <c r="A147" s="6">
        <v>41774</v>
      </c>
      <c r="B147" s="7" t="s">
        <v>31</v>
      </c>
      <c r="C147">
        <v>42</v>
      </c>
      <c r="D147" t="s">
        <v>19</v>
      </c>
      <c r="F147">
        <v>3.36</v>
      </c>
      <c r="J147">
        <f>62+106+147+177+176+185+186+207</f>
        <v>1246</v>
      </c>
      <c r="K147">
        <v>8</v>
      </c>
      <c r="L147">
        <v>207</v>
      </c>
      <c r="N147" t="str">
        <f t="shared" si="2"/>
        <v>NA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31.319175000000001</v>
      </c>
    </row>
    <row r="148" spans="1:15">
      <c r="A148" s="6">
        <v>41774</v>
      </c>
      <c r="B148" s="7" t="s">
        <v>31</v>
      </c>
      <c r="C148">
        <v>42</v>
      </c>
      <c r="D148" t="s">
        <v>19</v>
      </c>
      <c r="F148">
        <v>3.04</v>
      </c>
      <c r="J148">
        <f>90+91+145+139+185+186+212+215</f>
        <v>1263</v>
      </c>
      <c r="K148">
        <v>8</v>
      </c>
      <c r="L148">
        <v>215</v>
      </c>
      <c r="N148" t="str">
        <f t="shared" si="2"/>
        <v>NA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30.503050000000002</v>
      </c>
    </row>
    <row r="149" spans="1:15">
      <c r="A149" s="6">
        <v>41774</v>
      </c>
      <c r="B149" s="7" t="s">
        <v>31</v>
      </c>
      <c r="C149">
        <v>42</v>
      </c>
      <c r="D149" t="s">
        <v>19</v>
      </c>
      <c r="F149">
        <v>4.3</v>
      </c>
      <c r="J149">
        <f>52+82+110+137+157+197+200+219+223</f>
        <v>1377</v>
      </c>
      <c r="K149">
        <v>9</v>
      </c>
      <c r="L149">
        <v>223</v>
      </c>
      <c r="N149" t="str">
        <f t="shared" si="2"/>
        <v>NA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31.758807000000012</v>
      </c>
    </row>
    <row r="150" spans="1:15">
      <c r="A150" s="6">
        <v>41774</v>
      </c>
      <c r="B150" s="7" t="s">
        <v>31</v>
      </c>
      <c r="C150">
        <v>42</v>
      </c>
      <c r="D150" t="s">
        <v>19</v>
      </c>
      <c r="F150">
        <v>3.62</v>
      </c>
      <c r="J150">
        <f>114+126+165+173+183+211+212+231</f>
        <v>1415</v>
      </c>
      <c r="K150">
        <v>8</v>
      </c>
      <c r="L150">
        <v>231</v>
      </c>
      <c r="N150" t="str">
        <f t="shared" si="2"/>
        <v>NA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39.933890000000027</v>
      </c>
    </row>
    <row r="151" spans="1:15">
      <c r="A151" s="6">
        <v>41774</v>
      </c>
      <c r="B151" s="7" t="s">
        <v>31</v>
      </c>
      <c r="C151">
        <v>46</v>
      </c>
      <c r="D151" t="s">
        <v>19</v>
      </c>
      <c r="F151">
        <v>1.53</v>
      </c>
      <c r="J151">
        <f>85+108+151+149</f>
        <v>493</v>
      </c>
      <c r="K151">
        <v>4</v>
      </c>
      <c r="L151">
        <v>151</v>
      </c>
      <c r="N151" t="str">
        <f t="shared" si="2"/>
        <v>NA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5.6807920000000003</v>
      </c>
    </row>
    <row r="152" spans="1:15">
      <c r="A152" s="6">
        <v>41774</v>
      </c>
      <c r="B152" s="7" t="s">
        <v>31</v>
      </c>
      <c r="C152">
        <v>46</v>
      </c>
      <c r="D152" t="s">
        <v>19</v>
      </c>
      <c r="F152">
        <v>3.28</v>
      </c>
      <c r="J152">
        <f>134+184+195+227+231+250+219</f>
        <v>1440</v>
      </c>
      <c r="K152">
        <v>7</v>
      </c>
      <c r="L152">
        <v>250</v>
      </c>
      <c r="N152" t="str">
        <f t="shared" si="2"/>
        <v>NA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43.576463000000011</v>
      </c>
    </row>
    <row r="153" spans="1:15">
      <c r="A153" s="6">
        <v>41774</v>
      </c>
      <c r="B153" s="7" t="s">
        <v>31</v>
      </c>
      <c r="C153">
        <v>46</v>
      </c>
      <c r="D153" t="s">
        <v>19</v>
      </c>
      <c r="F153">
        <v>3</v>
      </c>
      <c r="J153">
        <f>89+164+181+208+225+224</f>
        <v>1091</v>
      </c>
      <c r="K153">
        <v>6</v>
      </c>
      <c r="L153">
        <v>225</v>
      </c>
      <c r="N153" t="str">
        <f t="shared" si="2"/>
        <v>NA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25.40944600000001</v>
      </c>
    </row>
    <row r="154" spans="1:15">
      <c r="A154" s="6">
        <v>41774</v>
      </c>
      <c r="B154" s="7" t="s">
        <v>31</v>
      </c>
      <c r="C154">
        <v>46</v>
      </c>
      <c r="D154" t="s">
        <v>19</v>
      </c>
      <c r="F154">
        <v>1.27</v>
      </c>
      <c r="J154">
        <f>51+61+102+109+130</f>
        <v>453</v>
      </c>
      <c r="K154">
        <v>5</v>
      </c>
      <c r="L154">
        <v>130</v>
      </c>
      <c r="N154" t="str">
        <f t="shared" si="2"/>
        <v>NA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1.2343839999999986</v>
      </c>
    </row>
    <row r="155" spans="1:15">
      <c r="A155" s="6">
        <v>41774</v>
      </c>
      <c r="B155" s="7" t="s">
        <v>31</v>
      </c>
      <c r="C155">
        <v>46</v>
      </c>
      <c r="D155" t="s">
        <v>19</v>
      </c>
      <c r="F155">
        <v>2.81</v>
      </c>
      <c r="J155">
        <f>107+91+99+138+143+184+189+213+217</f>
        <v>1381</v>
      </c>
      <c r="K155">
        <v>9</v>
      </c>
      <c r="L155">
        <v>217</v>
      </c>
      <c r="N155" t="str">
        <f t="shared" si="2"/>
        <v>NA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33.941297000000013</v>
      </c>
    </row>
    <row r="156" spans="1:15">
      <c r="A156" s="6">
        <v>41774</v>
      </c>
      <c r="B156" s="7" t="s">
        <v>31</v>
      </c>
      <c r="C156">
        <v>46</v>
      </c>
      <c r="D156" t="s">
        <v>19</v>
      </c>
      <c r="F156">
        <v>3.44</v>
      </c>
      <c r="J156">
        <f>79+82+112+135+146+190+220+224+238</f>
        <v>1426</v>
      </c>
      <c r="K156">
        <v>9</v>
      </c>
      <c r="L156">
        <v>238</v>
      </c>
      <c r="N156" t="str">
        <f t="shared" si="2"/>
        <v>NA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31.834127000000016</v>
      </c>
    </row>
    <row r="157" spans="1:15">
      <c r="A157" s="6">
        <v>41774</v>
      </c>
      <c r="B157" s="7" t="s">
        <v>31</v>
      </c>
      <c r="C157">
        <v>46</v>
      </c>
      <c r="D157" t="s">
        <v>19</v>
      </c>
      <c r="F157">
        <v>3.17</v>
      </c>
      <c r="J157">
        <f>96+123+137+175+193+216+214</f>
        <v>1154</v>
      </c>
      <c r="K157">
        <v>7</v>
      </c>
      <c r="L157">
        <v>216</v>
      </c>
      <c r="N157" t="str">
        <f t="shared" si="2"/>
        <v>NA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27.004863000000022</v>
      </c>
    </row>
    <row r="158" spans="1:15">
      <c r="A158" s="6">
        <v>41766</v>
      </c>
      <c r="B158" s="7" t="s">
        <v>21</v>
      </c>
      <c r="C158">
        <v>4</v>
      </c>
      <c r="D158" t="s">
        <v>19</v>
      </c>
      <c r="F158">
        <v>6.54</v>
      </c>
      <c r="J158">
        <f>106+93+63+137+165+183+162+130+154+128+71+69+59+44</f>
        <v>1564</v>
      </c>
      <c r="K158">
        <v>14</v>
      </c>
      <c r="L158">
        <v>183</v>
      </c>
      <c r="N158" t="str">
        <f t="shared" si="2"/>
        <v>NA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26.229027000000016</v>
      </c>
    </row>
    <row r="159" spans="1:15">
      <c r="A159" s="10">
        <v>41766</v>
      </c>
      <c r="B159" s="7" t="s">
        <v>21</v>
      </c>
      <c r="C159">
        <v>6</v>
      </c>
      <c r="D159" t="s">
        <v>25</v>
      </c>
      <c r="E159">
        <v>86</v>
      </c>
      <c r="F159">
        <v>0.83</v>
      </c>
      <c r="N159">
        <f t="shared" si="2"/>
        <v>15.51039634883333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1.4384329999999999</v>
      </c>
    </row>
    <row r="160" spans="1:15">
      <c r="A160" s="6">
        <v>41766</v>
      </c>
      <c r="B160" s="7" t="s">
        <v>21</v>
      </c>
      <c r="C160">
        <v>6</v>
      </c>
      <c r="D160" t="s">
        <v>25</v>
      </c>
      <c r="E160">
        <v>154</v>
      </c>
      <c r="F160">
        <v>1.66</v>
      </c>
      <c r="N160">
        <f t="shared" si="2"/>
        <v>111.09772268466665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6.2055730000000002</v>
      </c>
    </row>
    <row r="161" spans="1:15">
      <c r="A161" s="10">
        <v>41766</v>
      </c>
      <c r="B161" s="7" t="s">
        <v>21</v>
      </c>
      <c r="C161">
        <v>6</v>
      </c>
      <c r="D161" t="s">
        <v>25</v>
      </c>
      <c r="E161">
        <v>86</v>
      </c>
      <c r="F161">
        <v>0.82</v>
      </c>
      <c r="N161">
        <f t="shared" si="2"/>
        <v>15.13890333133333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1.4384329999999999</v>
      </c>
    </row>
    <row r="162" spans="1:15">
      <c r="A162" s="6">
        <v>41766</v>
      </c>
      <c r="B162" s="7" t="s">
        <v>21</v>
      </c>
      <c r="C162">
        <v>6</v>
      </c>
      <c r="D162" t="s">
        <v>25</v>
      </c>
      <c r="E162">
        <v>138</v>
      </c>
      <c r="F162">
        <v>1.86</v>
      </c>
      <c r="N162">
        <f t="shared" si="2"/>
        <v>124.98941478600001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5.0838930000000007</v>
      </c>
    </row>
    <row r="163" spans="1:15">
      <c r="A163" s="10">
        <v>41766</v>
      </c>
      <c r="B163" s="7" t="s">
        <v>21</v>
      </c>
      <c r="C163">
        <v>6</v>
      </c>
      <c r="D163" t="s">
        <v>25</v>
      </c>
      <c r="E163">
        <v>101</v>
      </c>
      <c r="F163">
        <v>1.06</v>
      </c>
      <c r="N163">
        <f t="shared" si="2"/>
        <v>29.709911910333336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2.4900080000000004</v>
      </c>
    </row>
    <row r="164" spans="1:15">
      <c r="A164" s="6">
        <v>41766</v>
      </c>
      <c r="B164" s="7" t="s">
        <v>21</v>
      </c>
      <c r="C164">
        <v>26</v>
      </c>
      <c r="D164" t="s">
        <v>23</v>
      </c>
      <c r="F164">
        <v>3.46</v>
      </c>
      <c r="J164">
        <f>65+65+116+149+161+148+179</f>
        <v>883</v>
      </c>
      <c r="K164">
        <v>7</v>
      </c>
      <c r="L164">
        <v>179</v>
      </c>
      <c r="N164" t="str">
        <f t="shared" si="2"/>
        <v>NA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12.743323000000011</v>
      </c>
    </row>
    <row r="165" spans="1:15">
      <c r="A165" s="10">
        <v>41766</v>
      </c>
      <c r="B165" s="7" t="s">
        <v>21</v>
      </c>
      <c r="C165">
        <v>26</v>
      </c>
      <c r="D165" t="s">
        <v>23</v>
      </c>
      <c r="F165">
        <v>1.96</v>
      </c>
      <c r="J165">
        <f>41+49+60</f>
        <v>150</v>
      </c>
      <c r="K165">
        <v>3</v>
      </c>
      <c r="L165">
        <v>60</v>
      </c>
      <c r="N165" t="str">
        <f t="shared" si="2"/>
        <v>NA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7.9584749999999964</v>
      </c>
    </row>
    <row r="166" spans="1:15">
      <c r="A166" s="6">
        <v>41766</v>
      </c>
      <c r="B166" s="7" t="s">
        <v>21</v>
      </c>
      <c r="C166">
        <v>26</v>
      </c>
      <c r="D166" t="s">
        <v>23</v>
      </c>
      <c r="F166">
        <v>1.6</v>
      </c>
      <c r="J166">
        <f>77+95+126+138+149</f>
        <v>585</v>
      </c>
      <c r="K166">
        <v>5</v>
      </c>
      <c r="L166">
        <v>149</v>
      </c>
      <c r="N166" t="str">
        <f t="shared" si="2"/>
        <v>NA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7.8863890000000083</v>
      </c>
    </row>
    <row r="167" spans="1:15">
      <c r="A167" s="10">
        <v>41766</v>
      </c>
      <c r="B167" s="7" t="s">
        <v>21</v>
      </c>
      <c r="C167">
        <v>26</v>
      </c>
      <c r="D167" t="s">
        <v>23</v>
      </c>
      <c r="F167">
        <v>4.0999999999999996</v>
      </c>
      <c r="J167">
        <f>77+38+96+107+96+142+147+169+174+189</f>
        <v>1235</v>
      </c>
      <c r="K167">
        <v>10</v>
      </c>
      <c r="L167">
        <v>189</v>
      </c>
      <c r="N167" t="str">
        <f t="shared" si="2"/>
        <v>NA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21.665574000000014</v>
      </c>
    </row>
    <row r="168" spans="1:15">
      <c r="A168" s="6">
        <v>41766</v>
      </c>
      <c r="B168" s="7" t="s">
        <v>21</v>
      </c>
      <c r="C168">
        <v>26</v>
      </c>
      <c r="D168" t="s">
        <v>23</v>
      </c>
      <c r="F168">
        <v>1.5</v>
      </c>
      <c r="J168">
        <f>44+77+95+130+139</f>
        <v>485</v>
      </c>
      <c r="K168">
        <v>5</v>
      </c>
      <c r="L168">
        <v>139</v>
      </c>
      <c r="N168" t="str">
        <f t="shared" si="2"/>
        <v>NA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1.523339</v>
      </c>
    </row>
    <row r="169" spans="1:15">
      <c r="A169" s="6">
        <v>41766</v>
      </c>
      <c r="B169" s="7" t="s">
        <v>21</v>
      </c>
      <c r="C169">
        <v>26</v>
      </c>
      <c r="D169" t="s">
        <v>23</v>
      </c>
      <c r="F169">
        <v>2.48</v>
      </c>
      <c r="J169">
        <f>54+68+103+112+144+148</f>
        <v>629</v>
      </c>
      <c r="K169">
        <v>6</v>
      </c>
      <c r="L169">
        <v>148</v>
      </c>
      <c r="N169" t="str">
        <f t="shared" si="2"/>
        <v>NA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5.290500999999999</v>
      </c>
    </row>
    <row r="170" spans="1:15">
      <c r="A170" s="10">
        <v>41766</v>
      </c>
      <c r="B170" s="7" t="s">
        <v>21</v>
      </c>
      <c r="C170">
        <v>26</v>
      </c>
      <c r="D170" t="s">
        <v>19</v>
      </c>
      <c r="F170">
        <v>1.53</v>
      </c>
      <c r="J170">
        <f>73+97+97+114+142+146</f>
        <v>669</v>
      </c>
      <c r="K170">
        <v>6</v>
      </c>
      <c r="L170">
        <v>146</v>
      </c>
      <c r="N170" t="str">
        <f t="shared" si="2"/>
        <v>NA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9.6431910000000016</v>
      </c>
    </row>
    <row r="171" spans="1:15">
      <c r="A171" s="6">
        <v>41766</v>
      </c>
      <c r="B171" s="7" t="s">
        <v>21</v>
      </c>
      <c r="C171">
        <v>26</v>
      </c>
      <c r="D171" t="s">
        <v>19</v>
      </c>
      <c r="F171">
        <v>1.24</v>
      </c>
      <c r="J171">
        <f>82+84+90+116+127</f>
        <v>499</v>
      </c>
      <c r="K171">
        <v>5</v>
      </c>
      <c r="L171">
        <v>127</v>
      </c>
      <c r="N171" t="str">
        <f t="shared" si="2"/>
        <v>NA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6.4508490000000052</v>
      </c>
    </row>
    <row r="172" spans="1:15">
      <c r="A172" s="10">
        <v>41766</v>
      </c>
      <c r="B172" s="7" t="s">
        <v>21</v>
      </c>
      <c r="C172">
        <v>26</v>
      </c>
      <c r="D172" t="s">
        <v>19</v>
      </c>
      <c r="F172">
        <v>2.2999999999999998</v>
      </c>
      <c r="J172">
        <f>41+95+82+112+106+119+188+135</f>
        <v>878</v>
      </c>
      <c r="K172">
        <v>8</v>
      </c>
      <c r="L172">
        <v>188</v>
      </c>
      <c r="N172" t="str">
        <f t="shared" si="2"/>
        <v>NA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2.5409900000000007</v>
      </c>
    </row>
    <row r="173" spans="1:15">
      <c r="A173" s="9">
        <v>41766</v>
      </c>
      <c r="B173" s="7" t="s">
        <v>21</v>
      </c>
      <c r="C173">
        <v>29</v>
      </c>
      <c r="D173" t="s">
        <v>20</v>
      </c>
      <c r="E173">
        <v>136</v>
      </c>
      <c r="F173">
        <v>1.51</v>
      </c>
      <c r="N173">
        <f t="shared" si="2"/>
        <v>81.182246068666657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4.9436830000000009</v>
      </c>
    </row>
    <row r="174" spans="1:15">
      <c r="A174" s="9">
        <v>41766</v>
      </c>
      <c r="B174" s="7" t="s">
        <v>21</v>
      </c>
      <c r="C174">
        <v>29</v>
      </c>
      <c r="D174" t="s">
        <v>23</v>
      </c>
      <c r="F174">
        <v>2.78</v>
      </c>
      <c r="J174">
        <f>112+114+154+166+192+184</f>
        <v>922</v>
      </c>
      <c r="K174">
        <v>6</v>
      </c>
      <c r="L174">
        <v>192</v>
      </c>
      <c r="N174" t="str">
        <f t="shared" si="2"/>
        <v>NA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19.505935999999998</v>
      </c>
    </row>
    <row r="175" spans="1:15">
      <c r="A175" s="9">
        <v>41766</v>
      </c>
      <c r="B175" s="7" t="s">
        <v>21</v>
      </c>
      <c r="C175">
        <v>29</v>
      </c>
      <c r="D175" t="s">
        <v>23</v>
      </c>
      <c r="F175">
        <v>2.3199999999999998</v>
      </c>
      <c r="J175">
        <f>62+114+122+145+167+174</f>
        <v>784</v>
      </c>
      <c r="K175">
        <v>6</v>
      </c>
      <c r="L175">
        <v>174</v>
      </c>
      <c r="N175" t="str">
        <f t="shared" si="2"/>
        <v>NA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11.990156000000006</v>
      </c>
    </row>
    <row r="176" spans="1:15">
      <c r="A176" s="9">
        <v>41766</v>
      </c>
      <c r="B176" s="7" t="s">
        <v>21</v>
      </c>
      <c r="C176">
        <v>29</v>
      </c>
      <c r="D176" t="s">
        <v>23</v>
      </c>
      <c r="F176">
        <v>2.7</v>
      </c>
      <c r="J176">
        <f>72+145+165+180+191</f>
        <v>753</v>
      </c>
      <c r="K176">
        <v>5</v>
      </c>
      <c r="L176">
        <v>191</v>
      </c>
      <c r="N176" t="str">
        <f t="shared" si="2"/>
        <v>NA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10.984939000000004</v>
      </c>
    </row>
    <row r="177" spans="1:15">
      <c r="A177" s="9">
        <v>41766</v>
      </c>
      <c r="B177" s="7" t="s">
        <v>21</v>
      </c>
      <c r="C177">
        <v>29</v>
      </c>
      <c r="D177" t="s">
        <v>19</v>
      </c>
      <c r="F177">
        <v>1.95</v>
      </c>
      <c r="J177">
        <f>63+78+110+153</f>
        <v>404</v>
      </c>
      <c r="K177">
        <v>4</v>
      </c>
      <c r="L177">
        <v>153</v>
      </c>
      <c r="N177" t="str">
        <f t="shared" si="2"/>
        <v>NA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-3.2658929999999984</v>
      </c>
    </row>
    <row r="178" spans="1:15">
      <c r="A178" s="9">
        <v>41766</v>
      </c>
      <c r="B178" s="7" t="s">
        <v>21</v>
      </c>
      <c r="C178">
        <v>55</v>
      </c>
      <c r="D178" t="s">
        <v>19</v>
      </c>
      <c r="F178">
        <v>8.7100000000000009</v>
      </c>
      <c r="J178">
        <f>174+223+239+287+294+293+300+301+302</f>
        <v>2413</v>
      </c>
      <c r="K178">
        <v>9</v>
      </c>
      <c r="L178">
        <v>302</v>
      </c>
      <c r="N178" t="str">
        <f t="shared" si="2"/>
        <v>NA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105.090632</v>
      </c>
    </row>
    <row r="179" spans="1:15">
      <c r="A179" s="9">
        <v>41767</v>
      </c>
      <c r="B179" s="7" t="s">
        <v>24</v>
      </c>
      <c r="C179">
        <v>25</v>
      </c>
      <c r="D179" t="s">
        <v>25</v>
      </c>
      <c r="E179">
        <v>26.5</v>
      </c>
      <c r="F179">
        <v>1.03</v>
      </c>
      <c r="N179">
        <f t="shared" si="2"/>
        <v>7.360182501791666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-2.7328144999999999</v>
      </c>
    </row>
    <row r="180" spans="1:15">
      <c r="A180" s="9">
        <v>41767</v>
      </c>
      <c r="B180" s="7" t="s">
        <v>24</v>
      </c>
      <c r="C180">
        <v>25</v>
      </c>
      <c r="D180" t="s">
        <v>25</v>
      </c>
      <c r="E180">
        <v>111</v>
      </c>
      <c r="F180">
        <v>2.0099999999999998</v>
      </c>
      <c r="N180">
        <f t="shared" si="2"/>
        <v>117.40412427074996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3.191058</v>
      </c>
    </row>
    <row r="181" spans="1:15">
      <c r="A181" s="9">
        <v>41767</v>
      </c>
      <c r="B181" s="7" t="s">
        <v>24</v>
      </c>
      <c r="C181">
        <v>25</v>
      </c>
      <c r="D181" t="s">
        <v>25</v>
      </c>
      <c r="E181">
        <v>118</v>
      </c>
      <c r="F181">
        <v>1.44</v>
      </c>
      <c r="N181">
        <f t="shared" si="2"/>
        <v>64.058276735999982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3.6817929999999999</v>
      </c>
    </row>
    <row r="182" spans="1:15">
      <c r="A182" s="9">
        <v>41767</v>
      </c>
      <c r="B182" s="7" t="s">
        <v>24</v>
      </c>
      <c r="C182">
        <v>25</v>
      </c>
      <c r="D182" t="s">
        <v>25</v>
      </c>
      <c r="E182">
        <v>39</v>
      </c>
      <c r="F182">
        <v>1.1200000000000001</v>
      </c>
      <c r="N182">
        <f t="shared" si="2"/>
        <v>12.807634112000001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-1.8565019999999999</v>
      </c>
    </row>
    <row r="183" spans="1:15">
      <c r="A183" s="9">
        <v>41767</v>
      </c>
      <c r="B183" s="7" t="s">
        <v>24</v>
      </c>
      <c r="C183">
        <v>25</v>
      </c>
      <c r="D183" t="s">
        <v>25</v>
      </c>
      <c r="E183">
        <v>31</v>
      </c>
      <c r="F183">
        <v>1.23</v>
      </c>
      <c r="N183">
        <f t="shared" si="2"/>
        <v>12.278354736749998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-2.4173419999999997</v>
      </c>
    </row>
    <row r="184" spans="1:15">
      <c r="A184" s="9">
        <v>41767</v>
      </c>
      <c r="B184" s="7" t="s">
        <v>24</v>
      </c>
      <c r="C184">
        <v>25</v>
      </c>
      <c r="D184" t="s">
        <v>25</v>
      </c>
      <c r="E184">
        <v>145</v>
      </c>
      <c r="F184">
        <v>1.1000000000000001</v>
      </c>
      <c r="N184">
        <f t="shared" si="2"/>
        <v>45.93266379166667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5.5746279999999997</v>
      </c>
    </row>
    <row r="185" spans="1:15">
      <c r="A185" s="9">
        <v>41767</v>
      </c>
      <c r="B185" s="7" t="s">
        <v>24</v>
      </c>
      <c r="C185">
        <v>25</v>
      </c>
      <c r="D185" t="s">
        <v>25</v>
      </c>
      <c r="E185">
        <v>156</v>
      </c>
      <c r="F185">
        <v>2</v>
      </c>
      <c r="N185">
        <f t="shared" si="2"/>
        <v>163.36267999999998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6.345783</v>
      </c>
    </row>
    <row r="186" spans="1:15">
      <c r="A186" s="9">
        <v>41767</v>
      </c>
      <c r="B186" s="7" t="s">
        <v>24</v>
      </c>
      <c r="C186">
        <v>25</v>
      </c>
      <c r="D186" t="s">
        <v>25</v>
      </c>
      <c r="E186">
        <v>24</v>
      </c>
      <c r="F186">
        <v>1.1399999999999999</v>
      </c>
      <c r="N186">
        <f t="shared" si="2"/>
        <v>8.1656207279999968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-2.9080769999999996</v>
      </c>
    </row>
    <row r="187" spans="1:15">
      <c r="A187" s="9">
        <v>41767</v>
      </c>
      <c r="B187" s="7" t="s">
        <v>24</v>
      </c>
      <c r="C187">
        <v>25</v>
      </c>
      <c r="D187" t="s">
        <v>25</v>
      </c>
      <c r="E187">
        <v>141</v>
      </c>
      <c r="F187">
        <v>1.25</v>
      </c>
      <c r="G187">
        <v>8</v>
      </c>
      <c r="N187">
        <f t="shared" si="2"/>
        <v>57.677628906249993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6.7800971695390624</v>
      </c>
    </row>
    <row r="188" spans="1:15">
      <c r="A188" s="9">
        <v>41767</v>
      </c>
      <c r="B188" s="7" t="s">
        <v>24</v>
      </c>
      <c r="C188">
        <v>25</v>
      </c>
      <c r="D188" t="s">
        <v>25</v>
      </c>
      <c r="E188">
        <v>37</v>
      </c>
      <c r="F188">
        <v>0.99</v>
      </c>
      <c r="N188">
        <f t="shared" si="2"/>
        <v>9.4938064402499993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-1.9967119999999996</v>
      </c>
    </row>
    <row r="189" spans="1:15">
      <c r="A189" s="9">
        <v>41767</v>
      </c>
      <c r="B189" s="7" t="s">
        <v>24</v>
      </c>
      <c r="C189">
        <v>25</v>
      </c>
      <c r="D189" t="s">
        <v>25</v>
      </c>
      <c r="E189">
        <v>117</v>
      </c>
      <c r="F189">
        <v>1.51</v>
      </c>
      <c r="N189">
        <f t="shared" si="2"/>
        <v>69.840608750249999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3.611688</v>
      </c>
    </row>
    <row r="190" spans="1:15">
      <c r="A190" s="9">
        <v>41767</v>
      </c>
      <c r="B190" s="7" t="s">
        <v>24</v>
      </c>
      <c r="C190">
        <v>25</v>
      </c>
      <c r="D190" t="s">
        <v>25</v>
      </c>
      <c r="E190">
        <v>57</v>
      </c>
      <c r="F190">
        <v>0.93</v>
      </c>
      <c r="N190">
        <f t="shared" si="2"/>
        <v>12.906515657250001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-0.5946119999999997</v>
      </c>
    </row>
    <row r="191" spans="1:15">
      <c r="A191" s="9">
        <v>41767</v>
      </c>
      <c r="B191" s="7" t="s">
        <v>24</v>
      </c>
      <c r="C191">
        <v>25</v>
      </c>
      <c r="D191" t="s">
        <v>25</v>
      </c>
      <c r="E191">
        <v>71</v>
      </c>
      <c r="F191">
        <v>1.99</v>
      </c>
      <c r="N191">
        <f t="shared" si="2"/>
        <v>73.609312474083339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0.38685800000000015</v>
      </c>
    </row>
    <row r="192" spans="1:15">
      <c r="A192" s="9">
        <v>41767</v>
      </c>
      <c r="B192" s="7" t="s">
        <v>24</v>
      </c>
      <c r="C192">
        <v>25</v>
      </c>
      <c r="D192" t="s">
        <v>25</v>
      </c>
      <c r="E192">
        <v>23</v>
      </c>
      <c r="F192">
        <v>0.71</v>
      </c>
      <c r="N192">
        <f t="shared" si="2"/>
        <v>3.0353780780833333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-2.9781819999999999</v>
      </c>
    </row>
    <row r="193" spans="1:15">
      <c r="A193" s="9">
        <v>41767</v>
      </c>
      <c r="B193" s="7" t="s">
        <v>24</v>
      </c>
      <c r="C193">
        <v>25</v>
      </c>
      <c r="D193" t="s">
        <v>25</v>
      </c>
      <c r="E193">
        <v>28</v>
      </c>
      <c r="F193">
        <v>0.89</v>
      </c>
      <c r="N193">
        <f t="shared" si="2"/>
        <v>5.8063913576666666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-2.6276569999999997</v>
      </c>
    </row>
    <row r="194" spans="1:15">
      <c r="A194" s="9">
        <v>41767</v>
      </c>
      <c r="B194" s="7" t="s">
        <v>24</v>
      </c>
      <c r="C194">
        <v>25</v>
      </c>
      <c r="D194" t="s">
        <v>25</v>
      </c>
      <c r="E194">
        <v>80</v>
      </c>
      <c r="F194">
        <v>1.35</v>
      </c>
      <c r="N194">
        <f t="shared" si="2"/>
        <v>38.1703185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1.0178029999999998</v>
      </c>
    </row>
    <row r="195" spans="1:15">
      <c r="A195" s="9">
        <v>41767</v>
      </c>
      <c r="B195" s="7" t="s">
        <v>24</v>
      </c>
      <c r="C195">
        <v>25</v>
      </c>
      <c r="D195" t="s">
        <v>25</v>
      </c>
      <c r="E195">
        <v>33</v>
      </c>
      <c r="F195">
        <v>1.42</v>
      </c>
      <c r="N195">
        <f t="shared" si="2"/>
        <v>17.420430708999998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-2.2771319999999999</v>
      </c>
    </row>
    <row r="196" spans="1:15">
      <c r="A196" s="9">
        <v>41767</v>
      </c>
      <c r="B196" s="7" t="s">
        <v>24</v>
      </c>
      <c r="C196">
        <v>25</v>
      </c>
      <c r="D196" t="s">
        <v>25</v>
      </c>
      <c r="E196">
        <v>32</v>
      </c>
      <c r="F196">
        <v>0.74</v>
      </c>
      <c r="N196">
        <f t="shared" ref="N196:N259" si="3">IF(OR(D196="S. acutus", D196="S. tabernaemontani", D196="S. californicus"),(1/3)*(3.14159)*((F196/2)^2)*E196,"NA")</f>
        <v>4.5875591573333327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-2.3472369999999998</v>
      </c>
    </row>
    <row r="197" spans="1:15">
      <c r="A197" s="9">
        <v>41767</v>
      </c>
      <c r="B197" s="7" t="s">
        <v>24</v>
      </c>
      <c r="C197">
        <v>26</v>
      </c>
      <c r="D197" t="s">
        <v>19</v>
      </c>
      <c r="F197">
        <v>4.8499999999999996</v>
      </c>
      <c r="J197">
        <f>77+118+123+156+168+183+187+188</f>
        <v>1200</v>
      </c>
      <c r="K197">
        <v>8</v>
      </c>
      <c r="L197">
        <v>188</v>
      </c>
      <c r="N197" t="str">
        <f t="shared" si="3"/>
        <v>NA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32.7301</v>
      </c>
    </row>
    <row r="198" spans="1:15">
      <c r="A198" s="9">
        <v>41767</v>
      </c>
      <c r="B198" s="7" t="s">
        <v>24</v>
      </c>
      <c r="C198">
        <v>26</v>
      </c>
      <c r="D198" t="s">
        <v>19</v>
      </c>
      <c r="F198">
        <v>3.32</v>
      </c>
      <c r="J198">
        <f>105+141+156+172+175+50</f>
        <v>799</v>
      </c>
      <c r="K198">
        <v>6</v>
      </c>
      <c r="L198">
        <v>175</v>
      </c>
      <c r="N198" t="str">
        <f t="shared" si="3"/>
        <v>NA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13.095236</v>
      </c>
    </row>
    <row r="199" spans="1:15">
      <c r="A199" s="9">
        <v>41767</v>
      </c>
      <c r="B199" s="7" t="s">
        <v>24</v>
      </c>
      <c r="C199">
        <v>26</v>
      </c>
      <c r="D199" t="s">
        <v>19</v>
      </c>
      <c r="F199">
        <v>2.59</v>
      </c>
      <c r="J199">
        <f>100+152+20</f>
        <v>272</v>
      </c>
      <c r="K199">
        <v>3</v>
      </c>
      <c r="L199">
        <v>152</v>
      </c>
      <c r="N199" t="str">
        <f t="shared" si="3"/>
        <v>NA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-8.3179550000000049</v>
      </c>
    </row>
    <row r="200" spans="1:15">
      <c r="A200" s="9">
        <v>41767</v>
      </c>
      <c r="B200" s="7" t="s">
        <v>24</v>
      </c>
      <c r="C200">
        <v>29</v>
      </c>
      <c r="D200" t="s">
        <v>25</v>
      </c>
      <c r="E200">
        <v>40</v>
      </c>
      <c r="F200">
        <v>0.65</v>
      </c>
      <c r="N200">
        <f t="shared" si="3"/>
        <v>4.4244059166666663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-1.786397</v>
      </c>
    </row>
    <row r="201" spans="1:15">
      <c r="A201" s="9">
        <v>41767</v>
      </c>
      <c r="B201" s="7" t="s">
        <v>24</v>
      </c>
      <c r="C201">
        <v>29</v>
      </c>
      <c r="D201" t="s">
        <v>25</v>
      </c>
      <c r="E201">
        <v>49</v>
      </c>
      <c r="F201">
        <v>0.64</v>
      </c>
      <c r="N201">
        <f t="shared" si="3"/>
        <v>5.2544139946666668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-1.1554519999999999</v>
      </c>
    </row>
    <row r="202" spans="1:15">
      <c r="A202" s="9">
        <v>41767</v>
      </c>
      <c r="B202" s="7" t="s">
        <v>24</v>
      </c>
      <c r="C202">
        <v>29</v>
      </c>
      <c r="D202" t="s">
        <v>25</v>
      </c>
      <c r="E202">
        <v>47</v>
      </c>
      <c r="F202">
        <v>0.7</v>
      </c>
      <c r="N202">
        <f t="shared" si="3"/>
        <v>6.0292348083333316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-1.2956619999999996</v>
      </c>
    </row>
    <row r="203" spans="1:15">
      <c r="A203" s="9">
        <v>41767</v>
      </c>
      <c r="B203" s="7" t="s">
        <v>24</v>
      </c>
      <c r="C203">
        <v>29</v>
      </c>
      <c r="D203" t="s">
        <v>25</v>
      </c>
      <c r="E203">
        <v>65</v>
      </c>
      <c r="F203">
        <v>0.91</v>
      </c>
      <c r="N203">
        <f t="shared" si="3"/>
        <v>14.091732844583332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-3.3771999999999913E-2</v>
      </c>
    </row>
    <row r="204" spans="1:15">
      <c r="A204" s="9">
        <v>41767</v>
      </c>
      <c r="B204" s="7" t="s">
        <v>24</v>
      </c>
      <c r="C204">
        <v>29</v>
      </c>
      <c r="D204" t="s">
        <v>25</v>
      </c>
      <c r="E204">
        <v>89</v>
      </c>
      <c r="F204">
        <v>1.07</v>
      </c>
      <c r="N204">
        <f t="shared" si="3"/>
        <v>26.67631406658333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1.6487480000000003</v>
      </c>
    </row>
    <row r="205" spans="1:15">
      <c r="A205" s="9">
        <v>41767</v>
      </c>
      <c r="B205" s="7" t="s">
        <v>24</v>
      </c>
      <c r="C205">
        <v>29</v>
      </c>
      <c r="D205" t="s">
        <v>25</v>
      </c>
      <c r="E205">
        <v>92</v>
      </c>
      <c r="F205">
        <v>0.89</v>
      </c>
      <c r="N205">
        <f t="shared" si="3"/>
        <v>19.078143032333333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1.8590629999999999</v>
      </c>
    </row>
    <row r="206" spans="1:15">
      <c r="A206" s="9">
        <v>41767</v>
      </c>
      <c r="B206" s="7" t="s">
        <v>24</v>
      </c>
      <c r="C206">
        <v>29</v>
      </c>
      <c r="D206" t="s">
        <v>25</v>
      </c>
      <c r="E206">
        <v>45</v>
      </c>
      <c r="F206">
        <v>0.82</v>
      </c>
      <c r="N206">
        <f t="shared" si="3"/>
        <v>7.9215191849999984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-1.4358719999999998</v>
      </c>
    </row>
    <row r="207" spans="1:15">
      <c r="A207" s="9">
        <v>41767</v>
      </c>
      <c r="B207" s="7" t="s">
        <v>24</v>
      </c>
      <c r="C207">
        <v>29</v>
      </c>
      <c r="D207" t="s">
        <v>25</v>
      </c>
      <c r="E207">
        <v>24</v>
      </c>
      <c r="F207">
        <v>0.68</v>
      </c>
      <c r="N207">
        <f t="shared" si="3"/>
        <v>2.9053424320000003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-2.9080769999999996</v>
      </c>
    </row>
    <row r="208" spans="1:15">
      <c r="A208" s="9">
        <v>41767</v>
      </c>
      <c r="B208" s="7" t="s">
        <v>24</v>
      </c>
      <c r="C208">
        <v>29</v>
      </c>
      <c r="D208" t="s">
        <v>25</v>
      </c>
      <c r="E208">
        <v>248</v>
      </c>
      <c r="F208">
        <v>1.68</v>
      </c>
      <c r="G208">
        <v>7</v>
      </c>
      <c r="N208">
        <f t="shared" si="3"/>
        <v>183.24768806399996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16.643039961403133</v>
      </c>
    </row>
    <row r="209" spans="1:15">
      <c r="A209" s="10">
        <v>41767</v>
      </c>
      <c r="B209" s="7" t="s">
        <v>24</v>
      </c>
      <c r="C209">
        <v>37</v>
      </c>
      <c r="D209" t="s">
        <v>23</v>
      </c>
      <c r="F209">
        <v>2.52</v>
      </c>
      <c r="J209">
        <f>170+178+243+263+270+312+314</f>
        <v>1750</v>
      </c>
      <c r="K209">
        <v>7</v>
      </c>
      <c r="L209">
        <v>314</v>
      </c>
      <c r="N209" t="str">
        <f t="shared" si="3"/>
        <v>NA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53.360833000000021</v>
      </c>
    </row>
    <row r="210" spans="1:15">
      <c r="A210" s="10">
        <v>41767</v>
      </c>
      <c r="B210" s="7" t="s">
        <v>24</v>
      </c>
      <c r="C210">
        <v>37</v>
      </c>
      <c r="D210" t="s">
        <v>23</v>
      </c>
      <c r="F210">
        <v>1.6</v>
      </c>
      <c r="J210">
        <f>98+161+218+238+280+284</f>
        <v>1279</v>
      </c>
      <c r="K210">
        <v>6</v>
      </c>
      <c r="L210">
        <v>284</v>
      </c>
      <c r="N210" t="str">
        <f t="shared" si="3"/>
        <v>NA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25.261931000000011</v>
      </c>
    </row>
    <row r="211" spans="1:15">
      <c r="A211" s="10">
        <v>41767</v>
      </c>
      <c r="B211" s="7" t="s">
        <v>24</v>
      </c>
      <c r="C211">
        <v>37</v>
      </c>
      <c r="D211" t="s">
        <v>23</v>
      </c>
      <c r="F211">
        <v>2.16</v>
      </c>
      <c r="J211">
        <f>100+132+212+223+268+283+319</f>
        <v>1537</v>
      </c>
      <c r="K211">
        <v>7</v>
      </c>
      <c r="L211">
        <v>319</v>
      </c>
      <c r="N211" t="str">
        <f t="shared" si="3"/>
        <v>NA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31.884793000000009</v>
      </c>
    </row>
    <row r="212" spans="1:15">
      <c r="A212" s="10">
        <v>41767</v>
      </c>
      <c r="B212" s="7" t="s">
        <v>24</v>
      </c>
      <c r="C212">
        <v>37</v>
      </c>
      <c r="D212" t="s">
        <v>19</v>
      </c>
      <c r="F212">
        <v>0.73</v>
      </c>
      <c r="J212">
        <f>32+33+45+49</f>
        <v>159</v>
      </c>
      <c r="K212">
        <v>4</v>
      </c>
      <c r="L212">
        <v>49</v>
      </c>
      <c r="N212" t="str">
        <f t="shared" si="3"/>
        <v>NA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5.0936120000000003</v>
      </c>
    </row>
    <row r="213" spans="1:15">
      <c r="A213" s="10">
        <v>41767</v>
      </c>
      <c r="B213" s="7" t="s">
        <v>24</v>
      </c>
      <c r="C213">
        <v>37</v>
      </c>
      <c r="D213" t="s">
        <v>19</v>
      </c>
      <c r="F213">
        <v>4.4400000000000004</v>
      </c>
      <c r="J213">
        <f>119+150+201+241+291+308+326+330</f>
        <v>1966</v>
      </c>
      <c r="K213">
        <v>8</v>
      </c>
      <c r="L213">
        <v>330</v>
      </c>
      <c r="N213" t="str">
        <f t="shared" si="3"/>
        <v>NA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61.769640000000031</v>
      </c>
    </row>
    <row r="214" spans="1:15">
      <c r="A214" s="10">
        <v>41767</v>
      </c>
      <c r="B214" s="7" t="s">
        <v>24</v>
      </c>
      <c r="C214">
        <v>37</v>
      </c>
      <c r="D214" t="s">
        <v>19</v>
      </c>
      <c r="F214">
        <v>2.13</v>
      </c>
      <c r="J214">
        <f>77+140+150+192+195+227+235</f>
        <v>1216</v>
      </c>
      <c r="K214">
        <v>7</v>
      </c>
      <c r="L214">
        <v>235</v>
      </c>
      <c r="N214" t="str">
        <f t="shared" si="3"/>
        <v>NA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27.094018000000013</v>
      </c>
    </row>
    <row r="215" spans="1:15">
      <c r="A215" s="10">
        <v>41767</v>
      </c>
      <c r="B215" s="7" t="s">
        <v>24</v>
      </c>
      <c r="C215">
        <v>37</v>
      </c>
      <c r="D215" t="s">
        <v>19</v>
      </c>
      <c r="F215">
        <v>2.1</v>
      </c>
      <c r="J215">
        <f>204+207+208+256+275+298</f>
        <v>1448</v>
      </c>
      <c r="K215">
        <v>6</v>
      </c>
      <c r="L215">
        <v>298</v>
      </c>
      <c r="N215" t="str">
        <f t="shared" si="3"/>
        <v>NA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36.889096000000002</v>
      </c>
    </row>
    <row r="216" spans="1:15">
      <c r="A216" s="10">
        <v>41767</v>
      </c>
      <c r="B216" s="7" t="s">
        <v>24</v>
      </c>
      <c r="C216">
        <v>37</v>
      </c>
      <c r="D216" t="s">
        <v>19</v>
      </c>
      <c r="F216">
        <v>2.87</v>
      </c>
      <c r="J216">
        <f>168+232+258+283+218+329</f>
        <v>1488</v>
      </c>
      <c r="K216">
        <v>6</v>
      </c>
      <c r="L216">
        <v>329</v>
      </c>
      <c r="N216" t="str">
        <f t="shared" si="3"/>
        <v>NA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31.300700999999997</v>
      </c>
    </row>
    <row r="217" spans="1:15">
      <c r="A217" s="10">
        <v>41767</v>
      </c>
      <c r="B217" s="7" t="s">
        <v>24</v>
      </c>
      <c r="C217">
        <v>37</v>
      </c>
      <c r="D217" t="s">
        <v>19</v>
      </c>
      <c r="F217">
        <v>3.9</v>
      </c>
      <c r="J217">
        <f>162+191+243+273+284+325+329</f>
        <v>1807</v>
      </c>
      <c r="K217">
        <v>7</v>
      </c>
      <c r="L217">
        <v>329</v>
      </c>
      <c r="N217" t="str">
        <f t="shared" si="3"/>
        <v>NA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54.18619300000001</v>
      </c>
    </row>
    <row r="218" spans="1:15">
      <c r="A218" s="10">
        <v>41767</v>
      </c>
      <c r="B218" s="7" t="s">
        <v>24</v>
      </c>
      <c r="C218">
        <v>37</v>
      </c>
      <c r="D218" t="s">
        <v>19</v>
      </c>
      <c r="F218">
        <v>1.89</v>
      </c>
      <c r="J218">
        <f>74+194+196+234+269+277</f>
        <v>1244</v>
      </c>
      <c r="K218">
        <v>6</v>
      </c>
      <c r="L218">
        <v>277</v>
      </c>
      <c r="N218" t="str">
        <f t="shared" si="3"/>
        <v>NA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24.089221000000016</v>
      </c>
    </row>
    <row r="219" spans="1:15">
      <c r="A219" s="10">
        <v>41767</v>
      </c>
      <c r="B219" s="7" t="s">
        <v>24</v>
      </c>
      <c r="C219">
        <v>37</v>
      </c>
      <c r="D219" t="s">
        <v>19</v>
      </c>
      <c r="F219">
        <v>2</v>
      </c>
      <c r="J219">
        <f>132+169+192+214+235+254</f>
        <v>1196</v>
      </c>
      <c r="K219">
        <v>6</v>
      </c>
      <c r="L219">
        <v>254</v>
      </c>
      <c r="N219" t="str">
        <f t="shared" si="3"/>
        <v>NA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26.517616000000011</v>
      </c>
    </row>
    <row r="220" spans="1:15">
      <c r="A220" s="10">
        <v>41767</v>
      </c>
      <c r="B220" s="7" t="s">
        <v>24</v>
      </c>
      <c r="C220">
        <v>37</v>
      </c>
      <c r="D220" t="s">
        <v>19</v>
      </c>
      <c r="F220">
        <v>1.67</v>
      </c>
      <c r="J220">
        <f>108+145+220+241+285</f>
        <v>999</v>
      </c>
      <c r="K220">
        <v>5</v>
      </c>
      <c r="L220">
        <v>285</v>
      </c>
      <c r="N220" t="str">
        <f t="shared" si="3"/>
        <v>NA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5.7316390000000155</v>
      </c>
    </row>
    <row r="221" spans="1:15">
      <c r="A221" s="10">
        <v>41767</v>
      </c>
      <c r="B221" s="7" t="s">
        <v>24</v>
      </c>
      <c r="C221">
        <v>37</v>
      </c>
      <c r="D221" t="s">
        <v>19</v>
      </c>
      <c r="F221">
        <v>1.08</v>
      </c>
      <c r="J221">
        <f>127+137+179+201</f>
        <v>644</v>
      </c>
      <c r="K221">
        <v>4</v>
      </c>
      <c r="L221">
        <v>201</v>
      </c>
      <c r="N221" t="str">
        <f t="shared" si="3"/>
        <v>NA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4.7755470000000031</v>
      </c>
    </row>
    <row r="222" spans="1:15">
      <c r="A222" s="10">
        <v>41767</v>
      </c>
      <c r="B222" s="7" t="s">
        <v>24</v>
      </c>
      <c r="C222">
        <v>37</v>
      </c>
      <c r="D222" t="s">
        <v>19</v>
      </c>
      <c r="F222">
        <v>0.97</v>
      </c>
      <c r="J222">
        <f>71+123+152</f>
        <v>346</v>
      </c>
      <c r="K222">
        <v>3</v>
      </c>
      <c r="L222">
        <v>152</v>
      </c>
      <c r="N222" t="str">
        <f t="shared" si="3"/>
        <v>NA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-1.3800850000000011</v>
      </c>
    </row>
    <row r="223" spans="1:15">
      <c r="A223" s="10">
        <v>41767</v>
      </c>
      <c r="B223" s="7" t="s">
        <v>24</v>
      </c>
      <c r="C223">
        <v>37</v>
      </c>
      <c r="D223" t="s">
        <v>19</v>
      </c>
      <c r="F223">
        <v>1.43</v>
      </c>
      <c r="J223">
        <f>147+215+275+283+328</f>
        <v>1248</v>
      </c>
      <c r="K223">
        <v>5</v>
      </c>
      <c r="L223">
        <v>328</v>
      </c>
      <c r="N223" t="str">
        <f t="shared" si="3"/>
        <v>NA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16.123099000000003</v>
      </c>
    </row>
    <row r="224" spans="1:15">
      <c r="A224" s="10">
        <v>41767</v>
      </c>
      <c r="B224" s="7" t="s">
        <v>24</v>
      </c>
      <c r="C224">
        <v>37</v>
      </c>
      <c r="D224" t="s">
        <v>19</v>
      </c>
      <c r="F224">
        <v>1.3</v>
      </c>
      <c r="J224">
        <f>174+205+234+243</f>
        <v>856</v>
      </c>
      <c r="K224">
        <v>4</v>
      </c>
      <c r="L224">
        <v>243</v>
      </c>
      <c r="N224" t="str">
        <f t="shared" si="3"/>
        <v>NA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11.999317000000012</v>
      </c>
    </row>
    <row r="225" spans="1:15">
      <c r="A225" s="10">
        <v>41767</v>
      </c>
      <c r="B225" s="7" t="s">
        <v>24</v>
      </c>
      <c r="C225">
        <v>37</v>
      </c>
      <c r="D225" t="s">
        <v>19</v>
      </c>
      <c r="F225">
        <v>1.39</v>
      </c>
      <c r="J225">
        <f>134+169+182+217+227+254</f>
        <v>1183</v>
      </c>
      <c r="K225">
        <v>6</v>
      </c>
      <c r="L225">
        <v>254</v>
      </c>
      <c r="N225" t="str">
        <f t="shared" si="3"/>
        <v>NA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25.298801000000005</v>
      </c>
    </row>
    <row r="226" spans="1:15">
      <c r="A226" s="10">
        <v>41767</v>
      </c>
      <c r="B226" s="7" t="s">
        <v>24</v>
      </c>
      <c r="C226">
        <v>38</v>
      </c>
      <c r="D226" t="s">
        <v>23</v>
      </c>
      <c r="F226">
        <v>5.54</v>
      </c>
      <c r="J226">
        <f>220+259+302+339+379+368+398+416+416+431</f>
        <v>3528</v>
      </c>
      <c r="K226">
        <v>10</v>
      </c>
      <c r="L226">
        <v>431</v>
      </c>
      <c r="N226" t="str">
        <f t="shared" si="3"/>
        <v>NA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163.74449900000005</v>
      </c>
    </row>
    <row r="227" spans="1:15">
      <c r="A227" s="10">
        <v>41767</v>
      </c>
      <c r="B227" s="7" t="s">
        <v>24</v>
      </c>
      <c r="C227">
        <v>38</v>
      </c>
      <c r="D227" t="s">
        <v>23</v>
      </c>
      <c r="F227">
        <v>7.89</v>
      </c>
      <c r="J227">
        <f>195+262+290+283+324+339+347+364</f>
        <v>2404</v>
      </c>
      <c r="K227">
        <v>8</v>
      </c>
      <c r="L227">
        <v>364</v>
      </c>
      <c r="N227" t="str">
        <f t="shared" si="3"/>
        <v>NA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92.592000000000013</v>
      </c>
    </row>
    <row r="228" spans="1:15">
      <c r="A228" s="10">
        <v>41767</v>
      </c>
      <c r="B228" s="7" t="s">
        <v>24</v>
      </c>
      <c r="C228">
        <v>38</v>
      </c>
      <c r="D228" t="s">
        <v>23</v>
      </c>
      <c r="F228">
        <v>2.48</v>
      </c>
      <c r="J228">
        <f>106+147+183+192+223+255+265</f>
        <v>1371</v>
      </c>
      <c r="K228">
        <v>7</v>
      </c>
      <c r="L228">
        <v>265</v>
      </c>
      <c r="N228" t="str">
        <f t="shared" si="3"/>
        <v>NA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32.588692999999999</v>
      </c>
    </row>
    <row r="229" spans="1:15">
      <c r="A229" s="10">
        <v>41767</v>
      </c>
      <c r="B229" s="7" t="s">
        <v>24</v>
      </c>
      <c r="C229">
        <v>38</v>
      </c>
      <c r="D229" t="s">
        <v>23</v>
      </c>
      <c r="F229">
        <v>5.45</v>
      </c>
      <c r="J229">
        <f>158+185+226+260+276+287+310+316+224+274</f>
        <v>2516</v>
      </c>
      <c r="K229">
        <v>10</v>
      </c>
      <c r="L229">
        <v>310</v>
      </c>
      <c r="N229" t="str">
        <f t="shared" si="3"/>
        <v>NA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105.31508400000004</v>
      </c>
    </row>
    <row r="230" spans="1:15">
      <c r="A230" s="10">
        <v>41767</v>
      </c>
      <c r="B230" s="7" t="s">
        <v>24</v>
      </c>
      <c r="C230">
        <v>38</v>
      </c>
      <c r="D230" t="s">
        <v>23</v>
      </c>
      <c r="F230">
        <v>2.4300000000000002</v>
      </c>
      <c r="J230">
        <f>187+138+194+208+238+243</f>
        <v>1208</v>
      </c>
      <c r="K230">
        <v>6</v>
      </c>
      <c r="L230">
        <v>243</v>
      </c>
      <c r="N230" t="str">
        <f t="shared" si="3"/>
        <v>NA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30.956371000000011</v>
      </c>
    </row>
    <row r="231" spans="1:15">
      <c r="A231" s="10">
        <v>41767</v>
      </c>
      <c r="B231" s="7" t="s">
        <v>24</v>
      </c>
      <c r="C231">
        <v>38</v>
      </c>
      <c r="D231" t="s">
        <v>19</v>
      </c>
      <c r="F231">
        <v>5.59</v>
      </c>
      <c r="J231">
        <f>47+177+191+217+242+259+266+295+302</f>
        <v>1996</v>
      </c>
      <c r="K231">
        <v>9</v>
      </c>
      <c r="L231">
        <v>302</v>
      </c>
      <c r="N231" t="str">
        <f t="shared" si="3"/>
        <v>NA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65.994797000000005</v>
      </c>
    </row>
    <row r="232" spans="1:15">
      <c r="A232" s="10">
        <v>41767</v>
      </c>
      <c r="B232" s="7" t="s">
        <v>24</v>
      </c>
      <c r="C232">
        <v>38</v>
      </c>
      <c r="D232" t="s">
        <v>19</v>
      </c>
      <c r="F232">
        <v>3.68</v>
      </c>
      <c r="J232">
        <f>148+200+252+274+283+306+293</f>
        <v>1756</v>
      </c>
      <c r="K232">
        <v>7</v>
      </c>
      <c r="L232">
        <v>306</v>
      </c>
      <c r="N232" t="str">
        <f t="shared" si="3"/>
        <v>NA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56.333323</v>
      </c>
    </row>
    <row r="233" spans="1:15">
      <c r="A233" s="10">
        <v>41767</v>
      </c>
      <c r="B233" s="7" t="s">
        <v>24</v>
      </c>
      <c r="C233">
        <v>38</v>
      </c>
      <c r="D233" t="s">
        <v>19</v>
      </c>
      <c r="F233">
        <v>1.19</v>
      </c>
      <c r="J233">
        <f>170+196+198+211</f>
        <v>775</v>
      </c>
      <c r="K233">
        <v>4</v>
      </c>
      <c r="L233">
        <v>211</v>
      </c>
      <c r="N233" t="str">
        <f t="shared" si="3"/>
        <v>NA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14.045002000000011</v>
      </c>
    </row>
    <row r="234" spans="1:15">
      <c r="A234" s="10">
        <v>41767</v>
      </c>
      <c r="B234" s="7" t="s">
        <v>24</v>
      </c>
      <c r="C234">
        <v>38</v>
      </c>
      <c r="D234" t="s">
        <v>19</v>
      </c>
      <c r="F234">
        <v>1.06</v>
      </c>
      <c r="J234">
        <f>82+181+218+234</f>
        <v>715</v>
      </c>
      <c r="K234">
        <v>4</v>
      </c>
      <c r="L234">
        <v>234</v>
      </c>
      <c r="N234" t="str">
        <f t="shared" si="3"/>
        <v>NA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1.4910670000000081</v>
      </c>
    </row>
    <row r="235" spans="1:15">
      <c r="A235" s="9">
        <v>41767</v>
      </c>
      <c r="B235" s="7" t="s">
        <v>26</v>
      </c>
      <c r="C235">
        <v>4</v>
      </c>
      <c r="D235" t="s">
        <v>25</v>
      </c>
      <c r="E235">
        <v>89</v>
      </c>
      <c r="F235">
        <v>1.03</v>
      </c>
      <c r="N235">
        <f t="shared" si="3"/>
        <v>24.719103496583333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1.6487480000000003</v>
      </c>
    </row>
    <row r="236" spans="1:15">
      <c r="A236" s="9">
        <v>41767</v>
      </c>
      <c r="B236" s="7" t="s">
        <v>26</v>
      </c>
      <c r="C236">
        <v>4</v>
      </c>
      <c r="D236" t="s">
        <v>25</v>
      </c>
      <c r="E236">
        <v>60</v>
      </c>
      <c r="F236">
        <v>0.56999999999999995</v>
      </c>
      <c r="N236">
        <f t="shared" si="3"/>
        <v>5.1035129549999985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-0.38429700000000011</v>
      </c>
    </row>
    <row r="237" spans="1:15">
      <c r="A237" s="9">
        <v>41767</v>
      </c>
      <c r="B237" s="7" t="s">
        <v>26</v>
      </c>
      <c r="C237">
        <v>4</v>
      </c>
      <c r="D237" t="s">
        <v>25</v>
      </c>
      <c r="E237">
        <v>105</v>
      </c>
      <c r="F237">
        <v>1.06</v>
      </c>
      <c r="N237">
        <f t="shared" si="3"/>
        <v>30.886542085000002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2.7704279999999999</v>
      </c>
    </row>
    <row r="238" spans="1:15">
      <c r="A238" s="9">
        <v>41767</v>
      </c>
      <c r="B238" s="7" t="s">
        <v>26</v>
      </c>
      <c r="C238">
        <v>4</v>
      </c>
      <c r="D238" t="s">
        <v>25</v>
      </c>
      <c r="E238">
        <v>82</v>
      </c>
      <c r="F238">
        <v>0.86</v>
      </c>
      <c r="N238">
        <f t="shared" si="3"/>
        <v>15.877386420666662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1.1580130000000004</v>
      </c>
    </row>
    <row r="239" spans="1:15">
      <c r="A239" s="9">
        <v>41767</v>
      </c>
      <c r="B239" s="7" t="s">
        <v>26</v>
      </c>
      <c r="C239">
        <v>4</v>
      </c>
      <c r="D239" t="s">
        <v>25</v>
      </c>
      <c r="E239">
        <v>36</v>
      </c>
      <c r="F239">
        <v>0.31</v>
      </c>
      <c r="N239">
        <f t="shared" si="3"/>
        <v>0.90572039699999995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-2.0668169999999999</v>
      </c>
    </row>
    <row r="240" spans="1:15">
      <c r="A240" s="9">
        <v>41767</v>
      </c>
      <c r="B240" s="7" t="s">
        <v>26</v>
      </c>
      <c r="C240">
        <v>4</v>
      </c>
      <c r="D240" t="s">
        <v>25</v>
      </c>
      <c r="E240">
        <v>60</v>
      </c>
      <c r="F240">
        <v>2.1</v>
      </c>
      <c r="N240">
        <f t="shared" si="3"/>
        <v>69.272059499999997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-0.38429700000000011</v>
      </c>
    </row>
    <row r="241" spans="1:15">
      <c r="A241" s="9">
        <v>41767</v>
      </c>
      <c r="B241" s="7" t="s">
        <v>26</v>
      </c>
      <c r="C241">
        <v>4</v>
      </c>
      <c r="D241" t="s">
        <v>25</v>
      </c>
      <c r="E241">
        <v>171</v>
      </c>
      <c r="F241">
        <v>1.96</v>
      </c>
      <c r="N241">
        <f t="shared" si="3"/>
        <v>171.97943305199996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7.3973579999999997</v>
      </c>
    </row>
    <row r="242" spans="1:15">
      <c r="A242" s="9">
        <v>41767</v>
      </c>
      <c r="B242" s="7" t="s">
        <v>26</v>
      </c>
      <c r="C242">
        <v>4</v>
      </c>
      <c r="D242" t="s">
        <v>25</v>
      </c>
      <c r="E242">
        <v>75</v>
      </c>
      <c r="F242">
        <v>0.74</v>
      </c>
      <c r="N242">
        <f t="shared" si="3"/>
        <v>10.752091774999998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0.66727800000000048</v>
      </c>
    </row>
    <row r="243" spans="1:15">
      <c r="A243" s="9">
        <v>41767</v>
      </c>
      <c r="B243" s="7" t="s">
        <v>26</v>
      </c>
      <c r="C243">
        <v>4</v>
      </c>
      <c r="D243" t="s">
        <v>25</v>
      </c>
      <c r="E243">
        <v>114</v>
      </c>
      <c r="F243">
        <v>1.42</v>
      </c>
      <c r="N243">
        <f t="shared" si="3"/>
        <v>60.179669722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3.4013730000000004</v>
      </c>
    </row>
    <row r="244" spans="1:15">
      <c r="A244" s="9">
        <v>41767</v>
      </c>
      <c r="B244" s="7" t="s">
        <v>26</v>
      </c>
      <c r="C244">
        <v>4</v>
      </c>
      <c r="D244" t="s">
        <v>25</v>
      </c>
      <c r="E244">
        <v>134</v>
      </c>
      <c r="F244">
        <v>1.47</v>
      </c>
      <c r="N244">
        <f t="shared" si="3"/>
        <v>75.806723779499976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4.8034729999999994</v>
      </c>
    </row>
    <row r="245" spans="1:15">
      <c r="A245" s="9">
        <v>41767</v>
      </c>
      <c r="B245" s="7" t="s">
        <v>26</v>
      </c>
      <c r="C245">
        <v>4</v>
      </c>
      <c r="D245" t="s">
        <v>25</v>
      </c>
      <c r="E245">
        <v>142</v>
      </c>
      <c r="F245">
        <v>1.21</v>
      </c>
      <c r="N245">
        <f t="shared" si="3"/>
        <v>54.428622708166657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5.3643130000000001</v>
      </c>
    </row>
    <row r="246" spans="1:15">
      <c r="A246" s="9">
        <v>41767</v>
      </c>
      <c r="B246" s="7" t="s">
        <v>26</v>
      </c>
      <c r="C246">
        <v>4</v>
      </c>
      <c r="D246" t="s">
        <v>25</v>
      </c>
      <c r="E246">
        <v>149</v>
      </c>
      <c r="F246">
        <v>1.29</v>
      </c>
      <c r="N246">
        <f t="shared" si="3"/>
        <v>64.913338994249997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5.8550480000000009</v>
      </c>
    </row>
    <row r="247" spans="1:15">
      <c r="A247" s="9">
        <v>41767</v>
      </c>
      <c r="B247" s="7" t="s">
        <v>26</v>
      </c>
      <c r="C247">
        <v>4</v>
      </c>
      <c r="D247" t="s">
        <v>25</v>
      </c>
      <c r="E247">
        <v>48</v>
      </c>
      <c r="F247">
        <v>2.68</v>
      </c>
      <c r="N247">
        <f t="shared" si="3"/>
        <v>90.256624063999993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-1.2255569999999998</v>
      </c>
    </row>
    <row r="248" spans="1:15">
      <c r="A248" s="9">
        <v>41767</v>
      </c>
      <c r="B248" s="7" t="s">
        <v>26</v>
      </c>
      <c r="C248">
        <v>9</v>
      </c>
      <c r="D248" t="s">
        <v>25</v>
      </c>
      <c r="E248">
        <v>81</v>
      </c>
      <c r="F248">
        <v>1.23</v>
      </c>
      <c r="N248">
        <f t="shared" si="3"/>
        <v>32.082152699249995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1.0879080000000005</v>
      </c>
    </row>
    <row r="249" spans="1:15">
      <c r="A249" s="9">
        <v>41767</v>
      </c>
      <c r="B249" s="7" t="s">
        <v>26</v>
      </c>
      <c r="C249">
        <v>9</v>
      </c>
      <c r="D249" t="s">
        <v>25</v>
      </c>
      <c r="E249">
        <v>97</v>
      </c>
      <c r="F249">
        <v>1.03</v>
      </c>
      <c r="G249">
        <v>8</v>
      </c>
      <c r="N249">
        <f t="shared" si="3"/>
        <v>26.941045383916666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3.9296770514720096</v>
      </c>
    </row>
    <row r="250" spans="1:15">
      <c r="A250" s="9">
        <v>41767</v>
      </c>
      <c r="B250" s="7" t="s">
        <v>26</v>
      </c>
      <c r="C250">
        <v>9</v>
      </c>
      <c r="D250" t="s">
        <v>25</v>
      </c>
      <c r="E250">
        <v>120</v>
      </c>
      <c r="F250">
        <v>1.34</v>
      </c>
      <c r="G250">
        <v>7</v>
      </c>
      <c r="N250">
        <f t="shared" si="3"/>
        <v>56.410390040000003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6.192644835166961</v>
      </c>
    </row>
    <row r="251" spans="1:15">
      <c r="A251" s="9">
        <v>41767</v>
      </c>
      <c r="B251" s="7" t="s">
        <v>26</v>
      </c>
      <c r="C251">
        <v>9</v>
      </c>
      <c r="D251" t="s">
        <v>25</v>
      </c>
      <c r="E251">
        <v>117</v>
      </c>
      <c r="F251">
        <v>0.11</v>
      </c>
      <c r="G251">
        <v>11</v>
      </c>
      <c r="N251">
        <f t="shared" si="3"/>
        <v>0.37062908024999996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2.8871268615743384</v>
      </c>
    </row>
    <row r="252" spans="1:15">
      <c r="A252" s="9">
        <v>41767</v>
      </c>
      <c r="B252" s="7" t="s">
        <v>26</v>
      </c>
      <c r="C252">
        <v>9</v>
      </c>
      <c r="D252" t="s">
        <v>25</v>
      </c>
      <c r="E252">
        <v>234</v>
      </c>
      <c r="F252">
        <v>2.12</v>
      </c>
      <c r="G252">
        <v>1</v>
      </c>
      <c r="N252">
        <f t="shared" si="3"/>
        <v>275.33146087200004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21.610969074331731</v>
      </c>
    </row>
    <row r="253" spans="1:15">
      <c r="A253" s="9">
        <v>41767</v>
      </c>
      <c r="B253" s="7" t="s">
        <v>26</v>
      </c>
      <c r="C253">
        <v>9</v>
      </c>
      <c r="D253" t="s">
        <v>25</v>
      </c>
      <c r="E253">
        <v>95</v>
      </c>
      <c r="F253">
        <v>1.44</v>
      </c>
      <c r="N253">
        <f t="shared" si="3"/>
        <v>51.572341439999988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2.0693780000000004</v>
      </c>
    </row>
    <row r="254" spans="1:15">
      <c r="A254" s="9">
        <v>41767</v>
      </c>
      <c r="B254" s="7" t="s">
        <v>26</v>
      </c>
      <c r="C254">
        <v>9</v>
      </c>
      <c r="D254" t="s">
        <v>25</v>
      </c>
      <c r="E254">
        <v>100</v>
      </c>
      <c r="F254">
        <v>0.75</v>
      </c>
      <c r="N254">
        <f t="shared" si="3"/>
        <v>14.726203124999998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2.4199030000000006</v>
      </c>
    </row>
    <row r="255" spans="1:15">
      <c r="A255" s="9">
        <v>41767</v>
      </c>
      <c r="B255" s="7" t="s">
        <v>26</v>
      </c>
      <c r="C255">
        <v>9</v>
      </c>
      <c r="D255" t="s">
        <v>25</v>
      </c>
      <c r="E255">
        <v>143</v>
      </c>
      <c r="F255">
        <v>1.51</v>
      </c>
      <c r="N255">
        <f t="shared" si="3"/>
        <v>85.360744028083332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5.434418</v>
      </c>
    </row>
    <row r="256" spans="1:15">
      <c r="A256" s="9">
        <v>41767</v>
      </c>
      <c r="B256" s="7" t="s">
        <v>26</v>
      </c>
      <c r="C256">
        <v>9</v>
      </c>
      <c r="D256" t="s">
        <v>25</v>
      </c>
      <c r="E256">
        <v>51</v>
      </c>
      <c r="F256">
        <v>0.53</v>
      </c>
      <c r="N256">
        <f t="shared" si="3"/>
        <v>3.7505086817500004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-1.0152419999999998</v>
      </c>
    </row>
    <row r="257" spans="1:15">
      <c r="A257" s="9">
        <v>41767</v>
      </c>
      <c r="B257" s="7" t="s">
        <v>26</v>
      </c>
      <c r="C257">
        <v>9</v>
      </c>
      <c r="D257" t="s">
        <v>25</v>
      </c>
      <c r="E257">
        <v>155</v>
      </c>
      <c r="F257">
        <v>0.6</v>
      </c>
      <c r="G257">
        <v>5</v>
      </c>
      <c r="N257">
        <f t="shared" si="3"/>
        <v>14.608393499999998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4.6390324867190005</v>
      </c>
    </row>
    <row r="258" spans="1:15">
      <c r="A258" s="9">
        <v>41767</v>
      </c>
      <c r="B258" s="7" t="s">
        <v>26</v>
      </c>
      <c r="C258">
        <v>9</v>
      </c>
      <c r="D258" t="s">
        <v>25</v>
      </c>
      <c r="E258">
        <v>32</v>
      </c>
      <c r="F258">
        <v>0.38</v>
      </c>
      <c r="N258">
        <f t="shared" si="3"/>
        <v>1.2097215893333333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-2.3472369999999998</v>
      </c>
    </row>
    <row r="259" spans="1:15">
      <c r="A259" s="9">
        <v>41767</v>
      </c>
      <c r="B259" s="7" t="s">
        <v>26</v>
      </c>
      <c r="C259">
        <v>9</v>
      </c>
      <c r="D259" t="s">
        <v>25</v>
      </c>
      <c r="E259">
        <v>177</v>
      </c>
      <c r="F259">
        <v>1.1599999999999999</v>
      </c>
      <c r="G259">
        <v>9</v>
      </c>
      <c r="N259">
        <f t="shared" si="3"/>
        <v>62.353021683999984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7.9315153726030161</v>
      </c>
    </row>
    <row r="260" spans="1:15">
      <c r="A260" s="9">
        <v>41767</v>
      </c>
      <c r="B260" s="7" t="s">
        <v>26</v>
      </c>
      <c r="C260">
        <v>9</v>
      </c>
      <c r="D260" t="s">
        <v>23</v>
      </c>
      <c r="F260">
        <v>2.62</v>
      </c>
      <c r="J260">
        <f>87+112+121+145+152+170+173</f>
        <v>960</v>
      </c>
      <c r="K260">
        <v>7</v>
      </c>
      <c r="L260">
        <v>173</v>
      </c>
      <c r="N260" t="str">
        <f t="shared" ref="N260:N323" si="4">IF(OR(D260="S. acutus", D260="S. tabernaemontani", D260="S. californicus"),(1/3)*(3.14159)*((F260/2)^2)*E260,"NA")</f>
        <v>NA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21.769928000000007</v>
      </c>
    </row>
    <row r="261" spans="1:15">
      <c r="A261" s="9">
        <v>41767</v>
      </c>
      <c r="B261" s="7" t="s">
        <v>26</v>
      </c>
      <c r="C261">
        <v>9</v>
      </c>
      <c r="D261" t="s">
        <v>19</v>
      </c>
      <c r="F261">
        <v>1.4</v>
      </c>
      <c r="J261">
        <f>35+40+59+64</f>
        <v>198</v>
      </c>
      <c r="K261">
        <v>4</v>
      </c>
      <c r="L261">
        <v>64</v>
      </c>
      <c r="N261" t="str">
        <f t="shared" si="4"/>
        <v>NA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4.231382</v>
      </c>
    </row>
    <row r="262" spans="1:15">
      <c r="A262" s="9">
        <v>41767</v>
      </c>
      <c r="B262" s="7" t="s">
        <v>26</v>
      </c>
      <c r="C262">
        <v>9</v>
      </c>
      <c r="D262" t="s">
        <v>19</v>
      </c>
      <c r="F262">
        <v>1.0900000000000001</v>
      </c>
      <c r="J262">
        <f>49+53+68+72</f>
        <v>242</v>
      </c>
      <c r="K262">
        <v>4</v>
      </c>
      <c r="L262">
        <v>72</v>
      </c>
      <c r="N262" t="str">
        <f t="shared" si="4"/>
        <v>NA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5.9466420000000006</v>
      </c>
    </row>
    <row r="263" spans="1:15">
      <c r="A263" s="10">
        <v>41767</v>
      </c>
      <c r="B263" s="7" t="s">
        <v>26</v>
      </c>
      <c r="C263">
        <v>22</v>
      </c>
      <c r="D263" t="s">
        <v>20</v>
      </c>
      <c r="E263">
        <v>25</v>
      </c>
      <c r="F263">
        <v>0.56000000000000005</v>
      </c>
      <c r="N263">
        <f t="shared" si="4"/>
        <v>2.0525054666666667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-2.8379719999999997</v>
      </c>
    </row>
    <row r="264" spans="1:15">
      <c r="A264" s="10">
        <v>41767</v>
      </c>
      <c r="B264" s="7" t="s">
        <v>26</v>
      </c>
      <c r="C264">
        <v>22</v>
      </c>
      <c r="D264" t="s">
        <v>20</v>
      </c>
      <c r="E264">
        <v>97</v>
      </c>
      <c r="F264">
        <v>1.02</v>
      </c>
      <c r="N264">
        <f t="shared" si="4"/>
        <v>26.420457740999996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2.2095880000000001</v>
      </c>
    </row>
    <row r="265" spans="1:15">
      <c r="A265" s="10">
        <v>41767</v>
      </c>
      <c r="B265" s="7" t="s">
        <v>26</v>
      </c>
      <c r="C265">
        <v>22</v>
      </c>
      <c r="D265" t="s">
        <v>20</v>
      </c>
      <c r="E265">
        <v>126</v>
      </c>
      <c r="F265">
        <v>1.07</v>
      </c>
      <c r="N265">
        <f t="shared" si="4"/>
        <v>37.766467105499991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4.2426330000000005</v>
      </c>
    </row>
    <row r="266" spans="1:15">
      <c r="A266" s="10">
        <v>41767</v>
      </c>
      <c r="B266" s="7" t="s">
        <v>26</v>
      </c>
      <c r="C266">
        <v>22</v>
      </c>
      <c r="D266" t="s">
        <v>20</v>
      </c>
      <c r="E266">
        <v>101</v>
      </c>
      <c r="F266">
        <v>1.05</v>
      </c>
      <c r="N266">
        <f t="shared" si="4"/>
        <v>29.151991706249998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2.4900080000000004</v>
      </c>
    </row>
    <row r="267" spans="1:15">
      <c r="A267" s="10">
        <v>41767</v>
      </c>
      <c r="B267" s="7" t="s">
        <v>26</v>
      </c>
      <c r="C267">
        <v>22</v>
      </c>
      <c r="D267" t="s">
        <v>20</v>
      </c>
      <c r="E267">
        <v>38</v>
      </c>
      <c r="F267">
        <v>0.15</v>
      </c>
      <c r="N267">
        <f t="shared" si="4"/>
        <v>0.22383828749999998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-1.9266069999999997</v>
      </c>
    </row>
    <row r="268" spans="1:15">
      <c r="A268" s="10">
        <v>41767</v>
      </c>
      <c r="B268" s="7" t="s">
        <v>26</v>
      </c>
      <c r="C268">
        <v>22</v>
      </c>
      <c r="D268" t="s">
        <v>20</v>
      </c>
      <c r="E268">
        <v>41</v>
      </c>
      <c r="F268">
        <v>0.87</v>
      </c>
      <c r="N268">
        <f t="shared" si="4"/>
        <v>8.1243873592499991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-1.7162919999999997</v>
      </c>
    </row>
    <row r="269" spans="1:15">
      <c r="A269" s="10">
        <v>41767</v>
      </c>
      <c r="B269" s="7" t="s">
        <v>26</v>
      </c>
      <c r="C269">
        <v>22</v>
      </c>
      <c r="D269" t="s">
        <v>20</v>
      </c>
      <c r="E269">
        <v>49</v>
      </c>
      <c r="F269">
        <v>0.81</v>
      </c>
      <c r="N269">
        <f t="shared" si="4"/>
        <v>8.416555229250001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-1.1554519999999999</v>
      </c>
    </row>
    <row r="270" spans="1:15">
      <c r="A270" s="10">
        <v>41767</v>
      </c>
      <c r="B270" s="7" t="s">
        <v>26</v>
      </c>
      <c r="C270">
        <v>22</v>
      </c>
      <c r="D270" t="s">
        <v>20</v>
      </c>
      <c r="E270">
        <v>36</v>
      </c>
      <c r="F270">
        <v>0.62</v>
      </c>
      <c r="N270">
        <f t="shared" si="4"/>
        <v>3.6228815879999998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-2.0668169999999999</v>
      </c>
    </row>
    <row r="271" spans="1:15">
      <c r="A271" s="10">
        <v>41767</v>
      </c>
      <c r="B271" s="7" t="s">
        <v>26</v>
      </c>
      <c r="C271">
        <v>22</v>
      </c>
      <c r="D271" t="s">
        <v>20</v>
      </c>
      <c r="E271">
        <v>100</v>
      </c>
      <c r="F271">
        <v>1.22</v>
      </c>
      <c r="N271">
        <f t="shared" si="4"/>
        <v>38.966187966666659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2.4199030000000006</v>
      </c>
    </row>
    <row r="272" spans="1:15">
      <c r="A272" s="10">
        <v>41767</v>
      </c>
      <c r="B272" s="7" t="s">
        <v>26</v>
      </c>
      <c r="C272">
        <v>22</v>
      </c>
      <c r="D272" t="s">
        <v>20</v>
      </c>
      <c r="E272">
        <v>119</v>
      </c>
      <c r="F272">
        <v>0.88</v>
      </c>
      <c r="N272">
        <f t="shared" si="4"/>
        <v>24.125735685333328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3.7518979999999997</v>
      </c>
    </row>
    <row r="273" spans="1:15">
      <c r="A273" s="10">
        <v>41767</v>
      </c>
      <c r="B273" s="7" t="s">
        <v>26</v>
      </c>
      <c r="C273">
        <v>22</v>
      </c>
      <c r="D273" t="s">
        <v>20</v>
      </c>
      <c r="E273">
        <v>75</v>
      </c>
      <c r="F273">
        <v>0.7</v>
      </c>
      <c r="N273">
        <f t="shared" si="4"/>
        <v>9.6211193749999975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0.66727800000000048</v>
      </c>
    </row>
    <row r="274" spans="1:15">
      <c r="A274" s="10">
        <v>41767</v>
      </c>
      <c r="B274" s="7" t="s">
        <v>26</v>
      </c>
      <c r="C274">
        <v>22</v>
      </c>
      <c r="D274" t="s">
        <v>20</v>
      </c>
      <c r="E274">
        <v>167</v>
      </c>
      <c r="F274">
        <v>0.39</v>
      </c>
      <c r="N274">
        <f t="shared" si="4"/>
        <v>6.6498820927499995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7.1169380000000002</v>
      </c>
    </row>
    <row r="275" spans="1:15">
      <c r="A275" s="10">
        <v>41767</v>
      </c>
      <c r="B275" s="7" t="s">
        <v>26</v>
      </c>
      <c r="C275">
        <v>22</v>
      </c>
      <c r="D275" t="s">
        <v>20</v>
      </c>
      <c r="E275">
        <v>75</v>
      </c>
      <c r="F275">
        <v>0.78</v>
      </c>
      <c r="N275">
        <f t="shared" si="4"/>
        <v>11.945895974999999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0.66727800000000048</v>
      </c>
    </row>
    <row r="276" spans="1:15">
      <c r="A276" s="10">
        <v>41767</v>
      </c>
      <c r="B276" s="7" t="s">
        <v>26</v>
      </c>
      <c r="C276">
        <v>22</v>
      </c>
      <c r="D276" t="s">
        <v>20</v>
      </c>
      <c r="E276">
        <v>200</v>
      </c>
      <c r="F276">
        <v>1.45</v>
      </c>
      <c r="N276">
        <f t="shared" si="4"/>
        <v>110.08654958333332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9.4304030000000019</v>
      </c>
    </row>
    <row r="277" spans="1:15">
      <c r="A277" s="10">
        <v>41767</v>
      </c>
      <c r="B277" s="7" t="s">
        <v>26</v>
      </c>
      <c r="C277">
        <v>22</v>
      </c>
      <c r="D277" t="s">
        <v>20</v>
      </c>
      <c r="E277">
        <v>136</v>
      </c>
      <c r="F277">
        <v>0.88</v>
      </c>
      <c r="N277">
        <f t="shared" si="4"/>
        <v>27.572269354666663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4.9436830000000009</v>
      </c>
    </row>
    <row r="278" spans="1:15">
      <c r="A278" s="10">
        <v>41767</v>
      </c>
      <c r="B278" s="7" t="s">
        <v>26</v>
      </c>
      <c r="C278">
        <v>22</v>
      </c>
      <c r="D278" t="s">
        <v>20</v>
      </c>
      <c r="E278">
        <v>135</v>
      </c>
      <c r="F278">
        <v>1.1100000000000001</v>
      </c>
      <c r="N278">
        <f t="shared" si="4"/>
        <v>43.545971688750001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4.8735780000000011</v>
      </c>
    </row>
    <row r="279" spans="1:15">
      <c r="A279" s="10">
        <v>41767</v>
      </c>
      <c r="B279" s="7" t="s">
        <v>26</v>
      </c>
      <c r="C279">
        <v>22</v>
      </c>
      <c r="D279" t="s">
        <v>19</v>
      </c>
      <c r="F279">
        <v>1.48</v>
      </c>
      <c r="J279">
        <f>96+134+137+155</f>
        <v>522</v>
      </c>
      <c r="K279">
        <v>4</v>
      </c>
      <c r="L279">
        <v>155</v>
      </c>
      <c r="N279" t="str">
        <f t="shared" si="4"/>
        <v>NA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7.1947070000000046</v>
      </c>
    </row>
    <row r="280" spans="1:15">
      <c r="A280" s="10">
        <v>41767</v>
      </c>
      <c r="B280" s="7" t="s">
        <v>26</v>
      </c>
      <c r="C280">
        <v>22</v>
      </c>
      <c r="D280" t="s">
        <v>19</v>
      </c>
      <c r="F280">
        <v>1.65</v>
      </c>
      <c r="J280">
        <f>82+133+136+174+181</f>
        <v>706</v>
      </c>
      <c r="K280">
        <v>5</v>
      </c>
      <c r="L280">
        <v>181</v>
      </c>
      <c r="N280" t="str">
        <f t="shared" si="4"/>
        <v>NA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9.5909040000000019</v>
      </c>
    </row>
    <row r="281" spans="1:15">
      <c r="A281" s="10">
        <v>41767</v>
      </c>
      <c r="B281" s="7" t="s">
        <v>26</v>
      </c>
      <c r="C281">
        <v>22</v>
      </c>
      <c r="D281" t="s">
        <v>19</v>
      </c>
      <c r="F281">
        <v>1.74</v>
      </c>
      <c r="J281">
        <f>61+97+110+110</f>
        <v>378</v>
      </c>
      <c r="K281">
        <v>4</v>
      </c>
      <c r="L281">
        <v>110</v>
      </c>
      <c r="N281" t="str">
        <f t="shared" si="4"/>
        <v>NA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7.2500120000000017</v>
      </c>
    </row>
    <row r="282" spans="1:15">
      <c r="A282" s="10">
        <v>41767</v>
      </c>
      <c r="B282" s="7" t="s">
        <v>26</v>
      </c>
      <c r="C282">
        <v>22</v>
      </c>
      <c r="D282" t="s">
        <v>19</v>
      </c>
      <c r="F282">
        <v>2.4300000000000002</v>
      </c>
      <c r="J282">
        <f>103+124+147+160+169+186</f>
        <v>889</v>
      </c>
      <c r="K282">
        <v>6</v>
      </c>
      <c r="L282">
        <v>186</v>
      </c>
      <c r="N282" t="str">
        <f t="shared" si="4"/>
        <v>NA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18.219491000000005</v>
      </c>
    </row>
    <row r="283" spans="1:15">
      <c r="A283" s="10">
        <v>41767</v>
      </c>
      <c r="B283" s="7" t="s">
        <v>26</v>
      </c>
      <c r="C283">
        <v>22</v>
      </c>
      <c r="D283" t="s">
        <v>19</v>
      </c>
      <c r="F283">
        <v>0.87</v>
      </c>
      <c r="J283">
        <f>42+63+65+88</f>
        <v>258</v>
      </c>
      <c r="K283">
        <v>4</v>
      </c>
      <c r="L283">
        <v>88</v>
      </c>
      <c r="N283" t="str">
        <f t="shared" si="4"/>
        <v>NA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2.6268019999999979</v>
      </c>
    </row>
    <row r="284" spans="1:15">
      <c r="A284" s="10">
        <v>41767</v>
      </c>
      <c r="B284" s="7" t="s">
        <v>26</v>
      </c>
      <c r="C284">
        <v>23</v>
      </c>
      <c r="D284" t="s">
        <v>20</v>
      </c>
      <c r="E284">
        <v>46</v>
      </c>
      <c r="F284">
        <v>0.68</v>
      </c>
      <c r="N284">
        <f t="shared" si="4"/>
        <v>5.5685729946666669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-1.365767</v>
      </c>
    </row>
    <row r="285" spans="1:15">
      <c r="A285" s="10">
        <v>41767</v>
      </c>
      <c r="B285" s="7" t="s">
        <v>26</v>
      </c>
      <c r="C285">
        <v>23</v>
      </c>
      <c r="D285" t="s">
        <v>20</v>
      </c>
      <c r="E285">
        <v>161</v>
      </c>
      <c r="F285">
        <v>1.28</v>
      </c>
      <c r="N285">
        <f t="shared" si="4"/>
        <v>69.058012501333337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6.696308000000001</v>
      </c>
    </row>
    <row r="286" spans="1:15">
      <c r="A286" s="10">
        <v>41767</v>
      </c>
      <c r="B286" s="7" t="s">
        <v>26</v>
      </c>
      <c r="C286">
        <v>23</v>
      </c>
      <c r="D286" t="s">
        <v>19</v>
      </c>
      <c r="F286">
        <v>2.54</v>
      </c>
      <c r="J286">
        <f>95+113+120+125+156+131+151</f>
        <v>891</v>
      </c>
      <c r="K286">
        <v>7</v>
      </c>
      <c r="L286">
        <v>156</v>
      </c>
      <c r="N286" t="str">
        <f t="shared" si="4"/>
        <v>NA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20.421998000000009</v>
      </c>
    </row>
    <row r="287" spans="1:15">
      <c r="A287" s="10">
        <v>41767</v>
      </c>
      <c r="B287" s="7" t="s">
        <v>26</v>
      </c>
      <c r="C287">
        <v>23</v>
      </c>
      <c r="D287" t="s">
        <v>19</v>
      </c>
      <c r="F287">
        <v>0.7</v>
      </c>
      <c r="J287">
        <f>28+31+57+59+74</f>
        <v>249</v>
      </c>
      <c r="K287">
        <v>5</v>
      </c>
      <c r="L287">
        <v>74</v>
      </c>
      <c r="N287" t="str">
        <f t="shared" si="4"/>
        <v>NA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-1.0219159999999974</v>
      </c>
    </row>
    <row r="288" spans="1:15">
      <c r="A288" s="10">
        <v>41767</v>
      </c>
      <c r="B288" s="7" t="s">
        <v>26</v>
      </c>
      <c r="C288">
        <v>37</v>
      </c>
      <c r="D288" t="s">
        <v>23</v>
      </c>
      <c r="F288">
        <v>2.16</v>
      </c>
      <c r="J288">
        <f>39+71+109+108+132+139+159</f>
        <v>757</v>
      </c>
      <c r="K288">
        <v>7</v>
      </c>
      <c r="L288">
        <v>159</v>
      </c>
      <c r="N288" t="str">
        <f t="shared" si="4"/>
        <v>NA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6.9550930000000122</v>
      </c>
    </row>
    <row r="289" spans="1:15">
      <c r="A289" s="10">
        <v>41767</v>
      </c>
      <c r="B289" s="7" t="s">
        <v>26</v>
      </c>
      <c r="C289">
        <v>37</v>
      </c>
      <c r="D289" t="s">
        <v>19</v>
      </c>
      <c r="F289">
        <v>1.5</v>
      </c>
      <c r="J289">
        <f>49+60+106+155</f>
        <v>370</v>
      </c>
      <c r="K289">
        <v>4</v>
      </c>
      <c r="L289">
        <v>155</v>
      </c>
      <c r="N289" t="str">
        <f t="shared" si="4"/>
        <v>NA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-7.0560529999999986</v>
      </c>
    </row>
    <row r="290" spans="1:15">
      <c r="A290" s="10">
        <v>41767</v>
      </c>
      <c r="B290" s="7" t="s">
        <v>26</v>
      </c>
      <c r="C290">
        <v>37</v>
      </c>
      <c r="D290" t="s">
        <v>19</v>
      </c>
      <c r="F290">
        <v>1.17</v>
      </c>
      <c r="J290">
        <f>49+53+55+85</f>
        <v>242</v>
      </c>
      <c r="K290">
        <v>4</v>
      </c>
      <c r="L290">
        <v>85</v>
      </c>
      <c r="N290" t="str">
        <f t="shared" si="4"/>
        <v>NA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2.0304569999999984</v>
      </c>
    </row>
    <row r="291" spans="1:15">
      <c r="A291" s="10">
        <v>41767</v>
      </c>
      <c r="B291" s="7" t="s">
        <v>26</v>
      </c>
      <c r="C291">
        <v>37</v>
      </c>
      <c r="D291" t="s">
        <v>19</v>
      </c>
      <c r="F291">
        <v>2.31</v>
      </c>
      <c r="J291">
        <f>106+192+130+135+169+170</f>
        <v>902</v>
      </c>
      <c r="K291">
        <v>6</v>
      </c>
      <c r="L291">
        <v>192</v>
      </c>
      <c r="N291" t="str">
        <f t="shared" si="4"/>
        <v>NA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17.630836000000009</v>
      </c>
    </row>
    <row r="292" spans="1:15">
      <c r="A292" s="10">
        <v>41767</v>
      </c>
      <c r="B292" s="7" t="s">
        <v>26</v>
      </c>
      <c r="C292">
        <v>37</v>
      </c>
      <c r="D292" t="s">
        <v>19</v>
      </c>
      <c r="F292">
        <v>1.8</v>
      </c>
      <c r="J292">
        <f>104+120+138+169+172</f>
        <v>703</v>
      </c>
      <c r="K292">
        <v>5</v>
      </c>
      <c r="L292">
        <v>172</v>
      </c>
      <c r="N292" t="str">
        <f t="shared" si="4"/>
        <v>NA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12.020844000000011</v>
      </c>
    </row>
    <row r="293" spans="1:15">
      <c r="A293" s="10">
        <v>41767</v>
      </c>
      <c r="B293" s="7" t="s">
        <v>26</v>
      </c>
      <c r="C293">
        <v>37</v>
      </c>
      <c r="D293" t="s">
        <v>19</v>
      </c>
      <c r="F293">
        <v>2.2400000000000002</v>
      </c>
      <c r="J293">
        <f>36+71+98+122+126+145+147</f>
        <v>745</v>
      </c>
      <c r="K293">
        <v>7</v>
      </c>
      <c r="L293">
        <v>147</v>
      </c>
      <c r="N293" t="str">
        <f t="shared" si="4"/>
        <v>NA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9.4449730000000045</v>
      </c>
    </row>
    <row r="294" spans="1:15">
      <c r="A294" s="10">
        <v>41767</v>
      </c>
      <c r="B294" s="7" t="s">
        <v>26</v>
      </c>
      <c r="C294">
        <v>37</v>
      </c>
      <c r="D294" t="s">
        <v>19</v>
      </c>
      <c r="F294">
        <v>1.77</v>
      </c>
      <c r="J294">
        <f>108+124+160+162+113+127+149+152</f>
        <v>1095</v>
      </c>
      <c r="K294">
        <v>8</v>
      </c>
      <c r="L294">
        <v>162</v>
      </c>
      <c r="N294" t="str">
        <f t="shared" si="4"/>
        <v>NA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30.718195000000001</v>
      </c>
    </row>
    <row r="295" spans="1:15">
      <c r="A295" s="10">
        <v>41767</v>
      </c>
      <c r="B295" s="7" t="s">
        <v>26</v>
      </c>
      <c r="C295">
        <v>37</v>
      </c>
      <c r="D295" t="s">
        <v>19</v>
      </c>
      <c r="F295">
        <v>1.63</v>
      </c>
      <c r="J295">
        <f>72+76+92+98</f>
        <v>338</v>
      </c>
      <c r="K295">
        <v>4</v>
      </c>
      <c r="L295">
        <v>98</v>
      </c>
      <c r="N295" t="str">
        <f t="shared" si="4"/>
        <v>NA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7.1147519999999993</v>
      </c>
    </row>
    <row r="296" spans="1:15">
      <c r="A296" s="10">
        <v>41767</v>
      </c>
      <c r="B296" s="7" t="s">
        <v>26</v>
      </c>
      <c r="C296">
        <v>37</v>
      </c>
      <c r="D296" t="s">
        <v>19</v>
      </c>
      <c r="F296">
        <v>1.25</v>
      </c>
      <c r="J296">
        <f>67+77+100+104+120</f>
        <v>468</v>
      </c>
      <c r="K296">
        <v>5</v>
      </c>
      <c r="L296">
        <v>120</v>
      </c>
      <c r="N296" t="str">
        <f t="shared" si="4"/>
        <v>NA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5.6531590000000023</v>
      </c>
    </row>
    <row r="297" spans="1:15">
      <c r="A297" s="10">
        <v>41767</v>
      </c>
      <c r="B297" s="7" t="s">
        <v>26</v>
      </c>
      <c r="C297">
        <v>37</v>
      </c>
      <c r="D297" t="s">
        <v>19</v>
      </c>
      <c r="F297">
        <v>2.36</v>
      </c>
      <c r="J297">
        <f>59+94+93+139+139+163+168</f>
        <v>855</v>
      </c>
      <c r="K297">
        <v>7</v>
      </c>
      <c r="L297">
        <v>168</v>
      </c>
      <c r="N297" t="str">
        <f t="shared" si="4"/>
        <v>NA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13.431878000000012</v>
      </c>
    </row>
    <row r="298" spans="1:15">
      <c r="A298" s="10">
        <v>41767</v>
      </c>
      <c r="B298" s="7" t="s">
        <v>26</v>
      </c>
      <c r="C298">
        <v>37</v>
      </c>
      <c r="D298" t="s">
        <v>19</v>
      </c>
      <c r="F298">
        <v>2.68</v>
      </c>
      <c r="J298">
        <f>68+107+120+123+150+164+195+197</f>
        <v>1124</v>
      </c>
      <c r="K298">
        <v>8</v>
      </c>
      <c r="L298">
        <v>197</v>
      </c>
      <c r="N298" t="str">
        <f t="shared" si="4"/>
        <v>NA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22.893515000000008</v>
      </c>
    </row>
    <row r="299" spans="1:15">
      <c r="A299" s="10">
        <v>41767</v>
      </c>
      <c r="B299" s="7" t="s">
        <v>26</v>
      </c>
      <c r="C299">
        <v>37</v>
      </c>
      <c r="D299" t="s">
        <v>19</v>
      </c>
      <c r="F299">
        <v>0.35</v>
      </c>
      <c r="J299">
        <f>26+28+29</f>
        <v>83</v>
      </c>
      <c r="K299">
        <v>3</v>
      </c>
      <c r="L299">
        <v>29</v>
      </c>
      <c r="N299" t="str">
        <f t="shared" si="4"/>
        <v>NA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11.015484999999998</v>
      </c>
    </row>
    <row r="300" spans="1:15">
      <c r="A300" s="10">
        <v>41767</v>
      </c>
      <c r="B300" s="7" t="s">
        <v>26</v>
      </c>
      <c r="C300">
        <v>37</v>
      </c>
      <c r="D300" t="s">
        <v>19</v>
      </c>
      <c r="F300">
        <v>1.66</v>
      </c>
      <c r="J300">
        <f>57+90+128+149+173+188</f>
        <v>785</v>
      </c>
      <c r="K300">
        <v>6</v>
      </c>
      <c r="L300">
        <v>188</v>
      </c>
      <c r="N300" t="str">
        <f t="shared" si="4"/>
        <v>NA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7.8664810000000074</v>
      </c>
    </row>
    <row r="301" spans="1:15">
      <c r="A301" s="9">
        <v>41767</v>
      </c>
      <c r="B301" s="7" t="s">
        <v>27</v>
      </c>
      <c r="C301">
        <v>3</v>
      </c>
      <c r="D301" t="s">
        <v>25</v>
      </c>
      <c r="E301">
        <v>118</v>
      </c>
      <c r="F301">
        <v>1.34</v>
      </c>
      <c r="G301">
        <v>9</v>
      </c>
      <c r="N301">
        <f t="shared" si="4"/>
        <v>55.470216872666668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6.089434087914178</v>
      </c>
    </row>
    <row r="302" spans="1:15">
      <c r="A302" s="9">
        <v>41767</v>
      </c>
      <c r="B302" s="7" t="s">
        <v>27</v>
      </c>
      <c r="C302">
        <v>3</v>
      </c>
      <c r="D302" t="s">
        <v>25</v>
      </c>
      <c r="E302">
        <v>82</v>
      </c>
      <c r="F302">
        <v>1.25</v>
      </c>
      <c r="N302">
        <f t="shared" si="4"/>
        <v>33.543018229166663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1.1580130000000004</v>
      </c>
    </row>
    <row r="303" spans="1:15">
      <c r="A303" s="9">
        <v>41767</v>
      </c>
      <c r="B303" s="7" t="s">
        <v>27</v>
      </c>
      <c r="C303">
        <v>3</v>
      </c>
      <c r="D303" t="s">
        <v>25</v>
      </c>
      <c r="E303">
        <v>96</v>
      </c>
      <c r="F303">
        <v>1.1399999999999999</v>
      </c>
      <c r="G303">
        <v>7</v>
      </c>
      <c r="N303">
        <f t="shared" si="4"/>
        <v>32.662482911999987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4.2351616394666873</v>
      </c>
    </row>
    <row r="304" spans="1:15">
      <c r="A304" s="9">
        <v>41767</v>
      </c>
      <c r="B304" s="7" t="s">
        <v>27</v>
      </c>
      <c r="C304">
        <v>3</v>
      </c>
      <c r="D304" t="s">
        <v>25</v>
      </c>
      <c r="E304">
        <v>138</v>
      </c>
      <c r="F304">
        <v>1.82</v>
      </c>
      <c r="N304">
        <f t="shared" si="4"/>
        <v>119.67133123399999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5.0838930000000007</v>
      </c>
    </row>
    <row r="305" spans="1:15">
      <c r="A305" s="9">
        <v>41767</v>
      </c>
      <c r="B305" s="7" t="s">
        <v>27</v>
      </c>
      <c r="C305">
        <v>3</v>
      </c>
      <c r="D305" t="s">
        <v>25</v>
      </c>
      <c r="E305">
        <v>167</v>
      </c>
      <c r="F305">
        <v>2.2799999999999998</v>
      </c>
      <c r="G305">
        <v>6</v>
      </c>
      <c r="N305">
        <f t="shared" si="4"/>
        <v>227.27644359599995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17.198372807955703</v>
      </c>
    </row>
    <row r="306" spans="1:15">
      <c r="A306" s="9">
        <v>41767</v>
      </c>
      <c r="B306" s="7" t="s">
        <v>27</v>
      </c>
      <c r="C306">
        <v>3</v>
      </c>
      <c r="D306" t="s">
        <v>25</v>
      </c>
      <c r="E306">
        <v>167</v>
      </c>
      <c r="F306">
        <v>1.77</v>
      </c>
      <c r="G306">
        <v>7</v>
      </c>
      <c r="N306">
        <f t="shared" si="4"/>
        <v>136.97183174475001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11.990144624046714</v>
      </c>
    </row>
    <row r="307" spans="1:15">
      <c r="A307" s="9">
        <v>41767</v>
      </c>
      <c r="B307" s="7" t="s">
        <v>27</v>
      </c>
      <c r="C307">
        <v>3</v>
      </c>
      <c r="D307" t="s">
        <v>25</v>
      </c>
      <c r="E307">
        <v>149</v>
      </c>
      <c r="F307">
        <v>1.35</v>
      </c>
      <c r="G307">
        <v>9</v>
      </c>
      <c r="N307">
        <f t="shared" si="4"/>
        <v>71.09221820625001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7.7497189928272636</v>
      </c>
    </row>
    <row r="308" spans="1:15">
      <c r="A308" s="9">
        <v>41767</v>
      </c>
      <c r="B308" s="7" t="s">
        <v>27</v>
      </c>
      <c r="C308">
        <v>3</v>
      </c>
      <c r="D308" t="s">
        <v>25</v>
      </c>
      <c r="E308">
        <v>51</v>
      </c>
      <c r="F308">
        <v>1.84</v>
      </c>
      <c r="N308">
        <f t="shared" si="4"/>
        <v>45.203710191999996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-1.0152419999999998</v>
      </c>
    </row>
    <row r="309" spans="1:15">
      <c r="A309" s="9">
        <v>41767</v>
      </c>
      <c r="B309" s="7" t="s">
        <v>27</v>
      </c>
      <c r="C309">
        <v>3</v>
      </c>
      <c r="D309" t="s">
        <v>25</v>
      </c>
      <c r="E309">
        <v>186</v>
      </c>
      <c r="F309">
        <v>1.86</v>
      </c>
      <c r="G309">
        <v>10</v>
      </c>
      <c r="N309">
        <f t="shared" si="4"/>
        <v>168.46399384200001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14.271801980843509</v>
      </c>
    </row>
    <row r="310" spans="1:15">
      <c r="A310" s="9">
        <v>41767</v>
      </c>
      <c r="B310" s="7" t="s">
        <v>27</v>
      </c>
      <c r="C310">
        <v>3</v>
      </c>
      <c r="D310" t="s">
        <v>25</v>
      </c>
      <c r="E310">
        <v>102</v>
      </c>
      <c r="F310">
        <v>1.28</v>
      </c>
      <c r="G310">
        <v>12</v>
      </c>
      <c r="N310">
        <f t="shared" si="4"/>
        <v>43.751038975999997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5.0216446219018245</v>
      </c>
    </row>
    <row r="311" spans="1:15">
      <c r="A311" s="9">
        <v>41767</v>
      </c>
      <c r="B311" s="7" t="s">
        <v>27</v>
      </c>
      <c r="C311">
        <v>3</v>
      </c>
      <c r="D311" t="s">
        <v>25</v>
      </c>
      <c r="E311">
        <v>240</v>
      </c>
      <c r="F311">
        <v>2.5</v>
      </c>
      <c r="G311">
        <v>6</v>
      </c>
      <c r="N311">
        <f t="shared" si="4"/>
        <v>392.69874999999996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28.5269717075</v>
      </c>
    </row>
    <row r="312" spans="1:15">
      <c r="A312" s="9">
        <v>41767</v>
      </c>
      <c r="B312" s="7" t="s">
        <v>27</v>
      </c>
      <c r="C312">
        <v>3</v>
      </c>
      <c r="D312" t="s">
        <v>25</v>
      </c>
      <c r="E312">
        <v>87</v>
      </c>
      <c r="F312">
        <v>1.7</v>
      </c>
      <c r="N312">
        <f t="shared" si="4"/>
        <v>65.824164474999975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1.5085380000000006</v>
      </c>
    </row>
    <row r="313" spans="1:15">
      <c r="A313" s="9">
        <v>41767</v>
      </c>
      <c r="B313" s="7" t="s">
        <v>27</v>
      </c>
      <c r="C313">
        <v>3</v>
      </c>
      <c r="D313" t="s">
        <v>25</v>
      </c>
      <c r="E313">
        <v>82</v>
      </c>
      <c r="F313">
        <v>1.76</v>
      </c>
      <c r="N313">
        <f t="shared" si="4"/>
        <v>66.497826090666649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1.1580130000000004</v>
      </c>
    </row>
    <row r="314" spans="1:15">
      <c r="A314" s="9">
        <v>41767</v>
      </c>
      <c r="B314" s="7" t="s">
        <v>27</v>
      </c>
      <c r="C314">
        <v>3</v>
      </c>
      <c r="D314" t="s">
        <v>25</v>
      </c>
      <c r="E314">
        <v>169</v>
      </c>
      <c r="F314">
        <v>2.52</v>
      </c>
      <c r="N314">
        <f t="shared" si="4"/>
        <v>280.967473332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7.2571479999999999</v>
      </c>
    </row>
    <row r="315" spans="1:15">
      <c r="A315" s="9">
        <v>41767</v>
      </c>
      <c r="B315" s="7" t="s">
        <v>27</v>
      </c>
      <c r="C315">
        <v>3</v>
      </c>
      <c r="D315" t="s">
        <v>25</v>
      </c>
      <c r="E315">
        <v>244</v>
      </c>
      <c r="F315">
        <v>2.16</v>
      </c>
      <c r="N315">
        <f t="shared" si="4"/>
        <v>298.033846848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12.515023000000003</v>
      </c>
    </row>
    <row r="316" spans="1:15">
      <c r="A316" s="9">
        <v>41767</v>
      </c>
      <c r="B316" s="7" t="s">
        <v>27</v>
      </c>
      <c r="C316">
        <v>3</v>
      </c>
      <c r="D316" t="s">
        <v>25</v>
      </c>
      <c r="E316">
        <v>234</v>
      </c>
      <c r="F316">
        <v>2.89</v>
      </c>
      <c r="N316">
        <f t="shared" si="4"/>
        <v>511.65803986049997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11.813973000000001</v>
      </c>
    </row>
    <row r="317" spans="1:15">
      <c r="A317" s="9">
        <v>41767</v>
      </c>
      <c r="B317" s="7" t="s">
        <v>27</v>
      </c>
      <c r="C317">
        <v>3</v>
      </c>
      <c r="D317" t="s">
        <v>25</v>
      </c>
      <c r="E317">
        <v>65</v>
      </c>
      <c r="F317">
        <v>2.09</v>
      </c>
      <c r="N317">
        <f t="shared" si="4"/>
        <v>74.331721094583315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-3.3771999999999913E-2</v>
      </c>
    </row>
    <row r="318" spans="1:15">
      <c r="A318" s="9">
        <v>41767</v>
      </c>
      <c r="B318" s="7" t="s">
        <v>27</v>
      </c>
      <c r="C318">
        <v>3</v>
      </c>
      <c r="D318" t="s">
        <v>25</v>
      </c>
      <c r="E318">
        <v>120</v>
      </c>
      <c r="F318">
        <v>1.59</v>
      </c>
      <c r="G318">
        <v>7</v>
      </c>
      <c r="N318">
        <f t="shared" si="4"/>
        <v>79.422536790000009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7.519847386826461</v>
      </c>
    </row>
    <row r="319" spans="1:15">
      <c r="A319" s="9">
        <v>41767</v>
      </c>
      <c r="B319" s="7" t="s">
        <v>27</v>
      </c>
      <c r="C319">
        <v>3</v>
      </c>
      <c r="D319" t="s">
        <v>25</v>
      </c>
      <c r="E319">
        <v>243</v>
      </c>
      <c r="F319">
        <v>2.68</v>
      </c>
      <c r="G319">
        <v>8</v>
      </c>
      <c r="N319">
        <f t="shared" si="4"/>
        <v>456.92415932400002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32.304588764852383</v>
      </c>
    </row>
    <row r="320" spans="1:15">
      <c r="A320" s="9">
        <v>41767</v>
      </c>
      <c r="B320" s="7" t="s">
        <v>27</v>
      </c>
      <c r="C320">
        <v>3</v>
      </c>
      <c r="D320" t="s">
        <v>25</v>
      </c>
      <c r="E320">
        <v>129</v>
      </c>
      <c r="F320">
        <v>1.79</v>
      </c>
      <c r="G320">
        <v>10</v>
      </c>
      <c r="N320">
        <f t="shared" si="4"/>
        <v>108.20916157924998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9.4005295849216637</v>
      </c>
    </row>
    <row r="321" spans="1:15">
      <c r="A321" s="9">
        <v>41767</v>
      </c>
      <c r="B321" s="7" t="s">
        <v>27</v>
      </c>
      <c r="C321">
        <v>3</v>
      </c>
      <c r="D321" t="s">
        <v>19</v>
      </c>
      <c r="F321">
        <v>1.84</v>
      </c>
      <c r="J321">
        <f>22+33+35+34+36+38+48</f>
        <v>246</v>
      </c>
      <c r="K321">
        <v>7</v>
      </c>
      <c r="L321">
        <v>48</v>
      </c>
      <c r="N321" t="str">
        <f t="shared" si="4"/>
        <v>NA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-7.5155169999999956</v>
      </c>
    </row>
    <row r="322" spans="1:15">
      <c r="A322" s="9">
        <v>41767</v>
      </c>
      <c r="B322" s="7" t="s">
        <v>27</v>
      </c>
      <c r="C322">
        <v>3</v>
      </c>
      <c r="D322" t="s">
        <v>19</v>
      </c>
      <c r="F322">
        <v>3.99</v>
      </c>
      <c r="J322">
        <f>99+35+41+40+41+39</f>
        <v>295</v>
      </c>
      <c r="K322">
        <v>6</v>
      </c>
      <c r="L322">
        <v>39</v>
      </c>
      <c r="N322" t="str">
        <f t="shared" si="4"/>
        <v>NA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6.8120359999999991</v>
      </c>
    </row>
    <row r="323" spans="1:15">
      <c r="A323" s="9">
        <v>41767</v>
      </c>
      <c r="B323" s="7" t="s">
        <v>27</v>
      </c>
      <c r="C323">
        <v>11</v>
      </c>
      <c r="D323" t="s">
        <v>25</v>
      </c>
      <c r="E323">
        <v>144</v>
      </c>
      <c r="F323">
        <v>1.48</v>
      </c>
      <c r="N323">
        <f t="shared" si="4"/>
        <v>82.576064831999986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5.5045229999999998</v>
      </c>
    </row>
    <row r="324" spans="1:15">
      <c r="A324" s="9">
        <v>41767</v>
      </c>
      <c r="B324" s="7" t="s">
        <v>27</v>
      </c>
      <c r="C324">
        <v>11</v>
      </c>
      <c r="D324" t="s">
        <v>25</v>
      </c>
      <c r="E324">
        <v>153</v>
      </c>
      <c r="F324">
        <v>1.37</v>
      </c>
      <c r="N324">
        <f t="shared" ref="N324:N387" si="5">IF(OR(D324="S. acutus", D324="S. tabernaemontani", D324="S. californicus"),(1/3)*(3.14159)*((F324/2)^2)*E324,"NA")</f>
        <v>75.179740955249997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6.1354680000000004</v>
      </c>
    </row>
    <row r="325" spans="1:15">
      <c r="A325" s="9">
        <v>41767</v>
      </c>
      <c r="B325" s="7" t="s">
        <v>27</v>
      </c>
      <c r="C325">
        <v>11</v>
      </c>
      <c r="D325" t="s">
        <v>19</v>
      </c>
      <c r="F325">
        <v>1.2</v>
      </c>
      <c r="J325">
        <f>60+73+100+106</f>
        <v>339</v>
      </c>
      <c r="K325">
        <v>4</v>
      </c>
      <c r="L325">
        <v>106</v>
      </c>
      <c r="N325" t="str">
        <f t="shared" si="5"/>
        <v>NA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4.7985469999999992</v>
      </c>
    </row>
    <row r="326" spans="1:15">
      <c r="A326" s="9">
        <v>41767</v>
      </c>
      <c r="B326" s="7" t="s">
        <v>27</v>
      </c>
      <c r="C326">
        <v>11</v>
      </c>
      <c r="D326" t="s">
        <v>19</v>
      </c>
      <c r="F326">
        <v>2.0499999999999998</v>
      </c>
      <c r="J326">
        <f>62+97+104+137+148</f>
        <v>548</v>
      </c>
      <c r="K326">
        <v>5</v>
      </c>
      <c r="L326">
        <v>148</v>
      </c>
      <c r="N326" t="str">
        <f t="shared" si="5"/>
        <v>NA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4.7186990000000009</v>
      </c>
    </row>
    <row r="327" spans="1:15">
      <c r="A327" s="9">
        <v>41767</v>
      </c>
      <c r="B327" s="7" t="s">
        <v>27</v>
      </c>
      <c r="C327">
        <v>11</v>
      </c>
      <c r="D327" t="s">
        <v>19</v>
      </c>
      <c r="F327">
        <v>1.92</v>
      </c>
      <c r="J327">
        <f>77+109+142+142+146+169</f>
        <v>785</v>
      </c>
      <c r="K327">
        <v>6</v>
      </c>
      <c r="L327">
        <v>169</v>
      </c>
      <c r="N327" t="str">
        <f t="shared" si="5"/>
        <v>NA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13.590136000000008</v>
      </c>
    </row>
    <row r="328" spans="1:15">
      <c r="A328" s="9">
        <v>41767</v>
      </c>
      <c r="B328" s="7" t="s">
        <v>27</v>
      </c>
      <c r="C328">
        <v>11</v>
      </c>
      <c r="D328" t="s">
        <v>19</v>
      </c>
      <c r="F328">
        <v>3.96</v>
      </c>
      <c r="J328">
        <f>99+137+162+134+184+176</f>
        <v>892</v>
      </c>
      <c r="K328">
        <v>6</v>
      </c>
      <c r="L328">
        <v>176</v>
      </c>
      <c r="N328" t="str">
        <f t="shared" si="5"/>
        <v>NA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21.513206000000004</v>
      </c>
    </row>
    <row r="329" spans="1:15">
      <c r="A329" s="9">
        <v>41767</v>
      </c>
      <c r="B329" s="7" t="s">
        <v>27</v>
      </c>
      <c r="C329">
        <v>11</v>
      </c>
      <c r="D329" t="s">
        <v>19</v>
      </c>
      <c r="F329">
        <v>1.1599999999999999</v>
      </c>
      <c r="J329">
        <f>38+96</f>
        <v>134</v>
      </c>
      <c r="K329">
        <v>2</v>
      </c>
      <c r="L329">
        <v>96</v>
      </c>
      <c r="N329" t="str">
        <f t="shared" si="5"/>
        <v>NA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2.6359279999999998</v>
      </c>
    </row>
    <row r="330" spans="1:15">
      <c r="A330" s="9">
        <v>41767</v>
      </c>
      <c r="B330" s="7" t="s">
        <v>27</v>
      </c>
      <c r="C330">
        <v>11</v>
      </c>
      <c r="D330" t="s">
        <v>19</v>
      </c>
      <c r="F330">
        <v>0.79</v>
      </c>
      <c r="J330">
        <f>29+29+38</f>
        <v>96</v>
      </c>
      <c r="K330">
        <v>3</v>
      </c>
      <c r="L330">
        <v>38</v>
      </c>
      <c r="N330" t="str">
        <f t="shared" si="5"/>
        <v>NA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9.5230949999999979</v>
      </c>
    </row>
    <row r="331" spans="1:15">
      <c r="A331" s="9">
        <v>41767</v>
      </c>
      <c r="B331" s="7" t="s">
        <v>27</v>
      </c>
      <c r="C331">
        <v>11</v>
      </c>
      <c r="D331" t="s">
        <v>19</v>
      </c>
      <c r="F331">
        <v>10.48</v>
      </c>
      <c r="J331">
        <f>82+127+189+222+286+299+316+326+337+338</f>
        <v>2522</v>
      </c>
      <c r="K331">
        <v>10</v>
      </c>
      <c r="L331">
        <v>338</v>
      </c>
      <c r="N331" t="str">
        <f t="shared" si="5"/>
        <v>NA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97.442754000000008</v>
      </c>
    </row>
    <row r="332" spans="1:15">
      <c r="A332" s="9">
        <v>41767</v>
      </c>
      <c r="B332" s="7" t="s">
        <v>27</v>
      </c>
      <c r="C332">
        <v>25</v>
      </c>
      <c r="D332" t="s">
        <v>25</v>
      </c>
      <c r="E332">
        <v>29</v>
      </c>
      <c r="F332">
        <v>1.05</v>
      </c>
      <c r="N332">
        <f t="shared" si="5"/>
        <v>8.3703738562499996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-2.5575519999999998</v>
      </c>
    </row>
    <row r="333" spans="1:15">
      <c r="A333" s="9">
        <v>41767</v>
      </c>
      <c r="B333" s="7" t="s">
        <v>27</v>
      </c>
      <c r="C333">
        <v>25</v>
      </c>
      <c r="D333" t="s">
        <v>25</v>
      </c>
      <c r="E333">
        <v>177</v>
      </c>
      <c r="F333">
        <v>1.76</v>
      </c>
      <c r="N333">
        <f t="shared" si="5"/>
        <v>143.53799046399999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7.8179880000000006</v>
      </c>
    </row>
    <row r="334" spans="1:15">
      <c r="A334" s="9">
        <v>41767</v>
      </c>
      <c r="B334" s="7" t="s">
        <v>27</v>
      </c>
      <c r="C334">
        <v>25</v>
      </c>
      <c r="D334" t="s">
        <v>25</v>
      </c>
      <c r="E334">
        <v>206</v>
      </c>
      <c r="F334">
        <v>1.6</v>
      </c>
      <c r="N334">
        <f t="shared" si="5"/>
        <v>138.06240853333335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9.851033000000001</v>
      </c>
    </row>
    <row r="335" spans="1:15">
      <c r="A335" s="9">
        <v>41767</v>
      </c>
      <c r="B335" s="7" t="s">
        <v>27</v>
      </c>
      <c r="C335">
        <v>25</v>
      </c>
      <c r="D335" t="s">
        <v>25</v>
      </c>
      <c r="E335">
        <v>39</v>
      </c>
      <c r="F335">
        <v>0.8</v>
      </c>
      <c r="N335">
        <f t="shared" si="5"/>
        <v>6.5345072000000002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-1.8565019999999999</v>
      </c>
    </row>
    <row r="336" spans="1:15">
      <c r="A336" s="9">
        <v>41767</v>
      </c>
      <c r="B336" s="7" t="s">
        <v>27</v>
      </c>
      <c r="C336">
        <v>25</v>
      </c>
      <c r="D336" t="s">
        <v>25</v>
      </c>
      <c r="E336">
        <v>244</v>
      </c>
      <c r="F336">
        <v>1.66</v>
      </c>
      <c r="G336">
        <v>6</v>
      </c>
      <c r="N336">
        <f t="shared" si="5"/>
        <v>176.02496321466663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16.128502128442683</v>
      </c>
    </row>
    <row r="337" spans="1:15">
      <c r="A337" s="9">
        <v>41767</v>
      </c>
      <c r="B337" s="7" t="s">
        <v>27</v>
      </c>
      <c r="C337">
        <v>25</v>
      </c>
      <c r="D337" t="s">
        <v>25</v>
      </c>
      <c r="E337">
        <v>66</v>
      </c>
      <c r="F337">
        <v>1.65</v>
      </c>
      <c r="N337">
        <f t="shared" si="5"/>
        <v>47.041383262499991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3.6332999999999949E-2</v>
      </c>
    </row>
    <row r="338" spans="1:15">
      <c r="A338" s="9">
        <v>41767</v>
      </c>
      <c r="B338" s="7" t="s">
        <v>27</v>
      </c>
      <c r="C338">
        <v>25</v>
      </c>
      <c r="D338" t="s">
        <v>25</v>
      </c>
      <c r="E338">
        <v>244</v>
      </c>
      <c r="F338">
        <v>1.55</v>
      </c>
      <c r="N338">
        <f t="shared" si="5"/>
        <v>153.46928949166667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12.515023000000003</v>
      </c>
    </row>
    <row r="339" spans="1:15">
      <c r="A339" s="10">
        <v>41767</v>
      </c>
      <c r="B339" s="7" t="s">
        <v>27</v>
      </c>
      <c r="C339">
        <v>32</v>
      </c>
      <c r="D339" t="s">
        <v>20</v>
      </c>
      <c r="E339">
        <v>198</v>
      </c>
      <c r="F339">
        <v>1.44</v>
      </c>
      <c r="G339">
        <v>9</v>
      </c>
      <c r="N339">
        <f t="shared" si="5"/>
        <v>107.48761689599998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11.085603802906405</v>
      </c>
    </row>
    <row r="340" spans="1:15">
      <c r="A340" s="10">
        <v>41767</v>
      </c>
      <c r="B340" s="7" t="s">
        <v>27</v>
      </c>
      <c r="C340">
        <v>32</v>
      </c>
      <c r="D340" t="s">
        <v>20</v>
      </c>
      <c r="E340">
        <v>354</v>
      </c>
      <c r="F340">
        <v>1.17</v>
      </c>
      <c r="G340">
        <v>7</v>
      </c>
      <c r="N340">
        <f t="shared" si="5"/>
        <v>126.86541525449996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17.716693950068628</v>
      </c>
    </row>
    <row r="341" spans="1:15">
      <c r="A341" s="10">
        <v>41767</v>
      </c>
      <c r="B341" s="7" t="s">
        <v>27</v>
      </c>
      <c r="C341">
        <v>32</v>
      </c>
      <c r="D341" t="s">
        <v>20</v>
      </c>
      <c r="E341">
        <v>337</v>
      </c>
      <c r="F341">
        <v>1.24</v>
      </c>
      <c r="G341">
        <v>3</v>
      </c>
      <c r="N341">
        <f t="shared" si="5"/>
        <v>135.65678835066666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17.345163376000983</v>
      </c>
    </row>
    <row r="342" spans="1:15">
      <c r="A342" s="10">
        <v>41767</v>
      </c>
      <c r="B342" s="7" t="s">
        <v>27</v>
      </c>
      <c r="C342">
        <v>32</v>
      </c>
      <c r="D342" t="s">
        <v>20</v>
      </c>
      <c r="E342">
        <v>253</v>
      </c>
      <c r="F342">
        <v>1.32</v>
      </c>
      <c r="G342">
        <v>12</v>
      </c>
      <c r="N342">
        <f t="shared" si="5"/>
        <v>115.408193604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13.458544001423045</v>
      </c>
    </row>
    <row r="343" spans="1:15">
      <c r="A343" s="10">
        <v>41767</v>
      </c>
      <c r="B343" s="7" t="s">
        <v>27</v>
      </c>
      <c r="C343">
        <v>32</v>
      </c>
      <c r="D343" t="s">
        <v>20</v>
      </c>
      <c r="E343">
        <v>43</v>
      </c>
      <c r="F343">
        <v>0.7</v>
      </c>
      <c r="N343">
        <f t="shared" si="5"/>
        <v>5.516108441666665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-1.576082</v>
      </c>
    </row>
    <row r="344" spans="1:15">
      <c r="A344" s="10">
        <v>41767</v>
      </c>
      <c r="B344" s="7" t="s">
        <v>27</v>
      </c>
      <c r="C344">
        <v>32</v>
      </c>
      <c r="D344" t="s">
        <v>20</v>
      </c>
      <c r="E344">
        <v>388</v>
      </c>
      <c r="F344">
        <v>1.54</v>
      </c>
      <c r="G344">
        <v>19</v>
      </c>
      <c r="N344">
        <f t="shared" si="5"/>
        <v>240.90256662266663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22.698034257559826</v>
      </c>
    </row>
    <row r="345" spans="1:15">
      <c r="A345" s="10">
        <v>41767</v>
      </c>
      <c r="B345" s="7" t="s">
        <v>27</v>
      </c>
      <c r="C345">
        <v>32</v>
      </c>
      <c r="D345" t="s">
        <v>20</v>
      </c>
      <c r="E345">
        <v>46</v>
      </c>
      <c r="F345">
        <v>0.78</v>
      </c>
      <c r="N345">
        <f t="shared" si="5"/>
        <v>7.3268161979999995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-1.365767</v>
      </c>
    </row>
    <row r="346" spans="1:15">
      <c r="A346" s="10">
        <v>41767</v>
      </c>
      <c r="B346" s="7" t="s">
        <v>27</v>
      </c>
      <c r="C346">
        <v>32</v>
      </c>
      <c r="D346" t="s">
        <v>20</v>
      </c>
      <c r="E346">
        <v>343</v>
      </c>
      <c r="F346">
        <v>1.48</v>
      </c>
      <c r="G346">
        <v>5</v>
      </c>
      <c r="N346">
        <f t="shared" si="5"/>
        <v>196.69159887066664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19.541581806074451</v>
      </c>
    </row>
    <row r="347" spans="1:15">
      <c r="A347" s="10">
        <v>41767</v>
      </c>
      <c r="B347" s="7" t="s">
        <v>27</v>
      </c>
      <c r="C347">
        <v>32</v>
      </c>
      <c r="D347" t="s">
        <v>20</v>
      </c>
      <c r="E347">
        <v>200</v>
      </c>
      <c r="F347">
        <v>1.23</v>
      </c>
      <c r="N347">
        <f t="shared" si="5"/>
        <v>79.215191849999982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9.4304030000000019</v>
      </c>
    </row>
    <row r="348" spans="1:15">
      <c r="A348" s="10">
        <v>41767</v>
      </c>
      <c r="B348" s="7" t="s">
        <v>27</v>
      </c>
      <c r="C348">
        <v>32</v>
      </c>
      <c r="D348" t="s">
        <v>20</v>
      </c>
      <c r="E348">
        <v>63</v>
      </c>
      <c r="F348">
        <v>0.76</v>
      </c>
      <c r="N348">
        <f t="shared" si="5"/>
        <v>9.5265575160000004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-0.17398199999999964</v>
      </c>
    </row>
    <row r="349" spans="1:15">
      <c r="A349" s="10">
        <v>41767</v>
      </c>
      <c r="B349" s="7" t="s">
        <v>27</v>
      </c>
      <c r="C349">
        <v>32</v>
      </c>
      <c r="D349" t="s">
        <v>20</v>
      </c>
      <c r="E349">
        <v>410</v>
      </c>
      <c r="F349">
        <v>1.54</v>
      </c>
      <c r="G349">
        <v>11</v>
      </c>
      <c r="N349">
        <f t="shared" si="5"/>
        <v>254.56199050333328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23.985036199998785</v>
      </c>
    </row>
    <row r="350" spans="1:15">
      <c r="A350" s="10">
        <v>41767</v>
      </c>
      <c r="B350" s="7" t="s">
        <v>27</v>
      </c>
      <c r="C350">
        <v>32</v>
      </c>
      <c r="D350" t="s">
        <v>20</v>
      </c>
      <c r="E350">
        <v>172</v>
      </c>
      <c r="F350">
        <v>1.21</v>
      </c>
      <c r="G350">
        <v>18</v>
      </c>
      <c r="N350">
        <f t="shared" si="5"/>
        <v>65.927627505666649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8.746150140547222</v>
      </c>
    </row>
    <row r="351" spans="1:15">
      <c r="A351" s="10">
        <v>41767</v>
      </c>
      <c r="B351" s="7" t="s">
        <v>27</v>
      </c>
      <c r="C351">
        <v>32</v>
      </c>
      <c r="D351" t="s">
        <v>20</v>
      </c>
      <c r="E351">
        <v>370</v>
      </c>
      <c r="F351">
        <v>1.3</v>
      </c>
      <c r="G351">
        <v>5</v>
      </c>
      <c r="N351">
        <f t="shared" si="5"/>
        <v>163.70301891666665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19.519011541833692</v>
      </c>
    </row>
    <row r="352" spans="1:15">
      <c r="A352" s="10">
        <v>41767</v>
      </c>
      <c r="B352" s="7" t="s">
        <v>27</v>
      </c>
      <c r="C352">
        <v>32</v>
      </c>
      <c r="D352" t="s">
        <v>20</v>
      </c>
      <c r="E352">
        <v>409</v>
      </c>
      <c r="F352">
        <v>1.37</v>
      </c>
      <c r="G352">
        <v>12</v>
      </c>
      <c r="N352">
        <f t="shared" si="5"/>
        <v>200.97068006991668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22.220840671863378</v>
      </c>
    </row>
    <row r="353" spans="1:15">
      <c r="A353" s="10">
        <v>41767</v>
      </c>
      <c r="B353" s="7" t="s">
        <v>27</v>
      </c>
      <c r="C353">
        <v>32</v>
      </c>
      <c r="D353" t="s">
        <v>20</v>
      </c>
      <c r="E353">
        <v>269</v>
      </c>
      <c r="F353">
        <v>1.45</v>
      </c>
      <c r="G353">
        <v>21</v>
      </c>
      <c r="N353">
        <f t="shared" si="5"/>
        <v>148.06640918958331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15.126281535672852</v>
      </c>
    </row>
    <row r="354" spans="1:15">
      <c r="A354" s="10">
        <v>41767</v>
      </c>
      <c r="B354" s="7" t="s">
        <v>27</v>
      </c>
      <c r="C354">
        <v>32</v>
      </c>
      <c r="D354" t="s">
        <v>20</v>
      </c>
      <c r="E354">
        <v>211</v>
      </c>
      <c r="F354">
        <v>1.08</v>
      </c>
      <c r="G354">
        <v>3</v>
      </c>
      <c r="N354">
        <f t="shared" si="5"/>
        <v>64.431497628000002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10.199750311969467</v>
      </c>
    </row>
    <row r="355" spans="1:15">
      <c r="A355" s="10">
        <v>41767</v>
      </c>
      <c r="B355" s="7" t="s">
        <v>27</v>
      </c>
      <c r="C355">
        <v>32</v>
      </c>
      <c r="D355" t="s">
        <v>20</v>
      </c>
      <c r="E355">
        <v>188</v>
      </c>
      <c r="F355">
        <v>0.97</v>
      </c>
      <c r="G355">
        <v>4</v>
      </c>
      <c r="N355">
        <f t="shared" si="5"/>
        <v>46.309445152333325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8.7305406124057718</v>
      </c>
    </row>
    <row r="356" spans="1:15">
      <c r="A356" s="10">
        <v>41767</v>
      </c>
      <c r="B356" s="7" t="s">
        <v>27</v>
      </c>
      <c r="C356">
        <v>32</v>
      </c>
      <c r="D356" t="s">
        <v>20</v>
      </c>
      <c r="E356">
        <v>369</v>
      </c>
      <c r="F356">
        <v>1.54</v>
      </c>
      <c r="G356">
        <v>8</v>
      </c>
      <c r="N356">
        <f t="shared" si="5"/>
        <v>229.10579145299997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21.586532579998906</v>
      </c>
    </row>
    <row r="357" spans="1:15">
      <c r="A357" s="10">
        <v>41767</v>
      </c>
      <c r="B357" s="7" t="s">
        <v>27</v>
      </c>
      <c r="C357">
        <v>32</v>
      </c>
      <c r="D357" t="s">
        <v>20</v>
      </c>
      <c r="E357">
        <v>280</v>
      </c>
      <c r="F357">
        <v>1.32</v>
      </c>
      <c r="G357">
        <v>8</v>
      </c>
      <c r="N357">
        <f t="shared" si="5"/>
        <v>127.72448304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14.894831305922736</v>
      </c>
    </row>
    <row r="358" spans="1:15">
      <c r="A358" s="10">
        <v>41767</v>
      </c>
      <c r="B358" s="7" t="s">
        <v>27</v>
      </c>
      <c r="C358">
        <v>32</v>
      </c>
      <c r="D358" t="s">
        <v>20</v>
      </c>
      <c r="E358">
        <v>76</v>
      </c>
      <c r="F358">
        <v>0.96</v>
      </c>
      <c r="N358">
        <f t="shared" si="5"/>
        <v>18.336832511999997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0.73738300000000034</v>
      </c>
    </row>
    <row r="359" spans="1:15">
      <c r="A359" s="10">
        <v>41767</v>
      </c>
      <c r="B359" s="7" t="s">
        <v>27</v>
      </c>
      <c r="C359">
        <v>32</v>
      </c>
      <c r="D359" t="s">
        <v>20</v>
      </c>
      <c r="E359">
        <v>323</v>
      </c>
      <c r="F359">
        <v>1.5</v>
      </c>
      <c r="N359">
        <f t="shared" si="5"/>
        <v>190.26254437499998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18.053318000000001</v>
      </c>
    </row>
    <row r="360" spans="1:15">
      <c r="A360" s="10">
        <v>41767</v>
      </c>
      <c r="B360" s="7" t="s">
        <v>27</v>
      </c>
      <c r="C360">
        <v>32</v>
      </c>
      <c r="D360" t="s">
        <v>20</v>
      </c>
      <c r="E360">
        <v>239</v>
      </c>
      <c r="F360">
        <v>0.98</v>
      </c>
      <c r="G360">
        <v>6</v>
      </c>
      <c r="N360">
        <f t="shared" si="5"/>
        <v>60.092228800333324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11.138220750376654</v>
      </c>
    </row>
    <row r="361" spans="1:15">
      <c r="A361" s="10">
        <v>41767</v>
      </c>
      <c r="B361" s="7" t="s">
        <v>27</v>
      </c>
      <c r="C361">
        <v>32</v>
      </c>
      <c r="D361" t="s">
        <v>20</v>
      </c>
      <c r="E361">
        <v>266</v>
      </c>
      <c r="F361">
        <v>1.22</v>
      </c>
      <c r="G361">
        <v>7</v>
      </c>
      <c r="N361">
        <f t="shared" si="5"/>
        <v>103.65005999133332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13.580513816774925</v>
      </c>
    </row>
    <row r="362" spans="1:15">
      <c r="A362" s="10">
        <v>41767</v>
      </c>
      <c r="B362" s="7" t="s">
        <v>27</v>
      </c>
      <c r="C362">
        <v>32</v>
      </c>
      <c r="D362" t="s">
        <v>20</v>
      </c>
      <c r="E362">
        <v>97</v>
      </c>
      <c r="F362">
        <v>1</v>
      </c>
      <c r="N362">
        <f t="shared" si="5"/>
        <v>25.394519166666665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2.2095880000000001</v>
      </c>
    </row>
    <row r="363" spans="1:15">
      <c r="A363" s="10">
        <v>41767</v>
      </c>
      <c r="B363" s="7" t="s">
        <v>27</v>
      </c>
      <c r="C363">
        <v>32</v>
      </c>
      <c r="D363" t="s">
        <v>20</v>
      </c>
      <c r="E363">
        <v>246</v>
      </c>
      <c r="F363">
        <v>1.29</v>
      </c>
      <c r="G363">
        <v>4</v>
      </c>
      <c r="N363">
        <f t="shared" si="5"/>
        <v>107.17235833949999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12.923792993654406</v>
      </c>
    </row>
    <row r="364" spans="1:15">
      <c r="A364" s="10">
        <v>41767</v>
      </c>
      <c r="B364" s="7" t="s">
        <v>27</v>
      </c>
      <c r="C364">
        <v>32</v>
      </c>
      <c r="D364" t="s">
        <v>23</v>
      </c>
      <c r="F364">
        <v>2.2200000000000002</v>
      </c>
      <c r="J364">
        <f>167+120+113+172+137+205+209+230+247+249</f>
        <v>1849</v>
      </c>
      <c r="K364">
        <v>10</v>
      </c>
      <c r="L364">
        <v>249</v>
      </c>
      <c r="N364" t="str">
        <f t="shared" si="5"/>
        <v>NA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61.156444000000029</v>
      </c>
    </row>
    <row r="365" spans="1:15">
      <c r="A365" s="10">
        <v>41767</v>
      </c>
      <c r="B365" s="7" t="s">
        <v>27</v>
      </c>
      <c r="C365">
        <v>32</v>
      </c>
      <c r="D365" t="s">
        <v>23</v>
      </c>
      <c r="F365">
        <v>2.81</v>
      </c>
      <c r="J365">
        <f>150+154+193+197+249+257+283+279+290+298</f>
        <v>2350</v>
      </c>
      <c r="K365">
        <v>7</v>
      </c>
      <c r="L365">
        <v>298</v>
      </c>
      <c r="N365" t="str">
        <f t="shared" si="5"/>
        <v>NA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114.433753</v>
      </c>
    </row>
    <row r="366" spans="1:15">
      <c r="A366" s="10">
        <v>41767</v>
      </c>
      <c r="B366" s="7" t="s">
        <v>27</v>
      </c>
      <c r="C366">
        <v>32</v>
      </c>
      <c r="D366" t="s">
        <v>23</v>
      </c>
      <c r="F366">
        <v>2.0499999999999998</v>
      </c>
      <c r="J366">
        <f>101+125+139+179+192+212+215</f>
        <v>1163</v>
      </c>
      <c r="K366">
        <v>7</v>
      </c>
      <c r="L366">
        <v>215</v>
      </c>
      <c r="N366" t="str">
        <f t="shared" si="5"/>
        <v>NA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28.149903000000016</v>
      </c>
    </row>
    <row r="367" spans="1:15">
      <c r="A367" s="10">
        <v>41767</v>
      </c>
      <c r="B367" s="7" t="s">
        <v>27</v>
      </c>
      <c r="C367">
        <v>32</v>
      </c>
      <c r="D367" t="s">
        <v>23</v>
      </c>
      <c r="F367">
        <v>2.0299999999999998</v>
      </c>
      <c r="J367">
        <f>78+128+145+180+184+203+226+231</f>
        <v>1375</v>
      </c>
      <c r="K367">
        <v>8</v>
      </c>
      <c r="L367">
        <v>231</v>
      </c>
      <c r="N367" t="str">
        <f t="shared" si="5"/>
        <v>NA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36.18369000000002</v>
      </c>
    </row>
    <row r="368" spans="1:15">
      <c r="A368" s="10">
        <v>41767</v>
      </c>
      <c r="B368" s="7" t="s">
        <v>27</v>
      </c>
      <c r="C368">
        <v>32</v>
      </c>
      <c r="D368" t="s">
        <v>23</v>
      </c>
      <c r="F368">
        <v>1.24</v>
      </c>
      <c r="J368">
        <f>98+121+169+211+239+255</f>
        <v>1093</v>
      </c>
      <c r="K368">
        <v>6</v>
      </c>
      <c r="L368">
        <v>255</v>
      </c>
      <c r="N368" t="str">
        <f t="shared" si="5"/>
        <v>NA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16.559605999999995</v>
      </c>
    </row>
    <row r="369" spans="1:15">
      <c r="A369" s="10">
        <v>41767</v>
      </c>
      <c r="B369" s="7" t="s">
        <v>27</v>
      </c>
      <c r="C369">
        <v>32</v>
      </c>
      <c r="D369" t="s">
        <v>23</v>
      </c>
      <c r="F369">
        <v>1.28</v>
      </c>
      <c r="J369">
        <f>82+203+243+268+309+315</f>
        <v>1420</v>
      </c>
      <c r="K369">
        <v>6</v>
      </c>
      <c r="L369">
        <v>315</v>
      </c>
      <c r="N369" t="str">
        <f t="shared" si="5"/>
        <v>NA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29.14279100000001</v>
      </c>
    </row>
    <row r="370" spans="1:15">
      <c r="A370" s="10">
        <v>41767</v>
      </c>
      <c r="B370" s="7" t="s">
        <v>27</v>
      </c>
      <c r="C370">
        <v>32</v>
      </c>
      <c r="D370" t="s">
        <v>19</v>
      </c>
      <c r="F370">
        <v>1.1200000000000001</v>
      </c>
      <c r="J370">
        <f>51+101+138+165+178</f>
        <v>633</v>
      </c>
      <c r="K370">
        <v>5</v>
      </c>
      <c r="L370">
        <v>178</v>
      </c>
      <c r="N370" t="str">
        <f t="shared" si="5"/>
        <v>NA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3.6505240000000043</v>
      </c>
    </row>
    <row r="371" spans="1:15">
      <c r="A371" s="10">
        <v>41767</v>
      </c>
      <c r="B371" s="7" t="s">
        <v>27</v>
      </c>
      <c r="C371">
        <v>32</v>
      </c>
      <c r="D371" t="s">
        <v>19</v>
      </c>
      <c r="F371">
        <v>1.28</v>
      </c>
      <c r="J371">
        <f>65+82+132+144+196+200</f>
        <v>819</v>
      </c>
      <c r="K371">
        <v>6</v>
      </c>
      <c r="L371">
        <v>200</v>
      </c>
      <c r="N371" t="str">
        <f t="shared" si="5"/>
        <v>NA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7.4392110000000073</v>
      </c>
    </row>
    <row r="372" spans="1:15">
      <c r="A372" s="10">
        <v>41767</v>
      </c>
      <c r="B372" s="7" t="s">
        <v>27</v>
      </c>
      <c r="C372">
        <v>32</v>
      </c>
      <c r="D372" t="s">
        <v>19</v>
      </c>
      <c r="F372">
        <v>1.25</v>
      </c>
      <c r="J372">
        <f>74+84+145+160+206+218</f>
        <v>887</v>
      </c>
      <c r="K372">
        <v>6</v>
      </c>
      <c r="L372">
        <v>218</v>
      </c>
      <c r="N372" t="str">
        <f t="shared" si="5"/>
        <v>NA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8.3921410000000023</v>
      </c>
    </row>
    <row r="373" spans="1:15">
      <c r="A373" s="10">
        <v>41767</v>
      </c>
      <c r="B373" s="7" t="s">
        <v>27</v>
      </c>
      <c r="C373">
        <v>32</v>
      </c>
      <c r="D373" t="s">
        <v>19</v>
      </c>
      <c r="F373">
        <v>1.1100000000000001</v>
      </c>
      <c r="J373">
        <f>80+119+142+154+169</f>
        <v>664</v>
      </c>
      <c r="K373">
        <v>5</v>
      </c>
      <c r="L373">
        <v>169</v>
      </c>
      <c r="N373" t="str">
        <f t="shared" si="5"/>
        <v>NA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9.2681340000000034</v>
      </c>
    </row>
    <row r="374" spans="1:15">
      <c r="A374" s="10">
        <v>41767</v>
      </c>
      <c r="B374" s="7" t="s">
        <v>27</v>
      </c>
      <c r="C374">
        <v>32</v>
      </c>
      <c r="D374" t="s">
        <v>19</v>
      </c>
      <c r="F374">
        <v>2.1</v>
      </c>
      <c r="J374">
        <f>90+129+158+179+118+139+173+183+117</f>
        <v>1286</v>
      </c>
      <c r="K374">
        <v>9</v>
      </c>
      <c r="L374">
        <v>183</v>
      </c>
      <c r="N374" t="str">
        <f t="shared" si="5"/>
        <v>NA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35.276902000000007</v>
      </c>
    </row>
    <row r="375" spans="1:15">
      <c r="A375" s="10">
        <v>41767</v>
      </c>
      <c r="B375" s="7" t="s">
        <v>27</v>
      </c>
      <c r="C375">
        <v>32</v>
      </c>
      <c r="D375" t="s">
        <v>19</v>
      </c>
      <c r="F375">
        <v>1.46</v>
      </c>
      <c r="J375">
        <f>59+111+118+161+208+214</f>
        <v>871</v>
      </c>
      <c r="K375">
        <v>6</v>
      </c>
      <c r="L375">
        <v>214</v>
      </c>
      <c r="N375" t="str">
        <f t="shared" si="5"/>
        <v>NA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8.0970409999999973</v>
      </c>
    </row>
    <row r="376" spans="1:15">
      <c r="A376" s="10">
        <v>41767</v>
      </c>
      <c r="B376" s="7" t="s">
        <v>27</v>
      </c>
      <c r="C376">
        <v>32</v>
      </c>
      <c r="D376" t="s">
        <v>19</v>
      </c>
      <c r="F376">
        <v>0.97</v>
      </c>
      <c r="J376">
        <f>101+126+161+166</f>
        <v>554</v>
      </c>
      <c r="K376">
        <v>4</v>
      </c>
      <c r="L376">
        <v>166</v>
      </c>
      <c r="N376" t="str">
        <f t="shared" si="5"/>
        <v>NA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6.881172000000003</v>
      </c>
    </row>
    <row r="377" spans="1:15">
      <c r="A377" s="10">
        <v>41767</v>
      </c>
      <c r="B377" s="7" t="s">
        <v>27</v>
      </c>
      <c r="C377">
        <v>32</v>
      </c>
      <c r="D377" t="s">
        <v>19</v>
      </c>
      <c r="F377">
        <v>0.96</v>
      </c>
      <c r="J377">
        <f>35+73+52+134+135+163</f>
        <v>592</v>
      </c>
      <c r="K377">
        <v>6</v>
      </c>
      <c r="L377">
        <v>163</v>
      </c>
      <c r="N377" t="str">
        <f t="shared" si="5"/>
        <v>NA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-2.6971089999999975</v>
      </c>
    </row>
    <row r="378" spans="1:15">
      <c r="A378" s="10">
        <v>41767</v>
      </c>
      <c r="B378" s="7" t="s">
        <v>27</v>
      </c>
      <c r="C378">
        <v>32</v>
      </c>
      <c r="D378" t="s">
        <v>19</v>
      </c>
      <c r="F378">
        <v>1.3</v>
      </c>
      <c r="J378">
        <f>21+70+28+47+197+212</f>
        <v>575</v>
      </c>
      <c r="K378">
        <v>6</v>
      </c>
      <c r="L378">
        <v>212</v>
      </c>
      <c r="N378" t="str">
        <f t="shared" si="5"/>
        <v>NA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-19.051949</v>
      </c>
    </row>
    <row r="379" spans="1:15">
      <c r="A379" s="10">
        <v>41767</v>
      </c>
      <c r="B379" s="7" t="s">
        <v>27</v>
      </c>
      <c r="C379">
        <v>32</v>
      </c>
      <c r="D379" t="s">
        <v>19</v>
      </c>
      <c r="F379">
        <v>0.9</v>
      </c>
      <c r="J379">
        <f>62+75+119+136+181+183</f>
        <v>756</v>
      </c>
      <c r="K379">
        <v>6</v>
      </c>
      <c r="L379">
        <v>183</v>
      </c>
      <c r="N379" t="str">
        <f t="shared" si="5"/>
        <v>NA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6.6538110000000046</v>
      </c>
    </row>
    <row r="380" spans="1:15">
      <c r="A380" s="10">
        <v>41767</v>
      </c>
      <c r="B380" s="7" t="s">
        <v>27</v>
      </c>
      <c r="C380">
        <v>32</v>
      </c>
      <c r="D380" t="s">
        <v>19</v>
      </c>
      <c r="F380">
        <v>0.87</v>
      </c>
      <c r="J380">
        <f>42+61+88+106</f>
        <v>297</v>
      </c>
      <c r="K380">
        <v>4</v>
      </c>
      <c r="L380">
        <v>106</v>
      </c>
      <c r="N380" t="str">
        <f t="shared" si="5"/>
        <v>NA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0.86083699999999652</v>
      </c>
    </row>
    <row r="381" spans="1:15">
      <c r="A381" s="10">
        <v>41767</v>
      </c>
      <c r="B381" s="7" t="s">
        <v>27</v>
      </c>
      <c r="C381">
        <v>32</v>
      </c>
      <c r="D381" t="s">
        <v>19</v>
      </c>
      <c r="F381">
        <v>1.56</v>
      </c>
      <c r="J381">
        <f>42+72+127+138+194+195</f>
        <v>768</v>
      </c>
      <c r="K381">
        <v>6</v>
      </c>
      <c r="L381">
        <v>195</v>
      </c>
      <c r="N381" t="str">
        <f t="shared" si="5"/>
        <v>NA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4.1639309999999981</v>
      </c>
    </row>
    <row r="382" spans="1:15">
      <c r="A382" s="10">
        <v>41767</v>
      </c>
      <c r="B382" s="7" t="s">
        <v>27</v>
      </c>
      <c r="C382">
        <v>32</v>
      </c>
      <c r="D382" t="s">
        <v>19</v>
      </c>
      <c r="F382">
        <v>1.1299999999999999</v>
      </c>
      <c r="J382">
        <f>74+99+150+160+203</f>
        <v>686</v>
      </c>
      <c r="K382">
        <v>5</v>
      </c>
      <c r="L382">
        <v>203</v>
      </c>
      <c r="N382" t="str">
        <f t="shared" si="5"/>
        <v>NA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1.0884140000000073</v>
      </c>
    </row>
    <row r="383" spans="1:15">
      <c r="A383" s="10">
        <v>41767</v>
      </c>
      <c r="B383" s="7" t="s">
        <v>27</v>
      </c>
      <c r="C383">
        <v>50</v>
      </c>
      <c r="D383" t="s">
        <v>19</v>
      </c>
      <c r="F383">
        <v>2.56</v>
      </c>
      <c r="J383">
        <f>73+75+109+107+133+142+155+161</f>
        <v>955</v>
      </c>
      <c r="K383">
        <v>8</v>
      </c>
      <c r="L383">
        <v>161</v>
      </c>
      <c r="N383" t="str">
        <f t="shared" si="5"/>
        <v>NA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17.893740000000008</v>
      </c>
    </row>
    <row r="384" spans="1:15">
      <c r="A384" s="10">
        <v>41767</v>
      </c>
      <c r="B384" s="7" t="s">
        <v>27</v>
      </c>
      <c r="C384">
        <v>50</v>
      </c>
      <c r="D384" t="s">
        <v>19</v>
      </c>
      <c r="F384">
        <v>1.64</v>
      </c>
      <c r="J384">
        <f>86+90+122+124+140+48</f>
        <v>610</v>
      </c>
      <c r="K384">
        <v>6</v>
      </c>
      <c r="L384">
        <v>140</v>
      </c>
      <c r="N384" t="str">
        <f t="shared" si="5"/>
        <v>NA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5.9191160000000025</v>
      </c>
    </row>
    <row r="385" spans="1:15">
      <c r="A385" s="10">
        <v>41767</v>
      </c>
      <c r="B385" s="7" t="s">
        <v>27</v>
      </c>
      <c r="C385">
        <v>50</v>
      </c>
      <c r="D385" t="s">
        <v>19</v>
      </c>
      <c r="F385">
        <v>2.4</v>
      </c>
      <c r="J385">
        <f>50+90+100+127+130+147+157</f>
        <v>801</v>
      </c>
      <c r="K385">
        <v>7</v>
      </c>
      <c r="L385">
        <v>157</v>
      </c>
      <c r="N385" t="str">
        <f t="shared" si="5"/>
        <v>NA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11.682803000000007</v>
      </c>
    </row>
    <row r="386" spans="1:15">
      <c r="A386" s="10">
        <v>41767</v>
      </c>
      <c r="B386" s="7" t="s">
        <v>27</v>
      </c>
      <c r="C386">
        <v>50</v>
      </c>
      <c r="D386" t="s">
        <v>19</v>
      </c>
      <c r="F386">
        <v>4.43</v>
      </c>
      <c r="J386">
        <f>90+124+130+143+163+164+181+186+198+203</f>
        <v>1582</v>
      </c>
      <c r="K386">
        <v>10</v>
      </c>
      <c r="L386">
        <v>203</v>
      </c>
      <c r="N386" t="str">
        <f t="shared" si="5"/>
        <v>NA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49.98112900000001</v>
      </c>
    </row>
    <row r="387" spans="1:15">
      <c r="A387" s="10">
        <v>41767</v>
      </c>
      <c r="B387" s="7" t="s">
        <v>27</v>
      </c>
      <c r="C387">
        <v>50</v>
      </c>
      <c r="D387" t="s">
        <v>19</v>
      </c>
      <c r="F387">
        <v>4.01</v>
      </c>
      <c r="J387">
        <f>93+130+135+162+173+188+200+204</f>
        <v>1285</v>
      </c>
      <c r="K387">
        <v>8</v>
      </c>
      <c r="L387">
        <v>204</v>
      </c>
      <c r="N387" t="str">
        <f t="shared" si="5"/>
        <v>NA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35.879355000000018</v>
      </c>
    </row>
    <row r="388" spans="1:15">
      <c r="A388" s="10">
        <v>41767</v>
      </c>
      <c r="B388" s="7" t="s">
        <v>27</v>
      </c>
      <c r="C388">
        <v>50</v>
      </c>
      <c r="D388" t="s">
        <v>19</v>
      </c>
      <c r="F388">
        <v>2.6</v>
      </c>
      <c r="J388">
        <f>28+75+87+103+123+129+151+153</f>
        <v>849</v>
      </c>
      <c r="K388">
        <v>8</v>
      </c>
      <c r="L388">
        <v>153</v>
      </c>
      <c r="N388" t="str">
        <f t="shared" ref="N388:N451" si="6">IF(OR(D388="S. acutus", D388="S. tabernaemontani", D388="S. californicus"),(1/3)*(3.14159)*((F388/2)^2)*E388,"NA")</f>
        <v>NA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10.365669999999994</v>
      </c>
    </row>
    <row r="389" spans="1:15">
      <c r="A389" s="6">
        <v>41774</v>
      </c>
      <c r="B389" s="7" t="s">
        <v>32</v>
      </c>
      <c r="C389">
        <v>3</v>
      </c>
      <c r="D389" t="s">
        <v>20</v>
      </c>
      <c r="E389">
        <v>98</v>
      </c>
      <c r="F389">
        <v>1.1100000000000001</v>
      </c>
      <c r="G389">
        <v>6</v>
      </c>
      <c r="N389">
        <f t="shared" si="6"/>
        <v>31.611149818499999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4.7916032741905363</v>
      </c>
    </row>
    <row r="390" spans="1:15">
      <c r="A390" s="6">
        <v>41774</v>
      </c>
      <c r="B390" s="7" t="s">
        <v>32</v>
      </c>
      <c r="C390">
        <v>3</v>
      </c>
      <c r="D390" t="s">
        <v>20</v>
      </c>
      <c r="E390">
        <v>90</v>
      </c>
      <c r="F390">
        <v>2.2999999999999998</v>
      </c>
      <c r="N390">
        <f t="shared" si="6"/>
        <v>124.64258324999996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1.7188530000000002</v>
      </c>
    </row>
    <row r="391" spans="1:15">
      <c r="A391" s="6">
        <v>41774</v>
      </c>
      <c r="B391" s="7" t="s">
        <v>32</v>
      </c>
      <c r="C391">
        <v>3</v>
      </c>
      <c r="D391" t="s">
        <v>20</v>
      </c>
      <c r="E391">
        <v>62</v>
      </c>
      <c r="F391">
        <v>1.1000000000000001</v>
      </c>
      <c r="N391">
        <f t="shared" si="6"/>
        <v>19.640173483333335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-0.2440869999999995</v>
      </c>
    </row>
    <row r="392" spans="1:15">
      <c r="A392" s="6">
        <v>41774</v>
      </c>
      <c r="B392" s="7" t="s">
        <v>32</v>
      </c>
      <c r="C392">
        <v>3</v>
      </c>
      <c r="D392" t="s">
        <v>20</v>
      </c>
      <c r="E392">
        <v>205</v>
      </c>
      <c r="F392">
        <v>1.3</v>
      </c>
      <c r="G392">
        <v>5</v>
      </c>
      <c r="N392">
        <f t="shared" si="6"/>
        <v>90.700321291666668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10.814587475880829</v>
      </c>
    </row>
    <row r="393" spans="1:15">
      <c r="A393" s="6">
        <v>41774</v>
      </c>
      <c r="B393" s="7" t="s">
        <v>32</v>
      </c>
      <c r="C393">
        <v>3</v>
      </c>
      <c r="D393" t="s">
        <v>20</v>
      </c>
      <c r="E393">
        <v>32</v>
      </c>
      <c r="F393">
        <v>1.04</v>
      </c>
      <c r="N393">
        <f t="shared" si="6"/>
        <v>9.0611833173333327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-2.3472369999999998</v>
      </c>
    </row>
    <row r="394" spans="1:15">
      <c r="A394" s="6">
        <v>41774</v>
      </c>
      <c r="B394" s="7" t="s">
        <v>32</v>
      </c>
      <c r="C394">
        <v>3</v>
      </c>
      <c r="D394" t="s">
        <v>20</v>
      </c>
      <c r="E394">
        <v>211</v>
      </c>
      <c r="F394">
        <v>2.06</v>
      </c>
      <c r="G394">
        <v>17</v>
      </c>
      <c r="N394">
        <f t="shared" si="6"/>
        <v>234.41486911366664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15.673367858842269</v>
      </c>
    </row>
    <row r="395" spans="1:15">
      <c r="A395" s="6">
        <v>41774</v>
      </c>
      <c r="B395" s="7" t="s">
        <v>32</v>
      </c>
      <c r="C395">
        <v>3</v>
      </c>
      <c r="D395" t="s">
        <v>20</v>
      </c>
      <c r="E395">
        <v>162</v>
      </c>
      <c r="F395">
        <v>0.76</v>
      </c>
      <c r="N395">
        <f t="shared" si="6"/>
        <v>24.496862183999998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6.7664130000000009</v>
      </c>
    </row>
    <row r="396" spans="1:15">
      <c r="A396" s="6">
        <v>41774</v>
      </c>
      <c r="B396" s="7" t="s">
        <v>32</v>
      </c>
      <c r="C396">
        <v>3</v>
      </c>
      <c r="D396" t="s">
        <v>20</v>
      </c>
      <c r="E396">
        <v>24</v>
      </c>
      <c r="F396">
        <v>1.97</v>
      </c>
      <c r="N396">
        <f t="shared" si="6"/>
        <v>24.384393262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-2.9080769999999996</v>
      </c>
    </row>
    <row r="397" spans="1:15">
      <c r="A397" s="6">
        <v>41774</v>
      </c>
      <c r="B397" s="7" t="s">
        <v>32</v>
      </c>
      <c r="C397">
        <v>3</v>
      </c>
      <c r="D397" t="s">
        <v>20</v>
      </c>
      <c r="E397">
        <v>207</v>
      </c>
      <c r="F397">
        <v>1.79</v>
      </c>
      <c r="G397">
        <v>6</v>
      </c>
      <c r="N397">
        <f t="shared" si="6"/>
        <v>173.63795695274996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13.562268188039805</v>
      </c>
    </row>
    <row r="398" spans="1:15">
      <c r="A398" s="6">
        <v>41774</v>
      </c>
      <c r="B398" s="7" t="s">
        <v>32</v>
      </c>
      <c r="C398">
        <v>3</v>
      </c>
      <c r="D398" t="s">
        <v>20</v>
      </c>
      <c r="E398">
        <v>220</v>
      </c>
      <c r="F398">
        <v>2.4900000000000002</v>
      </c>
      <c r="N398">
        <f t="shared" si="6"/>
        <v>357.099822915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10.832502999999999</v>
      </c>
    </row>
    <row r="399" spans="1:15">
      <c r="A399" s="6">
        <v>41774</v>
      </c>
      <c r="B399" s="7" t="s">
        <v>32</v>
      </c>
      <c r="C399">
        <v>3</v>
      </c>
      <c r="D399" t="s">
        <v>20</v>
      </c>
      <c r="E399">
        <v>96</v>
      </c>
      <c r="F399">
        <v>1.82</v>
      </c>
      <c r="N399">
        <f t="shared" si="6"/>
        <v>83.249621727999994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2.1394830000000002</v>
      </c>
    </row>
    <row r="400" spans="1:15">
      <c r="A400" s="6">
        <v>41774</v>
      </c>
      <c r="B400" s="7" t="s">
        <v>32</v>
      </c>
      <c r="C400">
        <v>3</v>
      </c>
      <c r="D400" t="s">
        <v>20</v>
      </c>
      <c r="E400">
        <v>170</v>
      </c>
      <c r="F400">
        <v>2.35</v>
      </c>
      <c r="N400">
        <f t="shared" si="6"/>
        <v>245.78360264583333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7.3272529999999998</v>
      </c>
    </row>
    <row r="401" spans="1:15">
      <c r="A401" s="6">
        <v>41774</v>
      </c>
      <c r="B401" s="7" t="s">
        <v>32</v>
      </c>
      <c r="C401">
        <v>3</v>
      </c>
      <c r="D401" t="s">
        <v>25</v>
      </c>
      <c r="E401">
        <v>139</v>
      </c>
      <c r="F401">
        <v>1.55</v>
      </c>
      <c r="N401">
        <f t="shared" si="6"/>
        <v>87.427177210416659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5.1539980000000005</v>
      </c>
    </row>
    <row r="402" spans="1:15">
      <c r="A402" s="6">
        <v>41774</v>
      </c>
      <c r="B402" s="7" t="s">
        <v>32</v>
      </c>
      <c r="C402">
        <v>3</v>
      </c>
      <c r="D402" t="s">
        <v>25</v>
      </c>
      <c r="E402">
        <v>215</v>
      </c>
      <c r="F402">
        <v>1.97</v>
      </c>
      <c r="N402">
        <f t="shared" si="6"/>
        <v>218.44352297208334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10.481978000000002</v>
      </c>
    </row>
    <row r="403" spans="1:15">
      <c r="A403" s="6">
        <v>41774</v>
      </c>
      <c r="B403" s="7" t="s">
        <v>32</v>
      </c>
      <c r="C403">
        <v>3</v>
      </c>
      <c r="D403" t="s">
        <v>25</v>
      </c>
      <c r="E403">
        <v>263</v>
      </c>
      <c r="F403">
        <v>2.64</v>
      </c>
      <c r="G403">
        <v>5</v>
      </c>
      <c r="N403">
        <f t="shared" si="6"/>
        <v>479.87912913600002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34.118365693789663</v>
      </c>
    </row>
    <row r="404" spans="1:15">
      <c r="A404" s="6">
        <v>41774</v>
      </c>
      <c r="B404" s="7" t="s">
        <v>32</v>
      </c>
      <c r="C404">
        <v>3</v>
      </c>
      <c r="D404" t="s">
        <v>25</v>
      </c>
      <c r="E404">
        <v>66</v>
      </c>
      <c r="F404">
        <v>1.9</v>
      </c>
      <c r="N404">
        <f t="shared" si="6"/>
        <v>62.376269449999995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3.6332999999999949E-2</v>
      </c>
    </row>
    <row r="405" spans="1:15">
      <c r="A405" s="6">
        <v>41774</v>
      </c>
      <c r="B405" s="7" t="s">
        <v>32</v>
      </c>
      <c r="C405">
        <v>3</v>
      </c>
      <c r="D405" t="s">
        <v>23</v>
      </c>
      <c r="F405">
        <v>3.21</v>
      </c>
      <c r="J405">
        <f>78+126+130+139+167+184+200+209</f>
        <v>1233</v>
      </c>
      <c r="K405">
        <v>8</v>
      </c>
      <c r="L405">
        <v>209</v>
      </c>
      <c r="N405" t="str">
        <f t="shared" si="6"/>
        <v>NA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29.497870000000013</v>
      </c>
    </row>
    <row r="406" spans="1:15">
      <c r="A406" s="6">
        <v>41774</v>
      </c>
      <c r="B406" s="7" t="s">
        <v>32</v>
      </c>
      <c r="C406">
        <v>3</v>
      </c>
      <c r="D406" t="s">
        <v>23</v>
      </c>
      <c r="F406">
        <v>2.89</v>
      </c>
      <c r="J406">
        <f>125+178+200+211+220+236+245+247+254</f>
        <v>1916</v>
      </c>
      <c r="K406">
        <v>9</v>
      </c>
      <c r="L406">
        <v>254</v>
      </c>
      <c r="N406" t="str">
        <f t="shared" si="6"/>
        <v>NA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72.954157000000009</v>
      </c>
    </row>
    <row r="407" spans="1:15">
      <c r="A407" s="6">
        <v>41774</v>
      </c>
      <c r="B407" s="7" t="s">
        <v>32</v>
      </c>
      <c r="C407">
        <v>3</v>
      </c>
      <c r="D407" t="s">
        <v>19</v>
      </c>
      <c r="F407">
        <v>4.16</v>
      </c>
      <c r="J407">
        <f>75+111+146+197+173+165+177+196+208+207+238+227+224</f>
        <v>2344</v>
      </c>
      <c r="K407">
        <v>13</v>
      </c>
      <c r="L407">
        <v>238</v>
      </c>
      <c r="N407" t="str">
        <f t="shared" si="6"/>
        <v>NA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89.811805000000021</v>
      </c>
    </row>
    <row r="408" spans="1:15">
      <c r="A408" s="6">
        <v>41774</v>
      </c>
      <c r="B408" s="7" t="s">
        <v>32</v>
      </c>
      <c r="C408">
        <v>3</v>
      </c>
      <c r="D408" t="s">
        <v>19</v>
      </c>
      <c r="F408">
        <v>1.5</v>
      </c>
      <c r="J408">
        <f>52+57+76+78+104</f>
        <v>367</v>
      </c>
      <c r="K408">
        <v>5</v>
      </c>
      <c r="L408">
        <v>104</v>
      </c>
      <c r="N408" t="str">
        <f t="shared" si="6"/>
        <v>NA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1.0038240000000016</v>
      </c>
    </row>
    <row r="409" spans="1:15">
      <c r="A409" s="6">
        <v>41774</v>
      </c>
      <c r="B409" s="7" t="s">
        <v>32</v>
      </c>
      <c r="C409">
        <v>3</v>
      </c>
      <c r="D409" t="s">
        <v>19</v>
      </c>
      <c r="F409">
        <v>3.31</v>
      </c>
      <c r="J409">
        <f>72+90+180+208+152+163+165+174</f>
        <v>1204</v>
      </c>
      <c r="K409">
        <v>8</v>
      </c>
      <c r="L409">
        <v>174</v>
      </c>
      <c r="N409" t="str">
        <f t="shared" si="6"/>
        <v>NA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37.322550000000007</v>
      </c>
    </row>
    <row r="410" spans="1:15">
      <c r="A410" s="6">
        <v>41774</v>
      </c>
      <c r="B410" s="7" t="s">
        <v>32</v>
      </c>
      <c r="C410">
        <v>3</v>
      </c>
      <c r="D410" t="s">
        <v>19</v>
      </c>
      <c r="F410">
        <v>0.57999999999999996</v>
      </c>
      <c r="J410">
        <f>50+136</f>
        <v>186</v>
      </c>
      <c r="K410">
        <v>2</v>
      </c>
      <c r="L410">
        <v>136</v>
      </c>
      <c r="N410" t="str">
        <f t="shared" si="6"/>
        <v>NA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-4.5386120000000005</v>
      </c>
    </row>
    <row r="411" spans="1:15">
      <c r="A411" s="6">
        <v>41774</v>
      </c>
      <c r="B411" s="7" t="s">
        <v>32</v>
      </c>
      <c r="C411">
        <v>12</v>
      </c>
      <c r="D411" t="s">
        <v>20</v>
      </c>
      <c r="E411">
        <v>36</v>
      </c>
      <c r="F411">
        <v>0.7</v>
      </c>
      <c r="N411">
        <f t="shared" si="6"/>
        <v>4.618137299999999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-2.0668169999999999</v>
      </c>
    </row>
    <row r="412" spans="1:15">
      <c r="A412" s="6">
        <v>41774</v>
      </c>
      <c r="B412" s="7" t="s">
        <v>32</v>
      </c>
      <c r="C412">
        <v>12</v>
      </c>
      <c r="D412" t="s">
        <v>20</v>
      </c>
      <c r="E412">
        <v>52</v>
      </c>
      <c r="F412">
        <v>0.69</v>
      </c>
      <c r="N412">
        <f t="shared" si="6"/>
        <v>6.4814143289999979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-0.94513699999999989</v>
      </c>
    </row>
    <row r="413" spans="1:15">
      <c r="A413" s="6">
        <v>41774</v>
      </c>
      <c r="B413" s="7" t="s">
        <v>32</v>
      </c>
      <c r="C413">
        <v>12</v>
      </c>
      <c r="D413" t="s">
        <v>20</v>
      </c>
      <c r="E413">
        <v>230</v>
      </c>
      <c r="F413">
        <v>1.18</v>
      </c>
      <c r="N413">
        <f t="shared" si="6"/>
        <v>83.841706723333317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11.533553000000001</v>
      </c>
    </row>
    <row r="414" spans="1:15">
      <c r="A414" s="6">
        <v>41774</v>
      </c>
      <c r="B414" s="7" t="s">
        <v>32</v>
      </c>
      <c r="C414">
        <v>12</v>
      </c>
      <c r="D414" t="s">
        <v>20</v>
      </c>
      <c r="E414">
        <v>221</v>
      </c>
      <c r="F414">
        <v>1.48</v>
      </c>
      <c r="N414">
        <f t="shared" si="6"/>
        <v>126.73132172133332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10.902608000000001</v>
      </c>
    </row>
    <row r="415" spans="1:15">
      <c r="A415" s="6">
        <v>41774</v>
      </c>
      <c r="B415" s="7" t="s">
        <v>32</v>
      </c>
      <c r="C415">
        <v>12</v>
      </c>
      <c r="D415" t="s">
        <v>20</v>
      </c>
      <c r="E415">
        <v>196</v>
      </c>
      <c r="F415">
        <v>1.8</v>
      </c>
      <c r="N415">
        <f t="shared" si="6"/>
        <v>166.2529428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9.1499829999999989</v>
      </c>
    </row>
    <row r="416" spans="1:15">
      <c r="A416" s="6">
        <v>41774</v>
      </c>
      <c r="B416" s="7" t="s">
        <v>32</v>
      </c>
      <c r="C416">
        <v>12</v>
      </c>
      <c r="D416" t="s">
        <v>20</v>
      </c>
      <c r="E416">
        <v>123</v>
      </c>
      <c r="F416">
        <v>1.0900000000000001</v>
      </c>
      <c r="N416">
        <f t="shared" si="6"/>
        <v>38.258361559750007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4.032318000000001</v>
      </c>
    </row>
    <row r="417" spans="1:15">
      <c r="A417" s="6">
        <v>41774</v>
      </c>
      <c r="B417" s="7" t="s">
        <v>32</v>
      </c>
      <c r="C417">
        <v>12</v>
      </c>
      <c r="D417" t="s">
        <v>20</v>
      </c>
      <c r="E417">
        <v>203</v>
      </c>
      <c r="F417">
        <v>1.21</v>
      </c>
      <c r="N417">
        <f t="shared" si="6"/>
        <v>77.809932463083314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9.6407179999999997</v>
      </c>
    </row>
    <row r="418" spans="1:15">
      <c r="A418" s="6">
        <v>41774</v>
      </c>
      <c r="B418" s="7" t="s">
        <v>32</v>
      </c>
      <c r="C418">
        <v>12</v>
      </c>
      <c r="D418" t="s">
        <v>20</v>
      </c>
      <c r="E418">
        <v>257</v>
      </c>
      <c r="F418">
        <v>1.52</v>
      </c>
      <c r="N418">
        <f t="shared" si="6"/>
        <v>155.44922422933334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13.426388000000003</v>
      </c>
    </row>
    <row r="419" spans="1:15">
      <c r="A419" s="6">
        <v>41774</v>
      </c>
      <c r="B419" s="7" t="s">
        <v>32</v>
      </c>
      <c r="C419">
        <v>12</v>
      </c>
      <c r="D419" t="s">
        <v>20</v>
      </c>
      <c r="E419">
        <v>179</v>
      </c>
      <c r="F419">
        <v>1.23</v>
      </c>
      <c r="N419">
        <f t="shared" si="6"/>
        <v>70.89759670574999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7.9581980000000003</v>
      </c>
    </row>
    <row r="420" spans="1:15">
      <c r="A420" s="6">
        <v>41774</v>
      </c>
      <c r="B420" s="7" t="s">
        <v>32</v>
      </c>
      <c r="C420">
        <v>12</v>
      </c>
      <c r="D420" t="s">
        <v>20</v>
      </c>
      <c r="E420">
        <v>345</v>
      </c>
      <c r="F420">
        <v>2.73</v>
      </c>
      <c r="N420">
        <f t="shared" si="6"/>
        <v>673.15123819124983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19.595628000000001</v>
      </c>
    </row>
    <row r="421" spans="1:15">
      <c r="A421" s="6">
        <v>41774</v>
      </c>
      <c r="B421" s="7" t="s">
        <v>32</v>
      </c>
      <c r="C421">
        <v>12</v>
      </c>
      <c r="D421" t="s">
        <v>20</v>
      </c>
      <c r="E421">
        <v>70</v>
      </c>
      <c r="F421">
        <v>1.36</v>
      </c>
      <c r="N421">
        <f t="shared" si="6"/>
        <v>33.895661706666665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0.31675300000000028</v>
      </c>
    </row>
    <row r="422" spans="1:15">
      <c r="A422" s="6">
        <v>41774</v>
      </c>
      <c r="B422" s="7" t="s">
        <v>32</v>
      </c>
      <c r="C422">
        <v>12</v>
      </c>
      <c r="D422" t="s">
        <v>20</v>
      </c>
      <c r="E422">
        <v>172</v>
      </c>
      <c r="F422">
        <v>1.44</v>
      </c>
      <c r="N422">
        <f t="shared" si="6"/>
        <v>93.373081343999985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7.4674629999999995</v>
      </c>
    </row>
    <row r="423" spans="1:15">
      <c r="A423" s="6">
        <v>41774</v>
      </c>
      <c r="B423" s="7" t="s">
        <v>32</v>
      </c>
      <c r="C423">
        <v>12</v>
      </c>
      <c r="D423" t="s">
        <v>20</v>
      </c>
      <c r="E423">
        <v>43</v>
      </c>
      <c r="F423">
        <v>2.2400000000000002</v>
      </c>
      <c r="N423">
        <f t="shared" si="6"/>
        <v>56.484950442666666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-1.576082</v>
      </c>
    </row>
    <row r="424" spans="1:15">
      <c r="A424" s="6">
        <v>41774</v>
      </c>
      <c r="B424" s="7" t="s">
        <v>32</v>
      </c>
      <c r="C424">
        <v>12</v>
      </c>
      <c r="D424" t="s">
        <v>20</v>
      </c>
      <c r="E424">
        <v>136</v>
      </c>
      <c r="F424">
        <v>1.51</v>
      </c>
      <c r="N424">
        <f t="shared" si="6"/>
        <v>81.182246068666657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4.9436830000000009</v>
      </c>
    </row>
    <row r="425" spans="1:15">
      <c r="A425" s="6">
        <v>41774</v>
      </c>
      <c r="B425" s="7" t="s">
        <v>32</v>
      </c>
      <c r="C425">
        <v>12</v>
      </c>
      <c r="D425" t="s">
        <v>20</v>
      </c>
      <c r="E425">
        <v>260</v>
      </c>
      <c r="F425">
        <v>1.42</v>
      </c>
      <c r="N425">
        <f t="shared" si="6"/>
        <v>137.25187831333332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13.636703000000001</v>
      </c>
    </row>
    <row r="426" spans="1:15">
      <c r="A426" s="6">
        <v>41774</v>
      </c>
      <c r="B426" s="7" t="s">
        <v>32</v>
      </c>
      <c r="C426">
        <v>16</v>
      </c>
      <c r="D426" t="s">
        <v>20</v>
      </c>
      <c r="E426">
        <v>196</v>
      </c>
      <c r="F426">
        <v>3.01</v>
      </c>
      <c r="N426">
        <f t="shared" si="6"/>
        <v>464.89761946366656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9.1499829999999989</v>
      </c>
    </row>
    <row r="427" spans="1:15">
      <c r="A427" s="6">
        <v>41774</v>
      </c>
      <c r="B427" s="7" t="s">
        <v>32</v>
      </c>
      <c r="C427">
        <v>16</v>
      </c>
      <c r="D427" t="s">
        <v>20</v>
      </c>
      <c r="E427">
        <v>92</v>
      </c>
      <c r="F427">
        <v>1.27</v>
      </c>
      <c r="N427">
        <f t="shared" si="6"/>
        <v>38.847540584333331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1.8590629999999999</v>
      </c>
    </row>
    <row r="428" spans="1:15">
      <c r="A428" s="6">
        <v>41774</v>
      </c>
      <c r="B428" s="7" t="s">
        <v>32</v>
      </c>
      <c r="C428">
        <v>16</v>
      </c>
      <c r="D428" t="s">
        <v>20</v>
      </c>
      <c r="E428">
        <v>25</v>
      </c>
      <c r="F428">
        <v>1.61</v>
      </c>
      <c r="N428">
        <f t="shared" si="6"/>
        <v>16.965240497916668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-2.8379719999999997</v>
      </c>
    </row>
    <row r="429" spans="1:15">
      <c r="A429" s="6">
        <v>41774</v>
      </c>
      <c r="B429" s="7" t="s">
        <v>32</v>
      </c>
      <c r="C429">
        <v>16</v>
      </c>
      <c r="D429" t="s">
        <v>20</v>
      </c>
      <c r="E429">
        <v>35</v>
      </c>
      <c r="F429">
        <v>0.76</v>
      </c>
      <c r="N429">
        <f t="shared" si="6"/>
        <v>5.2925319533333335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-2.1369219999999998</v>
      </c>
    </row>
    <row r="430" spans="1:15">
      <c r="A430" s="6">
        <v>41774</v>
      </c>
      <c r="B430" s="7" t="s">
        <v>32</v>
      </c>
      <c r="C430">
        <v>22</v>
      </c>
      <c r="M430" t="s">
        <v>33</v>
      </c>
      <c r="N430" t="str">
        <f t="shared" si="6"/>
        <v>NA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0</v>
      </c>
    </row>
    <row r="431" spans="1:15">
      <c r="A431" s="6">
        <v>41774</v>
      </c>
      <c r="B431" s="7" t="s">
        <v>32</v>
      </c>
      <c r="C431">
        <v>34</v>
      </c>
      <c r="D431" t="s">
        <v>23</v>
      </c>
      <c r="E431">
        <v>94</v>
      </c>
      <c r="F431">
        <v>3.9</v>
      </c>
      <c r="H431">
        <v>26</v>
      </c>
      <c r="I431">
        <v>2</v>
      </c>
      <c r="N431" t="str">
        <f t="shared" si="6"/>
        <v>NA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64.639384300000017</v>
      </c>
    </row>
    <row r="432" spans="1:15">
      <c r="A432" s="6">
        <v>41774</v>
      </c>
      <c r="B432" s="7" t="s">
        <v>32</v>
      </c>
      <c r="C432">
        <v>34</v>
      </c>
      <c r="D432" t="s">
        <v>19</v>
      </c>
      <c r="F432">
        <v>1.04</v>
      </c>
      <c r="J432">
        <f>36+42+57+62</f>
        <v>197</v>
      </c>
      <c r="K432">
        <v>4</v>
      </c>
      <c r="L432">
        <v>62</v>
      </c>
      <c r="N432" t="str">
        <f t="shared" si="6"/>
        <v>NA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4.7401169999999979</v>
      </c>
    </row>
    <row r="433" spans="1:15">
      <c r="A433" s="6">
        <v>41774</v>
      </c>
      <c r="B433" s="7" t="s">
        <v>32</v>
      </c>
      <c r="C433">
        <v>34</v>
      </c>
      <c r="D433" t="s">
        <v>19</v>
      </c>
      <c r="F433">
        <v>1.75</v>
      </c>
      <c r="J433">
        <f>93+124+153</f>
        <v>370</v>
      </c>
      <c r="K433">
        <v>3</v>
      </c>
      <c r="L433">
        <v>153</v>
      </c>
      <c r="N433" t="str">
        <f t="shared" si="6"/>
        <v>NA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0.56878999999999991</v>
      </c>
    </row>
    <row r="434" spans="1:15">
      <c r="A434" s="6">
        <v>41774</v>
      </c>
      <c r="B434" s="7" t="s">
        <v>32</v>
      </c>
      <c r="C434">
        <v>34</v>
      </c>
      <c r="D434" t="s">
        <v>19</v>
      </c>
      <c r="F434">
        <v>1.35</v>
      </c>
      <c r="J434">
        <f>35+36+41</f>
        <v>112</v>
      </c>
      <c r="K434">
        <v>3</v>
      </c>
      <c r="L434">
        <v>41</v>
      </c>
      <c r="N434" t="str">
        <f t="shared" si="6"/>
        <v>NA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10.119439999999997</v>
      </c>
    </row>
    <row r="435" spans="1:15">
      <c r="A435" s="6">
        <v>41774</v>
      </c>
      <c r="B435" s="7" t="s">
        <v>32</v>
      </c>
      <c r="C435">
        <v>34</v>
      </c>
      <c r="D435" t="s">
        <v>19</v>
      </c>
      <c r="F435">
        <v>3.09</v>
      </c>
      <c r="J435">
        <f>60+69+87+95+115+117</f>
        <v>543</v>
      </c>
      <c r="K435">
        <v>6</v>
      </c>
      <c r="L435">
        <v>117</v>
      </c>
      <c r="N435" t="str">
        <f t="shared" si="6"/>
        <v>NA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6.5661660000000026</v>
      </c>
    </row>
    <row r="436" spans="1:15">
      <c r="A436" s="6">
        <v>41774</v>
      </c>
      <c r="B436" s="7" t="s">
        <v>32</v>
      </c>
      <c r="C436">
        <v>34</v>
      </c>
      <c r="D436" t="s">
        <v>19</v>
      </c>
      <c r="F436">
        <v>3.11</v>
      </c>
      <c r="J436">
        <f>54+77+105+126+144+161+183+188</f>
        <v>1038</v>
      </c>
      <c r="K436">
        <v>8</v>
      </c>
      <c r="L436">
        <v>188</v>
      </c>
      <c r="N436" t="str">
        <f t="shared" si="6"/>
        <v>NA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17.541789999999999</v>
      </c>
    </row>
    <row r="437" spans="1:15">
      <c r="A437" s="6">
        <v>41774</v>
      </c>
      <c r="B437" s="7" t="s">
        <v>32</v>
      </c>
      <c r="C437">
        <v>34</v>
      </c>
      <c r="D437" t="s">
        <v>19</v>
      </c>
      <c r="F437">
        <v>1.99</v>
      </c>
      <c r="J437">
        <f>49+52+80+88+102+109+129</f>
        <v>609</v>
      </c>
      <c r="K437">
        <v>7</v>
      </c>
      <c r="L437">
        <v>129</v>
      </c>
      <c r="N437" t="str">
        <f t="shared" si="6"/>
        <v>NA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2.1167030000000011</v>
      </c>
    </row>
    <row r="438" spans="1:15">
      <c r="A438" s="6">
        <v>41774</v>
      </c>
      <c r="B438" s="7" t="s">
        <v>32</v>
      </c>
      <c r="C438">
        <v>34</v>
      </c>
      <c r="D438" t="s">
        <v>19</v>
      </c>
      <c r="F438">
        <v>5.2</v>
      </c>
      <c r="J438">
        <f>50+86+98+37+161+174+172+208+212+216</f>
        <v>1414</v>
      </c>
      <c r="K438">
        <v>10</v>
      </c>
      <c r="L438">
        <v>216</v>
      </c>
      <c r="N438" t="str">
        <f t="shared" si="6"/>
        <v>NA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30.314104000000007</v>
      </c>
    </row>
    <row r="439" spans="1:15">
      <c r="A439" s="6">
        <v>41774</v>
      </c>
      <c r="B439" s="7" t="s">
        <v>32</v>
      </c>
      <c r="C439">
        <v>34</v>
      </c>
      <c r="D439" t="s">
        <v>19</v>
      </c>
      <c r="F439">
        <v>1.18</v>
      </c>
      <c r="J439">
        <f>25+35+36+47</f>
        <v>143</v>
      </c>
      <c r="K439">
        <v>4</v>
      </c>
      <c r="L439">
        <v>47</v>
      </c>
      <c r="N439" t="str">
        <f t="shared" si="6"/>
        <v>NA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4.1960219999999993</v>
      </c>
    </row>
    <row r="440" spans="1:15">
      <c r="A440" s="6">
        <v>41774</v>
      </c>
      <c r="B440" s="7" t="s">
        <v>32</v>
      </c>
      <c r="C440">
        <v>34</v>
      </c>
      <c r="D440" t="s">
        <v>19</v>
      </c>
      <c r="F440">
        <v>2.2000000000000002</v>
      </c>
      <c r="J440">
        <f>96+64+110+162+178+200+217+228+155+182+207+225+228</f>
        <v>2252</v>
      </c>
      <c r="K440">
        <v>13</v>
      </c>
      <c r="L440">
        <v>228</v>
      </c>
      <c r="N440" t="str">
        <f t="shared" si="6"/>
        <v>NA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84.198795000000018</v>
      </c>
    </row>
    <row r="441" spans="1:15">
      <c r="A441" s="6">
        <v>41774</v>
      </c>
      <c r="B441" s="7" t="s">
        <v>32</v>
      </c>
      <c r="C441">
        <v>34</v>
      </c>
      <c r="D441" t="s">
        <v>19</v>
      </c>
      <c r="F441">
        <v>3.08</v>
      </c>
      <c r="J441">
        <f>102+128+149+170+174+175+174+187+191+158</f>
        <v>1608</v>
      </c>
      <c r="K441">
        <v>10</v>
      </c>
      <c r="L441">
        <v>191</v>
      </c>
      <c r="N441" t="str">
        <f t="shared" si="6"/>
        <v>NA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56.033698999999999</v>
      </c>
    </row>
    <row r="442" spans="1:15">
      <c r="A442" s="6">
        <v>41771</v>
      </c>
      <c r="B442" s="7" t="s">
        <v>30</v>
      </c>
      <c r="C442">
        <v>19</v>
      </c>
      <c r="D442" t="s">
        <v>19</v>
      </c>
      <c r="F442">
        <v>1.25</v>
      </c>
      <c r="J442">
        <f>65+65+73+93+108+140</f>
        <v>544</v>
      </c>
      <c r="K442">
        <v>6</v>
      </c>
      <c r="L442">
        <v>140</v>
      </c>
      <c r="N442" t="str">
        <f t="shared" si="6"/>
        <v>NA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-0.26871399999999568</v>
      </c>
    </row>
    <row r="443" spans="1:15">
      <c r="A443" s="9">
        <v>41771</v>
      </c>
      <c r="B443" s="7" t="s">
        <v>30</v>
      </c>
      <c r="C443">
        <v>19</v>
      </c>
      <c r="D443" t="s">
        <v>19</v>
      </c>
      <c r="F443">
        <v>1.77</v>
      </c>
      <c r="J443">
        <f>34+36+30+47+138</f>
        <v>285</v>
      </c>
      <c r="K443">
        <v>5</v>
      </c>
      <c r="L443">
        <v>138</v>
      </c>
      <c r="N443" t="str">
        <f t="shared" si="6"/>
        <v>NA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-16.926415999999996</v>
      </c>
    </row>
    <row r="444" spans="1:15">
      <c r="A444" s="6">
        <v>41771</v>
      </c>
      <c r="B444" s="7" t="s">
        <v>30</v>
      </c>
      <c r="C444">
        <v>19</v>
      </c>
      <c r="D444" t="s">
        <v>19</v>
      </c>
      <c r="F444">
        <v>3.52</v>
      </c>
      <c r="J444">
        <f>95+69+141+152+183+185+208+209</f>
        <v>1242</v>
      </c>
      <c r="K444">
        <v>8</v>
      </c>
      <c r="L444">
        <v>209</v>
      </c>
      <c r="N444" t="str">
        <f t="shared" si="6"/>
        <v>NA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30.341665000000013</v>
      </c>
    </row>
    <row r="445" spans="1:15">
      <c r="A445" s="9">
        <v>41771</v>
      </c>
      <c r="B445" s="7" t="s">
        <v>30</v>
      </c>
      <c r="C445">
        <v>19</v>
      </c>
      <c r="D445" t="s">
        <v>19</v>
      </c>
      <c r="F445">
        <v>2.56</v>
      </c>
      <c r="J445">
        <f>37+70+84+75+86+113+165+144+152+156</f>
        <v>1082</v>
      </c>
      <c r="K445">
        <v>10</v>
      </c>
      <c r="L445">
        <v>156</v>
      </c>
      <c r="N445" t="str">
        <f t="shared" si="6"/>
        <v>NA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17.262144000000013</v>
      </c>
    </row>
    <row r="446" spans="1:15">
      <c r="A446" s="6">
        <v>41771</v>
      </c>
      <c r="B446" s="7" t="s">
        <v>30</v>
      </c>
      <c r="C446">
        <v>19</v>
      </c>
      <c r="D446" t="s">
        <v>19</v>
      </c>
      <c r="F446">
        <v>2.27</v>
      </c>
      <c r="J446">
        <f>86+142+145+178+181+207+213</f>
        <v>1152</v>
      </c>
      <c r="K446">
        <v>7</v>
      </c>
      <c r="L446">
        <v>213</v>
      </c>
      <c r="N446" t="str">
        <f t="shared" si="6"/>
        <v>NA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27.721088000000016</v>
      </c>
    </row>
    <row r="447" spans="1:15">
      <c r="A447" s="9">
        <v>41771</v>
      </c>
      <c r="B447" s="7" t="s">
        <v>30</v>
      </c>
      <c r="C447">
        <v>19</v>
      </c>
      <c r="D447" t="s">
        <v>19</v>
      </c>
      <c r="F447">
        <v>2</v>
      </c>
      <c r="J447">
        <f>69+85+107+127+142</f>
        <v>530</v>
      </c>
      <c r="K447">
        <v>5</v>
      </c>
      <c r="L447">
        <v>142</v>
      </c>
      <c r="N447" t="str">
        <f t="shared" si="6"/>
        <v>NA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4.8385790000000028</v>
      </c>
    </row>
    <row r="448" spans="1:15">
      <c r="A448" s="6">
        <v>41771</v>
      </c>
      <c r="B448" s="7" t="s">
        <v>30</v>
      </c>
      <c r="C448">
        <v>19</v>
      </c>
      <c r="D448" t="s">
        <v>19</v>
      </c>
      <c r="F448">
        <v>1.93</v>
      </c>
      <c r="J448">
        <f>63+45+113+151+134+154+162</f>
        <v>822</v>
      </c>
      <c r="K448">
        <v>7</v>
      </c>
      <c r="L448">
        <v>162</v>
      </c>
      <c r="N448" t="str">
        <f t="shared" si="6"/>
        <v>NA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12.145432999999997</v>
      </c>
    </row>
    <row r="449" spans="1:15">
      <c r="A449" s="6">
        <v>41771</v>
      </c>
      <c r="B449" s="7" t="s">
        <v>30</v>
      </c>
      <c r="C449">
        <v>19</v>
      </c>
      <c r="D449" t="s">
        <v>19</v>
      </c>
      <c r="F449">
        <v>2.44</v>
      </c>
      <c r="J449">
        <f>52+87+115+138+156+162+80</f>
        <v>790</v>
      </c>
      <c r="K449">
        <v>7</v>
      </c>
      <c r="L449">
        <v>162</v>
      </c>
      <c r="N449" t="str">
        <f t="shared" si="6"/>
        <v>NA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9.1452730000000031</v>
      </c>
    </row>
    <row r="450" spans="1:15">
      <c r="A450" s="9">
        <v>41771</v>
      </c>
      <c r="B450" s="7" t="s">
        <v>30</v>
      </c>
      <c r="C450">
        <v>19</v>
      </c>
      <c r="D450" t="s">
        <v>19</v>
      </c>
      <c r="F450">
        <v>7.08</v>
      </c>
      <c r="J450">
        <f>84+129+124+158+167+195+195+218+219</f>
        <v>1489</v>
      </c>
      <c r="K450">
        <v>9</v>
      </c>
      <c r="L450">
        <v>219</v>
      </c>
      <c r="N450" t="str">
        <f t="shared" si="6"/>
        <v>NA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43.464347000000011</v>
      </c>
    </row>
    <row r="451" spans="1:15">
      <c r="A451" s="6">
        <v>41771</v>
      </c>
      <c r="B451" s="7" t="s">
        <v>30</v>
      </c>
      <c r="C451">
        <v>19</v>
      </c>
      <c r="D451" t="s">
        <v>19</v>
      </c>
      <c r="F451">
        <v>2.56</v>
      </c>
      <c r="J451">
        <f>66+73+118+63+67+200+207</f>
        <v>794</v>
      </c>
      <c r="K451">
        <v>7</v>
      </c>
      <c r="L451">
        <v>207</v>
      </c>
      <c r="N451" t="str">
        <f t="shared" si="6"/>
        <v>NA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-4.0357319999999888</v>
      </c>
    </row>
    <row r="452" spans="1:15">
      <c r="A452" s="9">
        <v>41771</v>
      </c>
      <c r="B452" s="7" t="s">
        <v>30</v>
      </c>
      <c r="C452">
        <v>19</v>
      </c>
      <c r="D452" t="s">
        <v>19</v>
      </c>
      <c r="F452">
        <v>2.21</v>
      </c>
      <c r="J452">
        <f>66+80+115+157+250+171</f>
        <v>839</v>
      </c>
      <c r="K452">
        <v>6</v>
      </c>
      <c r="L452">
        <v>250</v>
      </c>
      <c r="N452" t="str">
        <f t="shared" ref="N452:N515" si="7">IF(OR(D452="S. acutus", D452="S. tabernaemontani", D452="S. californicus"),(1/3)*(3.14159)*((F452/2)^2)*E452,"NA")</f>
        <v>NA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-5.7479389999999952</v>
      </c>
    </row>
    <row r="453" spans="1:15">
      <c r="A453" s="6">
        <v>41771</v>
      </c>
      <c r="B453" s="7" t="s">
        <v>30</v>
      </c>
      <c r="C453">
        <v>19</v>
      </c>
      <c r="D453" t="s">
        <v>19</v>
      </c>
      <c r="F453">
        <v>2.85</v>
      </c>
      <c r="J453">
        <f>74+119+130+148+161+172+182</f>
        <v>986</v>
      </c>
      <c r="K453">
        <v>7</v>
      </c>
      <c r="L453">
        <v>182</v>
      </c>
      <c r="N453" t="str">
        <f t="shared" si="7"/>
        <v>NA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21.496353000000006</v>
      </c>
    </row>
    <row r="454" spans="1:15">
      <c r="A454" s="6">
        <v>41771</v>
      </c>
      <c r="B454" s="7" t="s">
        <v>30</v>
      </c>
      <c r="C454">
        <v>19</v>
      </c>
      <c r="D454" t="s">
        <v>19</v>
      </c>
      <c r="F454">
        <v>2.2999999999999998</v>
      </c>
      <c r="J454">
        <f>59+98+100+137+161+175+188+189</f>
        <v>1107</v>
      </c>
      <c r="K454">
        <v>8</v>
      </c>
      <c r="L454">
        <v>189</v>
      </c>
      <c r="N454" t="str">
        <f t="shared" si="7"/>
        <v>NA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23.709640000000007</v>
      </c>
    </row>
    <row r="455" spans="1:15">
      <c r="A455" s="9">
        <v>41771</v>
      </c>
      <c r="B455" s="7" t="s">
        <v>30</v>
      </c>
      <c r="C455">
        <v>19</v>
      </c>
      <c r="D455" t="s">
        <v>19</v>
      </c>
      <c r="F455">
        <v>6.56</v>
      </c>
      <c r="J455">
        <f>73+98+200+201+105+116+114+110+111+146+150+189+187+153+219+233+231</f>
        <v>2636</v>
      </c>
      <c r="K455">
        <v>17</v>
      </c>
      <c r="L455">
        <v>233</v>
      </c>
      <c r="N455" t="str">
        <f t="shared" si="7"/>
        <v>NA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90.60507800000002</v>
      </c>
    </row>
    <row r="456" spans="1:15">
      <c r="A456" s="6">
        <v>41771</v>
      </c>
      <c r="B456" s="7" t="s">
        <v>30</v>
      </c>
      <c r="C456">
        <v>19</v>
      </c>
      <c r="D456" t="s">
        <v>19</v>
      </c>
      <c r="F456">
        <v>1.94</v>
      </c>
      <c r="J456">
        <f>77+95+114+137+149+75+95</f>
        <v>742</v>
      </c>
      <c r="K456">
        <v>7</v>
      </c>
      <c r="L456">
        <v>149</v>
      </c>
      <c r="N456" t="str">
        <f t="shared" si="7"/>
        <v>NA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8.5612180000000038</v>
      </c>
    </row>
    <row r="457" spans="1:15">
      <c r="A457" s="6">
        <v>41771</v>
      </c>
      <c r="B457" s="7" t="s">
        <v>30</v>
      </c>
      <c r="C457">
        <v>26</v>
      </c>
      <c r="D457" t="s">
        <v>20</v>
      </c>
      <c r="E457">
        <v>120</v>
      </c>
      <c r="F457">
        <v>1.93</v>
      </c>
      <c r="N457">
        <f t="shared" si="7"/>
        <v>117.02108590999998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3.8220029999999996</v>
      </c>
    </row>
    <row r="458" spans="1:15">
      <c r="A458" s="9">
        <v>41771</v>
      </c>
      <c r="B458" s="7" t="s">
        <v>30</v>
      </c>
      <c r="C458">
        <v>26</v>
      </c>
      <c r="D458" t="s">
        <v>20</v>
      </c>
      <c r="E458">
        <v>173</v>
      </c>
      <c r="F458">
        <v>1.66</v>
      </c>
      <c r="N458">
        <f t="shared" si="7"/>
        <v>124.8045845743333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7.5375680000000012</v>
      </c>
    </row>
    <row r="459" spans="1:15">
      <c r="A459" s="9">
        <v>41771</v>
      </c>
      <c r="B459" s="7" t="s">
        <v>30</v>
      </c>
      <c r="C459">
        <v>26</v>
      </c>
      <c r="D459" t="s">
        <v>20</v>
      </c>
      <c r="E459">
        <v>244</v>
      </c>
      <c r="F459">
        <v>2.29</v>
      </c>
      <c r="N459">
        <f t="shared" si="7"/>
        <v>334.98784641966665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12.515023000000003</v>
      </c>
    </row>
    <row r="460" spans="1:15">
      <c r="A460" s="6">
        <v>41771</v>
      </c>
      <c r="B460" s="7" t="s">
        <v>30</v>
      </c>
      <c r="C460">
        <v>26</v>
      </c>
      <c r="D460" t="s">
        <v>20</v>
      </c>
      <c r="E460">
        <v>225</v>
      </c>
      <c r="F460">
        <v>1.96</v>
      </c>
      <c r="N460">
        <f t="shared" si="7"/>
        <v>226.28872769999995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11.183028</v>
      </c>
    </row>
    <row r="461" spans="1:15">
      <c r="A461" s="9">
        <v>41771</v>
      </c>
      <c r="B461" s="7" t="s">
        <v>30</v>
      </c>
      <c r="C461">
        <v>26</v>
      </c>
      <c r="D461" t="s">
        <v>20</v>
      </c>
      <c r="E461">
        <v>83</v>
      </c>
      <c r="F461">
        <v>0.71</v>
      </c>
      <c r="N461">
        <f t="shared" si="7"/>
        <v>10.953755673083332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1.2281180000000003</v>
      </c>
    </row>
    <row r="462" spans="1:15">
      <c r="A462" s="6">
        <v>41771</v>
      </c>
      <c r="B462" s="7" t="s">
        <v>30</v>
      </c>
      <c r="C462">
        <v>26</v>
      </c>
      <c r="D462" t="s">
        <v>20</v>
      </c>
      <c r="E462">
        <v>189</v>
      </c>
      <c r="F462">
        <v>1.67</v>
      </c>
      <c r="N462">
        <f t="shared" si="7"/>
        <v>137.99489052824998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8.6592480000000016</v>
      </c>
    </row>
    <row r="463" spans="1:15">
      <c r="A463" s="9">
        <v>41771</v>
      </c>
      <c r="B463" s="7" t="s">
        <v>30</v>
      </c>
      <c r="C463">
        <v>26</v>
      </c>
      <c r="D463" t="s">
        <v>20</v>
      </c>
      <c r="E463">
        <v>214</v>
      </c>
      <c r="F463">
        <v>2.36</v>
      </c>
      <c r="N463">
        <f t="shared" si="7"/>
        <v>312.0369606746666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10.411873</v>
      </c>
    </row>
    <row r="464" spans="1:15">
      <c r="A464" s="6">
        <v>41771</v>
      </c>
      <c r="B464" s="7" t="s">
        <v>30</v>
      </c>
      <c r="C464">
        <v>26</v>
      </c>
      <c r="D464" t="s">
        <v>20</v>
      </c>
      <c r="E464">
        <v>170</v>
      </c>
      <c r="F464">
        <v>1.79</v>
      </c>
      <c r="N464">
        <f t="shared" si="7"/>
        <v>142.60122068583331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7.3272529999999998</v>
      </c>
    </row>
    <row r="465" spans="1:15">
      <c r="A465" s="9">
        <v>41771</v>
      </c>
      <c r="B465" s="7" t="s">
        <v>30</v>
      </c>
      <c r="C465">
        <v>26</v>
      </c>
      <c r="D465" t="s">
        <v>20</v>
      </c>
      <c r="E465">
        <v>213</v>
      </c>
      <c r="F465">
        <v>2.52</v>
      </c>
      <c r="N465">
        <f t="shared" si="7"/>
        <v>354.11876816400002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10.341768000000002</v>
      </c>
    </row>
    <row r="466" spans="1:15">
      <c r="A466" s="6">
        <v>41771</v>
      </c>
      <c r="B466" s="7" t="s">
        <v>30</v>
      </c>
      <c r="C466">
        <v>26</v>
      </c>
      <c r="D466" t="s">
        <v>20</v>
      </c>
      <c r="E466">
        <v>290</v>
      </c>
      <c r="F466">
        <v>2.68</v>
      </c>
      <c r="G466">
        <v>5</v>
      </c>
      <c r="N466">
        <f t="shared" si="7"/>
        <v>545.30043705333333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28.726223843510681</v>
      </c>
    </row>
    <row r="467" spans="1:15">
      <c r="A467" s="6">
        <v>41771</v>
      </c>
      <c r="B467" s="7" t="s">
        <v>30</v>
      </c>
      <c r="C467">
        <v>26</v>
      </c>
      <c r="D467" t="s">
        <v>19</v>
      </c>
      <c r="F467">
        <v>1.7</v>
      </c>
      <c r="J467">
        <f>182+109+132+148+173+174</f>
        <v>918</v>
      </c>
      <c r="K467">
        <v>6</v>
      </c>
      <c r="L467">
        <v>174</v>
      </c>
      <c r="N467" t="str">
        <f t="shared" si="7"/>
        <v>NA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24.553326000000006</v>
      </c>
    </row>
    <row r="468" spans="1:15">
      <c r="A468" s="9">
        <v>41771</v>
      </c>
      <c r="B468" s="7" t="s">
        <v>30</v>
      </c>
      <c r="C468">
        <v>26</v>
      </c>
      <c r="D468" t="s">
        <v>19</v>
      </c>
      <c r="F468">
        <v>0.55000000000000004</v>
      </c>
      <c r="J468">
        <f>62+137</f>
        <v>199</v>
      </c>
      <c r="K468">
        <v>2</v>
      </c>
      <c r="L468">
        <v>137</v>
      </c>
      <c r="N468" t="str">
        <f t="shared" si="7"/>
        <v>NA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-3.6210420000000028</v>
      </c>
    </row>
    <row r="469" spans="1:15">
      <c r="A469" s="6">
        <v>41771</v>
      </c>
      <c r="B469" s="7" t="s">
        <v>30</v>
      </c>
      <c r="C469">
        <v>26</v>
      </c>
      <c r="D469" t="s">
        <v>19</v>
      </c>
      <c r="F469">
        <v>4.04</v>
      </c>
      <c r="J469">
        <f>164+170+212+221+251+258+277+283+288+295</f>
        <v>2419</v>
      </c>
      <c r="K469">
        <v>10</v>
      </c>
      <c r="L469">
        <v>295</v>
      </c>
      <c r="N469" t="str">
        <f t="shared" si="7"/>
        <v>NA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100.73952400000002</v>
      </c>
    </row>
    <row r="470" spans="1:15">
      <c r="A470" s="9">
        <v>41771</v>
      </c>
      <c r="B470" s="7" t="s">
        <v>30</v>
      </c>
      <c r="C470">
        <v>44</v>
      </c>
      <c r="D470" t="s">
        <v>19</v>
      </c>
      <c r="F470">
        <v>1.07</v>
      </c>
      <c r="J470">
        <f>26+50+63+41</f>
        <v>180</v>
      </c>
      <c r="K470">
        <v>4</v>
      </c>
      <c r="L470">
        <v>63</v>
      </c>
      <c r="N470" t="str">
        <f t="shared" si="7"/>
        <v>NA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2.8450370000000014</v>
      </c>
    </row>
    <row r="471" spans="1:15">
      <c r="A471" s="6">
        <v>41771</v>
      </c>
      <c r="B471" s="7" t="s">
        <v>30</v>
      </c>
      <c r="C471">
        <v>44</v>
      </c>
      <c r="D471" t="s">
        <v>19</v>
      </c>
      <c r="F471">
        <v>2.4</v>
      </c>
      <c r="J471">
        <f>70+117+123+156+176+160</f>
        <v>802</v>
      </c>
      <c r="K471">
        <v>6</v>
      </c>
      <c r="L471">
        <v>176</v>
      </c>
      <c r="N471" t="str">
        <f t="shared" si="7"/>
        <v>NA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13.075256000000003</v>
      </c>
    </row>
    <row r="472" spans="1:15">
      <c r="A472" s="9">
        <v>41771</v>
      </c>
      <c r="B472" s="7" t="s">
        <v>30</v>
      </c>
      <c r="C472">
        <v>44</v>
      </c>
      <c r="D472" t="s">
        <v>19</v>
      </c>
      <c r="F472">
        <v>3.39</v>
      </c>
      <c r="J472">
        <f>32+72+79+119+113+130+156+178+166</f>
        <v>1045</v>
      </c>
      <c r="K472">
        <v>9</v>
      </c>
      <c r="L472">
        <v>178</v>
      </c>
      <c r="N472" t="str">
        <f t="shared" si="7"/>
        <v>NA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14.188172000000009</v>
      </c>
    </row>
    <row r="473" spans="1:15">
      <c r="A473" s="6">
        <v>41771</v>
      </c>
      <c r="B473" s="7" t="s">
        <v>30</v>
      </c>
      <c r="C473">
        <v>44</v>
      </c>
      <c r="D473" t="s">
        <v>19</v>
      </c>
      <c r="F473">
        <v>2.2799999999999998</v>
      </c>
      <c r="J473">
        <f>90+113+130</f>
        <v>333</v>
      </c>
      <c r="K473">
        <v>3</v>
      </c>
      <c r="L473">
        <v>130</v>
      </c>
      <c r="N473" t="str">
        <f t="shared" si="7"/>
        <v>NA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4.0284899999999979</v>
      </c>
    </row>
    <row r="474" spans="1:15">
      <c r="A474" s="9">
        <v>41771</v>
      </c>
      <c r="B474" s="7" t="s">
        <v>30</v>
      </c>
      <c r="C474">
        <v>44</v>
      </c>
      <c r="D474" t="s">
        <v>19</v>
      </c>
      <c r="F474">
        <v>2.39</v>
      </c>
      <c r="J474">
        <f>51+54+89+117+138+147</f>
        <v>596</v>
      </c>
      <c r="K474">
        <v>6</v>
      </c>
      <c r="L474">
        <v>147</v>
      </c>
      <c r="N474" t="str">
        <f t="shared" si="7"/>
        <v>NA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2.4978309999999979</v>
      </c>
    </row>
    <row r="475" spans="1:15">
      <c r="A475" s="6">
        <v>41771</v>
      </c>
      <c r="B475" s="7" t="s">
        <v>30</v>
      </c>
      <c r="C475">
        <v>44</v>
      </c>
      <c r="D475" t="s">
        <v>19</v>
      </c>
      <c r="F475">
        <v>2.4300000000000002</v>
      </c>
      <c r="J475">
        <f>25+55+87+124+130+128</f>
        <v>549</v>
      </c>
      <c r="K475">
        <v>6</v>
      </c>
      <c r="L475">
        <v>130</v>
      </c>
      <c r="N475" t="str">
        <f t="shared" si="7"/>
        <v>NA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3.2125109999999992</v>
      </c>
    </row>
    <row r="476" spans="1:15">
      <c r="A476" s="9">
        <v>41771</v>
      </c>
      <c r="B476" s="7" t="s">
        <v>30</v>
      </c>
      <c r="C476">
        <v>44</v>
      </c>
      <c r="D476" t="s">
        <v>19</v>
      </c>
      <c r="F476">
        <v>1.74</v>
      </c>
      <c r="J476">
        <f>24+47+102+105+130</f>
        <v>408</v>
      </c>
      <c r="K476">
        <v>5</v>
      </c>
      <c r="L476">
        <v>130</v>
      </c>
      <c r="N476" t="str">
        <f t="shared" si="7"/>
        <v>NA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-2.9845910000000018</v>
      </c>
    </row>
    <row r="477" spans="1:15">
      <c r="A477" s="6">
        <v>41771</v>
      </c>
      <c r="B477" s="7" t="s">
        <v>30</v>
      </c>
      <c r="C477">
        <v>44</v>
      </c>
      <c r="D477" t="s">
        <v>19</v>
      </c>
      <c r="F477">
        <v>3.39</v>
      </c>
      <c r="J477">
        <f>46+77+96+107+132+163+448+151</f>
        <v>1220</v>
      </c>
      <c r="K477">
        <v>8</v>
      </c>
      <c r="L477">
        <v>448</v>
      </c>
      <c r="N477" t="str">
        <f t="shared" si="7"/>
        <v>NA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-43.718499999999999</v>
      </c>
    </row>
    <row r="478" spans="1:15">
      <c r="A478" s="9">
        <v>41771</v>
      </c>
      <c r="B478" s="7" t="s">
        <v>30</v>
      </c>
      <c r="C478">
        <v>44</v>
      </c>
      <c r="D478" t="s">
        <v>19</v>
      </c>
      <c r="F478">
        <v>2.39</v>
      </c>
      <c r="J478">
        <f>55+76+88+108+125+125</f>
        <v>577</v>
      </c>
      <c r="K478">
        <v>6</v>
      </c>
      <c r="L478">
        <v>125</v>
      </c>
      <c r="N478" t="str">
        <f t="shared" si="7"/>
        <v>NA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7.3438760000000016</v>
      </c>
    </row>
    <row r="479" spans="1:15">
      <c r="A479" s="9">
        <v>41771</v>
      </c>
      <c r="B479" s="7" t="s">
        <v>30</v>
      </c>
      <c r="C479">
        <v>44</v>
      </c>
      <c r="D479" t="s">
        <v>19</v>
      </c>
      <c r="F479">
        <v>2.4500000000000002</v>
      </c>
      <c r="J479">
        <f>30+86+134+107+132+133</f>
        <v>622</v>
      </c>
      <c r="K479">
        <v>6</v>
      </c>
      <c r="L479">
        <v>134</v>
      </c>
      <c r="N479" t="str">
        <f t="shared" si="7"/>
        <v>NA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8.8516460000000023</v>
      </c>
    </row>
    <row r="480" spans="1:15">
      <c r="A480" s="6">
        <v>41771</v>
      </c>
      <c r="B480" s="7" t="s">
        <v>30</v>
      </c>
      <c r="C480">
        <v>44</v>
      </c>
      <c r="D480" t="s">
        <v>19</v>
      </c>
      <c r="F480">
        <v>3.25</v>
      </c>
      <c r="J480">
        <f>53+82+79+57+56+38+54</f>
        <v>419</v>
      </c>
      <c r="K480">
        <v>7</v>
      </c>
      <c r="L480">
        <v>82</v>
      </c>
      <c r="N480" t="str">
        <f t="shared" si="7"/>
        <v>NA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-1.5382319999999936</v>
      </c>
    </row>
    <row r="481" spans="1:15">
      <c r="A481" s="9">
        <v>41771</v>
      </c>
      <c r="B481" s="7" t="s">
        <v>30</v>
      </c>
      <c r="C481">
        <v>44</v>
      </c>
      <c r="D481" t="s">
        <v>19</v>
      </c>
      <c r="F481">
        <v>3.11</v>
      </c>
      <c r="J481">
        <f>49+116+134+134+149+135</f>
        <v>717</v>
      </c>
      <c r="K481">
        <v>6</v>
      </c>
      <c r="L481">
        <v>135</v>
      </c>
      <c r="N481" t="str">
        <f t="shared" si="7"/>
        <v>NA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17.457126000000002</v>
      </c>
    </row>
    <row r="482" spans="1:15">
      <c r="A482" s="6">
        <v>41771</v>
      </c>
      <c r="B482" s="7" t="s">
        <v>30</v>
      </c>
      <c r="C482">
        <v>44</v>
      </c>
      <c r="D482" t="s">
        <v>19</v>
      </c>
      <c r="F482">
        <v>2.99</v>
      </c>
      <c r="J482">
        <f>50+38+39+64+115+133</f>
        <v>439</v>
      </c>
      <c r="K482">
        <v>6</v>
      </c>
      <c r="L482">
        <v>133</v>
      </c>
      <c r="N482" t="str">
        <f t="shared" si="7"/>
        <v>NA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-8.0042740000000023</v>
      </c>
    </row>
    <row r="483" spans="1:15">
      <c r="A483" s="9">
        <v>41771</v>
      </c>
      <c r="B483" s="7" t="s">
        <v>30</v>
      </c>
      <c r="C483">
        <v>44</v>
      </c>
      <c r="D483" t="s">
        <v>19</v>
      </c>
      <c r="F483">
        <v>1.74</v>
      </c>
      <c r="J483">
        <f>77+46+82+106+120+116+125</f>
        <v>672</v>
      </c>
      <c r="K483">
        <v>7</v>
      </c>
      <c r="L483">
        <v>125</v>
      </c>
      <c r="N483" t="str">
        <f t="shared" si="7"/>
        <v>NA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9.2282480000000007</v>
      </c>
    </row>
    <row r="484" spans="1:15">
      <c r="A484" s="6">
        <v>41771</v>
      </c>
      <c r="B484" s="7" t="s">
        <v>30</v>
      </c>
      <c r="C484">
        <v>44</v>
      </c>
      <c r="D484" t="s">
        <v>19</v>
      </c>
      <c r="F484">
        <v>2.6</v>
      </c>
      <c r="J484">
        <f>42+103+111+134+148+160+167</f>
        <v>865</v>
      </c>
      <c r="K484">
        <v>7</v>
      </c>
      <c r="L484">
        <v>167</v>
      </c>
      <c r="N484" t="str">
        <f t="shared" si="7"/>
        <v>NA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14.670673000000015</v>
      </c>
    </row>
    <row r="485" spans="1:15">
      <c r="A485" s="9">
        <v>41771</v>
      </c>
      <c r="B485" s="7" t="s">
        <v>30</v>
      </c>
      <c r="C485">
        <v>44</v>
      </c>
      <c r="D485" t="s">
        <v>19</v>
      </c>
      <c r="F485">
        <v>3.07</v>
      </c>
      <c r="J485">
        <f>44+84+90+92+62+104+124+147</f>
        <v>747</v>
      </c>
      <c r="K485">
        <v>8</v>
      </c>
      <c r="L485">
        <v>147</v>
      </c>
      <c r="N485" t="str">
        <f t="shared" si="7"/>
        <v>NA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2.6101300000000052</v>
      </c>
    </row>
    <row r="486" spans="1:15">
      <c r="A486" s="6">
        <v>41771</v>
      </c>
      <c r="B486" s="7" t="s">
        <v>30</v>
      </c>
      <c r="C486">
        <v>44</v>
      </c>
      <c r="D486" t="s">
        <v>19</v>
      </c>
      <c r="F486">
        <v>4.25</v>
      </c>
      <c r="J486">
        <f>75+80+83+136+142+165+158+173</f>
        <v>1012</v>
      </c>
      <c r="K486">
        <v>8</v>
      </c>
      <c r="L486">
        <v>173</v>
      </c>
      <c r="N486" t="str">
        <f t="shared" si="7"/>
        <v>NA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19.622835000000002</v>
      </c>
    </row>
    <row r="487" spans="1:15">
      <c r="A487" s="9">
        <v>41771</v>
      </c>
      <c r="B487" s="7" t="s">
        <v>30</v>
      </c>
      <c r="C487">
        <v>48</v>
      </c>
      <c r="D487" t="s">
        <v>19</v>
      </c>
      <c r="F487">
        <v>3.73</v>
      </c>
      <c r="J487">
        <f>61+36+34+62+72+63+90+120+126</f>
        <v>664</v>
      </c>
      <c r="K487">
        <v>9</v>
      </c>
      <c r="L487">
        <v>126</v>
      </c>
      <c r="N487" t="str">
        <f t="shared" si="7"/>
        <v>NA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-5.8677429999999973</v>
      </c>
    </row>
    <row r="488" spans="1:15">
      <c r="A488" s="9">
        <v>41771</v>
      </c>
      <c r="B488" s="7" t="s">
        <v>30</v>
      </c>
      <c r="C488">
        <v>48</v>
      </c>
      <c r="D488" t="s">
        <v>19</v>
      </c>
      <c r="F488">
        <v>2.56</v>
      </c>
      <c r="J488">
        <f>62+94+120+134+142</f>
        <v>552</v>
      </c>
      <c r="K488">
        <v>5</v>
      </c>
      <c r="L488">
        <v>142</v>
      </c>
      <c r="N488" t="str">
        <f t="shared" si="7"/>
        <v>NA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6.9011890000000022</v>
      </c>
    </row>
    <row r="489" spans="1:15">
      <c r="A489" s="6">
        <v>41771</v>
      </c>
      <c r="B489" s="7" t="s">
        <v>30</v>
      </c>
      <c r="C489">
        <v>48</v>
      </c>
      <c r="D489" t="s">
        <v>19</v>
      </c>
      <c r="F489">
        <v>3.3</v>
      </c>
      <c r="J489">
        <f>70+89+85+63+133+173+175+186</f>
        <v>974</v>
      </c>
      <c r="K489">
        <v>8</v>
      </c>
      <c r="L489">
        <v>186</v>
      </c>
      <c r="N489" t="str">
        <f t="shared" si="7"/>
        <v>NA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12.143960000000014</v>
      </c>
    </row>
    <row r="490" spans="1:15">
      <c r="A490" s="9">
        <v>41771</v>
      </c>
      <c r="B490" s="7" t="s">
        <v>30</v>
      </c>
      <c r="C490">
        <v>48</v>
      </c>
      <c r="D490" t="s">
        <v>19</v>
      </c>
      <c r="F490">
        <v>2.58</v>
      </c>
      <c r="J490">
        <f>89+65+108+121+144+152</f>
        <v>679</v>
      </c>
      <c r="K490">
        <v>6</v>
      </c>
      <c r="L490">
        <v>152</v>
      </c>
      <c r="N490" t="str">
        <f t="shared" si="7"/>
        <v>NA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8.7732710000000012</v>
      </c>
    </row>
    <row r="491" spans="1:15">
      <c r="A491" s="6">
        <v>41771</v>
      </c>
      <c r="B491" s="7" t="s">
        <v>30</v>
      </c>
      <c r="C491">
        <v>48</v>
      </c>
      <c r="D491" t="s">
        <v>19</v>
      </c>
      <c r="F491">
        <v>0.97</v>
      </c>
      <c r="J491">
        <f>36+58+69+97+96</f>
        <v>356</v>
      </c>
      <c r="K491">
        <v>5</v>
      </c>
      <c r="L491">
        <v>97</v>
      </c>
      <c r="N491" t="str">
        <f t="shared" si="7"/>
        <v>NA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2.081234000000002</v>
      </c>
    </row>
    <row r="492" spans="1:15">
      <c r="A492" s="9">
        <v>41771</v>
      </c>
      <c r="B492" s="7" t="s">
        <v>30</v>
      </c>
      <c r="C492">
        <v>48</v>
      </c>
      <c r="D492" t="s">
        <v>19</v>
      </c>
      <c r="F492">
        <v>0.63</v>
      </c>
      <c r="J492">
        <f>37+41</f>
        <v>78</v>
      </c>
      <c r="K492">
        <v>2</v>
      </c>
      <c r="L492">
        <v>41</v>
      </c>
      <c r="N492" t="str">
        <f t="shared" si="7"/>
        <v>NA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13.954122999999999</v>
      </c>
    </row>
    <row r="493" spans="1:15">
      <c r="A493" s="6">
        <v>41771</v>
      </c>
      <c r="B493" s="7" t="s">
        <v>30</v>
      </c>
      <c r="C493">
        <v>48</v>
      </c>
      <c r="D493" t="s">
        <v>19</v>
      </c>
      <c r="F493">
        <v>1.83</v>
      </c>
      <c r="J493">
        <f>60+101+121+131+148+159</f>
        <v>720</v>
      </c>
      <c r="K493">
        <v>6</v>
      </c>
      <c r="L493">
        <v>159</v>
      </c>
      <c r="N493" t="str">
        <f t="shared" si="7"/>
        <v>NA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10.508511000000006</v>
      </c>
    </row>
    <row r="494" spans="1:15">
      <c r="A494" s="9">
        <v>41771</v>
      </c>
      <c r="B494" s="7" t="s">
        <v>30</v>
      </c>
      <c r="C494">
        <v>50</v>
      </c>
      <c r="D494" t="s">
        <v>20</v>
      </c>
      <c r="E494">
        <v>64</v>
      </c>
      <c r="F494">
        <v>1.33</v>
      </c>
      <c r="N494">
        <f t="shared" si="7"/>
        <v>29.638178938666666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-0.10387699999999978</v>
      </c>
    </row>
    <row r="495" spans="1:15">
      <c r="A495" s="6">
        <v>41771</v>
      </c>
      <c r="B495" s="7" t="s">
        <v>30</v>
      </c>
      <c r="C495">
        <v>50</v>
      </c>
      <c r="D495" t="s">
        <v>20</v>
      </c>
      <c r="E495">
        <v>172</v>
      </c>
      <c r="F495">
        <v>1.21</v>
      </c>
      <c r="N495">
        <f t="shared" si="7"/>
        <v>65.927627505666649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7.4674629999999995</v>
      </c>
    </row>
    <row r="496" spans="1:15">
      <c r="A496" s="9">
        <v>41771</v>
      </c>
      <c r="B496" s="7" t="s">
        <v>30</v>
      </c>
      <c r="C496">
        <v>50</v>
      </c>
      <c r="D496" t="s">
        <v>20</v>
      </c>
      <c r="E496">
        <v>59</v>
      </c>
      <c r="F496">
        <v>0.77</v>
      </c>
      <c r="N496">
        <f t="shared" si="7"/>
        <v>9.1580228290833308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-0.45440199999999997</v>
      </c>
    </row>
    <row r="497" spans="1:15">
      <c r="A497" s="6">
        <v>41771</v>
      </c>
      <c r="B497" s="7" t="s">
        <v>30</v>
      </c>
      <c r="C497">
        <v>50</v>
      </c>
      <c r="D497" t="s">
        <v>20</v>
      </c>
      <c r="E497">
        <v>25</v>
      </c>
      <c r="F497">
        <v>0.59</v>
      </c>
      <c r="N497">
        <f t="shared" si="7"/>
        <v>2.2783072479166662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-2.8379719999999997</v>
      </c>
    </row>
    <row r="498" spans="1:15">
      <c r="A498" s="9">
        <v>41771</v>
      </c>
      <c r="B498" s="7" t="s">
        <v>30</v>
      </c>
      <c r="C498">
        <v>50</v>
      </c>
      <c r="D498" t="s">
        <v>20</v>
      </c>
      <c r="E498">
        <v>21</v>
      </c>
      <c r="F498">
        <v>0.46</v>
      </c>
      <c r="N498">
        <f t="shared" si="7"/>
        <v>1.1633307769999999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-3.1183920000000001</v>
      </c>
    </row>
    <row r="499" spans="1:15">
      <c r="A499" s="6">
        <v>41771</v>
      </c>
      <c r="B499" s="7" t="s">
        <v>30</v>
      </c>
      <c r="C499">
        <v>50</v>
      </c>
      <c r="D499" t="s">
        <v>20</v>
      </c>
      <c r="E499">
        <v>68</v>
      </c>
      <c r="F499">
        <v>0.61</v>
      </c>
      <c r="N499">
        <f t="shared" si="7"/>
        <v>6.6242519543333325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0.17654300000000056</v>
      </c>
    </row>
    <row r="500" spans="1:15">
      <c r="A500" s="9">
        <v>41771</v>
      </c>
      <c r="B500" s="7" t="s">
        <v>30</v>
      </c>
      <c r="C500">
        <v>50</v>
      </c>
      <c r="D500" t="s">
        <v>20</v>
      </c>
      <c r="E500">
        <v>85</v>
      </c>
      <c r="F500">
        <v>0.75</v>
      </c>
      <c r="G500">
        <v>9</v>
      </c>
      <c r="N500">
        <f t="shared" si="7"/>
        <v>12.517272656249999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3.6761709450766409</v>
      </c>
    </row>
    <row r="501" spans="1:15">
      <c r="A501" s="6">
        <v>41771</v>
      </c>
      <c r="B501" s="7" t="s">
        <v>30</v>
      </c>
      <c r="C501">
        <v>50</v>
      </c>
      <c r="D501" t="s">
        <v>20</v>
      </c>
      <c r="E501">
        <v>88</v>
      </c>
      <c r="F501">
        <v>1.1399999999999999</v>
      </c>
      <c r="G501">
        <v>22</v>
      </c>
      <c r="N501">
        <f t="shared" si="7"/>
        <v>29.940609335999991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4.3527393671676018</v>
      </c>
    </row>
    <row r="502" spans="1:15">
      <c r="A502" s="9">
        <v>41771</v>
      </c>
      <c r="B502" s="7" t="s">
        <v>30</v>
      </c>
      <c r="C502">
        <v>50</v>
      </c>
      <c r="D502" t="s">
        <v>20</v>
      </c>
      <c r="E502">
        <v>85</v>
      </c>
      <c r="F502">
        <v>0.53</v>
      </c>
      <c r="N502">
        <f t="shared" si="7"/>
        <v>6.2508478029166668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1.368328</v>
      </c>
    </row>
    <row r="503" spans="1:15">
      <c r="A503" s="6">
        <v>41771</v>
      </c>
      <c r="B503" s="7" t="s">
        <v>30</v>
      </c>
      <c r="C503">
        <v>50</v>
      </c>
      <c r="D503" t="s">
        <v>20</v>
      </c>
      <c r="E503">
        <v>100</v>
      </c>
      <c r="F503">
        <v>0.94</v>
      </c>
      <c r="G503">
        <v>8</v>
      </c>
      <c r="N503">
        <f t="shared" si="7"/>
        <v>23.132574366666663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4.5955997139235967</v>
      </c>
    </row>
    <row r="504" spans="1:15">
      <c r="A504" s="9">
        <v>41771</v>
      </c>
      <c r="B504" s="7" t="s">
        <v>30</v>
      </c>
      <c r="C504">
        <v>50</v>
      </c>
      <c r="D504" t="s">
        <v>20</v>
      </c>
      <c r="E504">
        <v>45</v>
      </c>
      <c r="F504">
        <v>0.81</v>
      </c>
      <c r="N504">
        <f t="shared" si="7"/>
        <v>7.7294894962500011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-1.4358719999999998</v>
      </c>
    </row>
    <row r="505" spans="1:15">
      <c r="A505" s="9">
        <v>41771</v>
      </c>
      <c r="B505" s="7" t="s">
        <v>30</v>
      </c>
      <c r="C505">
        <v>50</v>
      </c>
      <c r="D505" t="s">
        <v>19</v>
      </c>
      <c r="F505">
        <v>2.08</v>
      </c>
      <c r="J505">
        <f>44+31+53+69+81+198</f>
        <v>476</v>
      </c>
      <c r="K505">
        <v>6</v>
      </c>
      <c r="L505">
        <v>198</v>
      </c>
      <c r="N505" t="str">
        <f t="shared" si="7"/>
        <v>NA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-24.116264000000001</v>
      </c>
    </row>
    <row r="506" spans="1:15">
      <c r="A506" s="6">
        <v>41771</v>
      </c>
      <c r="B506" s="7" t="s">
        <v>30</v>
      </c>
      <c r="C506">
        <v>50</v>
      </c>
      <c r="D506" t="s">
        <v>19</v>
      </c>
      <c r="F506">
        <v>1.47</v>
      </c>
      <c r="J506">
        <f>34+63+50+72+85</f>
        <v>304</v>
      </c>
      <c r="K506">
        <v>5</v>
      </c>
      <c r="L506">
        <v>85</v>
      </c>
      <c r="N506" t="str">
        <f t="shared" si="7"/>
        <v>NA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0.82091400000000192</v>
      </c>
    </row>
    <row r="507" spans="1:15">
      <c r="A507" s="6">
        <v>41771</v>
      </c>
      <c r="B507" s="7" t="s">
        <v>30</v>
      </c>
      <c r="C507">
        <v>50</v>
      </c>
      <c r="D507" t="s">
        <v>19</v>
      </c>
      <c r="F507">
        <v>3.44</v>
      </c>
      <c r="J507">
        <f>89+121+128+149+161+172+185+194</f>
        <v>1199</v>
      </c>
      <c r="K507">
        <v>8</v>
      </c>
      <c r="L507">
        <v>194</v>
      </c>
      <c r="N507" t="str">
        <f t="shared" si="7"/>
        <v>NA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30.828875000000011</v>
      </c>
    </row>
    <row r="508" spans="1:15">
      <c r="A508" s="9">
        <v>41771</v>
      </c>
      <c r="B508" s="7" t="s">
        <v>30</v>
      </c>
      <c r="C508">
        <v>50</v>
      </c>
      <c r="D508" t="s">
        <v>19</v>
      </c>
      <c r="F508">
        <v>2.84</v>
      </c>
      <c r="J508">
        <f>120+143+166+173+144+188</f>
        <v>934</v>
      </c>
      <c r="K508">
        <v>6</v>
      </c>
      <c r="L508">
        <v>188</v>
      </c>
      <c r="N508" t="str">
        <f t="shared" si="7"/>
        <v>NA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21.835976000000002</v>
      </c>
    </row>
    <row r="509" spans="1:15">
      <c r="A509" s="6">
        <v>41771</v>
      </c>
      <c r="B509" s="7" t="s">
        <v>29</v>
      </c>
      <c r="C509">
        <v>9</v>
      </c>
      <c r="D509" t="s">
        <v>23</v>
      </c>
      <c r="F509">
        <v>3.48</v>
      </c>
      <c r="J509">
        <f>129+144+124+223+253+269</f>
        <v>1142</v>
      </c>
      <c r="K509">
        <v>6</v>
      </c>
      <c r="L509">
        <v>269</v>
      </c>
      <c r="N509" t="str">
        <f t="shared" si="7"/>
        <v>NA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16.936171000000009</v>
      </c>
    </row>
    <row r="510" spans="1:15">
      <c r="A510" s="6">
        <v>41771</v>
      </c>
      <c r="B510" s="7" t="s">
        <v>29</v>
      </c>
      <c r="C510">
        <v>9</v>
      </c>
      <c r="D510" t="s">
        <v>19</v>
      </c>
      <c r="F510">
        <v>1.84</v>
      </c>
      <c r="J510">
        <f>175</f>
        <v>175</v>
      </c>
      <c r="K510">
        <v>1</v>
      </c>
      <c r="L510">
        <v>175</v>
      </c>
      <c r="N510" t="str">
        <f t="shared" si="7"/>
        <v>NA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-10.296118999999997</v>
      </c>
    </row>
    <row r="511" spans="1:15">
      <c r="A511" s="6">
        <v>41771</v>
      </c>
      <c r="B511" s="7" t="s">
        <v>29</v>
      </c>
      <c r="C511">
        <v>30</v>
      </c>
      <c r="D511" t="s">
        <v>20</v>
      </c>
      <c r="E511">
        <v>107</v>
      </c>
      <c r="F511">
        <v>0.81</v>
      </c>
      <c r="N511">
        <f t="shared" si="7"/>
        <v>18.379008357750003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2.9106380000000005</v>
      </c>
    </row>
    <row r="512" spans="1:15">
      <c r="A512" s="6">
        <v>41771</v>
      </c>
      <c r="B512" s="7" t="s">
        <v>29</v>
      </c>
      <c r="C512">
        <v>30</v>
      </c>
      <c r="D512" t="s">
        <v>20</v>
      </c>
      <c r="E512">
        <v>70</v>
      </c>
      <c r="F512">
        <v>0.93</v>
      </c>
      <c r="N512">
        <f t="shared" si="7"/>
        <v>15.8501069475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0.31675300000000028</v>
      </c>
    </row>
    <row r="513" spans="1:15">
      <c r="A513" s="6">
        <v>41771</v>
      </c>
      <c r="B513" s="7" t="s">
        <v>29</v>
      </c>
      <c r="C513">
        <v>30</v>
      </c>
      <c r="D513" t="s">
        <v>20</v>
      </c>
      <c r="E513">
        <v>184</v>
      </c>
      <c r="F513">
        <v>1.71</v>
      </c>
      <c r="N513">
        <f t="shared" si="7"/>
        <v>140.85695755799998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8.3087230000000005</v>
      </c>
    </row>
    <row r="514" spans="1:15">
      <c r="A514" s="6">
        <v>41771</v>
      </c>
      <c r="B514" s="7" t="s">
        <v>29</v>
      </c>
      <c r="C514">
        <v>30</v>
      </c>
      <c r="D514" t="s">
        <v>20</v>
      </c>
      <c r="E514">
        <v>124</v>
      </c>
      <c r="F514">
        <v>0.94</v>
      </c>
      <c r="G514">
        <v>3</v>
      </c>
      <c r="N514">
        <f t="shared" si="7"/>
        <v>28.684392214666662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5.6985436452652607</v>
      </c>
    </row>
    <row r="515" spans="1:15">
      <c r="A515" s="6">
        <v>41771</v>
      </c>
      <c r="B515" s="7" t="s">
        <v>29</v>
      </c>
      <c r="C515">
        <v>30</v>
      </c>
      <c r="D515" t="s">
        <v>20</v>
      </c>
      <c r="E515">
        <v>132</v>
      </c>
      <c r="F515">
        <v>1.43</v>
      </c>
      <c r="G515">
        <v>6</v>
      </c>
      <c r="N515">
        <f t="shared" si="7"/>
        <v>70.666611300999989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7.3584656838423701</v>
      </c>
    </row>
    <row r="516" spans="1:15">
      <c r="A516" s="6">
        <v>41771</v>
      </c>
      <c r="B516" s="7" t="s">
        <v>29</v>
      </c>
      <c r="C516">
        <v>30</v>
      </c>
      <c r="D516" t="s">
        <v>20</v>
      </c>
      <c r="E516">
        <v>96</v>
      </c>
      <c r="F516">
        <v>1.41</v>
      </c>
      <c r="N516">
        <f t="shared" ref="N516:N579" si="8">IF(OR(D516="S. acutus", D516="S. tabernaemontani", D516="S. californicus"),(1/3)*(3.14159)*((F516/2)^2)*E516,"NA")</f>
        <v>49.96636063199999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2.1394830000000002</v>
      </c>
    </row>
    <row r="517" spans="1:15">
      <c r="A517" s="6">
        <v>41771</v>
      </c>
      <c r="B517" s="7" t="s">
        <v>29</v>
      </c>
      <c r="C517">
        <v>30</v>
      </c>
      <c r="D517" t="s">
        <v>20</v>
      </c>
      <c r="E517">
        <v>249</v>
      </c>
      <c r="F517">
        <v>2.15</v>
      </c>
      <c r="G517">
        <v>11</v>
      </c>
      <c r="N517">
        <f t="shared" si="8"/>
        <v>301.33149533124993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19.291413248012045</v>
      </c>
    </row>
    <row r="518" spans="1:15">
      <c r="A518" s="6">
        <v>41771</v>
      </c>
      <c r="B518" s="7" t="s">
        <v>29</v>
      </c>
      <c r="C518">
        <v>30</v>
      </c>
      <c r="D518" t="s">
        <v>20</v>
      </c>
      <c r="E518">
        <v>184</v>
      </c>
      <c r="F518">
        <v>1.49</v>
      </c>
      <c r="N518">
        <f t="shared" si="8"/>
        <v>106.94454070466665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8.3087230000000005</v>
      </c>
    </row>
    <row r="519" spans="1:15">
      <c r="A519" s="6">
        <v>41771</v>
      </c>
      <c r="B519" s="7" t="s">
        <v>29</v>
      </c>
      <c r="C519">
        <v>30</v>
      </c>
      <c r="D519" t="s">
        <v>20</v>
      </c>
      <c r="E519">
        <v>180</v>
      </c>
      <c r="F519">
        <v>0.96</v>
      </c>
      <c r="N519">
        <f t="shared" si="8"/>
        <v>43.429340159999995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8.0283030000000011</v>
      </c>
    </row>
    <row r="520" spans="1:15">
      <c r="A520" s="6">
        <v>41771</v>
      </c>
      <c r="B520" s="7" t="s">
        <v>29</v>
      </c>
      <c r="C520">
        <v>30</v>
      </c>
      <c r="D520" t="s">
        <v>20</v>
      </c>
      <c r="E520">
        <v>142</v>
      </c>
      <c r="F520">
        <v>1.07</v>
      </c>
      <c r="G520">
        <v>4</v>
      </c>
      <c r="N520">
        <f t="shared" si="8"/>
        <v>42.562208960166657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6.8385496345054309</v>
      </c>
    </row>
    <row r="521" spans="1:15">
      <c r="A521" s="6">
        <v>41771</v>
      </c>
      <c r="B521" s="7" t="s">
        <v>29</v>
      </c>
      <c r="C521">
        <v>30</v>
      </c>
      <c r="D521" t="s">
        <v>20</v>
      </c>
      <c r="E521">
        <v>82</v>
      </c>
      <c r="F521">
        <v>0.92</v>
      </c>
      <c r="N521">
        <f t="shared" si="8"/>
        <v>18.170118802666668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1.1580130000000004</v>
      </c>
    </row>
    <row r="522" spans="1:15">
      <c r="A522" s="6">
        <v>41771</v>
      </c>
      <c r="B522" s="7" t="s">
        <v>29</v>
      </c>
      <c r="C522">
        <v>30</v>
      </c>
      <c r="D522" t="s">
        <v>20</v>
      </c>
      <c r="E522">
        <v>196</v>
      </c>
      <c r="F522">
        <v>1.22</v>
      </c>
      <c r="N522">
        <f t="shared" si="8"/>
        <v>76.373728414666658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9.1499829999999989</v>
      </c>
    </row>
    <row r="523" spans="1:15">
      <c r="A523" s="6">
        <v>41771</v>
      </c>
      <c r="B523" s="7" t="s">
        <v>29</v>
      </c>
      <c r="C523">
        <v>30</v>
      </c>
      <c r="D523" t="s">
        <v>20</v>
      </c>
      <c r="E523">
        <v>124</v>
      </c>
      <c r="F523">
        <v>1.02</v>
      </c>
      <c r="G523">
        <v>3</v>
      </c>
      <c r="N523">
        <f t="shared" si="8"/>
        <v>33.774605771999994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5.8624531030035953</v>
      </c>
    </row>
    <row r="524" spans="1:15">
      <c r="A524" s="6">
        <v>41771</v>
      </c>
      <c r="B524" s="7" t="s">
        <v>29</v>
      </c>
      <c r="C524">
        <v>30</v>
      </c>
      <c r="D524" t="s">
        <v>20</v>
      </c>
      <c r="E524">
        <v>168</v>
      </c>
      <c r="F524">
        <v>0.9</v>
      </c>
      <c r="G524">
        <v>9</v>
      </c>
      <c r="N524">
        <f t="shared" si="8"/>
        <v>35.625630600000001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7.6163701683875402</v>
      </c>
    </row>
    <row r="525" spans="1:15">
      <c r="A525" s="6">
        <v>41771</v>
      </c>
      <c r="B525" s="7" t="s">
        <v>29</v>
      </c>
      <c r="C525">
        <v>41</v>
      </c>
      <c r="D525" t="s">
        <v>23</v>
      </c>
      <c r="F525">
        <v>3.9</v>
      </c>
      <c r="J525">
        <f>30+107+142+169+170+210+238+239+248</f>
        <v>1553</v>
      </c>
      <c r="K525">
        <v>9</v>
      </c>
      <c r="L525">
        <v>248</v>
      </c>
      <c r="N525" t="str">
        <f t="shared" si="8"/>
        <v>NA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40.728562000000004</v>
      </c>
    </row>
    <row r="526" spans="1:15">
      <c r="A526" s="6">
        <v>41771</v>
      </c>
      <c r="B526" s="7" t="s">
        <v>29</v>
      </c>
      <c r="C526">
        <v>41</v>
      </c>
      <c r="D526" t="s">
        <v>23</v>
      </c>
      <c r="F526">
        <v>2</v>
      </c>
      <c r="J526">
        <f>135+150+169+200+195+206+239+242+248+262+270</f>
        <v>2316</v>
      </c>
      <c r="K526">
        <v>11</v>
      </c>
      <c r="L526">
        <v>270</v>
      </c>
      <c r="N526" t="str">
        <f t="shared" si="8"/>
        <v>NA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91.591531000000032</v>
      </c>
    </row>
    <row r="527" spans="1:15">
      <c r="A527" s="6">
        <v>41771</v>
      </c>
      <c r="B527" s="7" t="s">
        <v>29</v>
      </c>
      <c r="C527">
        <v>41</v>
      </c>
      <c r="D527" t="s">
        <v>23</v>
      </c>
      <c r="F527">
        <v>3.42</v>
      </c>
      <c r="J527">
        <f>49+159+190+194+199+230+249+253</f>
        <v>1523</v>
      </c>
      <c r="K527">
        <v>8</v>
      </c>
      <c r="L527">
        <v>253</v>
      </c>
      <c r="N527" t="str">
        <f t="shared" si="8"/>
        <v>NA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43.432040000000022</v>
      </c>
    </row>
    <row r="528" spans="1:15">
      <c r="A528" s="6">
        <v>41771</v>
      </c>
      <c r="B528" s="7" t="s">
        <v>29</v>
      </c>
      <c r="C528">
        <v>41</v>
      </c>
      <c r="D528" t="s">
        <v>23</v>
      </c>
      <c r="F528">
        <v>1.85</v>
      </c>
      <c r="J528">
        <f>61+110+112+156+167+199</f>
        <v>805</v>
      </c>
      <c r="K528">
        <v>6</v>
      </c>
      <c r="L528">
        <v>199</v>
      </c>
      <c r="N528" t="str">
        <f t="shared" si="8"/>
        <v>NA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6.4278860000000009</v>
      </c>
    </row>
    <row r="529" spans="1:15">
      <c r="A529" s="6">
        <v>41771</v>
      </c>
      <c r="B529" s="7" t="s">
        <v>29</v>
      </c>
      <c r="C529">
        <v>41</v>
      </c>
      <c r="D529" t="s">
        <v>19</v>
      </c>
      <c r="F529">
        <v>1.28</v>
      </c>
      <c r="J529">
        <f>38+59+68+97+105</f>
        <v>367</v>
      </c>
      <c r="K529">
        <v>5</v>
      </c>
      <c r="L529">
        <v>105</v>
      </c>
      <c r="N529" t="str">
        <f t="shared" si="8"/>
        <v>NA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0.70257900000000006</v>
      </c>
    </row>
    <row r="530" spans="1:15">
      <c r="A530" s="6">
        <v>41771</v>
      </c>
      <c r="B530" s="7" t="s">
        <v>29</v>
      </c>
      <c r="C530">
        <v>41</v>
      </c>
      <c r="D530" t="s">
        <v>19</v>
      </c>
      <c r="F530">
        <v>1.0900000000000001</v>
      </c>
      <c r="J530">
        <f>42+49+73+129</f>
        <v>293</v>
      </c>
      <c r="K530">
        <v>4</v>
      </c>
      <c r="L530">
        <v>129</v>
      </c>
      <c r="N530" t="str">
        <f t="shared" si="8"/>
        <v>NA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-6.4428179999999955</v>
      </c>
    </row>
    <row r="531" spans="1:15">
      <c r="A531" s="6">
        <v>41771</v>
      </c>
      <c r="B531" s="7" t="s">
        <v>29</v>
      </c>
      <c r="C531">
        <v>41</v>
      </c>
      <c r="D531" t="s">
        <v>19</v>
      </c>
      <c r="F531">
        <v>0.71</v>
      </c>
      <c r="J531">
        <f>46+51+76+87</f>
        <v>260</v>
      </c>
      <c r="K531">
        <v>4</v>
      </c>
      <c r="L531">
        <v>87</v>
      </c>
      <c r="N531" t="str">
        <f t="shared" si="8"/>
        <v>NA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3.115556999999999</v>
      </c>
    </row>
    <row r="532" spans="1:15">
      <c r="A532" s="6">
        <v>41771</v>
      </c>
      <c r="B532" s="7" t="s">
        <v>29</v>
      </c>
      <c r="C532">
        <v>41</v>
      </c>
      <c r="D532" t="s">
        <v>19</v>
      </c>
      <c r="F532">
        <v>4.42</v>
      </c>
      <c r="J532">
        <f>148+166+216+241+249+271+280+158</f>
        <v>1729</v>
      </c>
      <c r="K532">
        <v>8</v>
      </c>
      <c r="L532">
        <v>280</v>
      </c>
      <c r="N532" t="str">
        <f t="shared" si="8"/>
        <v>NA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54.611955000000016</v>
      </c>
    </row>
    <row r="533" spans="1:15">
      <c r="A533" s="6">
        <v>41771</v>
      </c>
      <c r="B533" s="7" t="s">
        <v>29</v>
      </c>
      <c r="C533">
        <v>41</v>
      </c>
      <c r="D533" t="s">
        <v>19</v>
      </c>
      <c r="F533">
        <v>2.34</v>
      </c>
      <c r="J533">
        <f>83+122+163+168+205+225+237</f>
        <v>1203</v>
      </c>
      <c r="K533">
        <v>7</v>
      </c>
      <c r="L533">
        <v>237</v>
      </c>
      <c r="N533" t="str">
        <f t="shared" si="8"/>
        <v>NA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25.272713000000003</v>
      </c>
    </row>
    <row r="534" spans="1:15">
      <c r="A534" s="6">
        <v>41771</v>
      </c>
      <c r="B534" s="7" t="s">
        <v>29</v>
      </c>
      <c r="C534">
        <v>41</v>
      </c>
      <c r="D534" t="s">
        <v>19</v>
      </c>
      <c r="F534">
        <v>2.14</v>
      </c>
      <c r="J534">
        <f>62+141+163+186+146+226</f>
        <v>924</v>
      </c>
      <c r="K534">
        <v>6</v>
      </c>
      <c r="L534">
        <v>226</v>
      </c>
      <c r="N534" t="str">
        <f t="shared" si="8"/>
        <v>NA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9.4511160000000061</v>
      </c>
    </row>
    <row r="535" spans="1:15">
      <c r="A535" s="6">
        <v>41771</v>
      </c>
      <c r="B535" s="7" t="s">
        <v>29</v>
      </c>
      <c r="C535">
        <v>41</v>
      </c>
      <c r="D535" t="s">
        <v>19</v>
      </c>
      <c r="F535">
        <v>1.21</v>
      </c>
      <c r="J535">
        <f>70+104+126+167</f>
        <v>467</v>
      </c>
      <c r="K535">
        <v>4</v>
      </c>
      <c r="L535">
        <v>167</v>
      </c>
      <c r="N535" t="str">
        <f t="shared" si="8"/>
        <v>NA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-1.576757999999991</v>
      </c>
    </row>
    <row r="536" spans="1:15">
      <c r="A536" s="6">
        <v>41771</v>
      </c>
      <c r="B536" s="7" t="s">
        <v>29</v>
      </c>
      <c r="C536">
        <v>41</v>
      </c>
      <c r="D536" t="s">
        <v>19</v>
      </c>
      <c r="F536">
        <v>0.48</v>
      </c>
      <c r="J536">
        <f>36+41+40+59</f>
        <v>176</v>
      </c>
      <c r="K536">
        <v>4</v>
      </c>
      <c r="L536">
        <v>59</v>
      </c>
      <c r="N536" t="str">
        <f t="shared" si="8"/>
        <v>NA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3.6749970000000012</v>
      </c>
    </row>
    <row r="537" spans="1:15">
      <c r="A537" s="9">
        <v>41771</v>
      </c>
      <c r="B537" s="7" t="s">
        <v>29</v>
      </c>
      <c r="C537">
        <v>43</v>
      </c>
      <c r="D537" t="s">
        <v>20</v>
      </c>
      <c r="E537">
        <v>141</v>
      </c>
      <c r="F537">
        <v>0.56000000000000005</v>
      </c>
      <c r="N537">
        <f t="shared" si="8"/>
        <v>11.576130832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5.2942080000000002</v>
      </c>
    </row>
    <row r="538" spans="1:15">
      <c r="A538" s="6">
        <v>41771</v>
      </c>
      <c r="B538" s="7" t="s">
        <v>29</v>
      </c>
      <c r="C538">
        <v>43</v>
      </c>
      <c r="D538" t="s">
        <v>23</v>
      </c>
      <c r="E538">
        <v>246</v>
      </c>
      <c r="F538">
        <v>5.05</v>
      </c>
      <c r="H538">
        <v>67</v>
      </c>
      <c r="I538">
        <v>1</v>
      </c>
      <c r="N538" t="str">
        <f t="shared" si="8"/>
        <v>NA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153.64575444999997</v>
      </c>
    </row>
    <row r="539" spans="1:15">
      <c r="A539" s="6">
        <v>41771</v>
      </c>
      <c r="B539" s="7" t="s">
        <v>29</v>
      </c>
      <c r="C539">
        <v>43</v>
      </c>
      <c r="D539" t="s">
        <v>23</v>
      </c>
      <c r="E539">
        <v>203</v>
      </c>
      <c r="F539">
        <v>6.4</v>
      </c>
      <c r="H539">
        <v>42</v>
      </c>
      <c r="I539">
        <v>2</v>
      </c>
      <c r="N539" t="str">
        <f t="shared" si="8"/>
        <v>NA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160.8038598</v>
      </c>
    </row>
    <row r="540" spans="1:15">
      <c r="A540" s="9">
        <v>41771</v>
      </c>
      <c r="B540" s="7" t="s">
        <v>29</v>
      </c>
      <c r="C540">
        <v>43</v>
      </c>
      <c r="D540" t="s">
        <v>23</v>
      </c>
      <c r="F540">
        <v>2</v>
      </c>
      <c r="J540">
        <f>103+138</f>
        <v>241</v>
      </c>
      <c r="K540">
        <v>2</v>
      </c>
      <c r="L540">
        <v>138</v>
      </c>
      <c r="N540" t="str">
        <f t="shared" si="8"/>
        <v>NA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1.542299999999841E-2</v>
      </c>
    </row>
    <row r="541" spans="1:15">
      <c r="A541" s="9">
        <v>41771</v>
      </c>
      <c r="B541" s="7" t="s">
        <v>29</v>
      </c>
      <c r="C541">
        <v>43</v>
      </c>
      <c r="D541" t="s">
        <v>23</v>
      </c>
      <c r="F541">
        <v>2.0499999999999998</v>
      </c>
      <c r="J541">
        <f>229+249+255+175</f>
        <v>908</v>
      </c>
      <c r="K541">
        <v>4</v>
      </c>
      <c r="L541">
        <v>255</v>
      </c>
      <c r="N541" t="str">
        <f t="shared" si="8"/>
        <v>NA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13.259637000000005</v>
      </c>
    </row>
    <row r="542" spans="1:15">
      <c r="A542" s="6">
        <v>41771</v>
      </c>
      <c r="B542" s="7" t="s">
        <v>29</v>
      </c>
      <c r="C542">
        <v>43</v>
      </c>
      <c r="D542" t="s">
        <v>23</v>
      </c>
      <c r="E542">
        <v>232</v>
      </c>
      <c r="F542">
        <v>5.04</v>
      </c>
      <c r="H542">
        <v>33</v>
      </c>
      <c r="I542">
        <v>1</v>
      </c>
      <c r="N542" t="str">
        <f t="shared" si="8"/>
        <v>NA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117.57119068000003</v>
      </c>
    </row>
    <row r="543" spans="1:15">
      <c r="A543" s="9">
        <v>41771</v>
      </c>
      <c r="B543" s="7" t="s">
        <v>29</v>
      </c>
      <c r="C543">
        <v>43</v>
      </c>
      <c r="D543" t="s">
        <v>23</v>
      </c>
      <c r="F543">
        <v>2.1800000000000002</v>
      </c>
      <c r="J543">
        <f>202+120</f>
        <v>322</v>
      </c>
      <c r="K543">
        <v>2</v>
      </c>
      <c r="L543">
        <v>202</v>
      </c>
      <c r="N543" t="str">
        <f t="shared" si="8"/>
        <v>NA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-11.670102</v>
      </c>
    </row>
    <row r="544" spans="1:15">
      <c r="A544" s="6">
        <v>41771</v>
      </c>
      <c r="B544" s="7" t="s">
        <v>29</v>
      </c>
      <c r="C544">
        <v>43</v>
      </c>
      <c r="D544" t="s">
        <v>23</v>
      </c>
      <c r="F544">
        <v>1.66</v>
      </c>
      <c r="J544">
        <f>133+184+194+210</f>
        <v>721</v>
      </c>
      <c r="K544">
        <v>4</v>
      </c>
      <c r="L544">
        <v>210</v>
      </c>
      <c r="N544" t="str">
        <f t="shared" si="8"/>
        <v>NA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9.283477000000012</v>
      </c>
    </row>
    <row r="545" spans="1:15">
      <c r="A545" s="9">
        <v>41771</v>
      </c>
      <c r="B545" s="7" t="s">
        <v>29</v>
      </c>
      <c r="C545">
        <v>43</v>
      </c>
      <c r="D545" t="s">
        <v>19</v>
      </c>
      <c r="F545">
        <v>4.4800000000000004</v>
      </c>
      <c r="J545">
        <f>137+183+182+241+266+282+307</f>
        <v>1598</v>
      </c>
      <c r="K545">
        <v>7</v>
      </c>
      <c r="L545">
        <v>307</v>
      </c>
      <c r="N545" t="str">
        <f t="shared" si="8"/>
        <v>NA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41.218788000000011</v>
      </c>
    </row>
    <row r="546" spans="1:15">
      <c r="A546" s="6">
        <v>41771</v>
      </c>
      <c r="B546" s="7" t="s">
        <v>29</v>
      </c>
      <c r="C546">
        <v>43</v>
      </c>
      <c r="D546" t="s">
        <v>19</v>
      </c>
      <c r="F546">
        <v>4.92</v>
      </c>
      <c r="J546">
        <f>160+214+231+240+260+275+262+284+298+309+307</f>
        <v>2840</v>
      </c>
      <c r="K546">
        <v>11</v>
      </c>
      <c r="L546">
        <v>309</v>
      </c>
      <c r="N546" t="str">
        <f t="shared" si="8"/>
        <v>NA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128.97059600000003</v>
      </c>
    </row>
    <row r="547" spans="1:15">
      <c r="A547" s="6">
        <v>41771</v>
      </c>
      <c r="B547" s="7" t="s">
        <v>29</v>
      </c>
      <c r="C547">
        <v>43</v>
      </c>
      <c r="D547" t="s">
        <v>19</v>
      </c>
      <c r="F547">
        <v>7.39</v>
      </c>
      <c r="J547">
        <f>236+237+235+256+277+275</f>
        <v>1516</v>
      </c>
      <c r="K547">
        <v>6</v>
      </c>
      <c r="L547">
        <v>277</v>
      </c>
      <c r="N547" t="str">
        <f t="shared" si="8"/>
        <v>NA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49.590581000000022</v>
      </c>
    </row>
    <row r="548" spans="1:15">
      <c r="A548" s="6">
        <v>41771</v>
      </c>
      <c r="B548" s="7" t="s">
        <v>29</v>
      </c>
      <c r="C548">
        <v>49</v>
      </c>
      <c r="D548" t="s">
        <v>25</v>
      </c>
      <c r="E548">
        <v>351</v>
      </c>
      <c r="F548">
        <v>2.06</v>
      </c>
      <c r="G548">
        <v>2</v>
      </c>
      <c r="N548">
        <f t="shared" si="8"/>
        <v>389.950801227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31.087276109965998</v>
      </c>
    </row>
    <row r="549" spans="1:15">
      <c r="A549" s="9">
        <v>41771</v>
      </c>
      <c r="B549" s="7" t="s">
        <v>29</v>
      </c>
      <c r="C549">
        <v>49</v>
      </c>
      <c r="D549" t="s">
        <v>25</v>
      </c>
      <c r="E549">
        <v>206</v>
      </c>
      <c r="F549">
        <v>2.11</v>
      </c>
      <c r="N549">
        <f t="shared" si="8"/>
        <v>240.1045504028333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9.851033000000001</v>
      </c>
    </row>
    <row r="550" spans="1:15">
      <c r="A550" s="6">
        <v>41771</v>
      </c>
      <c r="B550" s="7" t="s">
        <v>29</v>
      </c>
      <c r="C550">
        <v>49</v>
      </c>
      <c r="D550" t="s">
        <v>25</v>
      </c>
      <c r="E550">
        <v>211</v>
      </c>
      <c r="F550">
        <v>1.08</v>
      </c>
      <c r="G550">
        <v>5</v>
      </c>
      <c r="N550">
        <f t="shared" si="8"/>
        <v>64.431497628000002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8.8841717941972718</v>
      </c>
    </row>
    <row r="551" spans="1:15">
      <c r="A551" s="9">
        <v>41771</v>
      </c>
      <c r="B551" s="7" t="s">
        <v>29</v>
      </c>
      <c r="C551">
        <v>49</v>
      </c>
      <c r="D551" t="s">
        <v>25</v>
      </c>
      <c r="E551">
        <v>276</v>
      </c>
      <c r="F551">
        <v>1.65</v>
      </c>
      <c r="G551">
        <v>21</v>
      </c>
      <c r="N551">
        <f t="shared" si="8"/>
        <v>196.71851182499995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18.105777050995048</v>
      </c>
    </row>
    <row r="552" spans="1:15">
      <c r="A552" s="6">
        <v>41771</v>
      </c>
      <c r="B552" s="7" t="s">
        <v>29</v>
      </c>
      <c r="C552">
        <v>49</v>
      </c>
      <c r="D552" t="s">
        <v>25</v>
      </c>
      <c r="E552">
        <v>248</v>
      </c>
      <c r="F552">
        <v>1.85</v>
      </c>
      <c r="N552">
        <f t="shared" si="8"/>
        <v>222.20989668333334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12.795443000000002</v>
      </c>
    </row>
    <row r="553" spans="1:15">
      <c r="A553" s="9">
        <v>41771</v>
      </c>
      <c r="B553" s="7" t="s">
        <v>29</v>
      </c>
      <c r="C553">
        <v>49</v>
      </c>
      <c r="D553" t="s">
        <v>25</v>
      </c>
      <c r="E553">
        <v>338</v>
      </c>
      <c r="F553">
        <v>2.25</v>
      </c>
      <c r="G553">
        <v>18</v>
      </c>
      <c r="N553">
        <f t="shared" si="8"/>
        <v>447.97109906249995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34.115121967330623</v>
      </c>
    </row>
    <row r="554" spans="1:15">
      <c r="A554" s="9">
        <v>41771</v>
      </c>
      <c r="B554" s="7" t="s">
        <v>29</v>
      </c>
      <c r="C554">
        <v>49</v>
      </c>
      <c r="D554" t="s">
        <v>25</v>
      </c>
      <c r="E554">
        <v>317</v>
      </c>
      <c r="F554">
        <v>0.6</v>
      </c>
      <c r="G554">
        <v>11</v>
      </c>
      <c r="N554">
        <f t="shared" si="8"/>
        <v>29.876520899999996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9.4875696663865998</v>
      </c>
    </row>
    <row r="555" spans="1:15">
      <c r="A555" s="6">
        <v>41771</v>
      </c>
      <c r="B555" s="7" t="s">
        <v>29</v>
      </c>
      <c r="C555">
        <v>49</v>
      </c>
      <c r="D555" t="s">
        <v>25</v>
      </c>
      <c r="E555">
        <v>132</v>
      </c>
      <c r="F555">
        <v>1.07</v>
      </c>
      <c r="N555">
        <f t="shared" si="8"/>
        <v>39.564870300999992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4.6632629999999997</v>
      </c>
    </row>
    <row r="556" spans="1:15">
      <c r="A556" s="9">
        <v>41771</v>
      </c>
      <c r="B556" s="7" t="s">
        <v>29</v>
      </c>
      <c r="C556">
        <v>49</v>
      </c>
      <c r="D556" t="s">
        <v>25</v>
      </c>
      <c r="E556">
        <v>321</v>
      </c>
      <c r="F556">
        <v>2.1800000000000002</v>
      </c>
      <c r="G556">
        <v>1</v>
      </c>
      <c r="N556">
        <f t="shared" si="8"/>
        <v>399.37996945300006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30.896285958232326</v>
      </c>
    </row>
    <row r="557" spans="1:15">
      <c r="A557" s="6">
        <v>41771</v>
      </c>
      <c r="B557" s="7" t="s">
        <v>29</v>
      </c>
      <c r="C557">
        <v>49</v>
      </c>
      <c r="D557" t="s">
        <v>25</v>
      </c>
      <c r="E557">
        <v>351</v>
      </c>
      <c r="F557">
        <v>2.86</v>
      </c>
      <c r="N557">
        <f t="shared" si="8"/>
        <v>751.63577474699991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20.016258000000001</v>
      </c>
    </row>
    <row r="558" spans="1:15">
      <c r="A558" s="9">
        <v>41771</v>
      </c>
      <c r="B558" s="7" t="s">
        <v>29</v>
      </c>
      <c r="C558">
        <v>49</v>
      </c>
      <c r="D558" t="s">
        <v>25</v>
      </c>
      <c r="E558">
        <v>315</v>
      </c>
      <c r="F558">
        <v>1.73</v>
      </c>
      <c r="N558">
        <f t="shared" si="8"/>
        <v>246.81469866374999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17.492478000000002</v>
      </c>
    </row>
    <row r="559" spans="1:15">
      <c r="A559" s="6">
        <v>41771</v>
      </c>
      <c r="B559" s="7" t="s">
        <v>29</v>
      </c>
      <c r="C559">
        <v>49</v>
      </c>
      <c r="D559" t="s">
        <v>25</v>
      </c>
      <c r="E559">
        <v>330</v>
      </c>
      <c r="F559">
        <v>1.88</v>
      </c>
      <c r="N559">
        <f t="shared" si="8"/>
        <v>305.34998163999995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18.544053000000002</v>
      </c>
    </row>
    <row r="560" spans="1:15">
      <c r="A560" s="9">
        <v>41771</v>
      </c>
      <c r="B560" s="7" t="s">
        <v>29</v>
      </c>
      <c r="C560">
        <v>49</v>
      </c>
      <c r="D560" t="s">
        <v>25</v>
      </c>
      <c r="E560">
        <v>329</v>
      </c>
      <c r="F560">
        <v>1.71</v>
      </c>
      <c r="N560">
        <f t="shared" si="8"/>
        <v>251.85836432924995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18.473948</v>
      </c>
    </row>
    <row r="561" spans="1:15">
      <c r="A561" s="9">
        <v>41771</v>
      </c>
      <c r="B561" s="7" t="s">
        <v>29</v>
      </c>
      <c r="C561">
        <v>49</v>
      </c>
      <c r="D561" t="s">
        <v>23</v>
      </c>
      <c r="E561">
        <v>242</v>
      </c>
      <c r="F561">
        <v>3.85</v>
      </c>
      <c r="H561">
        <v>21</v>
      </c>
      <c r="I561">
        <v>1</v>
      </c>
      <c r="N561" t="str">
        <f t="shared" si="8"/>
        <v>NA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86.524376050000001</v>
      </c>
    </row>
    <row r="562" spans="1:15">
      <c r="A562" s="6">
        <v>41771</v>
      </c>
      <c r="B562" s="7" t="s">
        <v>29</v>
      </c>
      <c r="C562">
        <v>49</v>
      </c>
      <c r="D562" t="s">
        <v>23</v>
      </c>
      <c r="E562">
        <v>244</v>
      </c>
      <c r="F562">
        <v>4.17</v>
      </c>
      <c r="H562">
        <v>21</v>
      </c>
      <c r="I562">
        <v>0.8</v>
      </c>
      <c r="N562" t="str">
        <f t="shared" si="8"/>
        <v>NA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89.801188289999999</v>
      </c>
    </row>
    <row r="563" spans="1:15">
      <c r="A563" s="6">
        <v>41771</v>
      </c>
      <c r="B563" s="7" t="s">
        <v>29</v>
      </c>
      <c r="C563">
        <v>49</v>
      </c>
      <c r="D563" t="s">
        <v>19</v>
      </c>
      <c r="F563">
        <v>3.6</v>
      </c>
      <c r="J563">
        <f>333+243+335+195+339</f>
        <v>1445</v>
      </c>
      <c r="K563">
        <v>5</v>
      </c>
      <c r="L563">
        <v>339</v>
      </c>
      <c r="N563" t="str">
        <f t="shared" si="8"/>
        <v>NA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31.279139000000022</v>
      </c>
    </row>
    <row r="564" spans="1:15">
      <c r="A564" s="9">
        <v>41771</v>
      </c>
      <c r="B564" s="7" t="s">
        <v>29</v>
      </c>
      <c r="C564">
        <v>49</v>
      </c>
      <c r="D564" t="s">
        <v>19</v>
      </c>
      <c r="F564">
        <v>2.5099999999999998</v>
      </c>
      <c r="J564">
        <f>138+176+217+238+254+275+298</f>
        <v>1596</v>
      </c>
      <c r="K564">
        <v>7</v>
      </c>
      <c r="L564">
        <v>298</v>
      </c>
      <c r="N564" t="str">
        <f t="shared" si="8"/>
        <v>NA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43.742483000000014</v>
      </c>
    </row>
    <row r="565" spans="1:15">
      <c r="A565" s="6">
        <v>41771</v>
      </c>
      <c r="B565" s="7" t="s">
        <v>29</v>
      </c>
      <c r="C565">
        <v>49</v>
      </c>
      <c r="D565" t="s">
        <v>19</v>
      </c>
      <c r="F565">
        <v>2.7</v>
      </c>
      <c r="J565">
        <f>221+333+130+135+223+200</f>
        <v>1242</v>
      </c>
      <c r="K565">
        <v>6</v>
      </c>
      <c r="L565">
        <v>333</v>
      </c>
      <c r="N565" t="str">
        <f t="shared" si="8"/>
        <v>NA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7.0319910000000121</v>
      </c>
    </row>
    <row r="566" spans="1:15">
      <c r="A566" s="9">
        <v>41771</v>
      </c>
      <c r="B566" s="7" t="s">
        <v>29</v>
      </c>
      <c r="C566">
        <v>49</v>
      </c>
      <c r="D566" t="s">
        <v>19</v>
      </c>
      <c r="F566">
        <v>3.12</v>
      </c>
      <c r="J566">
        <f>159+174+221+263+264+289+312+238+201</f>
        <v>2121</v>
      </c>
      <c r="K566">
        <v>9</v>
      </c>
      <c r="L566">
        <v>289</v>
      </c>
      <c r="N566" t="str">
        <f t="shared" si="8"/>
        <v>NA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81.630357000000004</v>
      </c>
    </row>
    <row r="567" spans="1:15">
      <c r="A567" s="6">
        <v>41771</v>
      </c>
      <c r="B567" s="7" t="s">
        <v>29</v>
      </c>
      <c r="C567">
        <v>49</v>
      </c>
      <c r="D567" t="s">
        <v>19</v>
      </c>
      <c r="F567">
        <v>0.99</v>
      </c>
      <c r="J567">
        <f>107+110+174+182</f>
        <v>573</v>
      </c>
      <c r="K567">
        <v>4</v>
      </c>
      <c r="L567">
        <v>182</v>
      </c>
      <c r="N567" t="str">
        <f t="shared" si="8"/>
        <v>NA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3.8425970000000014</v>
      </c>
    </row>
    <row r="568" spans="1:15">
      <c r="A568" s="9">
        <v>41771</v>
      </c>
      <c r="B568" s="7" t="s">
        <v>29</v>
      </c>
      <c r="C568">
        <v>49</v>
      </c>
      <c r="D568" t="s">
        <v>19</v>
      </c>
      <c r="F568">
        <v>3.05</v>
      </c>
      <c r="J568">
        <f>236+306+305+200+121+234+314+274+265</f>
        <v>2255</v>
      </c>
      <c r="K568">
        <v>9</v>
      </c>
      <c r="L568">
        <v>314</v>
      </c>
      <c r="N568" t="str">
        <f t="shared" si="8"/>
        <v>NA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86.662402000000014</v>
      </c>
    </row>
    <row r="569" spans="1:15">
      <c r="A569" s="6">
        <v>41771</v>
      </c>
      <c r="B569" s="7" t="s">
        <v>29</v>
      </c>
      <c r="C569">
        <v>49</v>
      </c>
      <c r="D569" t="s">
        <v>19</v>
      </c>
      <c r="F569">
        <v>2.4</v>
      </c>
      <c r="J569">
        <f>148+104+146+182</f>
        <v>580</v>
      </c>
      <c r="K569">
        <v>4</v>
      </c>
      <c r="L569">
        <v>182</v>
      </c>
      <c r="N569" t="str">
        <f t="shared" si="8"/>
        <v>NA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4.4988820000000054</v>
      </c>
    </row>
    <row r="570" spans="1:15">
      <c r="A570" s="10">
        <v>41766</v>
      </c>
      <c r="B570" s="7" t="s">
        <v>22</v>
      </c>
      <c r="C570">
        <v>14</v>
      </c>
      <c r="D570" t="s">
        <v>25</v>
      </c>
      <c r="E570">
        <v>42</v>
      </c>
      <c r="F570">
        <v>0.57999999999999996</v>
      </c>
      <c r="N570">
        <f t="shared" si="8"/>
        <v>3.6989080659999991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-1.6461869999999998</v>
      </c>
    </row>
    <row r="571" spans="1:15">
      <c r="A571" s="6">
        <v>41766</v>
      </c>
      <c r="B571" s="7" t="s">
        <v>22</v>
      </c>
      <c r="C571">
        <v>14</v>
      </c>
      <c r="D571" t="s">
        <v>25</v>
      </c>
      <c r="E571">
        <v>185</v>
      </c>
      <c r="F571">
        <v>0.86</v>
      </c>
      <c r="G571">
        <v>4</v>
      </c>
      <c r="N571">
        <f t="shared" si="8"/>
        <v>35.820932778333322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6.5972524770575962</v>
      </c>
    </row>
    <row r="572" spans="1:15">
      <c r="A572" s="10">
        <v>41766</v>
      </c>
      <c r="B572" s="7" t="s">
        <v>22</v>
      </c>
      <c r="C572">
        <v>14</v>
      </c>
      <c r="D572" t="s">
        <v>25</v>
      </c>
      <c r="E572">
        <v>223</v>
      </c>
      <c r="F572">
        <v>0.89</v>
      </c>
      <c r="N572">
        <f t="shared" si="8"/>
        <v>46.24375974141666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11.042818</v>
      </c>
    </row>
    <row r="573" spans="1:15">
      <c r="A573" s="6">
        <v>41766</v>
      </c>
      <c r="B573" s="7" t="s">
        <v>22</v>
      </c>
      <c r="C573">
        <v>14</v>
      </c>
      <c r="D573" t="s">
        <v>25</v>
      </c>
      <c r="E573">
        <v>236</v>
      </c>
      <c r="F573">
        <v>1.3</v>
      </c>
      <c r="G573">
        <v>1</v>
      </c>
      <c r="N573">
        <f t="shared" si="8"/>
        <v>104.41597963333334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11.802576809372868</v>
      </c>
    </row>
    <row r="574" spans="1:15">
      <c r="A574" s="6">
        <v>41766</v>
      </c>
      <c r="B574" s="7" t="s">
        <v>22</v>
      </c>
      <c r="C574">
        <v>14</v>
      </c>
      <c r="D574" t="s">
        <v>25</v>
      </c>
      <c r="E574">
        <v>255</v>
      </c>
      <c r="F574">
        <v>1.02</v>
      </c>
      <c r="N574">
        <f t="shared" si="8"/>
        <v>69.455842514999986</v>
      </c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13.286178</v>
      </c>
    </row>
    <row r="575" spans="1:15">
      <c r="A575" s="10">
        <v>41766</v>
      </c>
      <c r="B575" s="7" t="s">
        <v>22</v>
      </c>
      <c r="C575">
        <v>14</v>
      </c>
      <c r="D575" t="s">
        <v>25</v>
      </c>
      <c r="E575">
        <v>262</v>
      </c>
      <c r="F575">
        <v>1.35</v>
      </c>
      <c r="N575">
        <f t="shared" si="8"/>
        <v>125.0077930875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13.776913</v>
      </c>
    </row>
    <row r="576" spans="1:15">
      <c r="A576" s="10">
        <v>41766</v>
      </c>
      <c r="B576" s="7" t="s">
        <v>22</v>
      </c>
      <c r="C576">
        <v>14</v>
      </c>
      <c r="D576" t="s">
        <v>23</v>
      </c>
      <c r="F576">
        <v>3.96</v>
      </c>
      <c r="J576">
        <f>81+98+170+137+134+191+205+240+245+272+269</f>
        <v>2042</v>
      </c>
      <c r="K576">
        <v>11</v>
      </c>
      <c r="L576">
        <v>272</v>
      </c>
      <c r="N576" t="str">
        <f t="shared" si="8"/>
        <v>NA</v>
      </c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65.300171000000006</v>
      </c>
    </row>
    <row r="577" spans="1:15">
      <c r="A577" s="10">
        <v>41766</v>
      </c>
      <c r="B577" s="7" t="s">
        <v>22</v>
      </c>
      <c r="C577">
        <v>14</v>
      </c>
      <c r="D577" t="s">
        <v>23</v>
      </c>
      <c r="F577">
        <v>1.33</v>
      </c>
      <c r="J577">
        <f>54+102+54+116+159+157</f>
        <v>642</v>
      </c>
      <c r="K577">
        <v>6</v>
      </c>
      <c r="L577">
        <v>159</v>
      </c>
      <c r="N577" t="str">
        <f t="shared" si="8"/>
        <v>NA</v>
      </c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3.1956210000000027</v>
      </c>
    </row>
    <row r="578" spans="1:15">
      <c r="A578" s="6">
        <v>41766</v>
      </c>
      <c r="B578" s="7" t="s">
        <v>22</v>
      </c>
      <c r="C578">
        <v>14</v>
      </c>
      <c r="D578" t="s">
        <v>19</v>
      </c>
      <c r="F578">
        <v>0.75</v>
      </c>
      <c r="J578">
        <f>103</f>
        <v>103</v>
      </c>
      <c r="K578">
        <v>1</v>
      </c>
      <c r="L578">
        <v>103</v>
      </c>
      <c r="N578" t="str">
        <f t="shared" si="8"/>
        <v>NA</v>
      </c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4.6431609999999992</v>
      </c>
    </row>
    <row r="579" spans="1:15">
      <c r="A579" s="10">
        <v>41766</v>
      </c>
      <c r="B579" s="7" t="s">
        <v>22</v>
      </c>
      <c r="C579">
        <v>14</v>
      </c>
      <c r="D579" t="s">
        <v>19</v>
      </c>
      <c r="F579">
        <v>1.33</v>
      </c>
      <c r="J579">
        <f>66+72+127+139+183+183</f>
        <v>770</v>
      </c>
      <c r="K579">
        <v>6</v>
      </c>
      <c r="L579">
        <v>183</v>
      </c>
      <c r="N579" t="str">
        <f t="shared" si="8"/>
        <v>NA</v>
      </c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7.9663809999999984</v>
      </c>
    </row>
    <row r="580" spans="1:15">
      <c r="A580" s="6">
        <v>41766</v>
      </c>
      <c r="B580" s="7" t="s">
        <v>22</v>
      </c>
      <c r="C580">
        <v>14</v>
      </c>
      <c r="D580" t="s">
        <v>19</v>
      </c>
      <c r="F580">
        <v>1.24</v>
      </c>
      <c r="J580">
        <f>74+77+125+130+176+178</f>
        <v>760</v>
      </c>
      <c r="K580">
        <v>6</v>
      </c>
      <c r="L580">
        <v>178</v>
      </c>
      <c r="N580" t="str">
        <f t="shared" ref="N580:N625" si="9">IF(OR(D580="S. acutus", D580="S. tabernaemontani", D580="S. californicus"),(1/3)*(3.14159)*((F580/2)^2)*E580,"NA")</f>
        <v>NA</v>
      </c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8.5350559999999973</v>
      </c>
    </row>
    <row r="581" spans="1:15">
      <c r="A581" s="10">
        <v>41766</v>
      </c>
      <c r="B581" s="7" t="s">
        <v>22</v>
      </c>
      <c r="C581">
        <v>14</v>
      </c>
      <c r="D581" t="s">
        <v>19</v>
      </c>
      <c r="F581">
        <v>0.92</v>
      </c>
      <c r="J581">
        <f>46+93+66+68+76+95+79</f>
        <v>523</v>
      </c>
      <c r="K581">
        <v>7</v>
      </c>
      <c r="L581">
        <v>95</v>
      </c>
      <c r="N581" t="str">
        <f t="shared" si="9"/>
        <v>NA</v>
      </c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4.2961030000000093</v>
      </c>
    </row>
    <row r="582" spans="1:15">
      <c r="A582" s="6">
        <v>41766</v>
      </c>
      <c r="B582" s="7" t="s">
        <v>22</v>
      </c>
      <c r="C582">
        <v>14</v>
      </c>
      <c r="D582" t="s">
        <v>19</v>
      </c>
      <c r="F582">
        <v>2.2599999999999998</v>
      </c>
      <c r="J582">
        <f>61+51+85+100+100+86+100+142</f>
        <v>725</v>
      </c>
      <c r="K582">
        <v>8</v>
      </c>
      <c r="L582">
        <v>142</v>
      </c>
      <c r="N582" t="str">
        <f t="shared" si="9"/>
        <v>NA</v>
      </c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2.0537449999999993</v>
      </c>
    </row>
    <row r="583" spans="1:15">
      <c r="A583" s="10">
        <v>41766</v>
      </c>
      <c r="B583" s="7" t="s">
        <v>22</v>
      </c>
      <c r="C583">
        <v>14</v>
      </c>
      <c r="D583" t="s">
        <v>19</v>
      </c>
      <c r="F583">
        <v>0.54</v>
      </c>
      <c r="J583">
        <f>54+60+71</f>
        <v>185</v>
      </c>
      <c r="K583">
        <v>3</v>
      </c>
      <c r="L583">
        <v>71</v>
      </c>
      <c r="N583" t="str">
        <f t="shared" si="9"/>
        <v>NA</v>
      </c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7.9262049999999995</v>
      </c>
    </row>
    <row r="584" spans="1:15">
      <c r="A584" s="6">
        <v>41766</v>
      </c>
      <c r="B584" s="7" t="s">
        <v>22</v>
      </c>
      <c r="C584">
        <v>14</v>
      </c>
      <c r="D584" t="s">
        <v>19</v>
      </c>
      <c r="F584">
        <v>0.2</v>
      </c>
      <c r="J584">
        <f>41+32</f>
        <v>73</v>
      </c>
      <c r="K584">
        <v>2</v>
      </c>
      <c r="L584">
        <v>41</v>
      </c>
      <c r="N584" t="str">
        <f t="shared" si="9"/>
        <v>NA</v>
      </c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13.485347999999998</v>
      </c>
    </row>
    <row r="585" spans="1:15">
      <c r="A585" s="10">
        <v>41766</v>
      </c>
      <c r="B585" s="7" t="s">
        <v>22</v>
      </c>
      <c r="C585">
        <v>15</v>
      </c>
      <c r="D585" t="s">
        <v>23</v>
      </c>
      <c r="F585">
        <v>2.88</v>
      </c>
      <c r="J585">
        <f>43+69+103+20+21+18+16</f>
        <v>290</v>
      </c>
      <c r="K585">
        <v>7</v>
      </c>
      <c r="L585">
        <v>103</v>
      </c>
      <c r="N585" t="str">
        <f t="shared" si="9"/>
        <v>NA</v>
      </c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-19.958771999999996</v>
      </c>
    </row>
    <row r="586" spans="1:15">
      <c r="A586" s="10">
        <v>41766</v>
      </c>
      <c r="B586" s="7" t="s">
        <v>22</v>
      </c>
      <c r="C586">
        <v>15</v>
      </c>
      <c r="D586" t="s">
        <v>23</v>
      </c>
      <c r="F586">
        <v>1.49</v>
      </c>
      <c r="J586">
        <f>42+82+112+137+151+164</f>
        <v>688</v>
      </c>
      <c r="K586">
        <v>6</v>
      </c>
      <c r="L586">
        <v>164</v>
      </c>
      <c r="N586" t="str">
        <f t="shared" si="9"/>
        <v>NA</v>
      </c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6.002125999999997</v>
      </c>
    </row>
    <row r="587" spans="1:15">
      <c r="A587" s="6">
        <v>41766</v>
      </c>
      <c r="B587" s="7" t="s">
        <v>22</v>
      </c>
      <c r="C587">
        <v>15</v>
      </c>
      <c r="D587" t="s">
        <v>23</v>
      </c>
      <c r="F587">
        <v>3.56</v>
      </c>
      <c r="J587">
        <f>62+114+95+94+88+162+134+142</f>
        <v>891</v>
      </c>
      <c r="K587">
        <v>8</v>
      </c>
      <c r="L587">
        <v>162</v>
      </c>
      <c r="N587" t="str">
        <f t="shared" si="9"/>
        <v>NA</v>
      </c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11.592175000000005</v>
      </c>
    </row>
    <row r="588" spans="1:15">
      <c r="A588" s="10">
        <v>41766</v>
      </c>
      <c r="B588" s="7" t="s">
        <v>22</v>
      </c>
      <c r="C588">
        <v>15</v>
      </c>
      <c r="D588" t="s">
        <v>23</v>
      </c>
      <c r="F588">
        <v>2.4</v>
      </c>
      <c r="J588">
        <f>102+138+158+209+127+197</f>
        <v>931</v>
      </c>
      <c r="K588">
        <v>6</v>
      </c>
      <c r="L588">
        <v>209</v>
      </c>
      <c r="N588" t="str">
        <f t="shared" si="9"/>
        <v>NA</v>
      </c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15.228566000000001</v>
      </c>
    </row>
    <row r="589" spans="1:15">
      <c r="A589" s="6">
        <v>41766</v>
      </c>
      <c r="B589" s="7" t="s">
        <v>22</v>
      </c>
      <c r="C589">
        <v>15</v>
      </c>
      <c r="D589" t="s">
        <v>23</v>
      </c>
      <c r="F589">
        <v>1.49</v>
      </c>
      <c r="J589">
        <f>51+93+95+121+124</f>
        <v>484</v>
      </c>
      <c r="K589">
        <v>4</v>
      </c>
      <c r="L589">
        <v>124</v>
      </c>
      <c r="N589" t="str">
        <f t="shared" si="9"/>
        <v>NA</v>
      </c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12.970611999999999</v>
      </c>
    </row>
    <row r="590" spans="1:15">
      <c r="A590" s="6">
        <v>41766</v>
      </c>
      <c r="B590" s="7" t="s">
        <v>22</v>
      </c>
      <c r="C590">
        <v>15</v>
      </c>
      <c r="D590" t="s">
        <v>19</v>
      </c>
      <c r="F590">
        <v>1.19</v>
      </c>
      <c r="J590">
        <f>73+86+135+32+116+129</f>
        <v>571</v>
      </c>
      <c r="K590">
        <v>6</v>
      </c>
      <c r="L590">
        <v>135</v>
      </c>
      <c r="N590" t="str">
        <f t="shared" si="9"/>
        <v>NA</v>
      </c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3.7688960000000051</v>
      </c>
    </row>
    <row r="591" spans="1:15">
      <c r="A591" s="10">
        <v>41766</v>
      </c>
      <c r="B591" s="7" t="s">
        <v>22</v>
      </c>
      <c r="C591">
        <v>15</v>
      </c>
      <c r="D591" t="s">
        <v>19</v>
      </c>
      <c r="F591">
        <v>2.2200000000000002</v>
      </c>
      <c r="J591">
        <f>52+73+97+93+97+80+156+84+135</f>
        <v>867</v>
      </c>
      <c r="K591">
        <v>9</v>
      </c>
      <c r="L591">
        <v>156</v>
      </c>
      <c r="N591" t="str">
        <f t="shared" si="9"/>
        <v>NA</v>
      </c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4.1271719999999945</v>
      </c>
    </row>
    <row r="592" spans="1:15">
      <c r="A592" s="6">
        <v>41766</v>
      </c>
      <c r="B592" s="7" t="s">
        <v>22</v>
      </c>
      <c r="C592">
        <v>15</v>
      </c>
      <c r="D592" t="s">
        <v>19</v>
      </c>
      <c r="F592">
        <v>1.1100000000000001</v>
      </c>
      <c r="J592">
        <f>74+84+29+113+124+132</f>
        <v>556</v>
      </c>
      <c r="K592">
        <v>6</v>
      </c>
      <c r="L592">
        <v>132</v>
      </c>
      <c r="N592" t="str">
        <f t="shared" si="9"/>
        <v>NA</v>
      </c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3.2663060000000002</v>
      </c>
    </row>
    <row r="593" spans="1:15">
      <c r="A593" s="10">
        <v>41766</v>
      </c>
      <c r="B593" s="7" t="s">
        <v>22</v>
      </c>
      <c r="C593">
        <v>15</v>
      </c>
      <c r="D593" t="s">
        <v>19</v>
      </c>
      <c r="F593">
        <v>1.72</v>
      </c>
      <c r="J593">
        <f>60+37+39+40+30+108</f>
        <v>314</v>
      </c>
      <c r="K593">
        <v>6</v>
      </c>
      <c r="L593">
        <v>108</v>
      </c>
      <c r="N593" t="str">
        <f t="shared" si="9"/>
        <v>NA</v>
      </c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-12.192523999999999</v>
      </c>
    </row>
    <row r="594" spans="1:15">
      <c r="A594" s="6">
        <v>41766</v>
      </c>
      <c r="B594" s="7" t="s">
        <v>22</v>
      </c>
      <c r="C594">
        <v>15</v>
      </c>
      <c r="D594" t="s">
        <v>19</v>
      </c>
      <c r="F594">
        <v>2.64</v>
      </c>
      <c r="J594">
        <f>73+92+155+120+171+105+178+149+123</f>
        <v>1166</v>
      </c>
      <c r="K594">
        <v>9</v>
      </c>
      <c r="L594">
        <v>178</v>
      </c>
      <c r="N594" t="str">
        <f t="shared" si="9"/>
        <v>NA</v>
      </c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25.532527000000002</v>
      </c>
    </row>
    <row r="595" spans="1:15">
      <c r="A595" s="10">
        <v>41766</v>
      </c>
      <c r="B595" s="7" t="s">
        <v>22</v>
      </c>
      <c r="C595">
        <v>15</v>
      </c>
      <c r="D595" t="s">
        <v>19</v>
      </c>
      <c r="F595">
        <v>1.71</v>
      </c>
      <c r="J595">
        <f>41+53+99+175+97+132+139+149</f>
        <v>885</v>
      </c>
      <c r="K595">
        <v>8</v>
      </c>
      <c r="L595">
        <v>175</v>
      </c>
      <c r="N595" t="str">
        <f t="shared" si="9"/>
        <v>NA</v>
      </c>
      <c r="O595">
        <f>IF(AND(OR(D595="S. acutus",D595="S. californicus",D595="S. tabernaemontani"),G595=0),E595*[1]Sheet1!$D$7+[1]Sheet1!$L$7,IF(AND(OR(D595="S. acutus",D595="S. tabernaemontani"),G595&gt;0),E595*[1]Sheet1!$D$8+N595*[1]Sheet1!$E$8,IF(AND(D595="S. californicus",G595&gt;0),E595*[1]Sheet1!$D$9+N595*[1]Sheet1!$E$9,IF(D595="S.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latifolia"),E595&gt;0),F595*[1]Sheet1!$C$4+E595*[1]Sheet1!$D$4+H595*[1]Sheet1!$J$4+I595*[1]Sheet1!$K$4+[1]Sheet1!$L$4,IF(AND(OR(D595="T. domingensis",D595="T. latifolia"),J595&gt;0),J595*[1]Sheet1!$G$5+K595*[1]Sheet1!$H$5+L595*[1]Sheet1!$I$5+[1]Sheet1!$L$5,0)))))))</f>
        <v>7.1134599999999963</v>
      </c>
    </row>
    <row r="596" spans="1:15">
      <c r="A596" s="6">
        <v>41766</v>
      </c>
      <c r="B596" s="7" t="s">
        <v>22</v>
      </c>
      <c r="C596">
        <v>15</v>
      </c>
      <c r="D596" t="s">
        <v>19</v>
      </c>
      <c r="F596">
        <v>2.8</v>
      </c>
      <c r="J596">
        <f>118+85+115+158+164+148+166+122</f>
        <v>1076</v>
      </c>
      <c r="K596">
        <v>8</v>
      </c>
      <c r="L596">
        <v>166</v>
      </c>
      <c r="N596" t="str">
        <f t="shared" si="9"/>
        <v>NA</v>
      </c>
      <c r="O596">
        <f>IF(AND(OR(D596="S. acutus",D596="S. californicus",D596="S. tabernaemontani"),G596=0),E596*[1]Sheet1!$D$7+[1]Sheet1!$L$7,IF(AND(OR(D596="S. acutus",D596="S. tabernaemontani"),G596&gt;0),E596*[1]Sheet1!$D$8+N596*[1]Sheet1!$E$8,IF(AND(D596="S. californicus",G596&gt;0),E596*[1]Sheet1!$D$9+N596*[1]Sheet1!$E$9,IF(D596="S.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latifolia"),E596&gt;0),F596*[1]Sheet1!$C$4+E596*[1]Sheet1!$D$4+H596*[1]Sheet1!$J$4+I596*[1]Sheet1!$K$4+[1]Sheet1!$L$4,IF(AND(OR(D596="T. domingensis",D596="T. latifolia"),J596&gt;0),J596*[1]Sheet1!$G$5+K596*[1]Sheet1!$H$5+L596*[1]Sheet1!$I$5+[1]Sheet1!$L$5,0)))))))</f>
        <v>27.731870000000001</v>
      </c>
    </row>
    <row r="597" spans="1:15">
      <c r="A597" s="10">
        <v>41766</v>
      </c>
      <c r="B597" s="7" t="s">
        <v>22</v>
      </c>
      <c r="C597">
        <v>15</v>
      </c>
      <c r="D597" t="s">
        <v>19</v>
      </c>
      <c r="F597">
        <v>1.62</v>
      </c>
      <c r="J597">
        <f>42+44+45+112</f>
        <v>243</v>
      </c>
      <c r="K597">
        <v>4</v>
      </c>
      <c r="L597">
        <v>112</v>
      </c>
      <c r="N597" t="str">
        <f t="shared" si="9"/>
        <v>NA</v>
      </c>
      <c r="O597">
        <f>IF(AND(OR(D597="S. acutus",D597="S. californicus",D597="S. tabernaemontani"),G597=0),E597*[1]Sheet1!$D$7+[1]Sheet1!$L$7,IF(AND(OR(D597="S. acutus",D597="S. tabernaemontani"),G597&gt;0),E597*[1]Sheet1!$D$8+N597*[1]Sheet1!$E$8,IF(AND(D597="S. californicus",G597&gt;0),E597*[1]Sheet1!$D$9+N597*[1]Sheet1!$E$9,IF(D597="S.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latifolia"),E597&gt;0),F597*[1]Sheet1!$C$4+E597*[1]Sheet1!$D$4+H597*[1]Sheet1!$J$4+I597*[1]Sheet1!$K$4+[1]Sheet1!$L$4,IF(AND(OR(D597="T. domingensis",D597="T. latifolia"),J597&gt;0),J597*[1]Sheet1!$G$5+K597*[1]Sheet1!$H$5+L597*[1]Sheet1!$I$5+[1]Sheet1!$L$5,0)))))))</f>
        <v>-6.0094029999999989</v>
      </c>
    </row>
    <row r="598" spans="1:15">
      <c r="A598" s="9">
        <v>41766</v>
      </c>
      <c r="B598" s="7" t="s">
        <v>22</v>
      </c>
      <c r="C598">
        <v>31</v>
      </c>
      <c r="D598" t="s">
        <v>23</v>
      </c>
      <c r="F598">
        <v>3.07</v>
      </c>
      <c r="J598">
        <f>61+110+107+170+163+217+225+251+225</f>
        <v>1529</v>
      </c>
      <c r="K598">
        <v>9</v>
      </c>
      <c r="L598">
        <v>251</v>
      </c>
      <c r="N598" t="str">
        <f t="shared" si="9"/>
        <v>NA</v>
      </c>
      <c r="O598">
        <f>IF(AND(OR(D598="S. acutus",D598="S. californicus",D598="S. tabernaemontani"),G598=0),E598*[1]Sheet1!$D$7+[1]Sheet1!$L$7,IF(AND(OR(D598="S. acutus",D598="S. tabernaemontani"),G598&gt;0),E598*[1]Sheet1!$D$8+N598*[1]Sheet1!$E$8,IF(AND(D598="S. californicus",G598&gt;0),E598*[1]Sheet1!$D$9+N598*[1]Sheet1!$E$9,IF(D598="S.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latifolia"),E598&gt;0),F598*[1]Sheet1!$C$4+E598*[1]Sheet1!$D$4+H598*[1]Sheet1!$J$4+I598*[1]Sheet1!$K$4+[1]Sheet1!$L$4,IF(AND(OR(D598="T. domingensis",D598="T. latifolia"),J598&gt;0),J598*[1]Sheet1!$G$5+K598*[1]Sheet1!$H$5+L598*[1]Sheet1!$I$5+[1]Sheet1!$L$5,0)))))))</f>
        <v>37.574706999999997</v>
      </c>
    </row>
    <row r="599" spans="1:15">
      <c r="A599" s="9">
        <v>41766</v>
      </c>
      <c r="B599" s="7" t="s">
        <v>22</v>
      </c>
      <c r="C599">
        <v>31</v>
      </c>
      <c r="D599" t="s">
        <v>23</v>
      </c>
      <c r="F599">
        <v>2.04</v>
      </c>
      <c r="J599">
        <f>66+111+122+161+171+192+218+210</f>
        <v>1251</v>
      </c>
      <c r="K599">
        <v>8</v>
      </c>
      <c r="L599">
        <v>218</v>
      </c>
      <c r="N599" t="str">
        <f t="shared" si="9"/>
        <v>NA</v>
      </c>
      <c r="O599">
        <f>IF(AND(OR(D599="S. acutus",D599="S. californicus",D599="S. tabernaemontani"),G599=0),E599*[1]Sheet1!$D$7+[1]Sheet1!$L$7,IF(AND(OR(D599="S. acutus",D599="S. tabernaemontani"),G599&gt;0),E599*[1]Sheet1!$D$8+N599*[1]Sheet1!$E$8,IF(AND(D599="S. californicus",G599&gt;0),E599*[1]Sheet1!$D$9+N599*[1]Sheet1!$E$9,IF(D599="S.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latifolia"),E599&gt;0),F599*[1]Sheet1!$C$4+E599*[1]Sheet1!$D$4+H599*[1]Sheet1!$J$4+I599*[1]Sheet1!$K$4+[1]Sheet1!$L$4,IF(AND(OR(D599="T. domingensis",D599="T. latifolia"),J599&gt;0),J599*[1]Sheet1!$G$5+K599*[1]Sheet1!$H$5+L599*[1]Sheet1!$I$5+[1]Sheet1!$L$5,0)))))))</f>
        <v>28.474255000000014</v>
      </c>
    </row>
    <row r="600" spans="1:15">
      <c r="A600" s="9">
        <v>41766</v>
      </c>
      <c r="B600" s="7" t="s">
        <v>22</v>
      </c>
      <c r="C600">
        <v>31</v>
      </c>
      <c r="D600" t="s">
        <v>23</v>
      </c>
      <c r="F600">
        <v>3.34</v>
      </c>
      <c r="J600">
        <f>114+163+191+215</f>
        <v>683</v>
      </c>
      <c r="K600">
        <v>4</v>
      </c>
      <c r="L600">
        <v>215</v>
      </c>
      <c r="N600" t="str">
        <f t="shared" si="9"/>
        <v>NA</v>
      </c>
      <c r="O600">
        <f>IF(AND(OR(D600="S. acutus",D600="S. californicus",D600="S. tabernaemontani"),G600=0),E600*[1]Sheet1!$D$7+[1]Sheet1!$L$7,IF(AND(OR(D600="S. acutus",D600="S. tabernaemontani"),G600&gt;0),E600*[1]Sheet1!$D$8+N600*[1]Sheet1!$E$8,IF(AND(D600="S. californicus",G600&gt;0),E600*[1]Sheet1!$D$9+N600*[1]Sheet1!$E$9,IF(D600="S.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latifolia"),E600&gt;0),F600*[1]Sheet1!$C$4+E600*[1]Sheet1!$D$4+H600*[1]Sheet1!$J$4+I600*[1]Sheet1!$K$4+[1]Sheet1!$L$4,IF(AND(OR(D600="T. domingensis",D600="T. latifolia"),J600&gt;0),J600*[1]Sheet1!$G$5+K600*[1]Sheet1!$H$5+L600*[1]Sheet1!$I$5+[1]Sheet1!$L$5,0)))))))</f>
        <v>4.2145620000000079</v>
      </c>
    </row>
    <row r="601" spans="1:15">
      <c r="A601" s="9">
        <v>41766</v>
      </c>
      <c r="B601" s="7" t="s">
        <v>22</v>
      </c>
      <c r="C601">
        <v>31</v>
      </c>
      <c r="D601" t="s">
        <v>23</v>
      </c>
      <c r="F601">
        <v>1.83</v>
      </c>
      <c r="J601">
        <f>95+83+129+139+164+165</f>
        <v>775</v>
      </c>
      <c r="K601">
        <v>6</v>
      </c>
      <c r="L601">
        <v>165</v>
      </c>
      <c r="N601" t="str">
        <f t="shared" si="9"/>
        <v>NA</v>
      </c>
      <c r="O601">
        <f>IF(AND(OR(D601="S. acutus",D601="S. californicus",D601="S. tabernaemontani"),G601=0),E601*[1]Sheet1!$D$7+[1]Sheet1!$L$7,IF(AND(OR(D601="S. acutus",D601="S. tabernaemontani"),G601&gt;0),E601*[1]Sheet1!$D$8+N601*[1]Sheet1!$E$8,IF(AND(D601="S. californicus",G601&gt;0),E601*[1]Sheet1!$D$9+N601*[1]Sheet1!$E$9,IF(D601="S.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latifolia"),E601&gt;0),F601*[1]Sheet1!$C$4+E601*[1]Sheet1!$D$4+H601*[1]Sheet1!$J$4+I601*[1]Sheet1!$K$4+[1]Sheet1!$L$4,IF(AND(OR(D601="T. domingensis",D601="T. latifolia"),J601&gt;0),J601*[1]Sheet1!$G$5+K601*[1]Sheet1!$H$5+L601*[1]Sheet1!$I$5+[1]Sheet1!$L$5,0)))))))</f>
        <v>13.857566000000006</v>
      </c>
    </row>
    <row r="602" spans="1:15">
      <c r="A602" s="9">
        <v>41766</v>
      </c>
      <c r="B602" s="7" t="s">
        <v>22</v>
      </c>
      <c r="C602">
        <v>31</v>
      </c>
      <c r="D602" t="s">
        <v>23</v>
      </c>
      <c r="F602">
        <v>2.59</v>
      </c>
      <c r="J602">
        <f>74+107+108+108+162+142+143</f>
        <v>844</v>
      </c>
      <c r="K602">
        <v>7</v>
      </c>
      <c r="L602">
        <v>143</v>
      </c>
      <c r="N602" t="str">
        <f t="shared" si="9"/>
        <v>NA</v>
      </c>
      <c r="O602">
        <f>IF(AND(OR(D602="S. acutus",D602="S. californicus",D602="S. tabernaemontani"),G602=0),E602*[1]Sheet1!$D$7+[1]Sheet1!$L$7,IF(AND(OR(D602="S. acutus",D602="S. tabernaemontani"),G602&gt;0),E602*[1]Sheet1!$D$8+N602*[1]Sheet1!$E$8,IF(AND(D602="S. californicus",G602&gt;0),E602*[1]Sheet1!$D$9+N602*[1]Sheet1!$E$9,IF(D602="S.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latifolia"),E602&gt;0),F602*[1]Sheet1!$C$4+E602*[1]Sheet1!$D$4+H602*[1]Sheet1!$J$4+I602*[1]Sheet1!$K$4+[1]Sheet1!$L$4,IF(AND(OR(D602="T. domingensis",D602="T. latifolia"),J602&gt;0),J602*[1]Sheet1!$G$5+K602*[1]Sheet1!$H$5+L602*[1]Sheet1!$I$5+[1]Sheet1!$L$5,0)))))))</f>
        <v>19.931698000000004</v>
      </c>
    </row>
    <row r="603" spans="1:15">
      <c r="A603" s="9">
        <v>41766</v>
      </c>
      <c r="B603" s="7" t="s">
        <v>22</v>
      </c>
      <c r="C603">
        <v>31</v>
      </c>
      <c r="D603" t="s">
        <v>23</v>
      </c>
      <c r="F603">
        <v>2.1</v>
      </c>
      <c r="J603">
        <f>81+91+102+133+156+176+184</f>
        <v>923</v>
      </c>
      <c r="K603">
        <v>7</v>
      </c>
      <c r="L603">
        <v>184</v>
      </c>
      <c r="N603" t="str">
        <f t="shared" si="9"/>
        <v>NA</v>
      </c>
      <c r="O603">
        <f>IF(AND(OR(D603="S. acutus",D603="S. californicus",D603="S. tabernaemontani"),G603=0),E603*[1]Sheet1!$D$7+[1]Sheet1!$L$7,IF(AND(OR(D603="S. acutus",D603="S. tabernaemontani"),G603&gt;0),E603*[1]Sheet1!$D$8+N603*[1]Sheet1!$E$8,IF(AND(D603="S. californicus",G603&gt;0),E603*[1]Sheet1!$D$9+N603*[1]Sheet1!$E$9,IF(D603="S.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latifolia"),E603&gt;0),F603*[1]Sheet1!$C$4+E603*[1]Sheet1!$D$4+H603*[1]Sheet1!$J$4+I603*[1]Sheet1!$K$4+[1]Sheet1!$L$4,IF(AND(OR(D603="T. domingensis",D603="T. latifolia"),J603&gt;0),J603*[1]Sheet1!$G$5+K603*[1]Sheet1!$H$5+L603*[1]Sheet1!$I$5+[1]Sheet1!$L$5,0)))))))</f>
        <v>14.987298000000003</v>
      </c>
    </row>
    <row r="604" spans="1:15">
      <c r="A604" s="9">
        <v>41766</v>
      </c>
      <c r="B604" s="7" t="s">
        <v>22</v>
      </c>
      <c r="C604">
        <v>31</v>
      </c>
      <c r="D604" t="s">
        <v>19</v>
      </c>
      <c r="F604">
        <v>4.03</v>
      </c>
      <c r="J604">
        <f>104+144+170+180+198+208+209</f>
        <v>1213</v>
      </c>
      <c r="K604">
        <v>7</v>
      </c>
      <c r="L604">
        <v>209</v>
      </c>
      <c r="N604" t="str">
        <f t="shared" si="9"/>
        <v>NA</v>
      </c>
      <c r="O604">
        <f>IF(AND(OR(D604="S. acutus",D604="S. californicus",D604="S. tabernaemontani"),G604=0),E604*[1]Sheet1!$D$7+[1]Sheet1!$L$7,IF(AND(OR(D604="S. acutus",D604="S. tabernaemontani"),G604&gt;0),E604*[1]Sheet1!$D$8+N604*[1]Sheet1!$E$8,IF(AND(D604="S. californicus",G604&gt;0),E604*[1]Sheet1!$D$9+N604*[1]Sheet1!$E$9,IF(D604="S.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latifolia"),E604&gt;0),F604*[1]Sheet1!$C$4+E604*[1]Sheet1!$D$4+H604*[1]Sheet1!$J$4+I604*[1]Sheet1!$K$4+[1]Sheet1!$L$4,IF(AND(OR(D604="T. domingensis",D604="T. latifolia"),J604&gt;0),J604*[1]Sheet1!$G$5+K604*[1]Sheet1!$H$5+L604*[1]Sheet1!$I$5+[1]Sheet1!$L$5,0)))))))</f>
        <v>34.645123000000012</v>
      </c>
    </row>
    <row r="605" spans="1:15">
      <c r="A605" s="9">
        <v>41766</v>
      </c>
      <c r="B605" s="7" t="s">
        <v>22</v>
      </c>
      <c r="C605">
        <v>31</v>
      </c>
      <c r="D605" t="s">
        <v>19</v>
      </c>
      <c r="F605">
        <v>1.55</v>
      </c>
      <c r="J605">
        <f>25.4+55+90+96+114</f>
        <v>380.4</v>
      </c>
      <c r="K605">
        <v>5</v>
      </c>
      <c r="L605">
        <v>114</v>
      </c>
      <c r="N605" t="str">
        <f t="shared" si="9"/>
        <v>NA</v>
      </c>
      <c r="O605">
        <f>IF(AND(OR(D605="S. acutus",D605="S. californicus",D605="S. tabernaemontani"),G605=0),E605*[1]Sheet1!$D$7+[1]Sheet1!$L$7,IF(AND(OR(D605="S. acutus",D605="S. tabernaemontani"),G605&gt;0),E605*[1]Sheet1!$D$8+N605*[1]Sheet1!$E$8,IF(AND(D605="S. californicus",G605&gt;0),E605*[1]Sheet1!$D$9+N605*[1]Sheet1!$E$9,IF(D605="S.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latifolia"),E605&gt;0),F605*[1]Sheet1!$C$4+E605*[1]Sheet1!$D$4+H605*[1]Sheet1!$J$4+I605*[1]Sheet1!$K$4+[1]Sheet1!$L$4,IF(AND(OR(D605="T. domingensis",D605="T. latifolia"),J605&gt;0),J605*[1]Sheet1!$G$5+K605*[1]Sheet1!$H$5+L605*[1]Sheet1!$I$5+[1]Sheet1!$L$5,0)))))))</f>
        <v>-0.75230899999999679</v>
      </c>
    </row>
    <row r="606" spans="1:15">
      <c r="A606" s="9">
        <v>41766</v>
      </c>
      <c r="B606" s="7" t="s">
        <v>22</v>
      </c>
      <c r="C606">
        <v>31</v>
      </c>
      <c r="D606" t="s">
        <v>19</v>
      </c>
      <c r="F606">
        <v>1.81</v>
      </c>
      <c r="J606">
        <f>32+51+91+118+125</f>
        <v>417</v>
      </c>
      <c r="K606">
        <v>5</v>
      </c>
      <c r="L606">
        <v>125</v>
      </c>
      <c r="N606" t="str">
        <f t="shared" si="9"/>
        <v>NA</v>
      </c>
      <c r="O606">
        <f>IF(AND(OR(D606="S. acutus",D606="S. californicus",D606="S. tabernaemontani"),G606=0),E606*[1]Sheet1!$D$7+[1]Sheet1!$L$7,IF(AND(OR(D606="S. acutus",D606="S. tabernaemontani"),G606&gt;0),E606*[1]Sheet1!$D$8+N606*[1]Sheet1!$E$8,IF(AND(D606="S. californicus",G606&gt;0),E606*[1]Sheet1!$D$9+N606*[1]Sheet1!$E$9,IF(D606="S.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latifolia"),E606&gt;0),F606*[1]Sheet1!$C$4+E606*[1]Sheet1!$D$4+H606*[1]Sheet1!$J$4+I606*[1]Sheet1!$K$4+[1]Sheet1!$L$4,IF(AND(OR(D606="T. domingensis",D606="T. latifolia"),J606&gt;0),J606*[1]Sheet1!$G$5+K606*[1]Sheet1!$H$5+L606*[1]Sheet1!$I$5+[1]Sheet1!$L$5,0)))))))</f>
        <v>-0.63457100000000111</v>
      </c>
    </row>
    <row r="607" spans="1:15">
      <c r="A607" s="9">
        <v>41766</v>
      </c>
      <c r="B607" s="7" t="s">
        <v>22</v>
      </c>
      <c r="C607">
        <v>39</v>
      </c>
      <c r="D607" t="s">
        <v>20</v>
      </c>
      <c r="E607">
        <v>99</v>
      </c>
      <c r="F607">
        <v>0.63</v>
      </c>
      <c r="N607">
        <f t="shared" si="9"/>
        <v>10.28690083575</v>
      </c>
      <c r="O607">
        <f>IF(AND(OR(D607="S. acutus",D607="S. californicus",D607="S. tabernaemontani"),G607=0),E607*[1]Sheet1!$D$7+[1]Sheet1!$L$7,IF(AND(OR(D607="S. acutus",D607="S. tabernaemontani"),G607&gt;0),E607*[1]Sheet1!$D$8+N607*[1]Sheet1!$E$8,IF(AND(D607="S. californicus",G607&gt;0),E607*[1]Sheet1!$D$9+N607*[1]Sheet1!$E$9,IF(D607="S.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latifolia"),E607&gt;0),F607*[1]Sheet1!$C$4+E607*[1]Sheet1!$D$4+H607*[1]Sheet1!$J$4+I607*[1]Sheet1!$K$4+[1]Sheet1!$L$4,IF(AND(OR(D607="T. domingensis",D607="T. latifolia"),J607&gt;0),J607*[1]Sheet1!$G$5+K607*[1]Sheet1!$H$5+L607*[1]Sheet1!$I$5+[1]Sheet1!$L$5,0)))))))</f>
        <v>2.3497979999999998</v>
      </c>
    </row>
    <row r="608" spans="1:15">
      <c r="A608" s="9">
        <v>41766</v>
      </c>
      <c r="B608" s="7" t="s">
        <v>22</v>
      </c>
      <c r="C608">
        <v>39</v>
      </c>
      <c r="D608" t="s">
        <v>20</v>
      </c>
      <c r="E608">
        <v>124</v>
      </c>
      <c r="F608">
        <v>0.69</v>
      </c>
      <c r="N608">
        <f t="shared" si="9"/>
        <v>15.455680322999996</v>
      </c>
      <c r="O608">
        <f>IF(AND(OR(D608="S. acutus",D608="S. californicus",D608="S. tabernaemontani"),G608=0),E608*[1]Sheet1!$D$7+[1]Sheet1!$L$7,IF(AND(OR(D608="S. acutus",D608="S. tabernaemontani"),G608&gt;0),E608*[1]Sheet1!$D$8+N608*[1]Sheet1!$E$8,IF(AND(D608="S. californicus",G608&gt;0),E608*[1]Sheet1!$D$9+N608*[1]Sheet1!$E$9,IF(D608="S.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latifolia"),E608&gt;0),F608*[1]Sheet1!$C$4+E608*[1]Sheet1!$D$4+H608*[1]Sheet1!$J$4+I608*[1]Sheet1!$K$4+[1]Sheet1!$L$4,IF(AND(OR(D608="T. domingensis",D608="T. latifolia"),J608&gt;0),J608*[1]Sheet1!$G$5+K608*[1]Sheet1!$H$5+L608*[1]Sheet1!$I$5+[1]Sheet1!$L$5,0)))))))</f>
        <v>4.1024230000000008</v>
      </c>
    </row>
    <row r="609" spans="1:15">
      <c r="A609" s="9">
        <v>41766</v>
      </c>
      <c r="B609" s="7" t="s">
        <v>22</v>
      </c>
      <c r="C609">
        <v>39</v>
      </c>
      <c r="D609" t="s">
        <v>23</v>
      </c>
      <c r="F609">
        <v>2.27</v>
      </c>
      <c r="J609">
        <f>80+107+114+159+182+199+218</f>
        <v>1059</v>
      </c>
      <c r="K609">
        <v>7</v>
      </c>
      <c r="L609">
        <v>218</v>
      </c>
      <c r="N609" t="str">
        <f t="shared" si="9"/>
        <v>NA</v>
      </c>
      <c r="O609">
        <f>IF(AND(OR(D609="S. acutus",D609="S. californicus",D609="S. tabernaemontani"),G609=0),E609*[1]Sheet1!$D$7+[1]Sheet1!$L$7,IF(AND(OR(D609="S. acutus",D609="S. tabernaemontani"),G609&gt;0),E609*[1]Sheet1!$D$8+N609*[1]Sheet1!$E$8,IF(AND(D609="S. californicus",G609&gt;0),E609*[1]Sheet1!$D$9+N609*[1]Sheet1!$E$9,IF(D609="S.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latifolia"),E609&gt;0),F609*[1]Sheet1!$C$4+E609*[1]Sheet1!$D$4+H609*[1]Sheet1!$J$4+I609*[1]Sheet1!$K$4+[1]Sheet1!$L$4,IF(AND(OR(D609="T. domingensis",D609="T. latifolia"),J609&gt;0),J609*[1]Sheet1!$G$5+K609*[1]Sheet1!$H$5+L609*[1]Sheet1!$I$5+[1]Sheet1!$L$5,0)))))))</f>
        <v>17.49564800000001</v>
      </c>
    </row>
    <row r="610" spans="1:15">
      <c r="A610" s="9">
        <v>41766</v>
      </c>
      <c r="B610" s="7" t="s">
        <v>22</v>
      </c>
      <c r="C610">
        <v>39</v>
      </c>
      <c r="D610" t="s">
        <v>23</v>
      </c>
      <c r="F610">
        <v>2.79</v>
      </c>
      <c r="J610">
        <f>88+137+172+180+207+212+234</f>
        <v>1230</v>
      </c>
      <c r="K610">
        <v>7</v>
      </c>
      <c r="L610">
        <v>234</v>
      </c>
      <c r="N610" t="str">
        <f t="shared" si="9"/>
        <v>NA</v>
      </c>
      <c r="O610">
        <f>IF(AND(OR(D610="S. acutus",D610="S. californicus",D610="S. tabernaemontani"),G610=0),E610*[1]Sheet1!$D$7+[1]Sheet1!$L$7,IF(AND(OR(D610="S. acutus",D610="S. tabernaemontani"),G610&gt;0),E610*[1]Sheet1!$D$8+N610*[1]Sheet1!$E$8,IF(AND(D610="S. californicus",G610&gt;0),E610*[1]Sheet1!$D$9+N610*[1]Sheet1!$E$9,IF(D610="S.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latifolia"),E610&gt;0),F610*[1]Sheet1!$C$4+E610*[1]Sheet1!$D$4+H610*[1]Sheet1!$J$4+I610*[1]Sheet1!$K$4+[1]Sheet1!$L$4,IF(AND(OR(D610="T. domingensis",D610="T. latifolia"),J610&gt;0),J610*[1]Sheet1!$G$5+K610*[1]Sheet1!$H$5+L610*[1]Sheet1!$I$5+[1]Sheet1!$L$5,0)))))))</f>
        <v>28.707833000000015</v>
      </c>
    </row>
    <row r="611" spans="1:15">
      <c r="A611" s="9">
        <v>41766</v>
      </c>
      <c r="B611" s="7" t="s">
        <v>22</v>
      </c>
      <c r="C611">
        <v>39</v>
      </c>
      <c r="D611" t="s">
        <v>23</v>
      </c>
      <c r="F611">
        <v>1.73</v>
      </c>
      <c r="J611">
        <f>64+111+116+164+163+182</f>
        <v>800</v>
      </c>
      <c r="K611">
        <v>6</v>
      </c>
      <c r="L611">
        <v>182</v>
      </c>
      <c r="N611" t="str">
        <f t="shared" si="9"/>
        <v>NA</v>
      </c>
      <c r="O611">
        <f>IF(AND(OR(D611="S. acutus",D611="S. californicus",D611="S. tabernaemontani"),G611=0),E611*[1]Sheet1!$D$7+[1]Sheet1!$L$7,IF(AND(OR(D611="S. acutus",D611="S. tabernaemontani"),G611&gt;0),E611*[1]Sheet1!$D$8+N611*[1]Sheet1!$E$8,IF(AND(D611="S. californicus",G611&gt;0),E611*[1]Sheet1!$D$9+N611*[1]Sheet1!$E$9,IF(D611="S.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latifolia"),E611&gt;0),F611*[1]Sheet1!$C$4+E611*[1]Sheet1!$D$4+H611*[1]Sheet1!$J$4+I611*[1]Sheet1!$K$4+[1]Sheet1!$L$4,IF(AND(OR(D611="T. domingensis",D611="T. latifolia"),J611&gt;0),J611*[1]Sheet1!$G$5+K611*[1]Sheet1!$H$5+L611*[1]Sheet1!$I$5+[1]Sheet1!$L$5,0)))))))</f>
        <v>11.080276000000005</v>
      </c>
    </row>
    <row r="612" spans="1:15">
      <c r="A612" s="9">
        <v>41766</v>
      </c>
      <c r="B612" s="7" t="s">
        <v>22</v>
      </c>
      <c r="C612">
        <v>39</v>
      </c>
      <c r="D612" t="s">
        <v>23</v>
      </c>
      <c r="F612">
        <v>1.8</v>
      </c>
      <c r="J612">
        <f>66+112+157+164+201+201</f>
        <v>901</v>
      </c>
      <c r="K612">
        <v>6</v>
      </c>
      <c r="L612">
        <v>201</v>
      </c>
      <c r="N612" t="str">
        <f t="shared" si="9"/>
        <v>NA</v>
      </c>
      <c r="O612">
        <f>IF(AND(OR(D612="S. acutus",D612="S. californicus",D612="S. tabernaemontani"),G612=0),E612*[1]Sheet1!$D$7+[1]Sheet1!$L$7,IF(AND(OR(D612="S. acutus",D612="S. tabernaemontani"),G612&gt;0),E612*[1]Sheet1!$D$8+N612*[1]Sheet1!$E$8,IF(AND(D612="S. californicus",G612&gt;0),E612*[1]Sheet1!$D$9+N612*[1]Sheet1!$E$9,IF(D612="S.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latifolia"),E612&gt;0),F612*[1]Sheet1!$C$4+E612*[1]Sheet1!$D$4+H612*[1]Sheet1!$J$4+I612*[1]Sheet1!$K$4+[1]Sheet1!$L$4,IF(AND(OR(D612="T. domingensis",D612="T. latifolia"),J612&gt;0),J612*[1]Sheet1!$G$5+K612*[1]Sheet1!$H$5+L612*[1]Sheet1!$I$5+[1]Sheet1!$L$5,0)))))))</f>
        <v>14.825876000000008</v>
      </c>
    </row>
    <row r="613" spans="1:15">
      <c r="A613" s="9">
        <v>41766</v>
      </c>
      <c r="B613" s="7" t="s">
        <v>22</v>
      </c>
      <c r="C613">
        <v>39</v>
      </c>
      <c r="D613" t="s">
        <v>23</v>
      </c>
      <c r="F613">
        <v>5.3</v>
      </c>
      <c r="J613">
        <f>140+158+191+215+244+305+484+278+290+304</f>
        <v>2609</v>
      </c>
      <c r="K613">
        <v>10</v>
      </c>
      <c r="L613">
        <v>304</v>
      </c>
      <c r="N613" t="str">
        <f t="shared" si="9"/>
        <v>NA</v>
      </c>
      <c r="O613">
        <f>IF(AND(OR(D613="S. acutus",D613="S. californicus",D613="S. tabernaemontani"),G613=0),E613*[1]Sheet1!$D$7+[1]Sheet1!$L$7,IF(AND(OR(D613="S. acutus",D613="S. tabernaemontani"),G613&gt;0),E613*[1]Sheet1!$D$8+N613*[1]Sheet1!$E$8,IF(AND(D613="S. californicus",G613&gt;0),E613*[1]Sheet1!$D$9+N613*[1]Sheet1!$E$9,IF(D613="S.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latifolia"),E613&gt;0),F613*[1]Sheet1!$C$4+E613*[1]Sheet1!$D$4+H613*[1]Sheet1!$J$4+I613*[1]Sheet1!$K$4+[1]Sheet1!$L$4,IF(AND(OR(D613="T. domingensis",D613="T. latifolia"),J613&gt;0),J613*[1]Sheet1!$G$5+K613*[1]Sheet1!$H$5+L613*[1]Sheet1!$I$5+[1]Sheet1!$L$5,0)))))))</f>
        <v>115.841769</v>
      </c>
    </row>
    <row r="614" spans="1:15">
      <c r="A614" s="9">
        <v>41766</v>
      </c>
      <c r="B614" s="7" t="s">
        <v>22</v>
      </c>
      <c r="C614">
        <v>39</v>
      </c>
      <c r="D614" t="s">
        <v>23</v>
      </c>
      <c r="F614">
        <v>1.45</v>
      </c>
      <c r="J614">
        <f>64+121+159+170</f>
        <v>514</v>
      </c>
      <c r="K614">
        <v>4</v>
      </c>
      <c r="L614">
        <v>170</v>
      </c>
      <c r="N614" t="str">
        <f t="shared" si="9"/>
        <v>NA</v>
      </c>
      <c r="O614">
        <f>IF(AND(OR(D614="S. acutus",D614="S. californicus",D614="S. tabernaemontani"),G614=0),E614*[1]Sheet1!$D$7+[1]Sheet1!$L$7,IF(AND(OR(D614="S. acutus",D614="S. tabernaemontani"),G614&gt;0),E614*[1]Sheet1!$D$8+N614*[1]Sheet1!$E$8,IF(AND(D614="S. californicus",G614&gt;0),E614*[1]Sheet1!$D$9+N614*[1]Sheet1!$E$9,IF(D614="S.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latifolia"),E614&gt;0),F614*[1]Sheet1!$C$4+E614*[1]Sheet1!$D$4+H614*[1]Sheet1!$J$4+I614*[1]Sheet1!$K$4+[1]Sheet1!$L$4,IF(AND(OR(D614="T. domingensis",D614="T. latifolia"),J614&gt;0),J614*[1]Sheet1!$G$5+K614*[1]Sheet1!$H$5+L614*[1]Sheet1!$I$5+[1]Sheet1!$L$5,0)))))))</f>
        <v>1.9259920000000044</v>
      </c>
    </row>
    <row r="615" spans="1:15">
      <c r="A615" s="9">
        <v>41766</v>
      </c>
      <c r="B615" s="7" t="s">
        <v>22</v>
      </c>
      <c r="C615">
        <v>39</v>
      </c>
      <c r="D615" t="s">
        <v>23</v>
      </c>
      <c r="F615">
        <v>2.87</v>
      </c>
      <c r="J615">
        <f>80+145+191+203+239+267</f>
        <v>1125</v>
      </c>
      <c r="K615">
        <v>6</v>
      </c>
      <c r="L615">
        <v>267</v>
      </c>
      <c r="N615" t="str">
        <f t="shared" si="9"/>
        <v>NA</v>
      </c>
      <c r="O615">
        <f>IF(AND(OR(D615="S. acutus",D615="S. californicus",D615="S. tabernaemontani"),G615=0),E615*[1]Sheet1!$D$7+[1]Sheet1!$L$7,IF(AND(OR(D615="S. acutus",D615="S. tabernaemontani"),G615&gt;0),E615*[1]Sheet1!$D$8+N615*[1]Sheet1!$E$8,IF(AND(D615="S. californicus",G615&gt;0),E615*[1]Sheet1!$D$9+N615*[1]Sheet1!$E$9,IF(D615="S.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latifolia"),E615&gt;0),F615*[1]Sheet1!$C$4+E615*[1]Sheet1!$D$4+H615*[1]Sheet1!$J$4+I615*[1]Sheet1!$K$4+[1]Sheet1!$L$4,IF(AND(OR(D615="T. domingensis",D615="T. latifolia"),J615&gt;0),J615*[1]Sheet1!$G$5+K615*[1]Sheet1!$H$5+L615*[1]Sheet1!$I$5+[1]Sheet1!$L$5,0)))))))</f>
        <v>15.944826000000013</v>
      </c>
    </row>
    <row r="616" spans="1:15">
      <c r="A616" s="9">
        <v>41766</v>
      </c>
      <c r="B616" s="7" t="s">
        <v>22</v>
      </c>
      <c r="C616">
        <v>39</v>
      </c>
      <c r="D616" t="s">
        <v>19</v>
      </c>
      <c r="F616">
        <v>0.65</v>
      </c>
      <c r="J616">
        <f>51+52</f>
        <v>103</v>
      </c>
      <c r="K616">
        <v>2</v>
      </c>
      <c r="L616">
        <v>52</v>
      </c>
      <c r="N616" t="str">
        <f t="shared" si="9"/>
        <v>NA</v>
      </c>
      <c r="O616">
        <f>IF(AND(OR(D616="S. acutus",D616="S. californicus",D616="S. tabernaemontani"),G616=0),E616*[1]Sheet1!$D$7+[1]Sheet1!$L$7,IF(AND(OR(D616="S. acutus",D616="S. tabernaemontani"),G616&gt;0),E616*[1]Sheet1!$D$8+N616*[1]Sheet1!$E$8,IF(AND(D616="S. californicus",G616&gt;0),E616*[1]Sheet1!$D$9+N616*[1]Sheet1!$E$9,IF(D616="S.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latifolia"),E616&gt;0),F616*[1]Sheet1!$C$4+E616*[1]Sheet1!$D$4+H616*[1]Sheet1!$J$4+I616*[1]Sheet1!$K$4+[1]Sheet1!$L$4,IF(AND(OR(D616="T. domingensis",D616="T. latifolia"),J616&gt;0),J616*[1]Sheet1!$G$5+K616*[1]Sheet1!$H$5+L616*[1]Sheet1!$I$5+[1]Sheet1!$L$5,0)))))))</f>
        <v>12.984302999999997</v>
      </c>
    </row>
    <row r="617" spans="1:15">
      <c r="A617" s="9">
        <v>41766</v>
      </c>
      <c r="B617" s="7" t="s">
        <v>22</v>
      </c>
      <c r="C617">
        <v>39</v>
      </c>
      <c r="D617" t="s">
        <v>19</v>
      </c>
      <c r="F617">
        <v>0.85</v>
      </c>
      <c r="J617">
        <f>28</f>
        <v>28</v>
      </c>
      <c r="K617">
        <v>1</v>
      </c>
      <c r="L617">
        <v>28</v>
      </c>
      <c r="N617" t="str">
        <f t="shared" si="9"/>
        <v>NA</v>
      </c>
      <c r="O617">
        <f>IF(AND(OR(D617="S. acutus",D617="S. californicus",D617="S. tabernaemontani"),G617=0),E617*[1]Sheet1!$D$7+[1]Sheet1!$L$7,IF(AND(OR(D617="S. acutus",D617="S. tabernaemontani"),G617&gt;0),E617*[1]Sheet1!$D$8+N617*[1]Sheet1!$E$8,IF(AND(D617="S. californicus",G617&gt;0),E617*[1]Sheet1!$D$9+N617*[1]Sheet1!$E$9,IF(D617="S.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latifolia"),E617&gt;0),F617*[1]Sheet1!$C$4+E617*[1]Sheet1!$D$4+H617*[1]Sheet1!$J$4+I617*[1]Sheet1!$K$4+[1]Sheet1!$L$4,IF(AND(OR(D617="T. domingensis",D617="T. latifolia"),J617&gt;0),J617*[1]Sheet1!$G$5+K617*[1]Sheet1!$H$5+L617*[1]Sheet1!$I$5+[1]Sheet1!$L$5,0)))))))</f>
        <v>20.204910999999996</v>
      </c>
    </row>
    <row r="618" spans="1:15">
      <c r="A618" s="9">
        <v>41766</v>
      </c>
      <c r="B618" s="7" t="s">
        <v>22</v>
      </c>
      <c r="C618">
        <v>44</v>
      </c>
      <c r="D618" s="8" t="s">
        <v>23</v>
      </c>
      <c r="F618">
        <v>2.2000000000000002</v>
      </c>
      <c r="J618">
        <f>69+102+103+119+173+187</f>
        <v>753</v>
      </c>
      <c r="K618">
        <v>6</v>
      </c>
      <c r="L618">
        <v>187</v>
      </c>
      <c r="N618" t="str">
        <f t="shared" si="9"/>
        <v>NA</v>
      </c>
      <c r="O618">
        <f>IF(AND(OR(D618="S. acutus",D618="S. californicus",D618="S. tabernaemontani"),G618=0),E618*[1]Sheet1!$D$7+[1]Sheet1!$L$7,IF(AND(OR(D618="S. acutus",D618="S. tabernaemontani"),G618&gt;0),E618*[1]Sheet1!$D$8+N618*[1]Sheet1!$E$8,IF(AND(D618="S. californicus",G618&gt;0),E618*[1]Sheet1!$D$9+N618*[1]Sheet1!$E$9,IF(D618="S.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latifolia"),E618&gt;0),F618*[1]Sheet1!$C$4+E618*[1]Sheet1!$D$4+H618*[1]Sheet1!$J$4+I618*[1]Sheet1!$K$4+[1]Sheet1!$L$4,IF(AND(OR(D618="T. domingensis",D618="T. latifolia"),J618&gt;0),J618*[1]Sheet1!$G$5+K618*[1]Sheet1!$H$5+L618*[1]Sheet1!$I$5+[1]Sheet1!$L$5,0)))))))</f>
        <v>5.1675660000000008</v>
      </c>
    </row>
    <row r="619" spans="1:15">
      <c r="A619" s="9">
        <v>41766</v>
      </c>
      <c r="B619" s="7" t="s">
        <v>22</v>
      </c>
      <c r="C619">
        <v>44</v>
      </c>
      <c r="D619" t="s">
        <v>23</v>
      </c>
      <c r="F619">
        <v>2.14</v>
      </c>
      <c r="J619">
        <f>87+119+144+148+161+178+207+215+229</f>
        <v>1488</v>
      </c>
      <c r="K619">
        <v>9</v>
      </c>
      <c r="L619">
        <v>229</v>
      </c>
      <c r="N619" t="str">
        <f t="shared" si="9"/>
        <v>NA</v>
      </c>
      <c r="O619">
        <f>IF(AND(OR(D619="S. acutus",D619="S. californicus",D619="S. tabernaemontani"),G619=0),E619*[1]Sheet1!$D$7+[1]Sheet1!$L$7,IF(AND(OR(D619="S. acutus",D619="S. tabernaemontani"),G619&gt;0),E619*[1]Sheet1!$D$8+N619*[1]Sheet1!$E$8,IF(AND(D619="S. californicus",G619&gt;0),E619*[1]Sheet1!$D$9+N619*[1]Sheet1!$E$9,IF(D619="S.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latifolia"),E619&gt;0),F619*[1]Sheet1!$C$4+E619*[1]Sheet1!$D$4+H619*[1]Sheet1!$J$4+I619*[1]Sheet1!$K$4+[1]Sheet1!$L$4,IF(AND(OR(D619="T. domingensis",D619="T. latifolia"),J619&gt;0),J619*[1]Sheet1!$G$5+K619*[1]Sheet1!$H$5+L619*[1]Sheet1!$I$5+[1]Sheet1!$L$5,0)))))))</f>
        <v>40.358142000000008</v>
      </c>
    </row>
    <row r="620" spans="1:15">
      <c r="A620" s="9">
        <v>41766</v>
      </c>
      <c r="B620" s="7" t="s">
        <v>22</v>
      </c>
      <c r="C620">
        <v>44</v>
      </c>
      <c r="D620" t="s">
        <v>23</v>
      </c>
      <c r="F620">
        <v>3.45</v>
      </c>
      <c r="J620">
        <f>83+91+134+142+177+188+214+224</f>
        <v>1253</v>
      </c>
      <c r="K620">
        <v>8</v>
      </c>
      <c r="L620">
        <v>224</v>
      </c>
      <c r="N620" t="str">
        <f t="shared" si="9"/>
        <v>NA</v>
      </c>
      <c r="O620">
        <f>IF(AND(OR(D620="S. acutus",D620="S. californicus",D620="S. tabernaemontani"),G620=0),E620*[1]Sheet1!$D$7+[1]Sheet1!$L$7,IF(AND(OR(D620="S. acutus",D620="S. tabernaemontani"),G620&gt;0),E620*[1]Sheet1!$D$8+N620*[1]Sheet1!$E$8,IF(AND(D620="S. californicus",G620&gt;0),E620*[1]Sheet1!$D$9+N620*[1]Sheet1!$E$9,IF(D620="S.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latifolia"),E620&gt;0),F620*[1]Sheet1!$C$4+E620*[1]Sheet1!$D$4+H620*[1]Sheet1!$J$4+I620*[1]Sheet1!$K$4+[1]Sheet1!$L$4,IF(AND(OR(D620="T. domingensis",D620="T. latifolia"),J620&gt;0),J620*[1]Sheet1!$G$5+K620*[1]Sheet1!$H$5+L620*[1]Sheet1!$I$5+[1]Sheet1!$L$5,0)))))))</f>
        <v>26.854295000000008</v>
      </c>
    </row>
    <row r="621" spans="1:15">
      <c r="A621" s="9">
        <v>41766</v>
      </c>
      <c r="B621" s="7" t="s">
        <v>22</v>
      </c>
      <c r="C621">
        <v>44</v>
      </c>
      <c r="D621" s="8" t="s">
        <v>19</v>
      </c>
      <c r="F621">
        <v>2.87</v>
      </c>
      <c r="J621">
        <f>102+130+132+161+198+208+226</f>
        <v>1157</v>
      </c>
      <c r="K621">
        <v>7</v>
      </c>
      <c r="L621">
        <v>226</v>
      </c>
      <c r="N621" t="str">
        <f t="shared" si="9"/>
        <v>NA</v>
      </c>
      <c r="O621">
        <f>IF(AND(OR(D621="S. acutus",D621="S. californicus",D621="S. tabernaemontani"),G621=0),E621*[1]Sheet1!$D$7+[1]Sheet1!$L$7,IF(AND(OR(D621="S. acutus",D621="S. tabernaemontani"),G621&gt;0),E621*[1]Sheet1!$D$8+N621*[1]Sheet1!$E$8,IF(AND(D621="S. californicus",G621&gt;0),E621*[1]Sheet1!$D$9+N621*[1]Sheet1!$E$9,IF(D621="S.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latifolia"),E621&gt;0),F621*[1]Sheet1!$C$4+E621*[1]Sheet1!$D$4+H621*[1]Sheet1!$J$4+I621*[1]Sheet1!$K$4+[1]Sheet1!$L$4,IF(AND(OR(D621="T. domingensis",D621="T. latifolia"),J621&gt;0),J621*[1]Sheet1!$G$5+K621*[1]Sheet1!$H$5+L621*[1]Sheet1!$I$5+[1]Sheet1!$L$5,0)))))))</f>
        <v>24.273678000000011</v>
      </c>
    </row>
    <row r="622" spans="1:15">
      <c r="A622" s="9">
        <v>41766</v>
      </c>
      <c r="B622" s="7" t="s">
        <v>22</v>
      </c>
      <c r="C622">
        <v>44</v>
      </c>
      <c r="D622" t="s">
        <v>19</v>
      </c>
      <c r="F622">
        <v>2.39</v>
      </c>
      <c r="J622">
        <f>112+135+166+189+222+231</f>
        <v>1055</v>
      </c>
      <c r="K622">
        <v>6</v>
      </c>
      <c r="L622">
        <v>231</v>
      </c>
      <c r="N622" t="str">
        <f t="shared" si="9"/>
        <v>NA</v>
      </c>
      <c r="O622">
        <f>IF(AND(OR(D622="S. acutus",D622="S. californicus",D622="S. tabernaemontani"),G622=0),E622*[1]Sheet1!$D$7+[1]Sheet1!$L$7,IF(AND(OR(D622="S. acutus",D622="S. tabernaemontani"),G622&gt;0),E622*[1]Sheet1!$D$8+N622*[1]Sheet1!$E$8,IF(AND(D622="S. californicus",G622&gt;0),E622*[1]Sheet1!$D$9+N622*[1]Sheet1!$E$9,IF(D622="S.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latifolia"),E622&gt;0),F622*[1]Sheet1!$C$4+E622*[1]Sheet1!$D$4+H622*[1]Sheet1!$J$4+I622*[1]Sheet1!$K$4+[1]Sheet1!$L$4,IF(AND(OR(D622="T. domingensis",D622="T. latifolia"),J622&gt;0),J622*[1]Sheet1!$G$5+K622*[1]Sheet1!$H$5+L622*[1]Sheet1!$I$5+[1]Sheet1!$L$5,0)))))))</f>
        <v>20.226796000000014</v>
      </c>
    </row>
    <row r="623" spans="1:15">
      <c r="A623" s="9">
        <v>41766</v>
      </c>
      <c r="B623" s="7" t="s">
        <v>22</v>
      </c>
      <c r="C623">
        <v>44</v>
      </c>
      <c r="D623" t="s">
        <v>19</v>
      </c>
      <c r="F623">
        <v>3.19</v>
      </c>
      <c r="J623">
        <f>70+112+147+161+178+184+190</f>
        <v>1042</v>
      </c>
      <c r="K623">
        <v>7</v>
      </c>
      <c r="L623">
        <v>190</v>
      </c>
      <c r="N623" t="str">
        <f t="shared" si="9"/>
        <v>NA</v>
      </c>
      <c r="O623">
        <f>IF(AND(OR(D623="S. acutus",D623="S. californicus",D623="S. tabernaemontani"),G623=0),E623*[1]Sheet1!$D$7+[1]Sheet1!$L$7,IF(AND(OR(D623="S. acutus",D623="S. tabernaemontani"),G623&gt;0),E623*[1]Sheet1!$D$8+N623*[1]Sheet1!$E$8,IF(AND(D623="S. californicus",G623&gt;0),E623*[1]Sheet1!$D$9+N623*[1]Sheet1!$E$9,IF(D623="S.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latifolia"),E623&gt;0),F623*[1]Sheet1!$C$4+E623*[1]Sheet1!$D$4+H623*[1]Sheet1!$J$4+I623*[1]Sheet1!$K$4+[1]Sheet1!$L$4,IF(AND(OR(D623="T. domingensis",D623="T. latifolia"),J623&gt;0),J623*[1]Sheet1!$G$5+K623*[1]Sheet1!$H$5+L623*[1]Sheet1!$I$5+[1]Sheet1!$L$5,0)))))))</f>
        <v>24.336673000000012</v>
      </c>
    </row>
    <row r="624" spans="1:15">
      <c r="A624" s="9">
        <v>41766</v>
      </c>
      <c r="B624" s="7" t="s">
        <v>22</v>
      </c>
      <c r="C624">
        <v>44</v>
      </c>
      <c r="D624" t="s">
        <v>19</v>
      </c>
      <c r="F624">
        <v>3.91</v>
      </c>
      <c r="J624">
        <f>69+137+176+195+203+207+215+229</f>
        <v>1431</v>
      </c>
      <c r="K624">
        <v>8</v>
      </c>
      <c r="L624">
        <v>229</v>
      </c>
      <c r="N624" t="str">
        <f t="shared" si="9"/>
        <v>NA</v>
      </c>
      <c r="O624">
        <f>IF(AND(OR(D624="S. acutus",D624="S. californicus",D624="S. tabernaemontani"),G624=0),E624*[1]Sheet1!$D$7+[1]Sheet1!$L$7,IF(AND(OR(D624="S. acutus",D624="S. tabernaemontani"),G624&gt;0),E624*[1]Sheet1!$D$8+N624*[1]Sheet1!$E$8,IF(AND(D624="S. californicus",G624&gt;0),E624*[1]Sheet1!$D$9+N624*[1]Sheet1!$E$9,IF(D624="S.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latifolia"),E624&gt;0),F624*[1]Sheet1!$C$4+E624*[1]Sheet1!$D$4+H624*[1]Sheet1!$J$4+I624*[1]Sheet1!$K$4+[1]Sheet1!$L$4,IF(AND(OR(D624="T. domingensis",D624="T. latifolia"),J624&gt;0),J624*[1]Sheet1!$G$5+K624*[1]Sheet1!$H$5+L624*[1]Sheet1!$I$5+[1]Sheet1!$L$5,0)))))))</f>
        <v>42.036460000000027</v>
      </c>
    </row>
    <row r="625" spans="1:15">
      <c r="A625" s="9">
        <v>41766</v>
      </c>
      <c r="B625" s="7" t="s">
        <v>22</v>
      </c>
      <c r="C625">
        <v>44</v>
      </c>
      <c r="D625" t="s">
        <v>19</v>
      </c>
      <c r="F625">
        <v>1.96</v>
      </c>
      <c r="J625">
        <f>66+88+41+130+153+175</f>
        <v>653</v>
      </c>
      <c r="K625">
        <v>6</v>
      </c>
      <c r="L625">
        <v>175</v>
      </c>
      <c r="N625" t="str">
        <f t="shared" si="9"/>
        <v>NA</v>
      </c>
      <c r="O625">
        <f>IF(AND(OR(D625="S. acutus",D625="S. californicus",D625="S. tabernaemontani"),G625=0),E625*[1]Sheet1!$D$7+[1]Sheet1!$L$7,IF(AND(OR(D625="S. acutus",D625="S. tabernaemontani"),G625&gt;0),E625*[1]Sheet1!$D$8+N625*[1]Sheet1!$E$8,IF(AND(D625="S. californicus",G625&gt;0),E625*[1]Sheet1!$D$9+N625*[1]Sheet1!$E$9,IF(D625="S.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latifolia"),E625&gt;0),F625*[1]Sheet1!$C$4+E625*[1]Sheet1!$D$4+H625*[1]Sheet1!$J$4+I625*[1]Sheet1!$K$4+[1]Sheet1!$L$4,IF(AND(OR(D625="T. domingensis",D625="T. latifolia"),J625&gt;0),J625*[1]Sheet1!$G$5+K625*[1]Sheet1!$H$5+L625*[1]Sheet1!$I$5+[1]Sheet1!$L$5,0)))))))</f>
        <v>-0.59299399999999736</v>
      </c>
    </row>
    <row r="626" spans="1:15">
      <c r="A626" s="6"/>
    </row>
    <row r="627" spans="1:15">
      <c r="A627" s="6"/>
    </row>
    <row r="628" spans="1:15">
      <c r="A628" s="6"/>
    </row>
    <row r="629" spans="1:15">
      <c r="A629" s="6"/>
    </row>
    <row r="630" spans="1:15">
      <c r="A630" s="6"/>
    </row>
    <row r="631" spans="1:15">
      <c r="A631" s="6"/>
    </row>
    <row r="632" spans="1:15">
      <c r="A632" s="6"/>
    </row>
    <row r="633" spans="1:15">
      <c r="A633" s="6"/>
    </row>
    <row r="634" spans="1:15">
      <c r="A634" s="6"/>
    </row>
    <row r="635" spans="1:15">
      <c r="A635" s="6"/>
    </row>
    <row r="636" spans="1:15">
      <c r="A636" s="6"/>
    </row>
    <row r="637" spans="1:15">
      <c r="A637" s="6"/>
    </row>
    <row r="638" spans="1:15">
      <c r="A638" s="6"/>
    </row>
    <row r="639" spans="1:15">
      <c r="A639" s="6"/>
    </row>
    <row r="640" spans="1:15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</sheetData>
  <sortState ref="A4:O625">
    <sortCondition ref="B4:B625"/>
    <sortCondition ref="C4:C625"/>
    <sortCondition ref="D4:D625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O1" workbookViewId="0">
      <selection activeCell="S52" sqref="S52"/>
    </sheetView>
  </sheetViews>
  <sheetFormatPr baseColWidth="10" defaultRowHeight="15" x14ac:dyDescent="0"/>
  <sheetData>
    <row r="1" spans="1:34" ht="20" thickBot="1">
      <c r="A1" s="41" t="s">
        <v>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11"/>
      <c r="AA1" s="11"/>
    </row>
    <row r="2" spans="1:34" ht="99" thickTop="1">
      <c r="A2" s="12" t="s">
        <v>35</v>
      </c>
      <c r="B2" s="12" t="s">
        <v>4</v>
      </c>
      <c r="C2" s="4" t="s">
        <v>36</v>
      </c>
      <c r="D2" s="13" t="s">
        <v>37</v>
      </c>
      <c r="E2" s="12" t="s">
        <v>38</v>
      </c>
      <c r="F2" s="4" t="s">
        <v>39</v>
      </c>
      <c r="G2" s="4" t="s">
        <v>37</v>
      </c>
      <c r="H2" s="12" t="s">
        <v>40</v>
      </c>
      <c r="I2" s="4" t="s">
        <v>41</v>
      </c>
      <c r="J2" s="4" t="s">
        <v>37</v>
      </c>
      <c r="K2" s="12" t="s">
        <v>42</v>
      </c>
      <c r="L2" s="4" t="s">
        <v>43</v>
      </c>
      <c r="M2" s="14" t="s">
        <v>37</v>
      </c>
      <c r="N2" s="12" t="s">
        <v>44</v>
      </c>
      <c r="O2" s="4" t="s">
        <v>45</v>
      </c>
      <c r="P2" s="4" t="s">
        <v>37</v>
      </c>
      <c r="Q2" s="12" t="s">
        <v>46</v>
      </c>
      <c r="R2" s="4" t="s">
        <v>47</v>
      </c>
      <c r="S2" s="14" t="s">
        <v>37</v>
      </c>
      <c r="T2" s="12" t="s">
        <v>48</v>
      </c>
      <c r="U2" s="4" t="s">
        <v>49</v>
      </c>
      <c r="V2" s="4" t="s">
        <v>37</v>
      </c>
      <c r="W2" s="12" t="s">
        <v>50</v>
      </c>
      <c r="X2" s="12" t="s">
        <v>51</v>
      </c>
      <c r="Y2" s="12" t="s">
        <v>52</v>
      </c>
      <c r="Z2" s="12" t="s">
        <v>53</v>
      </c>
      <c r="AA2" s="12" t="s">
        <v>54</v>
      </c>
      <c r="AB2" s="12" t="s">
        <v>55</v>
      </c>
      <c r="AC2" s="12" t="s">
        <v>56</v>
      </c>
      <c r="AD2" s="12" t="s">
        <v>57</v>
      </c>
      <c r="AE2" s="12" t="s">
        <v>58</v>
      </c>
      <c r="AF2" s="15" t="s">
        <v>59</v>
      </c>
      <c r="AG2" s="15" t="s">
        <v>60</v>
      </c>
      <c r="AH2" s="15" t="s">
        <v>61</v>
      </c>
    </row>
    <row r="3" spans="1:34">
      <c r="A3" s="16" t="s">
        <v>28</v>
      </c>
      <c r="B3" s="17">
        <f>'Plant Measurements'!C4</f>
        <v>1</v>
      </c>
      <c r="C3" s="18">
        <f>('Plant Measurements'!O4)</f>
        <v>-3.3771999999999913E-2</v>
      </c>
      <c r="D3" s="19"/>
      <c r="E3" s="17">
        <f>C3*4</f>
        <v>-0.13508799999999965</v>
      </c>
      <c r="F3" s="18"/>
      <c r="G3" s="20"/>
      <c r="H3" s="17">
        <f>F3*4</f>
        <v>0</v>
      </c>
      <c r="I3" s="18"/>
      <c r="J3" s="20"/>
      <c r="K3" s="17">
        <f>I3*4</f>
        <v>0</v>
      </c>
      <c r="L3" s="18"/>
      <c r="M3" s="20"/>
      <c r="N3" s="17">
        <f>L3*4</f>
        <v>0</v>
      </c>
      <c r="O3" s="18"/>
      <c r="P3" s="20"/>
      <c r="Q3" s="17">
        <f>O3*4</f>
        <v>0</v>
      </c>
      <c r="R3" s="18">
        <f>SUM('Plant Measurements'!O6:O40)</f>
        <v>636.1546840000002</v>
      </c>
      <c r="S3" s="20"/>
      <c r="T3" s="17">
        <f>R3*4</f>
        <v>2544.6187360000008</v>
      </c>
      <c r="U3" s="18">
        <f>SUM('Plant Measurements'!O5)</f>
        <v>19.787201000000003</v>
      </c>
      <c r="V3" s="20"/>
      <c r="W3" s="17">
        <f>U3*4</f>
        <v>79.148804000000013</v>
      </c>
      <c r="X3" s="17">
        <f>SUM(W3,T3,Q3,N3,K3,H3,E3)</f>
        <v>2623.6324520000007</v>
      </c>
      <c r="Y3" s="21">
        <f>AVERAGE(X3:X7)</f>
        <v>2217.5469012480003</v>
      </c>
      <c r="Z3" s="22">
        <f>E3+Q3</f>
        <v>-0.13508799999999965</v>
      </c>
      <c r="AA3" s="22">
        <f>W3+T3</f>
        <v>2623.7675400000007</v>
      </c>
      <c r="AB3">
        <f>IF(X3&gt;0,(Q3+E3)/X3," ")</f>
        <v>-5.1488919454789397E-5</v>
      </c>
      <c r="AC3">
        <f>IF(X3&gt;0,H3/X3," ")</f>
        <v>0</v>
      </c>
      <c r="AD3">
        <f>IF(X3&gt;0,K3/X3," ")</f>
        <v>0</v>
      </c>
      <c r="AE3">
        <f>IF(X3&gt;0,(W3+T3)/X3," ")</f>
        <v>1.0000514889194547</v>
      </c>
      <c r="AF3">
        <f>210336.2801/10</f>
        <v>21033.62801</v>
      </c>
      <c r="AG3">
        <f>AF3/5</f>
        <v>4206.7256020000004</v>
      </c>
      <c r="AH3">
        <f>(AG3*X3)/1000</f>
        <v>11036.90180606644</v>
      </c>
    </row>
    <row r="4" spans="1:34">
      <c r="A4" s="23" t="s">
        <v>28</v>
      </c>
      <c r="B4" s="24">
        <f>'Plant Measurements'!C41</f>
        <v>5</v>
      </c>
      <c r="C4" s="25">
        <f>SUM('Plant Measurements'!O41:O49)</f>
        <v>15.960411999999998</v>
      </c>
      <c r="D4" s="26"/>
      <c r="E4" s="17">
        <f t="shared" ref="E4:E52" si="0">C4*4</f>
        <v>63.841647999999992</v>
      </c>
      <c r="F4" s="25"/>
      <c r="G4" s="27"/>
      <c r="H4" s="17">
        <f t="shared" ref="H4:H7" si="1">F4*4</f>
        <v>0</v>
      </c>
      <c r="I4" s="25"/>
      <c r="J4" s="27"/>
      <c r="K4" s="17">
        <f t="shared" ref="K4:K52" si="2">I4*4</f>
        <v>0</v>
      </c>
      <c r="L4" s="25"/>
      <c r="M4" s="27"/>
      <c r="N4" s="17">
        <f t="shared" ref="N4:N52" si="3">L4*4</f>
        <v>0</v>
      </c>
      <c r="O4" s="25"/>
      <c r="P4" s="27"/>
      <c r="Q4" s="17">
        <f t="shared" ref="Q4:Q52" si="4">O4*4</f>
        <v>0</v>
      </c>
      <c r="R4" s="25">
        <f>SUM('Plant Measurements'!O50:O58)</f>
        <v>469.53176500000012</v>
      </c>
      <c r="S4" s="27"/>
      <c r="T4" s="17">
        <f t="shared" ref="T4:T52" si="5">R4*4</f>
        <v>1878.1270600000005</v>
      </c>
      <c r="U4" s="25"/>
      <c r="V4" s="27"/>
      <c r="W4" s="17">
        <f t="shared" ref="W4:W52" si="6">U4*4</f>
        <v>0</v>
      </c>
      <c r="X4" s="24">
        <f t="shared" ref="X4:X52" si="7">SUM(W4,T4,Q4,N4,K4,H4,E4)</f>
        <v>1941.9687080000006</v>
      </c>
      <c r="Y4" s="28"/>
      <c r="Z4" s="22">
        <f t="shared" ref="Z4:Z52" si="8">E4+Q4</f>
        <v>63.841647999999992</v>
      </c>
      <c r="AA4" s="22">
        <f t="shared" ref="AA4:AA52" si="9">W4+T4</f>
        <v>1878.1270600000005</v>
      </c>
      <c r="AB4">
        <f t="shared" ref="AB4:AB52" si="10">IF(X4&gt;0,(Q4+E4)/X4," ")</f>
        <v>3.2874704796736598E-2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0.9671252952032634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8169.3294822264661</v>
      </c>
    </row>
    <row r="5" spans="1:34">
      <c r="A5" s="23" t="s">
        <v>28</v>
      </c>
      <c r="B5" s="24">
        <f>'Plant Measurements'!C59</f>
        <v>40</v>
      </c>
      <c r="C5" s="25"/>
      <c r="D5" s="26"/>
      <c r="E5" s="17">
        <f t="shared" si="0"/>
        <v>0</v>
      </c>
      <c r="F5" s="25"/>
      <c r="G5" s="27"/>
      <c r="H5" s="17">
        <f t="shared" si="1"/>
        <v>0</v>
      </c>
      <c r="I5" s="25"/>
      <c r="J5" s="27"/>
      <c r="K5" s="17">
        <f t="shared" si="2"/>
        <v>0</v>
      </c>
      <c r="L5" s="25"/>
      <c r="M5" s="27"/>
      <c r="N5" s="17">
        <f t="shared" si="3"/>
        <v>0</v>
      </c>
      <c r="O5" s="25"/>
      <c r="P5" s="27"/>
      <c r="Q5" s="17">
        <f t="shared" si="4"/>
        <v>0</v>
      </c>
      <c r="R5" s="25">
        <f>SUM('Plant Measurements'!O63:O77)</f>
        <v>419.08851400000003</v>
      </c>
      <c r="S5" s="27"/>
      <c r="T5" s="17">
        <f t="shared" si="5"/>
        <v>1676.3540560000001</v>
      </c>
      <c r="U5" s="25">
        <f>SUM('Plant Measurements'!O59:O62)</f>
        <v>125.11825500000003</v>
      </c>
      <c r="V5" s="27"/>
      <c r="W5" s="17">
        <f t="shared" si="6"/>
        <v>500.47302000000013</v>
      </c>
      <c r="X5" s="24">
        <f t="shared" si="7"/>
        <v>2176.8270760000005</v>
      </c>
      <c r="Y5" s="28"/>
      <c r="Z5" s="22">
        <f t="shared" si="8"/>
        <v>0</v>
      </c>
      <c r="AA5" s="22">
        <f t="shared" si="9"/>
        <v>2176.8270760000005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>
        <f t="shared" si="14"/>
        <v>21033.62801</v>
      </c>
      <c r="AG5">
        <f t="shared" si="15"/>
        <v>4206.7256020000004</v>
      </c>
      <c r="AH5">
        <f t="shared" si="16"/>
        <v>9157.3141917360026</v>
      </c>
    </row>
    <row r="6" spans="1:34">
      <c r="A6" s="23" t="s">
        <v>28</v>
      </c>
      <c r="B6" s="24">
        <f>'Plant Measurements'!C78</f>
        <v>45</v>
      </c>
      <c r="C6" s="25"/>
      <c r="D6" s="26"/>
      <c r="E6" s="17">
        <f t="shared" si="0"/>
        <v>0</v>
      </c>
      <c r="F6" s="25"/>
      <c r="G6" s="27"/>
      <c r="H6" s="17">
        <f t="shared" si="1"/>
        <v>0</v>
      </c>
      <c r="I6" s="25"/>
      <c r="J6" s="27"/>
      <c r="K6" s="17">
        <f t="shared" si="2"/>
        <v>0</v>
      </c>
      <c r="L6" s="25"/>
      <c r="M6" s="27"/>
      <c r="N6" s="17">
        <f t="shared" si="3"/>
        <v>0</v>
      </c>
      <c r="O6" s="25"/>
      <c r="P6" s="27"/>
      <c r="Q6" s="17">
        <f t="shared" si="4"/>
        <v>0</v>
      </c>
      <c r="R6" s="25">
        <f>SUM('Plant Measurements'!O80:O92)</f>
        <v>201.60193500000005</v>
      </c>
      <c r="S6" s="27"/>
      <c r="T6" s="17">
        <f t="shared" si="5"/>
        <v>806.40774000000022</v>
      </c>
      <c r="U6" s="25">
        <f>SUM('Plant Measurements'!O78:O79)</f>
        <v>26.656297000000009</v>
      </c>
      <c r="V6" s="27"/>
      <c r="W6" s="17">
        <f t="shared" si="6"/>
        <v>106.62518800000004</v>
      </c>
      <c r="X6" s="24">
        <f t="shared" si="7"/>
        <v>913.03292800000031</v>
      </c>
      <c r="Y6" s="28"/>
      <c r="Z6" s="22">
        <f t="shared" si="8"/>
        <v>0</v>
      </c>
      <c r="AA6" s="22">
        <f t="shared" si="9"/>
        <v>913.03292800000031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21033.62801</v>
      </c>
      <c r="AG6">
        <f>AF6/5</f>
        <v>4206.7256020000004</v>
      </c>
      <c r="AH6">
        <f t="shared" si="16"/>
        <v>3840.8789936866242</v>
      </c>
    </row>
    <row r="7" spans="1:34">
      <c r="A7" s="29" t="s">
        <v>28</v>
      </c>
      <c r="B7" s="30">
        <f>'Plant Measurements'!C93</f>
        <v>52</v>
      </c>
      <c r="C7" s="31"/>
      <c r="D7" s="32"/>
      <c r="E7" s="17">
        <f t="shared" si="0"/>
        <v>0</v>
      </c>
      <c r="F7" s="31"/>
      <c r="G7" s="33"/>
      <c r="H7" s="17">
        <f t="shared" si="1"/>
        <v>0</v>
      </c>
      <c r="I7" s="31"/>
      <c r="J7" s="33"/>
      <c r="K7" s="17">
        <f t="shared" si="2"/>
        <v>0</v>
      </c>
      <c r="L7" s="31"/>
      <c r="M7" s="33"/>
      <c r="N7" s="17">
        <f t="shared" si="3"/>
        <v>0</v>
      </c>
      <c r="O7" s="31"/>
      <c r="P7" s="33"/>
      <c r="Q7" s="17">
        <f t="shared" si="4"/>
        <v>0</v>
      </c>
      <c r="R7" s="31">
        <f>SUM('Plant Measurements'!O103:O105)</f>
        <v>300.82093356000001</v>
      </c>
      <c r="S7" s="33"/>
      <c r="T7" s="17">
        <f t="shared" si="5"/>
        <v>1203.2837342400001</v>
      </c>
      <c r="U7" s="31">
        <f>SUM('Plant Measurements'!O93:O102)</f>
        <v>557.24740200000019</v>
      </c>
      <c r="V7" s="33"/>
      <c r="W7" s="17">
        <f t="shared" si="6"/>
        <v>2228.9896080000008</v>
      </c>
      <c r="X7" s="30">
        <f t="shared" si="7"/>
        <v>3432.2733422400006</v>
      </c>
      <c r="Y7" s="34"/>
      <c r="Z7" s="22">
        <f t="shared" si="8"/>
        <v>0</v>
      </c>
      <c r="AA7" s="22">
        <f t="shared" si="9"/>
        <v>3432.2733422400006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14438.632141863121</v>
      </c>
    </row>
    <row r="8" spans="1:34">
      <c r="A8" s="16" t="s">
        <v>31</v>
      </c>
      <c r="B8" s="17">
        <f>'Plant Measurements'!C106</f>
        <v>1</v>
      </c>
      <c r="C8" s="18">
        <f>SUM('Plant Measurements'!O106:O112)</f>
        <v>59.243405461853229</v>
      </c>
      <c r="D8" s="19"/>
      <c r="E8" s="17">
        <f t="shared" si="0"/>
        <v>236.97362184741291</v>
      </c>
      <c r="F8" s="18"/>
      <c r="G8" s="20"/>
      <c r="H8" s="17"/>
      <c r="I8" s="18"/>
      <c r="J8" s="20"/>
      <c r="K8" s="17">
        <f t="shared" si="2"/>
        <v>0</v>
      </c>
      <c r="L8" s="18"/>
      <c r="M8" s="20"/>
      <c r="N8" s="17">
        <f t="shared" si="3"/>
        <v>0</v>
      </c>
      <c r="O8" s="18"/>
      <c r="P8" s="20"/>
      <c r="Q8" s="17">
        <f t="shared" si="4"/>
        <v>0</v>
      </c>
      <c r="R8" s="18">
        <f>SUM('Plant Measurements'!O113:O129)</f>
        <v>84.001747999999992</v>
      </c>
      <c r="S8" s="20"/>
      <c r="T8" s="17">
        <f t="shared" si="5"/>
        <v>336.00699199999997</v>
      </c>
      <c r="U8" s="18"/>
      <c r="V8" s="20"/>
      <c r="W8" s="17">
        <f t="shared" si="6"/>
        <v>0</v>
      </c>
      <c r="X8" s="17">
        <f t="shared" si="7"/>
        <v>572.98061384741288</v>
      </c>
      <c r="Y8" s="21">
        <f>AVERAGE(X8:X12)</f>
        <v>689.56972836948285</v>
      </c>
      <c r="Z8" s="22">
        <f t="shared" si="8"/>
        <v>236.97362184741291</v>
      </c>
      <c r="AA8" s="22">
        <f t="shared" si="9"/>
        <v>336.00699199999997</v>
      </c>
      <c r="AB8">
        <f t="shared" si="10"/>
        <v>0.41358052283165025</v>
      </c>
      <c r="AC8">
        <f t="shared" si="11"/>
        <v>0</v>
      </c>
      <c r="AD8">
        <f t="shared" si="12"/>
        <v>0</v>
      </c>
      <c r="AE8">
        <f t="shared" si="13"/>
        <v>0.58641947716834975</v>
      </c>
      <c r="AF8">
        <f t="shared" si="14"/>
        <v>21033.62801</v>
      </c>
      <c r="AG8">
        <f t="shared" si="15"/>
        <v>4206.7256020000004</v>
      </c>
      <c r="AH8">
        <f t="shared" si="16"/>
        <v>2410.3722177215882</v>
      </c>
    </row>
    <row r="9" spans="1:34">
      <c r="A9" s="23" t="s">
        <v>31</v>
      </c>
      <c r="B9" s="24">
        <f>'Plant Measurements'!C130</f>
        <v>30</v>
      </c>
      <c r="C9" s="25"/>
      <c r="D9" s="26"/>
      <c r="E9" s="17">
        <f t="shared" si="0"/>
        <v>0</v>
      </c>
      <c r="F9" s="25"/>
      <c r="G9" s="27"/>
      <c r="H9" s="24">
        <f>F9*4</f>
        <v>0</v>
      </c>
      <c r="I9" s="25"/>
      <c r="J9" s="27"/>
      <c r="K9" s="17">
        <f t="shared" si="2"/>
        <v>0</v>
      </c>
      <c r="L9" s="25"/>
      <c r="M9" s="27"/>
      <c r="N9" s="17">
        <f t="shared" si="3"/>
        <v>0</v>
      </c>
      <c r="O9" s="25"/>
      <c r="P9" s="27"/>
      <c r="Q9" s="17">
        <f t="shared" si="4"/>
        <v>0</v>
      </c>
      <c r="R9" s="25">
        <f>SUM('Plant Measurements'!O130:O132)</f>
        <v>39.92668700000003</v>
      </c>
      <c r="S9" s="27"/>
      <c r="T9" s="17">
        <f t="shared" si="5"/>
        <v>159.70674800000012</v>
      </c>
      <c r="U9" s="25"/>
      <c r="V9" s="27"/>
      <c r="W9" s="17">
        <f t="shared" si="6"/>
        <v>0</v>
      </c>
      <c r="X9" s="24">
        <f>SUM(W9,T9,Q9,N9,K9,H9,E9)</f>
        <v>159.70674800000012</v>
      </c>
      <c r="Y9" s="28"/>
      <c r="Z9" s="22">
        <f t="shared" si="8"/>
        <v>0</v>
      </c>
      <c r="AA9" s="22">
        <f t="shared" si="9"/>
        <v>159.70674800000012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21033.62801</v>
      </c>
      <c r="AG9">
        <f t="shared" si="15"/>
        <v>4206.7256020000004</v>
      </c>
      <c r="AH9">
        <f t="shared" si="16"/>
        <v>671.84246562376279</v>
      </c>
    </row>
    <row r="10" spans="1:34">
      <c r="A10" s="23" t="s">
        <v>31</v>
      </c>
      <c r="B10" s="24">
        <f>'Plant Measurements'!C133</f>
        <v>41</v>
      </c>
      <c r="C10" s="25"/>
      <c r="D10" s="26"/>
      <c r="E10" s="17">
        <f t="shared" si="0"/>
        <v>0</v>
      </c>
      <c r="F10" s="25"/>
      <c r="G10" s="27"/>
      <c r="H10" s="24">
        <f t="shared" ref="H10:H42" si="17">F10*4</f>
        <v>0</v>
      </c>
      <c r="I10" s="25"/>
      <c r="J10" s="27"/>
      <c r="K10" s="17">
        <f t="shared" si="2"/>
        <v>0</v>
      </c>
      <c r="L10" s="25"/>
      <c r="M10" s="27"/>
      <c r="N10" s="17">
        <f t="shared" si="3"/>
        <v>0</v>
      </c>
      <c r="O10" s="25"/>
      <c r="P10" s="27"/>
      <c r="Q10" s="17">
        <f t="shared" si="4"/>
        <v>0</v>
      </c>
      <c r="R10" s="25">
        <f>SUM('Plant Measurements'!O133:O140)</f>
        <v>182.15026800000007</v>
      </c>
      <c r="S10" s="27"/>
      <c r="T10" s="17">
        <f t="shared" si="5"/>
        <v>728.60107200000027</v>
      </c>
      <c r="U10" s="25"/>
      <c r="V10" s="27"/>
      <c r="W10" s="17">
        <f t="shared" si="6"/>
        <v>0</v>
      </c>
      <c r="X10" s="24">
        <f t="shared" si="7"/>
        <v>728.60107200000027</v>
      </c>
      <c r="Y10" s="28"/>
      <c r="Z10" s="22">
        <f t="shared" si="8"/>
        <v>0</v>
      </c>
      <c r="AA10" s="22">
        <f t="shared" si="9"/>
        <v>728.60107200000027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1</v>
      </c>
      <c r="AF10">
        <f t="shared" si="14"/>
        <v>21033.62801</v>
      </c>
      <c r="AG10">
        <f t="shared" si="15"/>
        <v>4206.7256020000004</v>
      </c>
      <c r="AH10">
        <f t="shared" si="16"/>
        <v>3065.024783227047</v>
      </c>
    </row>
    <row r="11" spans="1:34">
      <c r="A11" s="23" t="s">
        <v>31</v>
      </c>
      <c r="B11" s="24">
        <f>'Plant Measurements'!C141</f>
        <v>42</v>
      </c>
      <c r="C11" s="25"/>
      <c r="D11" s="26"/>
      <c r="E11" s="17">
        <f t="shared" si="0"/>
        <v>0</v>
      </c>
      <c r="F11" s="25"/>
      <c r="G11" s="27"/>
      <c r="H11" s="24">
        <f t="shared" si="17"/>
        <v>0</v>
      </c>
      <c r="I11" s="25"/>
      <c r="J11" s="27"/>
      <c r="K11" s="17">
        <f t="shared" si="2"/>
        <v>0</v>
      </c>
      <c r="L11" s="25"/>
      <c r="M11" s="27"/>
      <c r="N11" s="17">
        <f t="shared" si="3"/>
        <v>0</v>
      </c>
      <c r="O11" s="25"/>
      <c r="P11" s="27"/>
      <c r="Q11" s="17">
        <f t="shared" si="4"/>
        <v>0</v>
      </c>
      <c r="R11" s="25">
        <f>SUM('Plant Measurements'!O141:O150)</f>
        <v>327.95868000000007</v>
      </c>
      <c r="S11" s="27"/>
      <c r="T11" s="17">
        <f t="shared" si="5"/>
        <v>1311.8347200000003</v>
      </c>
      <c r="U11" s="25"/>
      <c r="V11" s="27"/>
      <c r="W11" s="17">
        <f t="shared" si="6"/>
        <v>0</v>
      </c>
      <c r="X11" s="24">
        <f t="shared" si="7"/>
        <v>1311.8347200000003</v>
      </c>
      <c r="Y11" s="28"/>
      <c r="Z11" s="22">
        <f t="shared" si="8"/>
        <v>0</v>
      </c>
      <c r="AA11" s="22">
        <f t="shared" si="9"/>
        <v>1311.8347200000003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5518.528702216503</v>
      </c>
    </row>
    <row r="12" spans="1:34">
      <c r="A12" s="29" t="s">
        <v>31</v>
      </c>
      <c r="B12" s="30">
        <f>'Plant Measurements'!C151</f>
        <v>46</v>
      </c>
      <c r="C12" s="31"/>
      <c r="D12" s="32"/>
      <c r="E12" s="17">
        <f t="shared" si="0"/>
        <v>0</v>
      </c>
      <c r="F12" s="31"/>
      <c r="G12" s="33"/>
      <c r="H12" s="24">
        <f t="shared" si="17"/>
        <v>0</v>
      </c>
      <c r="I12" s="31"/>
      <c r="J12" s="33"/>
      <c r="K12" s="17">
        <f t="shared" si="2"/>
        <v>0</v>
      </c>
      <c r="L12" s="31"/>
      <c r="M12" s="33"/>
      <c r="N12" s="17">
        <f t="shared" si="3"/>
        <v>0</v>
      </c>
      <c r="O12" s="31"/>
      <c r="P12" s="33"/>
      <c r="Q12" s="17">
        <f t="shared" si="4"/>
        <v>0</v>
      </c>
      <c r="R12" s="31">
        <f>SUM('Plant Measurements'!O151:O157)</f>
        <v>168.6813720000001</v>
      </c>
      <c r="S12" s="33"/>
      <c r="T12" s="17">
        <f t="shared" si="5"/>
        <v>674.72548800000038</v>
      </c>
      <c r="U12" s="31"/>
      <c r="V12" s="33"/>
      <c r="W12" s="17">
        <f t="shared" si="6"/>
        <v>0</v>
      </c>
      <c r="X12" s="30">
        <f t="shared" si="7"/>
        <v>674.72548800000038</v>
      </c>
      <c r="Y12" s="34"/>
      <c r="Z12" s="22">
        <f t="shared" si="8"/>
        <v>0</v>
      </c>
      <c r="AA12" s="22">
        <f t="shared" si="9"/>
        <v>674.72548800000038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1</v>
      </c>
      <c r="AF12">
        <f t="shared" si="14"/>
        <v>21033.62801</v>
      </c>
      <c r="AG12">
        <f t="shared" si="15"/>
        <v>4206.7256020000004</v>
      </c>
      <c r="AH12">
        <f t="shared" si="16"/>
        <v>2838.3849846915459</v>
      </c>
    </row>
    <row r="13" spans="1:34">
      <c r="A13" s="35" t="s">
        <v>21</v>
      </c>
      <c r="B13" s="36">
        <f>'Plant Measurements'!C158</f>
        <v>4</v>
      </c>
      <c r="C13" s="18"/>
      <c r="D13" s="19"/>
      <c r="E13" s="17">
        <f t="shared" si="0"/>
        <v>0</v>
      </c>
      <c r="F13" s="18"/>
      <c r="G13" s="20"/>
      <c r="H13" s="24">
        <f t="shared" si="17"/>
        <v>0</v>
      </c>
      <c r="I13" s="18"/>
      <c r="J13" s="20"/>
      <c r="K13" s="17">
        <f t="shared" si="2"/>
        <v>0</v>
      </c>
      <c r="L13" s="18"/>
      <c r="M13" s="20"/>
      <c r="N13" s="17">
        <f t="shared" si="3"/>
        <v>0</v>
      </c>
      <c r="O13" s="18"/>
      <c r="P13" s="20"/>
      <c r="Q13" s="17">
        <f t="shared" si="4"/>
        <v>0</v>
      </c>
      <c r="R13" s="18">
        <f>SUM('Plant Measurements'!O158)</f>
        <v>26.229027000000016</v>
      </c>
      <c r="S13" s="20"/>
      <c r="T13" s="17">
        <f t="shared" si="5"/>
        <v>104.91610800000007</v>
      </c>
      <c r="U13" s="18"/>
      <c r="V13" s="20"/>
      <c r="W13" s="17">
        <f t="shared" si="6"/>
        <v>0</v>
      </c>
      <c r="X13" s="17">
        <f t="shared" si="7"/>
        <v>104.91610800000007</v>
      </c>
      <c r="Y13" s="21">
        <f>AVERAGE(X13:X17)</f>
        <v>214.26996080000004</v>
      </c>
      <c r="Z13" s="22">
        <f t="shared" si="8"/>
        <v>0</v>
      </c>
      <c r="AA13" s="22">
        <f t="shared" si="9"/>
        <v>104.91610800000007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1</v>
      </c>
      <c r="AF13">
        <f t="shared" si="14"/>
        <v>21033.62801</v>
      </c>
      <c r="AG13">
        <f t="shared" si="15"/>
        <v>4206.7256020000004</v>
      </c>
      <c r="AH13">
        <f t="shared" si="16"/>
        <v>441.35327758579734</v>
      </c>
    </row>
    <row r="14" spans="1:34">
      <c r="A14" s="23" t="s">
        <v>21</v>
      </c>
      <c r="B14" s="24">
        <f>'Plant Measurements'!C159</f>
        <v>6</v>
      </c>
      <c r="C14" s="25"/>
      <c r="D14" s="26"/>
      <c r="E14" s="17">
        <f t="shared" si="0"/>
        <v>0</v>
      </c>
      <c r="F14" s="25"/>
      <c r="G14" s="27"/>
      <c r="H14" s="24">
        <f t="shared" si="17"/>
        <v>0</v>
      </c>
      <c r="I14" s="25">
        <f>SUM('Plant Measurements'!O159:O163)</f>
        <v>16.65634</v>
      </c>
      <c r="J14" s="27"/>
      <c r="K14" s="17">
        <f t="shared" si="2"/>
        <v>66.625360000000001</v>
      </c>
      <c r="L14" s="25"/>
      <c r="M14" s="27"/>
      <c r="N14" s="17">
        <f t="shared" si="3"/>
        <v>0</v>
      </c>
      <c r="O14" s="25"/>
      <c r="P14" s="27"/>
      <c r="Q14" s="17">
        <f t="shared" si="4"/>
        <v>0</v>
      </c>
      <c r="R14" s="25"/>
      <c r="S14" s="27"/>
      <c r="T14" s="17">
        <f t="shared" si="5"/>
        <v>0</v>
      </c>
      <c r="U14" s="25"/>
      <c r="V14" s="27"/>
      <c r="W14" s="17">
        <f t="shared" si="6"/>
        <v>0</v>
      </c>
      <c r="X14" s="24">
        <f t="shared" si="7"/>
        <v>66.625360000000001</v>
      </c>
      <c r="Y14" s="28"/>
      <c r="Z14" s="22">
        <f t="shared" si="8"/>
        <v>0</v>
      </c>
      <c r="AA14" s="22">
        <f t="shared" si="9"/>
        <v>0</v>
      </c>
      <c r="AB14">
        <f t="shared" si="10"/>
        <v>0</v>
      </c>
      <c r="AC14">
        <f t="shared" si="11"/>
        <v>0</v>
      </c>
      <c r="AD14">
        <f t="shared" si="12"/>
        <v>1</v>
      </c>
      <c r="AE14">
        <f t="shared" si="13"/>
        <v>0</v>
      </c>
      <c r="AF14">
        <f t="shared" si="14"/>
        <v>21033.62801</v>
      </c>
      <c r="AG14">
        <f t="shared" si="15"/>
        <v>4206.7256020000004</v>
      </c>
      <c r="AH14">
        <f t="shared" si="16"/>
        <v>280.27460765446676</v>
      </c>
    </row>
    <row r="15" spans="1:34">
      <c r="A15" s="23" t="s">
        <v>21</v>
      </c>
      <c r="B15" s="24">
        <f>'Plant Measurements'!C164</f>
        <v>26</v>
      </c>
      <c r="C15" s="25"/>
      <c r="D15" s="26"/>
      <c r="E15" s="17">
        <f t="shared" si="0"/>
        <v>0</v>
      </c>
      <c r="F15" s="25"/>
      <c r="G15" s="27"/>
      <c r="H15" s="24">
        <f t="shared" si="17"/>
        <v>0</v>
      </c>
      <c r="I15" s="25"/>
      <c r="J15" s="27"/>
      <c r="K15" s="17">
        <f t="shared" si="2"/>
        <v>0</v>
      </c>
      <c r="L15" s="25"/>
      <c r="M15" s="27"/>
      <c r="N15" s="17">
        <f t="shared" si="3"/>
        <v>0</v>
      </c>
      <c r="O15" s="25"/>
      <c r="P15" s="27"/>
      <c r="Q15" s="17">
        <f t="shared" si="4"/>
        <v>0</v>
      </c>
      <c r="R15" s="25">
        <f>SUM('Plant Measurements'!O170:O172)</f>
        <v>18.635030000000008</v>
      </c>
      <c r="S15" s="27"/>
      <c r="T15" s="17">
        <f t="shared" si="5"/>
        <v>74.54012000000003</v>
      </c>
      <c r="U15" s="25">
        <f>SUM('Plant Measurements'!O164:O169)</f>
        <v>57.067601000000025</v>
      </c>
      <c r="V15" s="27"/>
      <c r="W15" s="17">
        <f t="shared" si="6"/>
        <v>228.2704040000001</v>
      </c>
      <c r="X15" s="24">
        <f t="shared" si="7"/>
        <v>302.8105240000001</v>
      </c>
      <c r="Y15" s="28"/>
      <c r="Z15" s="22">
        <f t="shared" si="8"/>
        <v>0</v>
      </c>
      <c r="AA15" s="22">
        <f t="shared" si="9"/>
        <v>302.8105240000001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1</v>
      </c>
      <c r="AF15">
        <f t="shared" si="14"/>
        <v>21033.62801</v>
      </c>
      <c r="AG15">
        <f t="shared" si="15"/>
        <v>4206.7256020000004</v>
      </c>
      <c r="AH15">
        <f t="shared" si="16"/>
        <v>1273.8407838658359</v>
      </c>
    </row>
    <row r="16" spans="1:34">
      <c r="A16" s="23" t="s">
        <v>21</v>
      </c>
      <c r="B16" s="24">
        <f>'Plant Measurements'!C173</f>
        <v>29</v>
      </c>
      <c r="C16" s="25">
        <f>SUM('Plant Measurements'!O173)</f>
        <v>4.9436830000000009</v>
      </c>
      <c r="D16" s="26"/>
      <c r="E16" s="17">
        <f t="shared" si="0"/>
        <v>19.774732000000004</v>
      </c>
      <c r="F16" s="25"/>
      <c r="G16" s="27"/>
      <c r="H16" s="24">
        <f t="shared" si="17"/>
        <v>0</v>
      </c>
      <c r="I16" s="25"/>
      <c r="J16" s="27"/>
      <c r="K16" s="17">
        <f t="shared" si="2"/>
        <v>0</v>
      </c>
      <c r="L16" s="25"/>
      <c r="M16" s="27"/>
      <c r="N16" s="17">
        <f t="shared" si="3"/>
        <v>0</v>
      </c>
      <c r="O16" s="25"/>
      <c r="P16" s="27"/>
      <c r="Q16" s="17">
        <f t="shared" si="4"/>
        <v>0</v>
      </c>
      <c r="R16" s="25">
        <f>SUM('Plant Measurements'!O177)</f>
        <v>-3.2658929999999984</v>
      </c>
      <c r="S16" s="27"/>
      <c r="T16" s="17">
        <f t="shared" si="5"/>
        <v>-13.063571999999994</v>
      </c>
      <c r="U16" s="25">
        <f>SUM('Plant Measurements'!O174:O176)</f>
        <v>42.481031000000009</v>
      </c>
      <c r="V16" s="27"/>
      <c r="W16" s="17">
        <f t="shared" si="6"/>
        <v>169.92412400000003</v>
      </c>
      <c r="X16" s="24">
        <f t="shared" si="7"/>
        <v>176.63528400000004</v>
      </c>
      <c r="Y16" s="28"/>
      <c r="Z16" s="22">
        <f t="shared" si="8"/>
        <v>19.774732000000004</v>
      </c>
      <c r="AA16" s="22">
        <f t="shared" si="9"/>
        <v>156.86055200000004</v>
      </c>
      <c r="AB16">
        <f t="shared" si="10"/>
        <v>0.11195233224184133</v>
      </c>
      <c r="AC16">
        <f t="shared" si="11"/>
        <v>0</v>
      </c>
      <c r="AD16">
        <f t="shared" si="12"/>
        <v>0</v>
      </c>
      <c r="AE16">
        <f t="shared" si="13"/>
        <v>0.88804766775815869</v>
      </c>
      <c r="AF16">
        <f t="shared" si="14"/>
        <v>21033.62801</v>
      </c>
      <c r="AG16">
        <f t="shared" si="15"/>
        <v>4206.7256020000004</v>
      </c>
      <c r="AH16">
        <f t="shared" si="16"/>
        <v>743.05617141934124</v>
      </c>
    </row>
    <row r="17" spans="1:34">
      <c r="A17" s="29" t="s">
        <v>21</v>
      </c>
      <c r="B17" s="30">
        <f>'Plant Measurements'!C178</f>
        <v>55</v>
      </c>
      <c r="C17" s="31"/>
      <c r="D17" s="32"/>
      <c r="E17" s="17">
        <f t="shared" si="0"/>
        <v>0</v>
      </c>
      <c r="F17" s="31"/>
      <c r="G17" s="33"/>
      <c r="H17" s="24">
        <f t="shared" si="17"/>
        <v>0</v>
      </c>
      <c r="I17" s="31"/>
      <c r="J17" s="33"/>
      <c r="K17" s="17">
        <f t="shared" si="2"/>
        <v>0</v>
      </c>
      <c r="L17" s="31"/>
      <c r="M17" s="33"/>
      <c r="N17" s="17">
        <f t="shared" si="3"/>
        <v>0</v>
      </c>
      <c r="O17" s="31"/>
      <c r="P17" s="33"/>
      <c r="Q17" s="17">
        <f t="shared" si="4"/>
        <v>0</v>
      </c>
      <c r="R17" s="31">
        <f>SUM('Plant Measurements'!O178)</f>
        <v>105.090632</v>
      </c>
      <c r="S17" s="33"/>
      <c r="T17" s="17">
        <f t="shared" si="5"/>
        <v>420.362528</v>
      </c>
      <c r="U17" s="31"/>
      <c r="V17" s="33"/>
      <c r="W17" s="17">
        <f t="shared" si="6"/>
        <v>0</v>
      </c>
      <c r="X17" s="30">
        <f t="shared" si="7"/>
        <v>420.362528</v>
      </c>
      <c r="Y17" s="34"/>
      <c r="Z17" s="22">
        <f t="shared" si="8"/>
        <v>0</v>
      </c>
      <c r="AA17" s="22">
        <f t="shared" si="9"/>
        <v>420.362528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1</v>
      </c>
      <c r="AF17">
        <f t="shared" si="14"/>
        <v>21033.62801</v>
      </c>
      <c r="AG17">
        <f t="shared" si="15"/>
        <v>4206.7256020000004</v>
      </c>
      <c r="AH17">
        <f t="shared" si="16"/>
        <v>1768.3498086590421</v>
      </c>
    </row>
    <row r="18" spans="1:34">
      <c r="A18" s="16" t="s">
        <v>24</v>
      </c>
      <c r="B18" s="17">
        <f>'Plant Measurements'!C179</f>
        <v>25</v>
      </c>
      <c r="C18" s="18"/>
      <c r="D18" s="19"/>
      <c r="E18" s="17">
        <f t="shared" si="0"/>
        <v>0</v>
      </c>
      <c r="F18" s="18"/>
      <c r="G18" s="20"/>
      <c r="H18" s="24">
        <f t="shared" si="17"/>
        <v>0</v>
      </c>
      <c r="I18" s="18">
        <f>SUM('Plant Measurements'!O179:O196)</f>
        <v>7.8534406695390633</v>
      </c>
      <c r="J18" s="20"/>
      <c r="K18" s="17">
        <f t="shared" si="2"/>
        <v>31.413762678156253</v>
      </c>
      <c r="L18" s="18"/>
      <c r="M18" s="20"/>
      <c r="N18" s="17">
        <f t="shared" si="3"/>
        <v>0</v>
      </c>
      <c r="O18" s="18"/>
      <c r="P18" s="20"/>
      <c r="Q18" s="17">
        <f t="shared" si="4"/>
        <v>0</v>
      </c>
      <c r="R18" s="18"/>
      <c r="S18" s="20"/>
      <c r="T18" s="17">
        <f t="shared" si="5"/>
        <v>0</v>
      </c>
      <c r="U18" s="18"/>
      <c r="V18" s="20"/>
      <c r="W18" s="17">
        <f t="shared" si="6"/>
        <v>0</v>
      </c>
      <c r="X18" s="17">
        <f t="shared" si="7"/>
        <v>31.413762678156253</v>
      </c>
      <c r="Y18" s="21">
        <f>AVERAGE(X18:X22)</f>
        <v>847.96259890475415</v>
      </c>
      <c r="Z18" s="22">
        <f t="shared" si="8"/>
        <v>0</v>
      </c>
      <c r="AA18" s="22">
        <f t="shared" si="9"/>
        <v>0</v>
      </c>
      <c r="AB18">
        <f t="shared" si="10"/>
        <v>0</v>
      </c>
      <c r="AC18">
        <f t="shared" si="11"/>
        <v>0</v>
      </c>
      <c r="AD18">
        <f t="shared" si="12"/>
        <v>1</v>
      </c>
      <c r="AE18">
        <f t="shared" si="13"/>
        <v>0</v>
      </c>
      <c r="AF18">
        <f t="shared" si="14"/>
        <v>21033.62801</v>
      </c>
      <c r="AG18">
        <f t="shared" si="15"/>
        <v>4206.7256020000004</v>
      </c>
      <c r="AH18">
        <f t="shared" si="16"/>
        <v>132.14907971335199</v>
      </c>
    </row>
    <row r="19" spans="1:34">
      <c r="A19" s="23" t="s">
        <v>24</v>
      </c>
      <c r="B19" s="24">
        <f>'Plant Measurements'!C197</f>
        <v>26</v>
      </c>
      <c r="C19" s="25"/>
      <c r="D19" s="26"/>
      <c r="E19" s="17">
        <f t="shared" si="0"/>
        <v>0</v>
      </c>
      <c r="F19" s="25"/>
      <c r="G19" s="27"/>
      <c r="H19" s="24">
        <f t="shared" si="17"/>
        <v>0</v>
      </c>
      <c r="I19" s="25"/>
      <c r="J19" s="27"/>
      <c r="K19" s="17">
        <f t="shared" si="2"/>
        <v>0</v>
      </c>
      <c r="L19" s="25"/>
      <c r="M19" s="27"/>
      <c r="N19" s="17">
        <f t="shared" si="3"/>
        <v>0</v>
      </c>
      <c r="O19" s="25"/>
      <c r="P19" s="27"/>
      <c r="Q19" s="17">
        <f t="shared" si="4"/>
        <v>0</v>
      </c>
      <c r="R19" s="25">
        <f>SUM('Plant Measurements'!O197:O199)</f>
        <v>37.507380999999995</v>
      </c>
      <c r="S19" s="27"/>
      <c r="T19" s="17">
        <f t="shared" si="5"/>
        <v>150.02952399999998</v>
      </c>
      <c r="U19" s="25"/>
      <c r="V19" s="27"/>
      <c r="W19" s="17">
        <f t="shared" si="6"/>
        <v>0</v>
      </c>
      <c r="X19" s="24">
        <f t="shared" si="7"/>
        <v>150.02952399999998</v>
      </c>
      <c r="Y19" s="28"/>
      <c r="Z19" s="22">
        <f t="shared" si="8"/>
        <v>0</v>
      </c>
      <c r="AA19" s="22">
        <f t="shared" si="9"/>
        <v>150.02952399999998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1</v>
      </c>
      <c r="AF19">
        <f t="shared" si="14"/>
        <v>21033.62801</v>
      </c>
      <c r="AG19">
        <f t="shared" si="15"/>
        <v>4206.7256020000004</v>
      </c>
      <c r="AH19">
        <f t="shared" si="16"/>
        <v>631.13303966667343</v>
      </c>
    </row>
    <row r="20" spans="1:34">
      <c r="A20" s="23" t="s">
        <v>24</v>
      </c>
      <c r="B20" s="24">
        <f>'Plant Measurements'!C200</f>
        <v>29</v>
      </c>
      <c r="C20" s="25"/>
      <c r="D20" s="26"/>
      <c r="E20" s="17">
        <f t="shared" si="0"/>
        <v>0</v>
      </c>
      <c r="F20" s="25"/>
      <c r="G20" s="27"/>
      <c r="H20" s="24">
        <f t="shared" si="17"/>
        <v>0</v>
      </c>
      <c r="I20" s="25">
        <f>SUM('Plant Measurements'!O200:O208)</f>
        <v>11.535618961403134</v>
      </c>
      <c r="J20" s="27"/>
      <c r="K20" s="17">
        <f t="shared" si="2"/>
        <v>46.142475845612537</v>
      </c>
      <c r="L20" s="25"/>
      <c r="M20" s="27"/>
      <c r="N20" s="17">
        <f t="shared" si="3"/>
        <v>0</v>
      </c>
      <c r="O20" s="25"/>
      <c r="P20" s="27"/>
      <c r="Q20" s="17">
        <f t="shared" si="4"/>
        <v>0</v>
      </c>
      <c r="R20" s="25"/>
      <c r="S20" s="27"/>
      <c r="T20" s="17">
        <f t="shared" si="5"/>
        <v>0</v>
      </c>
      <c r="U20" s="25"/>
      <c r="V20" s="27"/>
      <c r="W20" s="17">
        <f t="shared" si="6"/>
        <v>0</v>
      </c>
      <c r="X20" s="24">
        <f t="shared" si="7"/>
        <v>46.142475845612537</v>
      </c>
      <c r="Y20" s="28"/>
      <c r="Z20" s="22">
        <f t="shared" si="8"/>
        <v>0</v>
      </c>
      <c r="AA20" s="22">
        <f t="shared" si="9"/>
        <v>0</v>
      </c>
      <c r="AB20">
        <f t="shared" si="10"/>
        <v>0</v>
      </c>
      <c r="AC20">
        <f t="shared" si="11"/>
        <v>0</v>
      </c>
      <c r="AD20">
        <f t="shared" si="12"/>
        <v>1</v>
      </c>
      <c r="AE20">
        <f t="shared" si="13"/>
        <v>0</v>
      </c>
      <c r="AF20">
        <f t="shared" si="14"/>
        <v>21033.62801</v>
      </c>
      <c r="AG20">
        <f t="shared" si="15"/>
        <v>4206.7256020000004</v>
      </c>
      <c r="AH20">
        <f t="shared" si="16"/>
        <v>194.10873447940486</v>
      </c>
    </row>
    <row r="21" spans="1:34">
      <c r="A21" s="23" t="s">
        <v>24</v>
      </c>
      <c r="B21" s="24">
        <f>'Plant Measurements'!C209</f>
        <v>37</v>
      </c>
      <c r="C21" s="25"/>
      <c r="D21" s="26"/>
      <c r="E21" s="17">
        <f t="shared" si="0"/>
        <v>0</v>
      </c>
      <c r="F21" s="25"/>
      <c r="G21" s="27"/>
      <c r="H21" s="24">
        <f t="shared" si="17"/>
        <v>0</v>
      </c>
      <c r="I21" s="25"/>
      <c r="J21" s="27"/>
      <c r="K21" s="17">
        <f t="shared" si="2"/>
        <v>0</v>
      </c>
      <c r="L21" s="25"/>
      <c r="M21" s="27"/>
      <c r="N21" s="17">
        <f t="shared" si="3"/>
        <v>0</v>
      </c>
      <c r="O21" s="25"/>
      <c r="P21" s="27"/>
      <c r="Q21" s="17">
        <f t="shared" si="4"/>
        <v>0</v>
      </c>
      <c r="R21" s="25">
        <f>SUM('Plant Measurements'!O212:O225)</f>
        <v>329.4884150000002</v>
      </c>
      <c r="S21" s="27"/>
      <c r="T21" s="17">
        <f t="shared" si="5"/>
        <v>1317.9536600000008</v>
      </c>
      <c r="U21" s="25">
        <f>SUM('Plant Measurements'!O209:O211)</f>
        <v>110.50755700000005</v>
      </c>
      <c r="V21" s="27"/>
      <c r="W21" s="17">
        <f t="shared" si="6"/>
        <v>442.03022800000019</v>
      </c>
      <c r="X21" s="24">
        <f t="shared" si="7"/>
        <v>1759.9838880000011</v>
      </c>
      <c r="Y21" s="28"/>
      <c r="Z21" s="22">
        <f t="shared" si="8"/>
        <v>0</v>
      </c>
      <c r="AA21" s="22">
        <f t="shared" si="9"/>
        <v>1759.9838880000011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1</v>
      </c>
      <c r="AF21">
        <f t="shared" si="14"/>
        <v>21033.62801</v>
      </c>
      <c r="AG21">
        <f t="shared" si="15"/>
        <v>4206.7256020000004</v>
      </c>
      <c r="AH21">
        <f t="shared" si="16"/>
        <v>7403.7692807571057</v>
      </c>
    </row>
    <row r="22" spans="1:34">
      <c r="A22" s="29" t="s">
        <v>24</v>
      </c>
      <c r="B22" s="30">
        <f>'Plant Measurements'!C226</f>
        <v>38</v>
      </c>
      <c r="C22" s="31"/>
      <c r="D22" s="32"/>
      <c r="E22" s="17">
        <f t="shared" si="0"/>
        <v>0</v>
      </c>
      <c r="F22" s="31"/>
      <c r="G22" s="33"/>
      <c r="H22" s="24">
        <f t="shared" si="17"/>
        <v>0</v>
      </c>
      <c r="I22" s="31"/>
      <c r="J22" s="33"/>
      <c r="K22" s="17">
        <f t="shared" si="2"/>
        <v>0</v>
      </c>
      <c r="L22" s="31"/>
      <c r="M22" s="33"/>
      <c r="N22" s="17">
        <f t="shared" si="3"/>
        <v>0</v>
      </c>
      <c r="O22" s="31"/>
      <c r="P22" s="33"/>
      <c r="Q22" s="17">
        <f t="shared" si="4"/>
        <v>0</v>
      </c>
      <c r="R22" s="31">
        <f>SUM('Plant Measurements'!O231:O234)</f>
        <v>137.86418900000004</v>
      </c>
      <c r="S22" s="33"/>
      <c r="T22" s="17">
        <f t="shared" si="5"/>
        <v>551.45675600000015</v>
      </c>
      <c r="U22" s="31">
        <f>SUM('Plant Measurements'!O226:O230)</f>
        <v>425.1966470000001</v>
      </c>
      <c r="V22" s="33"/>
      <c r="W22" s="17">
        <f t="shared" si="6"/>
        <v>1700.7865880000004</v>
      </c>
      <c r="X22" s="30">
        <f t="shared" si="7"/>
        <v>2252.2433440000004</v>
      </c>
      <c r="Y22" s="34"/>
      <c r="Z22" s="22">
        <f t="shared" si="8"/>
        <v>0</v>
      </c>
      <c r="AA22" s="22">
        <f t="shared" si="9"/>
        <v>2252.2433440000004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21033.62801</v>
      </c>
      <c r="AG22">
        <f t="shared" si="15"/>
        <v>4206.7256020000004</v>
      </c>
      <c r="AH22">
        <f t="shared" si="16"/>
        <v>9474.569737138896</v>
      </c>
    </row>
    <row r="23" spans="1:34">
      <c r="A23" s="16" t="s">
        <v>26</v>
      </c>
      <c r="B23" s="17">
        <f>'Plant Measurements'!C235</f>
        <v>4</v>
      </c>
      <c r="C23" s="18"/>
      <c r="D23" s="19"/>
      <c r="E23" s="17">
        <f t="shared" si="0"/>
        <v>0</v>
      </c>
      <c r="F23" s="18"/>
      <c r="G23" s="20"/>
      <c r="H23" s="24">
        <f t="shared" si="17"/>
        <v>0</v>
      </c>
      <c r="I23" s="18">
        <f>SUM('Plant Measurements'!O235:O247)</f>
        <v>29.005064000000001</v>
      </c>
      <c r="J23" s="20"/>
      <c r="K23" s="17">
        <f t="shared" si="2"/>
        <v>116.020256</v>
      </c>
      <c r="L23" s="18"/>
      <c r="M23" s="20"/>
      <c r="N23" s="17">
        <f t="shared" si="3"/>
        <v>0</v>
      </c>
      <c r="O23" s="18"/>
      <c r="P23" s="20"/>
      <c r="Q23" s="17">
        <f t="shared" si="4"/>
        <v>0</v>
      </c>
      <c r="R23" s="18"/>
      <c r="S23" s="20"/>
      <c r="T23" s="17">
        <f t="shared" si="5"/>
        <v>0</v>
      </c>
      <c r="U23" s="18"/>
      <c r="V23" s="20"/>
      <c r="W23" s="17">
        <f t="shared" si="6"/>
        <v>0</v>
      </c>
      <c r="X23" s="17">
        <f t="shared" si="7"/>
        <v>116.020256</v>
      </c>
      <c r="Y23" s="21">
        <f>AVERAGE(X23:X27)</f>
        <v>286.58824934549375</v>
      </c>
      <c r="Z23" s="22">
        <f t="shared" si="8"/>
        <v>0</v>
      </c>
      <c r="AA23" s="22">
        <f t="shared" si="9"/>
        <v>0</v>
      </c>
      <c r="AB23">
        <f t="shared" si="10"/>
        <v>0</v>
      </c>
      <c r="AC23">
        <f t="shared" si="11"/>
        <v>0</v>
      </c>
      <c r="AD23">
        <f t="shared" si="12"/>
        <v>1</v>
      </c>
      <c r="AE23">
        <f t="shared" si="13"/>
        <v>0</v>
      </c>
      <c r="AF23">
        <f t="shared" si="14"/>
        <v>21033.62801</v>
      </c>
      <c r="AG23">
        <f t="shared" si="15"/>
        <v>4206.7256020000004</v>
      </c>
      <c r="AH23">
        <f t="shared" si="16"/>
        <v>488.06538126579414</v>
      </c>
    </row>
    <row r="24" spans="1:34">
      <c r="A24" s="23" t="s">
        <v>26</v>
      </c>
      <c r="B24" s="24">
        <f>'Plant Measurements'!C248</f>
        <v>9</v>
      </c>
      <c r="C24" s="25"/>
      <c r="D24" s="26"/>
      <c r="E24" s="17">
        <f t="shared" si="0"/>
        <v>0</v>
      </c>
      <c r="F24" s="25"/>
      <c r="G24" s="27"/>
      <c r="H24" s="24">
        <f t="shared" si="17"/>
        <v>0</v>
      </c>
      <c r="I24" s="25">
        <f>SUM('Plant Measurements'!O248:O259)</f>
        <v>54.840093681867053</v>
      </c>
      <c r="J24" s="27"/>
      <c r="K24" s="17">
        <f t="shared" si="2"/>
        <v>219.36037472746821</v>
      </c>
      <c r="L24" s="25"/>
      <c r="M24" s="27"/>
      <c r="N24" s="17">
        <f t="shared" si="3"/>
        <v>0</v>
      </c>
      <c r="O24" s="25"/>
      <c r="P24" s="27"/>
      <c r="Q24" s="17">
        <f t="shared" si="4"/>
        <v>0</v>
      </c>
      <c r="R24" s="25">
        <f>SUM('Plant Measurements'!O261:O262)</f>
        <v>10.178024000000001</v>
      </c>
      <c r="S24" s="27"/>
      <c r="T24" s="17">
        <f t="shared" si="5"/>
        <v>40.712096000000003</v>
      </c>
      <c r="U24" s="25">
        <f>SUM('Plant Measurements'!O260)</f>
        <v>21.769928000000007</v>
      </c>
      <c r="V24" s="27"/>
      <c r="W24" s="17">
        <f t="shared" si="6"/>
        <v>87.079712000000029</v>
      </c>
      <c r="X24" s="24">
        <f t="shared" si="7"/>
        <v>347.15218272746824</v>
      </c>
      <c r="Y24" s="28"/>
      <c r="Z24" s="22">
        <f t="shared" si="8"/>
        <v>0</v>
      </c>
      <c r="AA24" s="22">
        <f t="shared" si="9"/>
        <v>127.79180800000003</v>
      </c>
      <c r="AB24">
        <f t="shared" si="10"/>
        <v>0</v>
      </c>
      <c r="AC24">
        <f t="shared" si="11"/>
        <v>0</v>
      </c>
      <c r="AD24">
        <f t="shared" si="12"/>
        <v>0.6318853391732151</v>
      </c>
      <c r="AE24">
        <f t="shared" si="13"/>
        <v>0.3681146608267849</v>
      </c>
      <c r="AF24">
        <f t="shared" si="14"/>
        <v>21033.62801</v>
      </c>
      <c r="AG24">
        <f t="shared" si="15"/>
        <v>4206.7256020000004</v>
      </c>
      <c r="AH24">
        <f t="shared" si="16"/>
        <v>1460.3739748698231</v>
      </c>
    </row>
    <row r="25" spans="1:34">
      <c r="A25" s="23" t="s">
        <v>26</v>
      </c>
      <c r="B25" s="24">
        <f>'Plant Measurements'!C263</f>
        <v>22</v>
      </c>
      <c r="C25" s="25">
        <f>SUM('Plant Measurements'!O263:O278)</f>
        <v>33.110048000000006</v>
      </c>
      <c r="D25" s="26"/>
      <c r="E25" s="17">
        <f t="shared" si="0"/>
        <v>132.44019200000002</v>
      </c>
      <c r="F25" s="25"/>
      <c r="G25" s="27"/>
      <c r="H25" s="24">
        <f t="shared" si="17"/>
        <v>0</v>
      </c>
      <c r="I25" s="25"/>
      <c r="J25" s="27"/>
      <c r="K25" s="17">
        <f t="shared" si="2"/>
        <v>0</v>
      </c>
      <c r="L25" s="25"/>
      <c r="M25" s="27"/>
      <c r="N25" s="17">
        <f t="shared" si="3"/>
        <v>0</v>
      </c>
      <c r="O25" s="25"/>
      <c r="P25" s="27"/>
      <c r="Q25" s="17">
        <f t="shared" si="4"/>
        <v>0</v>
      </c>
      <c r="R25" s="25">
        <f>SUM('Plant Measurements'!O279:O283)</f>
        <v>44.881916000000011</v>
      </c>
      <c r="S25" s="27"/>
      <c r="T25" s="17">
        <f t="shared" si="5"/>
        <v>179.52766400000004</v>
      </c>
      <c r="U25" s="25"/>
      <c r="V25" s="27"/>
      <c r="W25" s="17">
        <f t="shared" si="6"/>
        <v>0</v>
      </c>
      <c r="X25" s="24">
        <f t="shared" si="7"/>
        <v>311.9678560000001</v>
      </c>
      <c r="Y25" s="28"/>
      <c r="Z25" s="22">
        <f t="shared" si="8"/>
        <v>132.44019200000002</v>
      </c>
      <c r="AA25" s="22">
        <f t="shared" si="9"/>
        <v>179.52766400000004</v>
      </c>
      <c r="AB25">
        <f t="shared" si="10"/>
        <v>0.42453153250506676</v>
      </c>
      <c r="AC25">
        <f t="shared" si="11"/>
        <v>0</v>
      </c>
      <c r="AD25">
        <f t="shared" si="12"/>
        <v>0</v>
      </c>
      <c r="AE25">
        <f t="shared" si="13"/>
        <v>0.57546846749493319</v>
      </c>
      <c r="AF25">
        <f t="shared" si="14"/>
        <v>21033.62801</v>
      </c>
      <c r="AG25">
        <f t="shared" si="15"/>
        <v>4206.7256020000004</v>
      </c>
      <c r="AH25">
        <f t="shared" si="16"/>
        <v>1312.3631668362498</v>
      </c>
    </row>
    <row r="26" spans="1:34">
      <c r="A26" s="23" t="s">
        <v>26</v>
      </c>
      <c r="B26" s="24">
        <f>'Plant Measurements'!C284</f>
        <v>23</v>
      </c>
      <c r="C26" s="25">
        <f>SUM('Plant Measurements'!O284:O285)</f>
        <v>5.3305410000000011</v>
      </c>
      <c r="D26" s="26"/>
      <c r="E26" s="17">
        <f t="shared" si="0"/>
        <v>21.322164000000004</v>
      </c>
      <c r="F26" s="25"/>
      <c r="G26" s="27"/>
      <c r="H26" s="24">
        <f t="shared" si="17"/>
        <v>0</v>
      </c>
      <c r="I26" s="25"/>
      <c r="J26" s="27"/>
      <c r="K26" s="17">
        <f t="shared" si="2"/>
        <v>0</v>
      </c>
      <c r="L26" s="25"/>
      <c r="M26" s="27"/>
      <c r="N26" s="17">
        <f t="shared" si="3"/>
        <v>0</v>
      </c>
      <c r="O26" s="25"/>
      <c r="P26" s="27"/>
      <c r="Q26" s="17">
        <f t="shared" si="4"/>
        <v>0</v>
      </c>
      <c r="R26" s="25">
        <f>SUM('Plant Measurements'!O286:O287)</f>
        <v>19.400082000000012</v>
      </c>
      <c r="S26" s="27"/>
      <c r="T26" s="17">
        <f t="shared" si="5"/>
        <v>77.600328000000047</v>
      </c>
      <c r="U26" s="25"/>
      <c r="V26" s="27"/>
      <c r="W26" s="17">
        <f t="shared" si="6"/>
        <v>0</v>
      </c>
      <c r="X26" s="24">
        <f t="shared" si="7"/>
        <v>98.922492000000048</v>
      </c>
      <c r="Y26" s="28"/>
      <c r="Z26" s="22">
        <f t="shared" si="8"/>
        <v>21.322164000000004</v>
      </c>
      <c r="AA26" s="22">
        <f t="shared" si="9"/>
        <v>77.600328000000047</v>
      </c>
      <c r="AB26">
        <f t="shared" si="10"/>
        <v>0.21554414541032785</v>
      </c>
      <c r="AC26">
        <f t="shared" si="11"/>
        <v>0</v>
      </c>
      <c r="AD26">
        <f t="shared" si="12"/>
        <v>0</v>
      </c>
      <c r="AE26">
        <f t="shared" si="13"/>
        <v>0.78445585458967215</v>
      </c>
      <c r="AF26">
        <f t="shared" si="14"/>
        <v>21033.62801</v>
      </c>
      <c r="AG26">
        <f t="shared" si="15"/>
        <v>4206.7256020000004</v>
      </c>
      <c r="AH26">
        <f t="shared" si="16"/>
        <v>416.13977971004044</v>
      </c>
    </row>
    <row r="27" spans="1:34">
      <c r="A27" s="29" t="s">
        <v>26</v>
      </c>
      <c r="B27" s="30">
        <f>'Plant Measurements'!C288</f>
        <v>37</v>
      </c>
      <c r="C27" s="31"/>
      <c r="D27" s="32"/>
      <c r="E27" s="17">
        <f t="shared" si="0"/>
        <v>0</v>
      </c>
      <c r="F27" s="31"/>
      <c r="G27" s="33"/>
      <c r="H27" s="24">
        <f t="shared" si="17"/>
        <v>0</v>
      </c>
      <c r="I27" s="31"/>
      <c r="J27" s="33"/>
      <c r="K27" s="17">
        <f t="shared" si="2"/>
        <v>0</v>
      </c>
      <c r="L27" s="31"/>
      <c r="M27" s="33"/>
      <c r="N27" s="17">
        <f t="shared" si="3"/>
        <v>0</v>
      </c>
      <c r="O27" s="31"/>
      <c r="P27" s="33"/>
      <c r="Q27" s="17">
        <f t="shared" si="4"/>
        <v>0</v>
      </c>
      <c r="R27" s="31">
        <f>SUM('Plant Measurements'!O289:O300)</f>
        <v>132.76452200000006</v>
      </c>
      <c r="S27" s="33"/>
      <c r="T27" s="17">
        <f t="shared" si="5"/>
        <v>531.05808800000023</v>
      </c>
      <c r="U27" s="31">
        <f>SUM('Plant Measurements'!O288)</f>
        <v>6.9550930000000122</v>
      </c>
      <c r="V27" s="33"/>
      <c r="W27" s="17">
        <f t="shared" si="6"/>
        <v>27.820372000000049</v>
      </c>
      <c r="X27" s="30">
        <f t="shared" si="7"/>
        <v>558.87846000000025</v>
      </c>
      <c r="Y27" s="34"/>
      <c r="Z27" s="22">
        <f t="shared" si="8"/>
        <v>0</v>
      </c>
      <c r="AA27" s="22">
        <f t="shared" si="9"/>
        <v>558.87846000000025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1</v>
      </c>
      <c r="AF27">
        <f t="shared" si="14"/>
        <v>21033.62801</v>
      </c>
      <c r="AG27">
        <f t="shared" si="15"/>
        <v>4206.7256020000004</v>
      </c>
      <c r="AH27">
        <f t="shared" si="16"/>
        <v>2351.0483260883339</v>
      </c>
    </row>
    <row r="28" spans="1:34">
      <c r="A28" s="16" t="s">
        <v>27</v>
      </c>
      <c r="B28" s="36">
        <f>'Plant Measurements'!C301</f>
        <v>3</v>
      </c>
      <c r="C28" s="18"/>
      <c r="D28" s="19"/>
      <c r="E28" s="17">
        <f t="shared" si="0"/>
        <v>0</v>
      </c>
      <c r="F28" s="18"/>
      <c r="G28" s="20"/>
      <c r="H28" s="24">
        <f t="shared" si="17"/>
        <v>0</v>
      </c>
      <c r="I28" s="18">
        <f>SUM('Plant Measurements'!O301:O320)</f>
        <v>183.75380319905636</v>
      </c>
      <c r="J28" s="20"/>
      <c r="K28" s="17">
        <f t="shared" si="2"/>
        <v>735.01521279622546</v>
      </c>
      <c r="L28" s="18"/>
      <c r="M28" s="20"/>
      <c r="N28" s="17">
        <f t="shared" si="3"/>
        <v>0</v>
      </c>
      <c r="O28" s="18"/>
      <c r="P28" s="20"/>
      <c r="Q28" s="17">
        <f t="shared" si="4"/>
        <v>0</v>
      </c>
      <c r="R28" s="18">
        <f>SUM('Plant Measurements'!O321:O322)</f>
        <v>-0.70348099999999647</v>
      </c>
      <c r="S28" s="20"/>
      <c r="T28" s="17">
        <f t="shared" si="5"/>
        <v>-2.8139239999999859</v>
      </c>
      <c r="U28" s="18"/>
      <c r="V28" s="20"/>
      <c r="W28" s="17">
        <f t="shared" si="6"/>
        <v>0</v>
      </c>
      <c r="X28" s="17">
        <f t="shared" si="7"/>
        <v>732.20128879622553</v>
      </c>
      <c r="Y28" s="21">
        <f>AVERAGE(X28:X32)</f>
        <v>952.0244383860412</v>
      </c>
      <c r="Z28" s="22">
        <f t="shared" si="8"/>
        <v>0</v>
      </c>
      <c r="AA28" s="22">
        <f t="shared" si="9"/>
        <v>-2.8139239999999859</v>
      </c>
      <c r="AB28">
        <f t="shared" si="10"/>
        <v>0</v>
      </c>
      <c r="AC28">
        <f t="shared" si="11"/>
        <v>0</v>
      </c>
      <c r="AD28">
        <f t="shared" si="12"/>
        <v>1.0038431016758058</v>
      </c>
      <c r="AE28">
        <f t="shared" si="13"/>
        <v>-3.8431016758058616E-3</v>
      </c>
      <c r="AF28">
        <f t="shared" si="14"/>
        <v>21033.62801</v>
      </c>
      <c r="AG28">
        <f t="shared" si="15"/>
        <v>4206.7256020000004</v>
      </c>
      <c r="AH28">
        <f t="shared" si="16"/>
        <v>3080.1699073964783</v>
      </c>
    </row>
    <row r="29" spans="1:34">
      <c r="A29" s="23" t="s">
        <v>27</v>
      </c>
      <c r="B29" s="24">
        <f>'Plant Measurements'!C323</f>
        <v>11</v>
      </c>
      <c r="C29" s="25"/>
      <c r="D29" s="26"/>
      <c r="E29" s="17">
        <f t="shared" si="0"/>
        <v>0</v>
      </c>
      <c r="F29" s="25"/>
      <c r="G29" s="27"/>
      <c r="H29" s="24">
        <f t="shared" si="17"/>
        <v>0</v>
      </c>
      <c r="I29" s="25">
        <f>SUM('Plant Measurements'!O323:O324)</f>
        <v>11.639991</v>
      </c>
      <c r="J29" s="27"/>
      <c r="K29" s="17">
        <f t="shared" si="2"/>
        <v>46.559964000000001</v>
      </c>
      <c r="L29" s="25"/>
      <c r="M29" s="27"/>
      <c r="N29" s="17">
        <f t="shared" si="3"/>
        <v>0</v>
      </c>
      <c r="O29" s="25"/>
      <c r="P29" s="27"/>
      <c r="Q29" s="17">
        <f t="shared" si="4"/>
        <v>0</v>
      </c>
      <c r="R29" s="25">
        <f>SUM('Plant Measurements'!O325:O331)</f>
        <v>154.22236500000002</v>
      </c>
      <c r="S29" s="27"/>
      <c r="T29" s="17">
        <f t="shared" si="5"/>
        <v>616.8894600000001</v>
      </c>
      <c r="U29" s="25"/>
      <c r="V29" s="27"/>
      <c r="W29" s="17">
        <f t="shared" si="6"/>
        <v>0</v>
      </c>
      <c r="X29" s="24">
        <f t="shared" si="7"/>
        <v>663.44942400000014</v>
      </c>
      <c r="Y29" s="28"/>
      <c r="Z29" s="22">
        <f t="shared" si="8"/>
        <v>0</v>
      </c>
      <c r="AA29" s="22">
        <f t="shared" si="9"/>
        <v>616.8894600000001</v>
      </c>
      <c r="AB29">
        <f t="shared" si="10"/>
        <v>0</v>
      </c>
      <c r="AC29">
        <f t="shared" si="11"/>
        <v>0</v>
      </c>
      <c r="AD29">
        <f t="shared" si="12"/>
        <v>7.0178618468436552E-2</v>
      </c>
      <c r="AE29">
        <f t="shared" si="13"/>
        <v>0.92982138153156335</v>
      </c>
      <c r="AF29">
        <f t="shared" si="14"/>
        <v>21033.62801</v>
      </c>
      <c r="AG29">
        <f t="shared" si="15"/>
        <v>4206.7256020000004</v>
      </c>
      <c r="AH29">
        <f t="shared" si="16"/>
        <v>2790.949677572954</v>
      </c>
    </row>
    <row r="30" spans="1:34">
      <c r="A30" s="23" t="s">
        <v>27</v>
      </c>
      <c r="B30">
        <f>'Plant Measurements'!C332</f>
        <v>25</v>
      </c>
      <c r="C30" s="25"/>
      <c r="D30" s="26"/>
      <c r="E30" s="17">
        <f t="shared" si="0"/>
        <v>0</v>
      </c>
      <c r="F30" s="25"/>
      <c r="G30" s="27"/>
      <c r="H30" s="24">
        <f t="shared" si="17"/>
        <v>0</v>
      </c>
      <c r="I30" s="25">
        <f>SUM('Plant Measurements'!O332:O338)</f>
        <v>41.934825128442682</v>
      </c>
      <c r="J30" s="27"/>
      <c r="K30" s="17">
        <f t="shared" si="2"/>
        <v>167.73930051377073</v>
      </c>
      <c r="L30" s="25"/>
      <c r="M30" s="27"/>
      <c r="N30" s="17">
        <f t="shared" si="3"/>
        <v>0</v>
      </c>
      <c r="O30" s="25"/>
      <c r="P30" s="27"/>
      <c r="Q30" s="17">
        <f t="shared" si="4"/>
        <v>0</v>
      </c>
      <c r="R30" s="25"/>
      <c r="S30" s="27"/>
      <c r="T30" s="17">
        <f t="shared" si="5"/>
        <v>0</v>
      </c>
      <c r="U30" s="25"/>
      <c r="V30" s="27"/>
      <c r="W30" s="17">
        <f t="shared" si="6"/>
        <v>0</v>
      </c>
      <c r="X30" s="24">
        <f t="shared" si="7"/>
        <v>167.73930051377073</v>
      </c>
      <c r="Y30" s="28"/>
      <c r="Z30" s="22">
        <f t="shared" si="8"/>
        <v>0</v>
      </c>
      <c r="AA30" s="22">
        <f t="shared" si="9"/>
        <v>0</v>
      </c>
      <c r="AB30">
        <f t="shared" si="10"/>
        <v>0</v>
      </c>
      <c r="AC30">
        <f t="shared" si="11"/>
        <v>0</v>
      </c>
      <c r="AD30">
        <f t="shared" si="12"/>
        <v>1</v>
      </c>
      <c r="AE30">
        <f t="shared" si="13"/>
        <v>0</v>
      </c>
      <c r="AF30">
        <f t="shared" si="14"/>
        <v>21033.62801</v>
      </c>
      <c r="AG30">
        <f t="shared" si="15"/>
        <v>4206.7256020000004</v>
      </c>
      <c r="AH30">
        <f t="shared" si="16"/>
        <v>705.63320993285117</v>
      </c>
    </row>
    <row r="31" spans="1:34">
      <c r="A31" s="23" t="s">
        <v>27</v>
      </c>
      <c r="B31" s="24">
        <f>'Plant Measurements'!C339</f>
        <v>32</v>
      </c>
      <c r="C31" s="25">
        <f>SUM('Plant Measurements'!O339:O363)</f>
        <v>311.81198465505219</v>
      </c>
      <c r="D31" s="26"/>
      <c r="E31" s="17">
        <f t="shared" si="0"/>
        <v>1247.2479386202087</v>
      </c>
      <c r="F31" s="25"/>
      <c r="G31" s="27"/>
      <c r="H31" s="24">
        <f t="shared" si="17"/>
        <v>0</v>
      </c>
      <c r="I31" s="25"/>
      <c r="J31" s="27"/>
      <c r="K31" s="17">
        <f t="shared" si="2"/>
        <v>0</v>
      </c>
      <c r="L31" s="25"/>
      <c r="M31" s="27"/>
      <c r="N31" s="17">
        <f t="shared" si="3"/>
        <v>0</v>
      </c>
      <c r="O31" s="25"/>
      <c r="P31" s="27"/>
      <c r="Q31" s="17">
        <f t="shared" si="4"/>
        <v>0</v>
      </c>
      <c r="R31" s="25">
        <f>SUM('Plant Measurements'!O370:O382)</f>
        <v>70.023060000000044</v>
      </c>
      <c r="S31" s="27"/>
      <c r="T31" s="17">
        <f t="shared" si="5"/>
        <v>280.09224000000017</v>
      </c>
      <c r="U31" s="25">
        <f>SUM('Plant Measurements'!O364:O369)</f>
        <v>285.62618700000002</v>
      </c>
      <c r="V31" s="27"/>
      <c r="W31" s="17">
        <f t="shared" si="6"/>
        <v>1142.5047480000001</v>
      </c>
      <c r="X31" s="24">
        <f t="shared" si="7"/>
        <v>2669.8449266202088</v>
      </c>
      <c r="Y31" s="28"/>
      <c r="Z31" s="22">
        <f t="shared" si="8"/>
        <v>1247.2479386202087</v>
      </c>
      <c r="AA31" s="22">
        <f t="shared" si="9"/>
        <v>1422.5969880000002</v>
      </c>
      <c r="AB31">
        <f t="shared" si="10"/>
        <v>0.46716119209182538</v>
      </c>
      <c r="AC31">
        <f t="shared" si="11"/>
        <v>0</v>
      </c>
      <c r="AD31">
        <f t="shared" si="12"/>
        <v>0</v>
      </c>
      <c r="AE31">
        <f t="shared" si="13"/>
        <v>0.53283880790817473</v>
      </c>
      <c r="AF31">
        <f t="shared" si="14"/>
        <v>21033.62801</v>
      </c>
      <c r="AG31">
        <f t="shared" si="15"/>
        <v>4206.7256020000004</v>
      </c>
      <c r="AH31">
        <f t="shared" si="16"/>
        <v>11231.305006183045</v>
      </c>
    </row>
    <row r="32" spans="1:34">
      <c r="A32" s="29" t="s">
        <v>27</v>
      </c>
      <c r="B32" s="24">
        <f>'Plant Measurements'!C383</f>
        <v>50</v>
      </c>
      <c r="C32" s="31"/>
      <c r="D32" s="32"/>
      <c r="E32" s="17">
        <f t="shared" si="0"/>
        <v>0</v>
      </c>
      <c r="F32" s="31"/>
      <c r="G32" s="33"/>
      <c r="H32" s="24">
        <f t="shared" si="17"/>
        <v>0</v>
      </c>
      <c r="I32" s="31"/>
      <c r="J32" s="33"/>
      <c r="K32" s="17">
        <f t="shared" si="2"/>
        <v>0</v>
      </c>
      <c r="L32" s="31"/>
      <c r="M32" s="33"/>
      <c r="N32" s="17">
        <f t="shared" si="3"/>
        <v>0</v>
      </c>
      <c r="O32" s="31"/>
      <c r="P32" s="33"/>
      <c r="Q32" s="17">
        <f t="shared" si="4"/>
        <v>0</v>
      </c>
      <c r="R32" s="31">
        <f>SUM('Plant Measurements'!O383:O388)</f>
        <v>131.72181300000005</v>
      </c>
      <c r="S32" s="33"/>
      <c r="T32" s="17">
        <f t="shared" si="5"/>
        <v>526.88725200000022</v>
      </c>
      <c r="U32" s="31"/>
      <c r="V32" s="33"/>
      <c r="W32" s="17">
        <f t="shared" si="6"/>
        <v>0</v>
      </c>
      <c r="X32" s="30">
        <f t="shared" si="7"/>
        <v>526.88725200000022</v>
      </c>
      <c r="Y32" s="34"/>
      <c r="Z32" s="22">
        <f t="shared" si="8"/>
        <v>0</v>
      </c>
      <c r="AA32" s="22">
        <f t="shared" si="9"/>
        <v>526.88725200000022</v>
      </c>
      <c r="AB32">
        <f t="shared" si="10"/>
        <v>0</v>
      </c>
      <c r="AC32">
        <f t="shared" si="11"/>
        <v>0</v>
      </c>
      <c r="AD32">
        <f t="shared" si="12"/>
        <v>0</v>
      </c>
      <c r="AE32">
        <f t="shared" si="13"/>
        <v>1</v>
      </c>
      <c r="AF32">
        <f t="shared" si="14"/>
        <v>21033.62801</v>
      </c>
      <c r="AG32">
        <f t="shared" si="15"/>
        <v>4206.7256020000004</v>
      </c>
      <c r="AH32">
        <f t="shared" si="16"/>
        <v>2216.4700923558271</v>
      </c>
    </row>
    <row r="33" spans="1:34">
      <c r="A33" s="16" t="s">
        <v>32</v>
      </c>
      <c r="B33" s="17">
        <f>'Plant Measurements'!C389</f>
        <v>3</v>
      </c>
      <c r="C33" s="18">
        <f>SUM('Plant Measurements'!O389:O400)</f>
        <v>68.126930796953445</v>
      </c>
      <c r="D33" s="37"/>
      <c r="E33" s="17">
        <f t="shared" si="0"/>
        <v>272.50772318781378</v>
      </c>
      <c r="F33" s="18"/>
      <c r="G33" s="20"/>
      <c r="H33" s="24">
        <f t="shared" si="17"/>
        <v>0</v>
      </c>
      <c r="I33" s="18">
        <f>SUM('Plant Measurements'!O401:O404)</f>
        <v>49.790674693789668</v>
      </c>
      <c r="J33" s="20"/>
      <c r="K33" s="17">
        <f t="shared" si="2"/>
        <v>199.16269877515867</v>
      </c>
      <c r="L33" s="18"/>
      <c r="M33" s="20"/>
      <c r="N33" s="17">
        <f t="shared" si="3"/>
        <v>0</v>
      </c>
      <c r="O33" s="18"/>
      <c r="P33" s="20"/>
      <c r="Q33" s="17">
        <f t="shared" si="4"/>
        <v>0</v>
      </c>
      <c r="R33" s="18">
        <f>SUM('Plant Measurements'!O407:O410)</f>
        <v>123.59956700000004</v>
      </c>
      <c r="S33" s="20"/>
      <c r="T33" s="17">
        <f t="shared" si="5"/>
        <v>494.39826800000014</v>
      </c>
      <c r="U33" s="18">
        <f>SUM('Plant Measurements'!O405:O406)</f>
        <v>102.45202700000002</v>
      </c>
      <c r="V33" s="20"/>
      <c r="W33" s="17">
        <f t="shared" si="6"/>
        <v>409.80810800000006</v>
      </c>
      <c r="X33" s="17">
        <f t="shared" si="7"/>
        <v>1375.8767979629727</v>
      </c>
      <c r="Y33" s="21">
        <f>AVERAGE(X33:X37)</f>
        <v>591.2434574325946</v>
      </c>
      <c r="Z33" s="22">
        <f t="shared" si="8"/>
        <v>272.50772318781378</v>
      </c>
      <c r="AA33" s="22">
        <f t="shared" si="9"/>
        <v>904.2063760000002</v>
      </c>
      <c r="AB33">
        <f t="shared" si="10"/>
        <v>0.19806113715360979</v>
      </c>
      <c r="AC33">
        <f t="shared" si="11"/>
        <v>0</v>
      </c>
      <c r="AD33">
        <f t="shared" si="12"/>
        <v>0.14475329409582682</v>
      </c>
      <c r="AE33">
        <f t="shared" si="13"/>
        <v>0.65718556875056344</v>
      </c>
      <c r="AF33">
        <f t="shared" si="14"/>
        <v>21033.62801</v>
      </c>
      <c r="AG33">
        <f t="shared" si="15"/>
        <v>4206.7256020000004</v>
      </c>
      <c r="AH33">
        <f t="shared" si="16"/>
        <v>5787.9361511886191</v>
      </c>
    </row>
    <row r="34" spans="1:34">
      <c r="A34" s="23" t="s">
        <v>32</v>
      </c>
      <c r="B34" s="24">
        <f>'Plant Measurements'!C411</f>
        <v>12</v>
      </c>
      <c r="C34" s="25">
        <f>SUM('Plant Measurements'!O411:O425)</f>
        <v>108.01596000000002</v>
      </c>
      <c r="D34" s="26"/>
      <c r="E34" s="17">
        <f t="shared" si="0"/>
        <v>432.06384000000008</v>
      </c>
      <c r="F34" s="25"/>
      <c r="G34" s="27"/>
      <c r="H34" s="24">
        <f t="shared" si="17"/>
        <v>0</v>
      </c>
      <c r="I34" s="25"/>
      <c r="J34" s="27"/>
      <c r="K34" s="17">
        <f t="shared" si="2"/>
        <v>0</v>
      </c>
      <c r="L34" s="25"/>
      <c r="M34" s="27"/>
      <c r="N34" s="17">
        <f t="shared" si="3"/>
        <v>0</v>
      </c>
      <c r="O34" s="25"/>
      <c r="P34" s="27"/>
      <c r="Q34" s="17">
        <f t="shared" si="4"/>
        <v>0</v>
      </c>
      <c r="R34" s="25"/>
      <c r="S34" s="27"/>
      <c r="T34" s="17">
        <f t="shared" si="5"/>
        <v>0</v>
      </c>
      <c r="U34" s="25"/>
      <c r="V34" s="27"/>
      <c r="W34" s="17">
        <f t="shared" si="6"/>
        <v>0</v>
      </c>
      <c r="X34" s="24">
        <f t="shared" si="7"/>
        <v>432.06384000000008</v>
      </c>
      <c r="Y34" s="28"/>
      <c r="Z34" s="22">
        <f t="shared" si="8"/>
        <v>432.06384000000008</v>
      </c>
      <c r="AA34" s="22">
        <f t="shared" si="9"/>
        <v>0</v>
      </c>
      <c r="AB34">
        <f t="shared" si="10"/>
        <v>1</v>
      </c>
      <c r="AC34">
        <f t="shared" si="11"/>
        <v>0</v>
      </c>
      <c r="AD34">
        <f t="shared" si="12"/>
        <v>0</v>
      </c>
      <c r="AE34">
        <f t="shared" si="13"/>
        <v>0</v>
      </c>
      <c r="AF34">
        <f t="shared" si="14"/>
        <v>21033.62801</v>
      </c>
      <c r="AG34">
        <f t="shared" si="15"/>
        <v>4206.7256020000004</v>
      </c>
      <c r="AH34">
        <f t="shared" si="16"/>
        <v>1817.5740174264322</v>
      </c>
    </row>
    <row r="35" spans="1:34">
      <c r="A35" s="23" t="s">
        <v>32</v>
      </c>
      <c r="B35" s="24">
        <f>'Plant Measurements'!C426</f>
        <v>16</v>
      </c>
      <c r="C35" s="25">
        <f>SUM('Plant Measurements'!O426:O429)</f>
        <v>6.0341519999999971</v>
      </c>
      <c r="D35" s="26"/>
      <c r="E35" s="17">
        <f t="shared" si="0"/>
        <v>24.136607999999988</v>
      </c>
      <c r="F35" s="25"/>
      <c r="G35" s="27"/>
      <c r="H35" s="24">
        <f t="shared" si="17"/>
        <v>0</v>
      </c>
      <c r="I35" s="25"/>
      <c r="J35" s="27"/>
      <c r="K35" s="17">
        <f t="shared" si="2"/>
        <v>0</v>
      </c>
      <c r="L35" s="25"/>
      <c r="M35" s="27"/>
      <c r="N35" s="17">
        <f t="shared" si="3"/>
        <v>0</v>
      </c>
      <c r="O35" s="25"/>
      <c r="P35" s="27"/>
      <c r="Q35" s="17">
        <f t="shared" si="4"/>
        <v>0</v>
      </c>
      <c r="R35" s="25"/>
      <c r="S35" s="27"/>
      <c r="T35" s="17">
        <f t="shared" si="5"/>
        <v>0</v>
      </c>
      <c r="U35" s="25"/>
      <c r="V35" s="27"/>
      <c r="W35" s="17">
        <f t="shared" si="6"/>
        <v>0</v>
      </c>
      <c r="X35" s="24">
        <f t="shared" si="7"/>
        <v>24.136607999999988</v>
      </c>
      <c r="Y35" s="28"/>
      <c r="Z35" s="22">
        <f t="shared" si="8"/>
        <v>24.136607999999988</v>
      </c>
      <c r="AA35" s="22">
        <f t="shared" si="9"/>
        <v>0</v>
      </c>
      <c r="AB35">
        <f t="shared" si="10"/>
        <v>1</v>
      </c>
      <c r="AC35">
        <f t="shared" si="11"/>
        <v>0</v>
      </c>
      <c r="AD35">
        <f t="shared" si="12"/>
        <v>0</v>
      </c>
      <c r="AE35">
        <f t="shared" si="13"/>
        <v>0</v>
      </c>
      <c r="AF35">
        <f t="shared" si="14"/>
        <v>21033.62801</v>
      </c>
      <c r="AG35">
        <f t="shared" si="15"/>
        <v>4206.7256020000004</v>
      </c>
      <c r="AH35">
        <f t="shared" si="16"/>
        <v>101.53608681903799</v>
      </c>
    </row>
    <row r="36" spans="1:34">
      <c r="A36" s="23" t="s">
        <v>32</v>
      </c>
      <c r="B36" s="24">
        <f>'Plant Measurements'!C430</f>
        <v>22</v>
      </c>
      <c r="C36" s="25"/>
      <c r="D36" s="26"/>
      <c r="E36" s="17">
        <f t="shared" si="0"/>
        <v>0</v>
      </c>
      <c r="F36" s="25"/>
      <c r="G36" s="27"/>
      <c r="H36" s="24">
        <f t="shared" si="17"/>
        <v>0</v>
      </c>
      <c r="I36" s="25"/>
      <c r="J36" s="27"/>
      <c r="K36" s="17">
        <f t="shared" si="2"/>
        <v>0</v>
      </c>
      <c r="L36" s="25"/>
      <c r="M36" s="27"/>
      <c r="N36" s="17">
        <f t="shared" si="3"/>
        <v>0</v>
      </c>
      <c r="O36" s="25"/>
      <c r="P36" s="27"/>
      <c r="Q36" s="17">
        <f t="shared" si="4"/>
        <v>0</v>
      </c>
      <c r="R36" s="25"/>
      <c r="S36" s="27"/>
      <c r="T36" s="17">
        <f t="shared" si="5"/>
        <v>0</v>
      </c>
      <c r="U36" s="25"/>
      <c r="V36" s="27"/>
      <c r="W36" s="17">
        <f t="shared" si="6"/>
        <v>0</v>
      </c>
      <c r="X36" s="24">
        <f t="shared" si="7"/>
        <v>0</v>
      </c>
      <c r="Y36" s="28"/>
      <c r="Z36" s="22">
        <f t="shared" si="8"/>
        <v>0</v>
      </c>
      <c r="AA36" s="22">
        <f t="shared" si="9"/>
        <v>0</v>
      </c>
      <c r="AB36" t="str">
        <f t="shared" si="10"/>
        <v xml:space="preserve"> </v>
      </c>
      <c r="AC36" t="str">
        <f t="shared" si="11"/>
        <v xml:space="preserve"> </v>
      </c>
      <c r="AD36" t="str">
        <f t="shared" si="12"/>
        <v xml:space="preserve"> </v>
      </c>
      <c r="AE36" t="str">
        <f t="shared" si="13"/>
        <v xml:space="preserve"> </v>
      </c>
      <c r="AF36">
        <f t="shared" si="14"/>
        <v>21033.62801</v>
      </c>
      <c r="AG36">
        <f t="shared" si="15"/>
        <v>4206.7256020000004</v>
      </c>
      <c r="AH36">
        <f t="shared" si="16"/>
        <v>0</v>
      </c>
    </row>
    <row r="37" spans="1:34">
      <c r="A37" s="29" t="s">
        <v>32</v>
      </c>
      <c r="B37" s="30">
        <f>'Plant Measurements'!C431</f>
        <v>34</v>
      </c>
      <c r="C37" s="31"/>
      <c r="D37" s="32"/>
      <c r="E37" s="17">
        <f t="shared" si="0"/>
        <v>0</v>
      </c>
      <c r="F37" s="31"/>
      <c r="G37" s="33"/>
      <c r="H37" s="24">
        <f t="shared" si="17"/>
        <v>0</v>
      </c>
      <c r="I37" s="31"/>
      <c r="J37" s="33"/>
      <c r="K37" s="17">
        <f t="shared" si="2"/>
        <v>0</v>
      </c>
      <c r="L37" s="31"/>
      <c r="M37" s="33"/>
      <c r="N37" s="17">
        <f t="shared" si="3"/>
        <v>0</v>
      </c>
      <c r="O37" s="31"/>
      <c r="P37" s="33"/>
      <c r="Q37" s="17">
        <f t="shared" si="4"/>
        <v>0</v>
      </c>
      <c r="R37" s="31">
        <f>SUM('Plant Measurements'!O432:O441)</f>
        <v>216.39562600000005</v>
      </c>
      <c r="S37" s="33"/>
      <c r="T37" s="17">
        <f t="shared" si="5"/>
        <v>865.5825040000002</v>
      </c>
      <c r="U37" s="31">
        <f>SUM('Plant Measurements'!O431)</f>
        <v>64.639384300000017</v>
      </c>
      <c r="V37" s="33"/>
      <c r="W37" s="17">
        <f t="shared" si="6"/>
        <v>258.55753720000007</v>
      </c>
      <c r="X37" s="30">
        <f t="shared" si="7"/>
        <v>1124.1400412000003</v>
      </c>
      <c r="Y37" s="34"/>
      <c r="Z37" s="22">
        <f t="shared" si="8"/>
        <v>0</v>
      </c>
      <c r="AA37" s="22">
        <f t="shared" si="9"/>
        <v>1124.1400412000003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f t="shared" si="13"/>
        <v>1</v>
      </c>
      <c r="AF37">
        <f t="shared" si="14"/>
        <v>21033.62801</v>
      </c>
      <c r="AG37">
        <f t="shared" si="15"/>
        <v>4206.7256020000004</v>
      </c>
      <c r="AH37">
        <f t="shared" si="16"/>
        <v>4728.9486915493762</v>
      </c>
    </row>
    <row r="38" spans="1:34">
      <c r="A38" s="16" t="s">
        <v>30</v>
      </c>
      <c r="B38" s="17">
        <f>'Plant Measurements'!C442</f>
        <v>19</v>
      </c>
      <c r="C38" s="18"/>
      <c r="D38" s="19"/>
      <c r="E38" s="17">
        <f t="shared" si="0"/>
        <v>0</v>
      </c>
      <c r="F38" s="18"/>
      <c r="G38" s="20"/>
      <c r="H38" s="24">
        <f t="shared" si="17"/>
        <v>0</v>
      </c>
      <c r="I38" s="18"/>
      <c r="J38" s="20"/>
      <c r="K38" s="17">
        <f t="shared" si="2"/>
        <v>0</v>
      </c>
      <c r="L38" s="18"/>
      <c r="M38" s="20"/>
      <c r="N38" s="17">
        <f t="shared" si="3"/>
        <v>0</v>
      </c>
      <c r="O38" s="18"/>
      <c r="P38" s="20"/>
      <c r="Q38" s="17">
        <f t="shared" si="4"/>
        <v>0</v>
      </c>
      <c r="R38" s="18">
        <f>SUM('Plant Measurements'!O442:O456)</f>
        <v>262.31201700000008</v>
      </c>
      <c r="S38" s="20"/>
      <c r="T38" s="17">
        <f t="shared" si="5"/>
        <v>1049.2480680000003</v>
      </c>
      <c r="U38" s="18"/>
      <c r="V38" s="20"/>
      <c r="W38" s="17">
        <f t="shared" si="6"/>
        <v>0</v>
      </c>
      <c r="X38" s="17">
        <f t="shared" si="7"/>
        <v>1049.2480680000003</v>
      </c>
      <c r="Y38" s="21">
        <f>AVERAGE(X38:X42)</f>
        <v>512.53803189574296</v>
      </c>
      <c r="Z38" s="22">
        <f t="shared" si="8"/>
        <v>0</v>
      </c>
      <c r="AA38" s="22">
        <f t="shared" si="9"/>
        <v>1049.2480680000003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1</v>
      </c>
      <c r="AF38">
        <f t="shared" si="14"/>
        <v>21033.62801</v>
      </c>
      <c r="AG38">
        <f t="shared" si="15"/>
        <v>4206.7256020000004</v>
      </c>
      <c r="AH38">
        <f t="shared" si="16"/>
        <v>4413.898710504639</v>
      </c>
    </row>
    <row r="39" spans="1:34">
      <c r="A39" s="23" t="s">
        <v>30</v>
      </c>
      <c r="B39" s="24">
        <f>'Plant Measurements'!C457</f>
        <v>26</v>
      </c>
      <c r="C39" s="25">
        <f>SUM('Plant Measurements'!O457:O466)</f>
        <v>101.75210584351069</v>
      </c>
      <c r="D39" s="26"/>
      <c r="E39" s="17">
        <f t="shared" si="0"/>
        <v>407.00842337404276</v>
      </c>
      <c r="F39" s="25"/>
      <c r="G39" s="27"/>
      <c r="H39" s="24">
        <f t="shared" si="17"/>
        <v>0</v>
      </c>
      <c r="I39" s="25"/>
      <c r="J39" s="27"/>
      <c r="K39" s="17">
        <f t="shared" si="2"/>
        <v>0</v>
      </c>
      <c r="L39" s="25"/>
      <c r="M39" s="27"/>
      <c r="N39" s="17">
        <f t="shared" si="3"/>
        <v>0</v>
      </c>
      <c r="O39" s="25"/>
      <c r="P39" s="27"/>
      <c r="Q39" s="17">
        <f t="shared" si="4"/>
        <v>0</v>
      </c>
      <c r="R39" s="25">
        <f>SUM('Plant Measurements'!O467:O469)</f>
        <v>121.67180800000003</v>
      </c>
      <c r="S39" s="27"/>
      <c r="T39" s="17">
        <f t="shared" si="5"/>
        <v>486.68723200000011</v>
      </c>
      <c r="U39" s="25"/>
      <c r="V39" s="27"/>
      <c r="W39" s="17">
        <f t="shared" si="6"/>
        <v>0</v>
      </c>
      <c r="X39" s="24">
        <f t="shared" si="7"/>
        <v>893.69565537404287</v>
      </c>
      <c r="Y39" s="28"/>
      <c r="Z39" s="22">
        <f t="shared" si="8"/>
        <v>407.00842337404276</v>
      </c>
      <c r="AA39" s="22">
        <f t="shared" si="9"/>
        <v>486.68723200000011</v>
      </c>
      <c r="AB39">
        <f t="shared" si="10"/>
        <v>0.45542173213731862</v>
      </c>
      <c r="AC39">
        <f t="shared" si="11"/>
        <v>0</v>
      </c>
      <c r="AD39">
        <f t="shared" si="12"/>
        <v>0</v>
      </c>
      <c r="AE39">
        <f t="shared" si="13"/>
        <v>0.54457826786268138</v>
      </c>
      <c r="AF39">
        <f t="shared" si="14"/>
        <v>21033.62801</v>
      </c>
      <c r="AG39">
        <f t="shared" si="15"/>
        <v>4206.7256020000004</v>
      </c>
      <c r="AH39">
        <f t="shared" si="16"/>
        <v>3759.532393858155</v>
      </c>
    </row>
    <row r="40" spans="1:34">
      <c r="A40" s="23" t="s">
        <v>30</v>
      </c>
      <c r="B40" s="24">
        <f>'Plant Measurements'!C470</f>
        <v>44</v>
      </c>
      <c r="C40" s="25"/>
      <c r="D40" s="26"/>
      <c r="E40" s="17">
        <f t="shared" si="0"/>
        <v>0</v>
      </c>
      <c r="F40" s="25"/>
      <c r="G40" s="27"/>
      <c r="H40" s="24">
        <f t="shared" si="17"/>
        <v>0</v>
      </c>
      <c r="I40" s="25"/>
      <c r="J40" s="27"/>
      <c r="K40" s="17">
        <f t="shared" si="2"/>
        <v>0</v>
      </c>
      <c r="L40" s="25"/>
      <c r="M40" s="27"/>
      <c r="N40" s="17">
        <f t="shared" si="3"/>
        <v>0</v>
      </c>
      <c r="O40" s="25"/>
      <c r="P40" s="27"/>
      <c r="Q40" s="17">
        <f t="shared" si="4"/>
        <v>0</v>
      </c>
      <c r="R40" s="25">
        <f>SUM('Plant Measurements'!O470:O486)</f>
        <v>63.386234000000044</v>
      </c>
      <c r="S40" s="27"/>
      <c r="T40" s="17">
        <f t="shared" si="5"/>
        <v>253.54493600000018</v>
      </c>
      <c r="U40" s="25"/>
      <c r="V40" s="27"/>
      <c r="W40" s="17">
        <f t="shared" si="6"/>
        <v>0</v>
      </c>
      <c r="X40" s="24">
        <f t="shared" si="7"/>
        <v>253.54493600000018</v>
      </c>
      <c r="Y40" s="28"/>
      <c r="Z40" s="22">
        <f t="shared" si="8"/>
        <v>0</v>
      </c>
      <c r="AA40" s="22">
        <f t="shared" si="9"/>
        <v>253.54493600000018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1</v>
      </c>
      <c r="AF40">
        <f t="shared" si="14"/>
        <v>21033.62801</v>
      </c>
      <c r="AG40">
        <f t="shared" si="15"/>
        <v>4206.7256020000004</v>
      </c>
      <c r="AH40">
        <f t="shared" si="16"/>
        <v>1066.5939735286522</v>
      </c>
    </row>
    <row r="41" spans="1:34">
      <c r="A41" s="23" t="s">
        <v>30</v>
      </c>
      <c r="B41" s="24">
        <f>'Plant Measurements'!C487</f>
        <v>48</v>
      </c>
      <c r="C41" s="25"/>
      <c r="D41" s="26"/>
      <c r="E41" s="17">
        <f t="shared" si="0"/>
        <v>0</v>
      </c>
      <c r="F41" s="25"/>
      <c r="G41" s="27"/>
      <c r="H41" s="24">
        <f t="shared" si="17"/>
        <v>0</v>
      </c>
      <c r="I41" s="25"/>
      <c r="J41" s="27"/>
      <c r="K41" s="17">
        <f t="shared" si="2"/>
        <v>0</v>
      </c>
      <c r="L41" s="25"/>
      <c r="M41" s="27"/>
      <c r="N41" s="17">
        <f t="shared" si="3"/>
        <v>0</v>
      </c>
      <c r="O41" s="25"/>
      <c r="P41" s="27"/>
      <c r="Q41" s="17">
        <f t="shared" si="4"/>
        <v>0</v>
      </c>
      <c r="R41" s="25">
        <f>SUM('Plant Measurements'!O487:O493)</f>
        <v>48.494545000000024</v>
      </c>
      <c r="S41" s="27"/>
      <c r="T41" s="17">
        <f t="shared" si="5"/>
        <v>193.97818000000009</v>
      </c>
      <c r="U41" s="25"/>
      <c r="V41" s="27"/>
      <c r="W41" s="17">
        <f t="shared" si="6"/>
        <v>0</v>
      </c>
      <c r="X41" s="24">
        <f t="shared" si="7"/>
        <v>193.97818000000009</v>
      </c>
      <c r="Y41" s="28"/>
      <c r="Z41" s="22">
        <f t="shared" si="8"/>
        <v>0</v>
      </c>
      <c r="AA41" s="22">
        <f t="shared" si="9"/>
        <v>193.97818000000009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f t="shared" si="13"/>
        <v>1</v>
      </c>
      <c r="AF41">
        <f t="shared" si="14"/>
        <v>21033.62801</v>
      </c>
      <c r="AG41">
        <f t="shared" si="15"/>
        <v>4206.7256020000004</v>
      </c>
      <c r="AH41">
        <f t="shared" si="16"/>
        <v>816.01297603536477</v>
      </c>
    </row>
    <row r="42" spans="1:34">
      <c r="A42" s="29" t="s">
        <v>30</v>
      </c>
      <c r="B42" s="30">
        <f>'Plant Measurements'!C494</f>
        <v>50</v>
      </c>
      <c r="C42" s="31">
        <f>SUM('Plant Measurements'!O494:O504)</f>
        <v>13.68632902616784</v>
      </c>
      <c r="D42" s="32"/>
      <c r="E42" s="17">
        <f>C42*4</f>
        <v>54.74531610467136</v>
      </c>
      <c r="F42" s="31"/>
      <c r="G42" s="33"/>
      <c r="H42" s="24">
        <f t="shared" si="17"/>
        <v>0</v>
      </c>
      <c r="I42" s="31"/>
      <c r="J42" s="33"/>
      <c r="K42" s="17">
        <f t="shared" si="2"/>
        <v>0</v>
      </c>
      <c r="L42" s="31"/>
      <c r="M42" s="33"/>
      <c r="N42" s="17">
        <f t="shared" si="3"/>
        <v>0</v>
      </c>
      <c r="O42" s="31"/>
      <c r="P42" s="33"/>
      <c r="Q42" s="17">
        <f t="shared" si="4"/>
        <v>0</v>
      </c>
      <c r="R42" s="31">
        <f>SUM('Plant Measurements'!O505:O508)</f>
        <v>29.369501000000014</v>
      </c>
      <c r="S42" s="33"/>
      <c r="T42" s="17">
        <f t="shared" si="5"/>
        <v>117.47800400000006</v>
      </c>
      <c r="U42" s="31"/>
      <c r="V42" s="33"/>
      <c r="W42" s="17">
        <f t="shared" si="6"/>
        <v>0</v>
      </c>
      <c r="X42" s="30">
        <f t="shared" si="7"/>
        <v>172.22332010467142</v>
      </c>
      <c r="Y42" s="34"/>
      <c r="Z42" s="22">
        <f t="shared" si="8"/>
        <v>54.74531610467136</v>
      </c>
      <c r="AA42" s="22">
        <f t="shared" si="9"/>
        <v>117.47800400000006</v>
      </c>
      <c r="AB42">
        <f t="shared" si="10"/>
        <v>0.3178740026112552</v>
      </c>
      <c r="AC42">
        <f t="shared" si="11"/>
        <v>0</v>
      </c>
      <c r="AD42">
        <f t="shared" si="12"/>
        <v>0</v>
      </c>
      <c r="AE42">
        <f t="shared" si="13"/>
        <v>0.6821259973887448</v>
      </c>
      <c r="AF42">
        <f t="shared" si="14"/>
        <v>21033.62801</v>
      </c>
      <c r="AG42">
        <f t="shared" si="15"/>
        <v>4206.7256020000004</v>
      </c>
      <c r="AH42">
        <f t="shared" si="16"/>
        <v>724.49624994576266</v>
      </c>
    </row>
    <row r="43" spans="1:34">
      <c r="A43" s="16" t="s">
        <v>29</v>
      </c>
      <c r="B43" s="17">
        <f>'Plant Measurements'!C509</f>
        <v>9</v>
      </c>
      <c r="C43" s="18"/>
      <c r="D43" s="38"/>
      <c r="E43" s="17">
        <f t="shared" si="0"/>
        <v>0</v>
      </c>
      <c r="F43" s="18"/>
      <c r="G43" s="20"/>
      <c r="H43" s="17"/>
      <c r="I43" s="18"/>
      <c r="J43" s="20"/>
      <c r="K43" s="17">
        <f t="shared" si="2"/>
        <v>0</v>
      </c>
      <c r="L43" s="18"/>
      <c r="M43" s="20"/>
      <c r="N43" s="17">
        <f t="shared" si="3"/>
        <v>0</v>
      </c>
      <c r="O43" s="18"/>
      <c r="P43" s="20"/>
      <c r="Q43" s="17">
        <f t="shared" si="4"/>
        <v>0</v>
      </c>
      <c r="R43" s="18">
        <f>SUM('Plant Measurements'!O510)</f>
        <v>-10.296118999999997</v>
      </c>
      <c r="S43" s="20"/>
      <c r="T43" s="17">
        <f t="shared" si="5"/>
        <v>-41.184475999999989</v>
      </c>
      <c r="U43" s="18">
        <f>SUM('Plant Measurements'!O509)</f>
        <v>16.936171000000009</v>
      </c>
      <c r="V43" s="19"/>
      <c r="W43" s="17">
        <f t="shared" si="6"/>
        <v>67.744684000000035</v>
      </c>
      <c r="X43" s="17">
        <f t="shared" si="7"/>
        <v>26.560208000000046</v>
      </c>
      <c r="Y43" s="21">
        <f>AVERAGE(X43:X47)</f>
        <v>1366.4202666400993</v>
      </c>
      <c r="Z43" s="22">
        <f t="shared" si="8"/>
        <v>0</v>
      </c>
      <c r="AA43" s="22">
        <f t="shared" si="9"/>
        <v>26.560208000000046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111.73150698804542</v>
      </c>
    </row>
    <row r="44" spans="1:34">
      <c r="A44" s="23" t="s">
        <v>29</v>
      </c>
      <c r="B44" s="24">
        <f>'Plant Measurements'!C511</f>
        <v>30</v>
      </c>
      <c r="C44" s="25">
        <f>SUM('Plant Measurements'!O511:O524)</f>
        <v>92.986414483016233</v>
      </c>
      <c r="D44" s="26"/>
      <c r="E44" s="17">
        <f t="shared" si="0"/>
        <v>371.94565793206493</v>
      </c>
      <c r="F44" s="25"/>
      <c r="G44" s="27"/>
      <c r="H44" s="24"/>
      <c r="I44" s="25"/>
      <c r="J44" s="27"/>
      <c r="K44" s="17">
        <f t="shared" si="2"/>
        <v>0</v>
      </c>
      <c r="L44" s="25"/>
      <c r="M44" s="27"/>
      <c r="N44" s="17">
        <f t="shared" si="3"/>
        <v>0</v>
      </c>
      <c r="O44" s="25"/>
      <c r="P44" s="27"/>
      <c r="Q44" s="17">
        <f t="shared" si="4"/>
        <v>0</v>
      </c>
      <c r="R44" s="25"/>
      <c r="S44" s="27"/>
      <c r="T44" s="17">
        <f t="shared" si="5"/>
        <v>0</v>
      </c>
      <c r="U44" s="25"/>
      <c r="V44" s="27"/>
      <c r="W44" s="17">
        <f t="shared" si="6"/>
        <v>0</v>
      </c>
      <c r="X44" s="24">
        <f t="shared" si="7"/>
        <v>371.94565793206493</v>
      </c>
      <c r="Y44" s="28"/>
      <c r="Z44" s="22">
        <f t="shared" si="8"/>
        <v>371.94565793206493</v>
      </c>
      <c r="AA44" s="22">
        <f t="shared" si="9"/>
        <v>0</v>
      </c>
      <c r="AB44">
        <f t="shared" si="10"/>
        <v>1</v>
      </c>
      <c r="AC44">
        <f t="shared" si="11"/>
        <v>0</v>
      </c>
      <c r="AD44">
        <f t="shared" si="12"/>
        <v>0</v>
      </c>
      <c r="AE44">
        <f t="shared" si="13"/>
        <v>0</v>
      </c>
      <c r="AF44">
        <f t="shared" si="14"/>
        <v>21033.62801</v>
      </c>
      <c r="AG44">
        <f t="shared" si="15"/>
        <v>4206.7256020000004</v>
      </c>
      <c r="AH44">
        <f t="shared" si="16"/>
        <v>1564.673321775552</v>
      </c>
    </row>
    <row r="45" spans="1:34">
      <c r="A45" s="23" t="s">
        <v>29</v>
      </c>
      <c r="B45" s="24">
        <f>'Plant Measurements'!C525</f>
        <v>41</v>
      </c>
      <c r="C45" s="25"/>
      <c r="D45" s="26"/>
      <c r="E45" s="17">
        <f t="shared" si="0"/>
        <v>0</v>
      </c>
      <c r="F45" s="25"/>
      <c r="G45" s="27"/>
      <c r="H45" s="24"/>
      <c r="I45" s="25"/>
      <c r="J45" s="27"/>
      <c r="K45" s="17">
        <f t="shared" si="2"/>
        <v>0</v>
      </c>
      <c r="L45" s="25"/>
      <c r="M45" s="27"/>
      <c r="N45" s="17">
        <f t="shared" si="3"/>
        <v>0</v>
      </c>
      <c r="O45" s="25"/>
      <c r="P45" s="27"/>
      <c r="Q45" s="17">
        <f t="shared" si="4"/>
        <v>0</v>
      </c>
      <c r="R45" s="25">
        <f>SUM('Plant Measurements'!O529:O536)</f>
        <v>88.80934100000006</v>
      </c>
      <c r="S45" s="27"/>
      <c r="T45" s="17">
        <f t="shared" si="5"/>
        <v>355.23736400000024</v>
      </c>
      <c r="U45" s="25">
        <f>SUM('Plant Measurements'!O525:O528)</f>
        <v>182.18001900000007</v>
      </c>
      <c r="V45" s="27"/>
      <c r="W45" s="17">
        <f t="shared" si="6"/>
        <v>728.72007600000029</v>
      </c>
      <c r="X45" s="24">
        <f t="shared" si="7"/>
        <v>1083.9574400000006</v>
      </c>
      <c r="Y45" s="28"/>
      <c r="Z45" s="22">
        <f t="shared" si="8"/>
        <v>0</v>
      </c>
      <c r="AA45" s="22">
        <f t="shared" si="9"/>
        <v>1083.9574400000006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4559.9115143263816</v>
      </c>
    </row>
    <row r="46" spans="1:34">
      <c r="A46" s="23" t="s">
        <v>29</v>
      </c>
      <c r="B46" s="24">
        <f>'Plant Measurements'!C537</f>
        <v>43</v>
      </c>
      <c r="C46" s="25">
        <f>SUM('Plant Measurements'!O537)</f>
        <v>5.2942080000000002</v>
      </c>
      <c r="D46" s="26"/>
      <c r="E46" s="17">
        <f t="shared" si="0"/>
        <v>21.176832000000001</v>
      </c>
      <c r="F46" s="25"/>
      <c r="G46" s="27"/>
      <c r="H46" s="24">
        <f>F46*4</f>
        <v>0</v>
      </c>
      <c r="I46" s="25"/>
      <c r="J46" s="27"/>
      <c r="K46" s="17">
        <f t="shared" si="2"/>
        <v>0</v>
      </c>
      <c r="L46" s="25"/>
      <c r="M46" s="27"/>
      <c r="N46" s="17">
        <f t="shared" si="3"/>
        <v>0</v>
      </c>
      <c r="O46" s="25"/>
      <c r="P46" s="27"/>
      <c r="Q46" s="17">
        <f t="shared" si="4"/>
        <v>0</v>
      </c>
      <c r="R46" s="25">
        <f>SUM('Plant Measurements'!O545:O547)</f>
        <v>219.77996500000006</v>
      </c>
      <c r="S46" s="27"/>
      <c r="T46" s="17">
        <f t="shared" si="5"/>
        <v>879.11986000000024</v>
      </c>
      <c r="U46" s="25">
        <f>SUM('Plant Measurements'!O538:O544)</f>
        <v>442.90923993000001</v>
      </c>
      <c r="V46" s="27"/>
      <c r="W46" s="17">
        <f t="shared" si="6"/>
        <v>1771.63695972</v>
      </c>
      <c r="X46" s="24">
        <f t="shared" si="7"/>
        <v>2671.9336517200004</v>
      </c>
      <c r="Y46" s="28"/>
      <c r="Z46" s="22">
        <f t="shared" si="8"/>
        <v>21.176832000000001</v>
      </c>
      <c r="AA46" s="22">
        <f t="shared" si="9"/>
        <v>2650.7568197200003</v>
      </c>
      <c r="AB46">
        <f t="shared" si="10"/>
        <v>7.9256578794042534E-3</v>
      </c>
      <c r="AC46">
        <f t="shared" si="11"/>
        <v>0</v>
      </c>
      <c r="AD46">
        <f t="shared" si="12"/>
        <v>0</v>
      </c>
      <c r="AE46">
        <f t="shared" si="13"/>
        <v>0.99207434212059575</v>
      </c>
      <c r="AF46">
        <f t="shared" si="14"/>
        <v>21033.62801</v>
      </c>
      <c r="AG46">
        <f t="shared" si="15"/>
        <v>4206.7256020000004</v>
      </c>
      <c r="AH46">
        <f t="shared" si="16"/>
        <v>11240.091699535878</v>
      </c>
    </row>
    <row r="47" spans="1:34">
      <c r="A47" s="29" t="s">
        <v>29</v>
      </c>
      <c r="B47" s="30">
        <f>'Plant Measurements'!C548</f>
        <v>49</v>
      </c>
      <c r="C47" s="31"/>
      <c r="D47" s="32"/>
      <c r="E47" s="17">
        <f t="shared" si="0"/>
        <v>0</v>
      </c>
      <c r="F47" s="31"/>
      <c r="G47" s="33"/>
      <c r="H47" s="30"/>
      <c r="I47" s="31">
        <f>SUM('Plant Measurements'!O548:O560)</f>
        <v>234.41267854710784</v>
      </c>
      <c r="J47" s="33"/>
      <c r="K47" s="17">
        <f t="shared" si="2"/>
        <v>937.65071418843138</v>
      </c>
      <c r="L47" s="31"/>
      <c r="M47" s="33"/>
      <c r="N47" s="17">
        <f t="shared" si="3"/>
        <v>0</v>
      </c>
      <c r="O47" s="31"/>
      <c r="P47" s="33"/>
      <c r="Q47" s="17">
        <f t="shared" si="4"/>
        <v>0</v>
      </c>
      <c r="R47" s="31">
        <f>SUM('Plant Measurements'!O563:O569)</f>
        <v>258.68785100000008</v>
      </c>
      <c r="S47" s="33"/>
      <c r="T47" s="17">
        <f t="shared" si="5"/>
        <v>1034.7514040000003</v>
      </c>
      <c r="U47" s="31">
        <f>SUM('Plant Measurements'!O561:O562)</f>
        <v>176.32556434</v>
      </c>
      <c r="V47" s="33"/>
      <c r="W47" s="17">
        <f t="shared" si="6"/>
        <v>705.30225736</v>
      </c>
      <c r="X47" s="30">
        <f t="shared" si="7"/>
        <v>2677.7043755484315</v>
      </c>
      <c r="Y47" s="34"/>
      <c r="Z47" s="22">
        <f t="shared" si="8"/>
        <v>0</v>
      </c>
      <c r="AA47" s="22">
        <f t="shared" si="9"/>
        <v>1740.0536613600002</v>
      </c>
      <c r="AB47">
        <f t="shared" si="10"/>
        <v>0</v>
      </c>
      <c r="AC47">
        <f t="shared" si="11"/>
        <v>0</v>
      </c>
      <c r="AD47">
        <f t="shared" si="12"/>
        <v>0.35016961646350053</v>
      </c>
      <c r="AE47">
        <f t="shared" si="13"/>
        <v>0.64983038353649958</v>
      </c>
      <c r="AF47">
        <f t="shared" si="14"/>
        <v>21033.62801</v>
      </c>
      <c r="AG47">
        <f t="shared" si="15"/>
        <v>4206.7256020000004</v>
      </c>
      <c r="AH47">
        <f t="shared" si="16"/>
        <v>11264.367551207009</v>
      </c>
    </row>
    <row r="48" spans="1:34">
      <c r="A48" s="16" t="s">
        <v>22</v>
      </c>
      <c r="B48" s="17">
        <f>'Plant Measurements'!C570</f>
        <v>14</v>
      </c>
      <c r="C48" s="18"/>
      <c r="D48" s="19"/>
      <c r="E48" s="17">
        <f t="shared" si="0"/>
        <v>0</v>
      </c>
      <c r="F48" s="18"/>
      <c r="G48" s="20"/>
      <c r="H48" s="17"/>
      <c r="I48" s="18">
        <f>SUM('Plant Measurements'!O570:O575)</f>
        <v>54.859551286430467</v>
      </c>
      <c r="J48" s="20"/>
      <c r="K48" s="17">
        <f t="shared" si="2"/>
        <v>219.43820514572187</v>
      </c>
      <c r="L48" s="18"/>
      <c r="M48" s="20"/>
      <c r="N48" s="17">
        <f t="shared" si="3"/>
        <v>0</v>
      </c>
      <c r="O48" s="18"/>
      <c r="P48" s="20"/>
      <c r="Q48" s="17">
        <f t="shared" si="4"/>
        <v>0</v>
      </c>
      <c r="R48" s="18">
        <f>SUM('Plant Measurements'!O578:O584)</f>
        <v>48.905999000000008</v>
      </c>
      <c r="S48" s="20"/>
      <c r="T48" s="17">
        <f t="shared" si="5"/>
        <v>195.62399600000003</v>
      </c>
      <c r="U48" s="18">
        <f>SUM('Plant Measurements'!O576:O577)</f>
        <v>68.495792000000009</v>
      </c>
      <c r="V48" s="20"/>
      <c r="W48" s="17">
        <f t="shared" si="6"/>
        <v>273.98316800000003</v>
      </c>
      <c r="X48" s="17">
        <f t="shared" si="7"/>
        <v>689.04536914572191</v>
      </c>
      <c r="Y48" s="21">
        <f>AVERAGE(X48:X52)</f>
        <v>452.52570262914452</v>
      </c>
      <c r="Z48" s="22">
        <f>E48+Q48</f>
        <v>0</v>
      </c>
      <c r="AA48" s="22">
        <f t="shared" si="9"/>
        <v>469.60716400000007</v>
      </c>
      <c r="AB48">
        <f t="shared" si="10"/>
        <v>0</v>
      </c>
      <c r="AC48">
        <f t="shared" si="11"/>
        <v>0</v>
      </c>
      <c r="AD48">
        <f t="shared" si="12"/>
        <v>0.31846699066823603</v>
      </c>
      <c r="AE48">
        <f t="shared" si="13"/>
        <v>0.68153300933176397</v>
      </c>
      <c r="AF48">
        <f t="shared" si="14"/>
        <v>21033.62801</v>
      </c>
      <c r="AG48">
        <f t="shared" si="15"/>
        <v>4206.7256020000004</v>
      </c>
      <c r="AH48">
        <f t="shared" si="16"/>
        <v>2898.6247953248494</v>
      </c>
    </row>
    <row r="49" spans="1:34">
      <c r="A49" s="23" t="s">
        <v>22</v>
      </c>
      <c r="B49" s="24">
        <f>'Plant Measurements'!C585</f>
        <v>15</v>
      </c>
      <c r="C49" s="25"/>
      <c r="D49" s="26"/>
      <c r="E49" s="17">
        <f t="shared" si="0"/>
        <v>0</v>
      </c>
      <c r="F49" s="25"/>
      <c r="G49" s="27"/>
      <c r="H49" s="24"/>
      <c r="I49" s="25"/>
      <c r="J49" s="27"/>
      <c r="K49" s="17">
        <f t="shared" si="2"/>
        <v>0</v>
      </c>
      <c r="L49" s="25"/>
      <c r="M49" s="27"/>
      <c r="N49" s="17">
        <f t="shared" si="3"/>
        <v>0</v>
      </c>
      <c r="O49" s="25"/>
      <c r="P49" s="27"/>
      <c r="Q49" s="17">
        <f t="shared" si="4"/>
        <v>0</v>
      </c>
      <c r="R49" s="25"/>
      <c r="S49" s="27"/>
      <c r="T49" s="17">
        <f t="shared" si="5"/>
        <v>0</v>
      </c>
      <c r="U49" s="25">
        <f>SUM('Plant Measurements'!O590:O597)</f>
        <v>53.338304000000001</v>
      </c>
      <c r="V49" s="27"/>
      <c r="W49" s="17">
        <f t="shared" si="6"/>
        <v>213.353216</v>
      </c>
      <c r="X49" s="24">
        <f t="shared" si="7"/>
        <v>213.353216</v>
      </c>
      <c r="Y49" s="28"/>
      <c r="Z49" s="22">
        <f t="shared" si="8"/>
        <v>0</v>
      </c>
      <c r="AA49" s="22">
        <f t="shared" si="9"/>
        <v>213.353216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897.51843601623614</v>
      </c>
    </row>
    <row r="50" spans="1:34">
      <c r="A50" s="23" t="s">
        <v>22</v>
      </c>
      <c r="B50" s="24">
        <f>'Plant Measurements'!C598</f>
        <v>31</v>
      </c>
      <c r="C50" s="25"/>
      <c r="D50" s="26"/>
      <c r="E50" s="17">
        <f t="shared" si="0"/>
        <v>0</v>
      </c>
      <c r="F50" s="25"/>
      <c r="G50" s="27"/>
      <c r="H50" s="24">
        <f>F50*4</f>
        <v>0</v>
      </c>
      <c r="I50" s="25"/>
      <c r="J50" s="27"/>
      <c r="K50" s="17">
        <f t="shared" si="2"/>
        <v>0</v>
      </c>
      <c r="L50" s="25"/>
      <c r="M50" s="27"/>
      <c r="N50" s="17">
        <f t="shared" si="3"/>
        <v>0</v>
      </c>
      <c r="O50" s="25"/>
      <c r="P50" s="27"/>
      <c r="Q50" s="17">
        <f t="shared" si="4"/>
        <v>0</v>
      </c>
      <c r="R50" s="25"/>
      <c r="S50" s="27"/>
      <c r="T50" s="17">
        <f t="shared" si="5"/>
        <v>0</v>
      </c>
      <c r="U50" s="25">
        <f>SUM('Plant Measurements'!O598:O603)</f>
        <v>119.04008600000003</v>
      </c>
      <c r="V50" s="27"/>
      <c r="W50" s="17">
        <f t="shared" si="6"/>
        <v>476.16034400000012</v>
      </c>
      <c r="X50" s="24">
        <f t="shared" si="7"/>
        <v>476.16034400000012</v>
      </c>
      <c r="Y50" s="28"/>
      <c r="Z50" s="22">
        <f t="shared" si="8"/>
        <v>0</v>
      </c>
      <c r="AA50" s="22">
        <f t="shared" si="9"/>
        <v>476.16034400000012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2003.0759097619277</v>
      </c>
    </row>
    <row r="51" spans="1:34">
      <c r="A51" s="23" t="s">
        <v>22</v>
      </c>
      <c r="B51" s="24">
        <f>'Plant Measurements'!C607</f>
        <v>39</v>
      </c>
      <c r="C51" s="25"/>
      <c r="D51" s="26"/>
      <c r="E51" s="17">
        <f t="shared" si="0"/>
        <v>0</v>
      </c>
      <c r="F51" s="25"/>
      <c r="G51" s="27"/>
      <c r="H51" s="24">
        <f>F51*4</f>
        <v>0</v>
      </c>
      <c r="I51" s="25"/>
      <c r="J51" s="27"/>
      <c r="K51" s="17">
        <f t="shared" si="2"/>
        <v>0</v>
      </c>
      <c r="L51" s="25"/>
      <c r="M51" s="27"/>
      <c r="N51" s="17">
        <f t="shared" si="3"/>
        <v>0</v>
      </c>
      <c r="O51" s="25"/>
      <c r="P51" s="27"/>
      <c r="Q51" s="17">
        <f t="shared" si="4"/>
        <v>0</v>
      </c>
      <c r="R51" s="25">
        <f>SUM('Plant Measurements'!O616:O618)</f>
        <v>38.356779999999993</v>
      </c>
      <c r="S51" s="27"/>
      <c r="T51" s="17">
        <f t="shared" si="5"/>
        <v>153.42711999999997</v>
      </c>
      <c r="U51" s="25"/>
      <c r="V51" s="27"/>
      <c r="W51" s="17">
        <f t="shared" si="6"/>
        <v>0</v>
      </c>
      <c r="X51" s="24">
        <f t="shared" si="7"/>
        <v>153.42711999999997</v>
      </c>
      <c r="Y51" s="28"/>
      <c r="Z51" s="22">
        <f t="shared" si="8"/>
        <v>0</v>
      </c>
      <c r="AA51" s="22">
        <f t="shared" si="9"/>
        <v>153.42711999999997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1</v>
      </c>
      <c r="AF51">
        <f t="shared" si="14"/>
        <v>21033.62801</v>
      </c>
      <c r="AG51">
        <f t="shared" si="15"/>
        <v>4206.7256020000004</v>
      </c>
      <c r="AH51">
        <f t="shared" si="16"/>
        <v>645.42579374512627</v>
      </c>
    </row>
    <row r="52" spans="1:34">
      <c r="A52" s="29" t="s">
        <v>22</v>
      </c>
      <c r="B52" s="30">
        <f>'Plant Measurements'!C618</f>
        <v>44</v>
      </c>
      <c r="C52" s="31"/>
      <c r="D52" s="32"/>
      <c r="E52" s="17">
        <f t="shared" si="0"/>
        <v>0</v>
      </c>
      <c r="F52" s="31"/>
      <c r="G52" s="33"/>
      <c r="H52" s="30"/>
      <c r="I52" s="31"/>
      <c r="J52" s="33"/>
      <c r="K52" s="17">
        <f t="shared" si="2"/>
        <v>0</v>
      </c>
      <c r="L52" s="31"/>
      <c r="M52" s="33"/>
      <c r="N52" s="17">
        <f t="shared" si="3"/>
        <v>0</v>
      </c>
      <c r="O52" s="31"/>
      <c r="P52" s="33"/>
      <c r="Q52" s="17">
        <f t="shared" si="4"/>
        <v>0</v>
      </c>
      <c r="R52" s="31">
        <f>SUM('Plant Measurements'!O621:O625)</f>
        <v>110.28061300000007</v>
      </c>
      <c r="S52" s="33"/>
      <c r="T52" s="17">
        <f t="shared" si="5"/>
        <v>441.12245200000029</v>
      </c>
      <c r="U52" s="31">
        <f>SUM('Plant Measurements'!O618:O620)</f>
        <v>72.380003000000016</v>
      </c>
      <c r="V52" s="33"/>
      <c r="W52" s="17">
        <f t="shared" si="6"/>
        <v>289.52001200000007</v>
      </c>
      <c r="X52" s="30">
        <f t="shared" si="7"/>
        <v>730.64246400000036</v>
      </c>
      <c r="Y52" s="34"/>
      <c r="Z52" s="22">
        <f t="shared" si="8"/>
        <v>0</v>
      </c>
      <c r="AA52" s="22">
        <f t="shared" si="9"/>
        <v>730.64246400000036</v>
      </c>
      <c r="AB52">
        <f t="shared" si="10"/>
        <v>0</v>
      </c>
      <c r="AC52">
        <f t="shared" si="11"/>
        <v>0</v>
      </c>
      <c r="AD52">
        <f t="shared" si="12"/>
        <v>0</v>
      </c>
      <c r="AE52">
        <f t="shared" si="13"/>
        <v>1</v>
      </c>
      <c r="AF52">
        <f t="shared" si="14"/>
        <v>21033.62801</v>
      </c>
      <c r="AG52">
        <f t="shared" si="15"/>
        <v>4206.7256020000004</v>
      </c>
      <c r="AH52">
        <f t="shared" si="16"/>
        <v>3073.6123592171652</v>
      </c>
    </row>
    <row r="53" spans="1:34">
      <c r="Y53" t="s">
        <v>62</v>
      </c>
      <c r="AB53">
        <f>AVERAGE(AB3:AB52)</f>
        <v>0.11520154021917513</v>
      </c>
      <c r="AC53">
        <f t="shared" ref="AC53:AE53" si="18">AVERAGE(AC3:AC52)</f>
        <v>0</v>
      </c>
      <c r="AD53">
        <f t="shared" si="18"/>
        <v>0.1534550400111229</v>
      </c>
      <c r="AE53">
        <f t="shared" si="18"/>
        <v>0.73134341976970207</v>
      </c>
      <c r="AG53" t="s">
        <v>63</v>
      </c>
      <c r="AH53">
        <f>SUM(AH3:AH52)</f>
        <v>171017.8949509646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2014-09-02T22:53:01Z</dcterms:modified>
</cp:coreProperties>
</file>