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" yWindow="0" windowWidth="28720" windowHeight="15860" tabRatio="500"/>
  </bookViews>
  <sheets>
    <sheet name="Plant Measurments" sheetId="1" r:id="rId1"/>
    <sheet name="Quadrat Tota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6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4" i="1"/>
  <c r="U52" i="2"/>
  <c r="R52" i="2"/>
  <c r="I52" i="2"/>
  <c r="C52" i="2"/>
  <c r="R51" i="2"/>
  <c r="I51" i="2"/>
  <c r="U50" i="2"/>
  <c r="R50" i="2"/>
  <c r="R49" i="2"/>
  <c r="U48" i="2"/>
  <c r="I48" i="2"/>
  <c r="R47" i="2"/>
  <c r="C46" i="2"/>
  <c r="R45" i="2"/>
  <c r="R44" i="2"/>
  <c r="U43" i="2"/>
  <c r="C43" i="2"/>
  <c r="U42" i="2"/>
  <c r="R42" i="2"/>
  <c r="U41" i="2"/>
  <c r="R41" i="2"/>
  <c r="C41" i="2"/>
  <c r="R40" i="2"/>
  <c r="R39" i="2"/>
  <c r="C39" i="2"/>
  <c r="R37" i="2"/>
  <c r="U36" i="2"/>
  <c r="R36" i="2"/>
  <c r="R35" i="2"/>
  <c r="I33" i="2"/>
  <c r="C33" i="2"/>
  <c r="U32" i="2"/>
  <c r="R32" i="2"/>
  <c r="C32" i="2"/>
  <c r="R31" i="2"/>
  <c r="U31" i="2"/>
  <c r="C29" i="2"/>
  <c r="R28" i="2"/>
  <c r="C28" i="2"/>
  <c r="U27" i="2"/>
  <c r="R27" i="2"/>
  <c r="R26" i="2"/>
  <c r="R25" i="2"/>
  <c r="U24" i="2"/>
  <c r="R24" i="2"/>
  <c r="C24" i="2"/>
  <c r="R23" i="2"/>
  <c r="C23" i="2"/>
  <c r="R22" i="2"/>
  <c r="R21" i="2"/>
  <c r="C21" i="2"/>
  <c r="R20" i="2"/>
  <c r="R16" i="2"/>
  <c r="C16" i="2"/>
  <c r="R15" i="2"/>
  <c r="C15" i="2"/>
  <c r="R14" i="2"/>
  <c r="C14" i="2"/>
  <c r="R13" i="2"/>
  <c r="C13" i="2"/>
  <c r="R12" i="2"/>
  <c r="R11" i="2"/>
  <c r="R9" i="2"/>
  <c r="R8" i="2"/>
  <c r="C8" i="2"/>
  <c r="R7" i="2"/>
  <c r="U6" i="2"/>
  <c r="U5" i="2"/>
  <c r="R5" i="2"/>
  <c r="C5" i="2"/>
  <c r="U4" i="2"/>
  <c r="R4" i="2"/>
  <c r="C4" i="2"/>
  <c r="U3" i="2"/>
  <c r="R3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4" i="1"/>
  <c r="J115" i="1"/>
  <c r="J114" i="1"/>
  <c r="J113" i="1"/>
  <c r="J112" i="1"/>
  <c r="J111" i="1"/>
  <c r="J110" i="1"/>
  <c r="J109" i="1"/>
  <c r="J108" i="1"/>
  <c r="J107" i="1"/>
  <c r="J139" i="1"/>
  <c r="J138" i="1"/>
  <c r="J137" i="1"/>
  <c r="J136" i="1"/>
  <c r="J135" i="1"/>
  <c r="J134" i="1"/>
  <c r="J133" i="1"/>
  <c r="J130" i="1"/>
  <c r="J129" i="1"/>
  <c r="J151" i="1"/>
  <c r="J150" i="1"/>
  <c r="J149" i="1"/>
  <c r="J148" i="1"/>
  <c r="J147" i="1"/>
  <c r="J146" i="1"/>
  <c r="J145" i="1"/>
  <c r="J144" i="1"/>
  <c r="J143" i="1"/>
  <c r="J169" i="1"/>
  <c r="J168" i="1"/>
  <c r="J167" i="1"/>
  <c r="J166" i="1"/>
  <c r="J165" i="1"/>
  <c r="J164" i="1"/>
  <c r="J163" i="1"/>
  <c r="J162" i="1"/>
  <c r="J161" i="1"/>
  <c r="J160" i="1"/>
  <c r="J159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98" i="1"/>
  <c r="J197" i="1"/>
  <c r="J208" i="1"/>
  <c r="J207" i="1"/>
  <c r="J206" i="1"/>
  <c r="J205" i="1"/>
  <c r="J204" i="1"/>
  <c r="J203" i="1"/>
  <c r="J202" i="1"/>
  <c r="J201" i="1"/>
  <c r="J200" i="1"/>
  <c r="J199" i="1"/>
  <c r="J231" i="1"/>
  <c r="J230" i="1"/>
  <c r="J229" i="1"/>
  <c r="J228" i="1"/>
  <c r="J227" i="1"/>
  <c r="J226" i="1"/>
  <c r="J225" i="1"/>
  <c r="J270" i="1"/>
  <c r="J269" i="1"/>
  <c r="J268" i="1"/>
  <c r="J267" i="1"/>
  <c r="J266" i="1"/>
  <c r="J265" i="1"/>
  <c r="J264" i="1"/>
  <c r="J263" i="1"/>
  <c r="J262" i="1"/>
  <c r="J261" i="1"/>
  <c r="J260" i="1"/>
  <c r="J282" i="1"/>
  <c r="J281" i="1"/>
  <c r="J280" i="1"/>
  <c r="J279" i="1"/>
  <c r="J277" i="1"/>
  <c r="J276" i="1"/>
  <c r="J275" i="1"/>
  <c r="J274" i="1"/>
  <c r="J273" i="1"/>
  <c r="J272" i="1"/>
  <c r="J283" i="1"/>
  <c r="J297" i="1"/>
  <c r="J296" i="1"/>
  <c r="J295" i="1"/>
  <c r="J286" i="1"/>
  <c r="J294" i="1"/>
  <c r="J293" i="1"/>
  <c r="J292" i="1"/>
  <c r="J291" i="1"/>
  <c r="J290" i="1"/>
  <c r="J289" i="1"/>
  <c r="J288" i="1"/>
  <c r="J287" i="1"/>
  <c r="J285" i="1"/>
  <c r="J284" i="1"/>
  <c r="J446" i="1"/>
  <c r="J445" i="1"/>
  <c r="J444" i="1"/>
  <c r="J448" i="1"/>
  <c r="J447" i="1"/>
  <c r="J451" i="1"/>
  <c r="J450" i="1"/>
  <c r="J449" i="1"/>
  <c r="J479" i="1"/>
  <c r="J478" i="1"/>
  <c r="J477" i="1"/>
  <c r="J476" i="1"/>
  <c r="J475" i="1"/>
  <c r="J6" i="1"/>
  <c r="J8" i="1"/>
  <c r="J5" i="1"/>
  <c r="J4" i="1"/>
  <c r="J7" i="1"/>
  <c r="J12" i="1"/>
  <c r="J13" i="1"/>
  <c r="J39" i="1"/>
  <c r="J38" i="1"/>
  <c r="J40" i="1"/>
  <c r="J36" i="1"/>
  <c r="J60" i="1"/>
  <c r="J58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63" i="1"/>
  <c r="J62" i="1"/>
  <c r="J61" i="1"/>
  <c r="J87" i="1"/>
  <c r="J86" i="1"/>
  <c r="J85" i="1"/>
  <c r="J84" i="1"/>
  <c r="J83" i="1"/>
  <c r="J82" i="1"/>
  <c r="J88" i="1"/>
  <c r="J94" i="1"/>
  <c r="J93" i="1"/>
  <c r="J92" i="1"/>
  <c r="J91" i="1"/>
  <c r="J90" i="1"/>
  <c r="J100" i="1"/>
  <c r="J99" i="1"/>
  <c r="J98" i="1"/>
  <c r="J97" i="1"/>
  <c r="J96" i="1"/>
  <c r="J307" i="1"/>
  <c r="J317" i="1"/>
  <c r="J319" i="1"/>
  <c r="J318" i="1"/>
  <c r="J331" i="1"/>
  <c r="J330" i="1"/>
  <c r="J329" i="1"/>
  <c r="J328" i="1"/>
  <c r="J327" i="1"/>
  <c r="J326" i="1"/>
  <c r="J325" i="1"/>
  <c r="J320" i="1"/>
  <c r="J324" i="1"/>
  <c r="J322" i="1"/>
  <c r="J321" i="1"/>
  <c r="J335" i="1"/>
  <c r="J334" i="1"/>
  <c r="J351" i="1"/>
  <c r="J349" i="1"/>
  <c r="J350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70" i="1"/>
  <c r="J369" i="1"/>
  <c r="J366" i="1"/>
  <c r="J368" i="1"/>
  <c r="J377" i="1"/>
  <c r="J376" i="1"/>
  <c r="J375" i="1"/>
  <c r="J374" i="1"/>
  <c r="J373" i="1"/>
  <c r="J372" i="1"/>
  <c r="J371" i="1"/>
  <c r="J390" i="1"/>
  <c r="J389" i="1"/>
  <c r="J388" i="1"/>
  <c r="J387" i="1"/>
  <c r="J386" i="1"/>
  <c r="J385" i="1"/>
  <c r="J384" i="1"/>
  <c r="J383" i="1"/>
  <c r="J382" i="1"/>
  <c r="J381" i="1"/>
  <c r="J392" i="1"/>
  <c r="J423" i="1"/>
  <c r="J422" i="1"/>
  <c r="J421" i="1"/>
  <c r="J420" i="1"/>
  <c r="J419" i="1"/>
  <c r="J418" i="1"/>
  <c r="J417" i="1"/>
  <c r="J416" i="1"/>
  <c r="J415" i="1"/>
  <c r="J414" i="1"/>
  <c r="J413" i="1"/>
  <c r="J411" i="1"/>
  <c r="J410" i="1"/>
  <c r="J409" i="1"/>
  <c r="J408" i="1"/>
  <c r="J407" i="1"/>
  <c r="J406" i="1"/>
  <c r="J405" i="1"/>
  <c r="J404" i="1"/>
  <c r="J429" i="1"/>
  <c r="J428" i="1"/>
  <c r="J427" i="1"/>
  <c r="J425" i="1"/>
  <c r="J426" i="1"/>
  <c r="J424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36" i="1"/>
  <c r="J535" i="1"/>
  <c r="J534" i="1"/>
  <c r="J533" i="1"/>
  <c r="J562" i="1"/>
  <c r="J561" i="1"/>
  <c r="J557" i="1"/>
  <c r="J560" i="1"/>
  <c r="J559" i="1"/>
  <c r="J556" i="1"/>
  <c r="J558" i="1"/>
  <c r="N550" i="1"/>
  <c r="U51" i="2"/>
  <c r="N548" i="1"/>
  <c r="N469" i="1"/>
  <c r="N452" i="1"/>
  <c r="R29" i="2"/>
  <c r="N340" i="1"/>
  <c r="N343" i="1"/>
  <c r="N339" i="1"/>
  <c r="N9" i="1"/>
  <c r="N313" i="1"/>
  <c r="N315" i="1"/>
  <c r="N35" i="1"/>
  <c r="N26" i="1"/>
  <c r="N27" i="1"/>
  <c r="N29" i="1"/>
  <c r="N30" i="1"/>
  <c r="N32" i="1"/>
  <c r="N300" i="1"/>
  <c r="N25" i="1"/>
  <c r="N24" i="1"/>
  <c r="N22" i="1"/>
  <c r="N19" i="1"/>
  <c r="N20" i="1"/>
  <c r="N15" i="1"/>
  <c r="N71" i="1"/>
  <c r="R17" i="2"/>
  <c r="N538" i="1"/>
  <c r="N539" i="1"/>
  <c r="N537" i="1"/>
  <c r="N540" i="1"/>
  <c r="N541" i="1"/>
  <c r="N542" i="1"/>
  <c r="N543" i="1"/>
  <c r="N544" i="1"/>
  <c r="N545" i="1"/>
  <c r="N556" i="1"/>
  <c r="N559" i="1"/>
  <c r="N546" i="1"/>
  <c r="N560" i="1"/>
  <c r="N557" i="1"/>
  <c r="N547" i="1"/>
  <c r="N561" i="1"/>
  <c r="N549" i="1"/>
  <c r="N562" i="1"/>
  <c r="N551" i="1"/>
  <c r="N552" i="1"/>
  <c r="N553" i="1"/>
  <c r="N554" i="1"/>
  <c r="N555" i="1"/>
  <c r="N533" i="1"/>
  <c r="N534" i="1"/>
  <c r="N535" i="1"/>
  <c r="N536" i="1"/>
  <c r="N532" i="1"/>
  <c r="N514" i="1"/>
  <c r="N515" i="1"/>
  <c r="N516" i="1"/>
  <c r="N517" i="1"/>
  <c r="N518" i="1"/>
  <c r="N512" i="1"/>
  <c r="N519" i="1"/>
  <c r="N520" i="1"/>
  <c r="N521" i="1"/>
  <c r="N522" i="1"/>
  <c r="N523" i="1"/>
  <c r="N524" i="1"/>
  <c r="N513" i="1"/>
  <c r="N525" i="1"/>
  <c r="N526" i="1"/>
  <c r="N527" i="1"/>
  <c r="N528" i="1"/>
  <c r="N529" i="1"/>
  <c r="N530" i="1"/>
  <c r="N53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491" i="1"/>
  <c r="N480" i="1"/>
  <c r="N481" i="1"/>
  <c r="N482" i="1"/>
  <c r="N483" i="1"/>
  <c r="N484" i="1"/>
  <c r="N485" i="1"/>
  <c r="N486" i="1"/>
  <c r="N487" i="1"/>
  <c r="N488" i="1"/>
  <c r="N489" i="1"/>
  <c r="N490" i="1"/>
  <c r="N424" i="1"/>
  <c r="N426" i="1"/>
  <c r="N425" i="1"/>
  <c r="N427" i="1"/>
  <c r="N428" i="1"/>
  <c r="N429" i="1"/>
  <c r="N404" i="1"/>
  <c r="N405" i="1"/>
  <c r="N406" i="1"/>
  <c r="N407" i="1"/>
  <c r="N408" i="1"/>
  <c r="N409" i="1"/>
  <c r="N410" i="1"/>
  <c r="N393" i="1"/>
  <c r="N394" i="1"/>
  <c r="N395" i="1"/>
  <c r="N411" i="1"/>
  <c r="N412" i="1"/>
  <c r="N413" i="1"/>
  <c r="N396" i="1"/>
  <c r="N397" i="1"/>
  <c r="N398" i="1"/>
  <c r="N399" i="1"/>
  <c r="N400" i="1"/>
  <c r="N414" i="1"/>
  <c r="N415" i="1"/>
  <c r="N416" i="1"/>
  <c r="N417" i="1"/>
  <c r="N418" i="1"/>
  <c r="N419" i="1"/>
  <c r="N420" i="1"/>
  <c r="N401" i="1"/>
  <c r="N421" i="1"/>
  <c r="N422" i="1"/>
  <c r="N402" i="1"/>
  <c r="N403" i="1"/>
  <c r="N423" i="1"/>
  <c r="N392" i="1"/>
  <c r="N381" i="1"/>
  <c r="N382" i="1"/>
  <c r="N383" i="1"/>
  <c r="N384" i="1"/>
  <c r="N385" i="1"/>
  <c r="N386" i="1"/>
  <c r="N387" i="1"/>
  <c r="N379" i="1"/>
  <c r="N388" i="1"/>
  <c r="N380" i="1"/>
  <c r="N389" i="1"/>
  <c r="N390" i="1"/>
  <c r="N391" i="1"/>
  <c r="N378" i="1"/>
  <c r="N371" i="1"/>
  <c r="N372" i="1"/>
  <c r="N373" i="1"/>
  <c r="N374" i="1"/>
  <c r="N375" i="1"/>
  <c r="N376" i="1"/>
  <c r="N377" i="1"/>
  <c r="N368" i="1"/>
  <c r="N366" i="1"/>
  <c r="N369" i="1"/>
  <c r="N367" i="1"/>
  <c r="N370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52" i="1"/>
  <c r="N336" i="1"/>
  <c r="N348" i="1"/>
  <c r="N350" i="1"/>
  <c r="N337" i="1"/>
  <c r="N338" i="1"/>
  <c r="N341" i="1"/>
  <c r="N342" i="1"/>
  <c r="N344" i="1"/>
  <c r="N345" i="1"/>
  <c r="N346" i="1"/>
  <c r="N347" i="1"/>
  <c r="N349" i="1"/>
  <c r="N351" i="1"/>
  <c r="N334" i="1"/>
  <c r="N335" i="1"/>
  <c r="N332" i="1"/>
  <c r="N333" i="1"/>
  <c r="N321" i="1"/>
  <c r="N322" i="1"/>
  <c r="N323" i="1"/>
  <c r="N324" i="1"/>
  <c r="N320" i="1"/>
  <c r="N325" i="1"/>
  <c r="N326" i="1"/>
  <c r="N327" i="1"/>
  <c r="N328" i="1"/>
  <c r="N329" i="1"/>
  <c r="N330" i="1"/>
  <c r="N331" i="1"/>
  <c r="N318" i="1"/>
  <c r="N319" i="1"/>
  <c r="N308" i="1"/>
  <c r="N309" i="1"/>
  <c r="N310" i="1"/>
  <c r="N311" i="1"/>
  <c r="N312" i="1"/>
  <c r="N314" i="1"/>
  <c r="N316" i="1"/>
  <c r="N317" i="1"/>
  <c r="N298" i="1"/>
  <c r="N299" i="1"/>
  <c r="N307" i="1"/>
  <c r="N301" i="1"/>
  <c r="N302" i="1"/>
  <c r="N303" i="1"/>
  <c r="N304" i="1"/>
  <c r="N305" i="1"/>
  <c r="N306" i="1"/>
  <c r="N96" i="1"/>
  <c r="N97" i="1"/>
  <c r="N98" i="1"/>
  <c r="N99" i="1"/>
  <c r="N100" i="1"/>
  <c r="N90" i="1"/>
  <c r="N91" i="1"/>
  <c r="N92" i="1"/>
  <c r="N93" i="1"/>
  <c r="N94" i="1"/>
  <c r="N95" i="1"/>
  <c r="N89" i="1"/>
  <c r="N88" i="1"/>
  <c r="N82" i="1"/>
  <c r="N64" i="1"/>
  <c r="N65" i="1"/>
  <c r="N83" i="1"/>
  <c r="N66" i="1"/>
  <c r="N67" i="1"/>
  <c r="N84" i="1"/>
  <c r="N68" i="1"/>
  <c r="N69" i="1"/>
  <c r="N70" i="1"/>
  <c r="N85" i="1"/>
  <c r="N72" i="1"/>
  <c r="N73" i="1"/>
  <c r="N74" i="1"/>
  <c r="N75" i="1"/>
  <c r="N76" i="1"/>
  <c r="N77" i="1"/>
  <c r="N78" i="1"/>
  <c r="N79" i="1"/>
  <c r="N80" i="1"/>
  <c r="N81" i="1"/>
  <c r="N86" i="1"/>
  <c r="N87" i="1"/>
  <c r="N61" i="1"/>
  <c r="N62" i="1"/>
  <c r="N63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14" i="1"/>
  <c r="N36" i="1"/>
  <c r="N16" i="1"/>
  <c r="N17" i="1"/>
  <c r="N37" i="1"/>
  <c r="N18" i="1"/>
  <c r="N21" i="1"/>
  <c r="N40" i="1"/>
  <c r="N23" i="1"/>
  <c r="N38" i="1"/>
  <c r="N28" i="1"/>
  <c r="N31" i="1"/>
  <c r="N33" i="1"/>
  <c r="N34" i="1"/>
  <c r="N39" i="1"/>
  <c r="N11" i="1"/>
  <c r="N13" i="1"/>
  <c r="N10" i="1"/>
  <c r="N12" i="1"/>
  <c r="N7" i="1"/>
  <c r="N4" i="1"/>
  <c r="N5" i="1"/>
  <c r="N8" i="1"/>
  <c r="N6" i="1"/>
  <c r="N475" i="1"/>
  <c r="N476" i="1"/>
  <c r="N477" i="1"/>
  <c r="N478" i="1"/>
  <c r="N479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70" i="1"/>
  <c r="N471" i="1"/>
  <c r="N472" i="1"/>
  <c r="N473" i="1"/>
  <c r="N474" i="1"/>
  <c r="N449" i="1"/>
  <c r="N450" i="1"/>
  <c r="N451" i="1"/>
  <c r="N447" i="1"/>
  <c r="N448" i="1"/>
  <c r="N430" i="1"/>
  <c r="N431" i="1"/>
  <c r="N432" i="1"/>
  <c r="N433" i="1"/>
  <c r="N444" i="1"/>
  <c r="N434" i="1"/>
  <c r="N435" i="1"/>
  <c r="N436" i="1"/>
  <c r="N437" i="1"/>
  <c r="N438" i="1"/>
  <c r="N439" i="1"/>
  <c r="N440" i="1"/>
  <c r="N441" i="1"/>
  <c r="N445" i="1"/>
  <c r="N442" i="1"/>
  <c r="N446" i="1"/>
  <c r="N443" i="1"/>
  <c r="N284" i="1"/>
  <c r="N285" i="1"/>
  <c r="N287" i="1"/>
  <c r="N288" i="1"/>
  <c r="N289" i="1"/>
  <c r="N290" i="1"/>
  <c r="N291" i="1"/>
  <c r="N292" i="1"/>
  <c r="N293" i="1"/>
  <c r="N294" i="1"/>
  <c r="N286" i="1"/>
  <c r="N295" i="1"/>
  <c r="N296" i="1"/>
  <c r="N297" i="1"/>
  <c r="N283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60" i="1"/>
  <c r="N261" i="1"/>
  <c r="N232" i="1"/>
  <c r="N233" i="1"/>
  <c r="N262" i="1"/>
  <c r="N263" i="1"/>
  <c r="N234" i="1"/>
  <c r="N235" i="1"/>
  <c r="N264" i="1"/>
  <c r="N265" i="1"/>
  <c r="N236" i="1"/>
  <c r="N237" i="1"/>
  <c r="N238" i="1"/>
  <c r="N239" i="1"/>
  <c r="N240" i="1"/>
  <c r="N241" i="1"/>
  <c r="N259" i="1"/>
  <c r="N242" i="1"/>
  <c r="N243" i="1"/>
  <c r="N266" i="1"/>
  <c r="N244" i="1"/>
  <c r="N267" i="1"/>
  <c r="N268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69" i="1"/>
  <c r="N258" i="1"/>
  <c r="N270" i="1"/>
  <c r="N225" i="1"/>
  <c r="N226" i="1"/>
  <c r="N227" i="1"/>
  <c r="N209" i="1"/>
  <c r="N210" i="1"/>
  <c r="N228" i="1"/>
  <c r="N211" i="1"/>
  <c r="N212" i="1"/>
  <c r="N229" i="1"/>
  <c r="N213" i="1"/>
  <c r="N230" i="1"/>
  <c r="N214" i="1"/>
  <c r="N215" i="1"/>
  <c r="N231" i="1"/>
  <c r="N216" i="1"/>
  <c r="N217" i="1"/>
  <c r="N218" i="1"/>
  <c r="N219" i="1"/>
  <c r="N220" i="1"/>
  <c r="N221" i="1"/>
  <c r="N222" i="1"/>
  <c r="N223" i="1"/>
  <c r="N224" i="1"/>
  <c r="N199" i="1"/>
  <c r="N200" i="1"/>
  <c r="N201" i="1"/>
  <c r="N202" i="1"/>
  <c r="N203" i="1"/>
  <c r="N204" i="1"/>
  <c r="N205" i="1"/>
  <c r="N206" i="1"/>
  <c r="N207" i="1"/>
  <c r="N208" i="1"/>
  <c r="N188" i="1"/>
  <c r="N189" i="1"/>
  <c r="N190" i="1"/>
  <c r="N191" i="1"/>
  <c r="N192" i="1"/>
  <c r="N193" i="1"/>
  <c r="N194" i="1"/>
  <c r="N195" i="1"/>
  <c r="N196" i="1"/>
  <c r="N197" i="1"/>
  <c r="N198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71" i="1"/>
  <c r="N170" i="1"/>
  <c r="N159" i="1"/>
  <c r="N160" i="1"/>
  <c r="N161" i="1"/>
  <c r="N162" i="1"/>
  <c r="N152" i="1"/>
  <c r="N163" i="1"/>
  <c r="N164" i="1"/>
  <c r="N165" i="1"/>
  <c r="N166" i="1"/>
  <c r="N167" i="1"/>
  <c r="N153" i="1"/>
  <c r="N154" i="1"/>
  <c r="N168" i="1"/>
  <c r="N169" i="1"/>
  <c r="N155" i="1"/>
  <c r="N156" i="1"/>
  <c r="N157" i="1"/>
  <c r="N158" i="1"/>
  <c r="N143" i="1"/>
  <c r="N144" i="1"/>
  <c r="N145" i="1"/>
  <c r="N146" i="1"/>
  <c r="N140" i="1"/>
  <c r="N141" i="1"/>
  <c r="N147" i="1"/>
  <c r="N148" i="1"/>
  <c r="N149" i="1"/>
  <c r="N150" i="1"/>
  <c r="N142" i="1"/>
  <c r="N151" i="1"/>
  <c r="N129" i="1"/>
  <c r="N130" i="1"/>
  <c r="N131" i="1"/>
  <c r="N116" i="1"/>
  <c r="N132" i="1"/>
  <c r="N117" i="1"/>
  <c r="N133" i="1"/>
  <c r="N118" i="1"/>
  <c r="N134" i="1"/>
  <c r="N135" i="1"/>
  <c r="N136" i="1"/>
  <c r="N119" i="1"/>
  <c r="N120" i="1"/>
  <c r="N137" i="1"/>
  <c r="N121" i="1"/>
  <c r="N122" i="1"/>
  <c r="N123" i="1"/>
  <c r="N138" i="1"/>
  <c r="N124" i="1"/>
  <c r="N125" i="1"/>
  <c r="N139" i="1"/>
  <c r="N126" i="1"/>
  <c r="N127" i="1"/>
  <c r="N128" i="1"/>
  <c r="N107" i="1"/>
  <c r="N108" i="1"/>
  <c r="N109" i="1"/>
  <c r="N101" i="1"/>
  <c r="N102" i="1"/>
  <c r="N103" i="1"/>
  <c r="N104" i="1"/>
  <c r="N110" i="1"/>
  <c r="N105" i="1"/>
  <c r="N111" i="1"/>
  <c r="N112" i="1"/>
  <c r="N113" i="1"/>
  <c r="N106" i="1"/>
  <c r="N114" i="1"/>
  <c r="N115" i="1"/>
  <c r="N558" i="1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</calcChain>
</file>

<file path=xl/sharedStrings.xml><?xml version="1.0" encoding="utf-8"?>
<sst xmlns="http://schemas.openxmlformats.org/spreadsheetml/2006/main" count="1357" uniqueCount="67">
  <si>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</si>
  <si>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</si>
  <si>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</si>
  <si>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</si>
  <si>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</si>
  <si>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</si>
  <si>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</si>
  <si>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</si>
  <si>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</si>
  <si>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</si>
  <si>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</si>
  <si>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</si>
  <si>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</si>
  <si>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</si>
  <si>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</si>
  <si>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</si>
  <si>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Data book entry order</t>
  </si>
  <si>
    <t>T. latifolia</t>
  </si>
  <si>
    <t>M-1-E</t>
  </si>
  <si>
    <t>M-5</t>
  </si>
  <si>
    <t>M-1-W</t>
  </si>
  <si>
    <t>M-2</t>
  </si>
  <si>
    <t>M-3</t>
  </si>
  <si>
    <t>C-1</t>
  </si>
  <si>
    <t>M-4-S</t>
  </si>
  <si>
    <t>M-4-N</t>
  </si>
  <si>
    <t>C-2</t>
  </si>
  <si>
    <t>M-4-C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</si>
  <si>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</si>
  <si>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</si>
  <si>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</si>
  <si>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</si>
  <si>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</si>
  <si>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</si>
  <si>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</si>
  <si>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</si>
  <si>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</si>
  <si>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</si>
  <si>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</si>
  <si>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</si>
  <si>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</si>
  <si>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</si>
  <si>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</si>
  <si>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</si>
  <si>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</si>
  <si>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</si>
  <si>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</si>
  <si>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</si>
  <si>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</si>
  <si>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</si>
  <si>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</si>
  <si>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</si>
  <si>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</si>
  <si>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</si>
  <si>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</si>
  <si>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</si>
  <si>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</si>
  <si>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</si>
  <si>
    <t>T. domingensis</t>
  </si>
  <si>
    <t>S. acutus</t>
  </si>
  <si>
    <t>S. californicus</t>
  </si>
  <si>
    <t>Thatched</t>
  </si>
  <si>
    <t>Clump of living material; not practical to measure; runover by airboat</t>
  </si>
  <si>
    <t>Clean calculated biomass (G)</t>
  </si>
  <si>
    <t xml:space="preserve"> </t>
  </si>
  <si>
    <t>stem area (cm2)</t>
  </si>
  <si>
    <t>total stem area=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</si>
</sst>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5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0" fontId="7" fillId="2" borderId="16" xfId="144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5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2"/>
  <sheetViews>
    <sheetView tabSelected="1" workbookViewId="0">
      <pane ySplit="3300" topLeftCell="A550" activePane="bottomLeft"/>
      <selection activeCell="S4" sqref="S4:S562"/>
      <selection pane="bottomLeft" activeCell="S565" sqref="S565"/>
    </sheetView>
  </sheetViews>
  <sheetFormatPr baseColWidth="10" defaultRowHeight="15" x14ac:dyDescent="0"/>
  <cols>
    <col min="2" max="2" width="10.83203125" style="7"/>
    <col min="4" max="4" width="15.6640625" bestFit="1" customWidth="1"/>
    <col min="5" max="5" width="10" bestFit="1" customWidth="1"/>
    <col min="6" max="6" width="11" bestFit="1" customWidth="1"/>
    <col min="7" max="7" width="10.6640625" bestFit="1" customWidth="1"/>
    <col min="8" max="8" width="10.5" bestFit="1" customWidth="1"/>
    <col min="9" max="9" width="10" bestFit="1" customWidth="1"/>
    <col min="10" max="11" width="11.33203125" bestFit="1" customWidth="1"/>
    <col min="12" max="12" width="15" bestFit="1" customWidth="1"/>
    <col min="13" max="13" width="11" bestFit="1" customWidth="1"/>
    <col min="14" max="14" width="14.83203125" bestFit="1" customWidth="1"/>
    <col min="15" max="15" width="12.1640625" bestFit="1" customWidth="1"/>
    <col min="18" max="18" width="2.33203125" customWidth="1"/>
  </cols>
  <sheetData>
    <row r="1" spans="1:19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/>
      <c r="Q1" s="1"/>
    </row>
    <row r="2" spans="1:19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"/>
      <c r="Q2" s="2"/>
    </row>
    <row r="3" spans="1:19" ht="47" customHeight="1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63</v>
      </c>
      <c r="P3" s="4" t="s">
        <v>63</v>
      </c>
      <c r="Q3" s="4" t="s">
        <v>16</v>
      </c>
      <c r="S3" s="4" t="s">
        <v>65</v>
      </c>
    </row>
    <row r="4" spans="1:19">
      <c r="A4" s="9">
        <v>41911</v>
      </c>
      <c r="B4" s="7" t="s">
        <v>23</v>
      </c>
      <c r="C4">
        <v>4</v>
      </c>
      <c r="D4" t="s">
        <v>58</v>
      </c>
      <c r="F4">
        <v>3</v>
      </c>
      <c r="J4">
        <f>208+237+273</f>
        <v>718</v>
      </c>
      <c r="K4">
        <v>3</v>
      </c>
      <c r="L4">
        <v>273</v>
      </c>
      <c r="N4" t="str">
        <f t="shared" ref="N4:N67" si="0">IF(OR(D4="S. acutus", D4="S. tabernaemontani", D4="S. californicus"),(1/3)*(3.14159)*((F4/2)^2)*E4,"NA")</f>
        <v>NA</v>
      </c>
      <c r="O4" t="s">
        <v>64</v>
      </c>
      <c r="P4" t="str">
        <f>IF(O4&gt;0,O4," ")</f>
        <v xml:space="preserve"> </v>
      </c>
      <c r="S4">
        <f>3.14159*((F4/2)^2)</f>
        <v>7.0685775</v>
      </c>
    </row>
    <row r="5" spans="1:19">
      <c r="A5" s="9">
        <v>41911</v>
      </c>
      <c r="B5" s="7" t="s">
        <v>23</v>
      </c>
      <c r="C5">
        <v>4</v>
      </c>
      <c r="D5" t="s">
        <v>58</v>
      </c>
      <c r="F5">
        <v>1.39</v>
      </c>
      <c r="J5">
        <f>214</f>
        <v>214</v>
      </c>
      <c r="K5">
        <v>1</v>
      </c>
      <c r="L5">
        <v>214</v>
      </c>
      <c r="N5" t="str">
        <f t="shared" si="0"/>
        <v>NA</v>
      </c>
      <c r="O5" t="s">
        <v>64</v>
      </c>
      <c r="P5" t="str">
        <f t="shared" ref="P5:P68" si="1">IF(O5&gt;0,O5," ")</f>
        <v xml:space="preserve"> </v>
      </c>
      <c r="S5">
        <f t="shared" ref="S5:S68" si="2">3.14159*((F5/2)^2)</f>
        <v>1.5174665097499997</v>
      </c>
    </row>
    <row r="6" spans="1:19">
      <c r="A6" s="9">
        <v>41911</v>
      </c>
      <c r="B6" s="7" t="s">
        <v>23</v>
      </c>
      <c r="C6">
        <v>4</v>
      </c>
      <c r="D6" t="s">
        <v>58</v>
      </c>
      <c r="F6">
        <v>1.54</v>
      </c>
      <c r="J6">
        <f>112+120+151</f>
        <v>383</v>
      </c>
      <c r="K6">
        <v>3</v>
      </c>
      <c r="L6">
        <v>151</v>
      </c>
      <c r="N6" t="str">
        <f t="shared" si="0"/>
        <v>NA</v>
      </c>
      <c r="O6" t="s">
        <v>64</v>
      </c>
      <c r="P6" t="str">
        <f t="shared" si="1"/>
        <v xml:space="preserve"> </v>
      </c>
      <c r="S6">
        <f t="shared" si="2"/>
        <v>1.8626487109999998</v>
      </c>
    </row>
    <row r="7" spans="1:19">
      <c r="A7" s="9">
        <v>41911</v>
      </c>
      <c r="B7" s="7" t="s">
        <v>23</v>
      </c>
      <c r="C7">
        <v>4</v>
      </c>
      <c r="D7" t="s">
        <v>17</v>
      </c>
      <c r="F7">
        <v>4.13</v>
      </c>
      <c r="J7">
        <f>250+284+262+269+270+259+195</f>
        <v>1789</v>
      </c>
      <c r="K7">
        <v>7</v>
      </c>
      <c r="L7">
        <v>270</v>
      </c>
      <c r="N7" t="str">
        <f t="shared" si="0"/>
        <v>NA</v>
      </c>
      <c r="O7">
        <v>60.633299999999991</v>
      </c>
      <c r="P7">
        <f t="shared" si="1"/>
        <v>60.633299999999991</v>
      </c>
      <c r="S7">
        <f t="shared" si="2"/>
        <v>13.396446617749998</v>
      </c>
    </row>
    <row r="8" spans="1:19">
      <c r="A8" s="9">
        <v>41911</v>
      </c>
      <c r="B8" s="7" t="s">
        <v>23</v>
      </c>
      <c r="C8">
        <v>4</v>
      </c>
      <c r="D8" t="s">
        <v>17</v>
      </c>
      <c r="F8">
        <v>4.88</v>
      </c>
      <c r="J8">
        <f>192+200+209+214+267+280+268+312+3259</f>
        <v>5201</v>
      </c>
      <c r="K8">
        <v>9</v>
      </c>
      <c r="L8">
        <v>325</v>
      </c>
      <c r="N8" t="str">
        <f t="shared" si="0"/>
        <v>NA</v>
      </c>
      <c r="O8">
        <v>275.07569999999998</v>
      </c>
      <c r="P8">
        <f t="shared" si="1"/>
        <v>275.07569999999998</v>
      </c>
      <c r="S8">
        <f t="shared" si="2"/>
        <v>18.703770223999999</v>
      </c>
    </row>
    <row r="9" spans="1:19">
      <c r="A9" s="9">
        <v>41911</v>
      </c>
      <c r="B9" s="7" t="s">
        <v>23</v>
      </c>
      <c r="C9">
        <v>12</v>
      </c>
      <c r="D9" t="s">
        <v>59</v>
      </c>
      <c r="E9">
        <v>207</v>
      </c>
      <c r="F9">
        <v>1</v>
      </c>
      <c r="G9">
        <v>3</v>
      </c>
      <c r="N9">
        <f t="shared" si="0"/>
        <v>54.192427499999994</v>
      </c>
      <c r="O9">
        <v>7.4157273899999998</v>
      </c>
      <c r="P9">
        <f t="shared" si="1"/>
        <v>7.4157273899999998</v>
      </c>
      <c r="S9">
        <f t="shared" si="2"/>
        <v>0.78539749999999997</v>
      </c>
    </row>
    <row r="10" spans="1:19">
      <c r="A10" s="9">
        <v>41911</v>
      </c>
      <c r="B10" s="7" t="s">
        <v>23</v>
      </c>
      <c r="C10">
        <v>12</v>
      </c>
      <c r="D10" t="s">
        <v>59</v>
      </c>
      <c r="E10">
        <v>108</v>
      </c>
      <c r="F10">
        <v>0.82</v>
      </c>
      <c r="N10">
        <f t="shared" si="0"/>
        <v>19.011646043999995</v>
      </c>
      <c r="O10">
        <v>3.9852000000000003</v>
      </c>
      <c r="P10">
        <f t="shared" si="1"/>
        <v>3.9852000000000003</v>
      </c>
      <c r="S10">
        <f t="shared" si="2"/>
        <v>0.52810127899999992</v>
      </c>
    </row>
    <row r="11" spans="1:19">
      <c r="A11" s="9">
        <v>41911</v>
      </c>
      <c r="B11" s="7" t="s">
        <v>23</v>
      </c>
      <c r="C11">
        <v>12</v>
      </c>
      <c r="D11" t="s">
        <v>58</v>
      </c>
      <c r="E11">
        <v>200</v>
      </c>
      <c r="F11">
        <v>2.5</v>
      </c>
      <c r="H11">
        <v>22</v>
      </c>
      <c r="I11">
        <v>2.5</v>
      </c>
      <c r="N11" t="str">
        <f t="shared" si="0"/>
        <v>NA</v>
      </c>
      <c r="O11">
        <v>78.756299999999996</v>
      </c>
      <c r="P11">
        <f t="shared" si="1"/>
        <v>78.756299999999996</v>
      </c>
      <c r="S11">
        <f t="shared" si="2"/>
        <v>4.9087343749999999</v>
      </c>
    </row>
    <row r="12" spans="1:19">
      <c r="A12" s="9">
        <v>41911</v>
      </c>
      <c r="B12" s="7" t="s">
        <v>23</v>
      </c>
      <c r="C12">
        <v>12</v>
      </c>
      <c r="D12" t="s">
        <v>58</v>
      </c>
      <c r="F12">
        <v>1.44</v>
      </c>
      <c r="J12">
        <f>120+158+230</f>
        <v>508</v>
      </c>
      <c r="K12">
        <v>3</v>
      </c>
      <c r="L12">
        <v>230</v>
      </c>
      <c r="N12" t="str">
        <f t="shared" si="0"/>
        <v>NA</v>
      </c>
      <c r="O12" t="s">
        <v>64</v>
      </c>
      <c r="P12" t="str">
        <f t="shared" si="1"/>
        <v xml:space="preserve"> </v>
      </c>
      <c r="S12">
        <f t="shared" si="2"/>
        <v>1.6286002559999999</v>
      </c>
    </row>
    <row r="13" spans="1:19">
      <c r="A13" s="9">
        <v>41911</v>
      </c>
      <c r="B13" s="7" t="s">
        <v>23</v>
      </c>
      <c r="C13">
        <v>12</v>
      </c>
      <c r="D13" t="s">
        <v>17</v>
      </c>
      <c r="F13">
        <v>3.41</v>
      </c>
      <c r="J13">
        <f>207+240+275+301+307</f>
        <v>1330</v>
      </c>
      <c r="K13">
        <v>5</v>
      </c>
      <c r="L13">
        <v>307</v>
      </c>
      <c r="N13" t="str">
        <f t="shared" si="0"/>
        <v>NA</v>
      </c>
      <c r="O13">
        <v>28.067999999999998</v>
      </c>
      <c r="P13">
        <f t="shared" si="1"/>
        <v>28.067999999999998</v>
      </c>
      <c r="S13">
        <f t="shared" si="2"/>
        <v>9.1326806697500018</v>
      </c>
    </row>
    <row r="14" spans="1:19">
      <c r="A14" s="9">
        <v>41911</v>
      </c>
      <c r="B14" s="7" t="s">
        <v>23</v>
      </c>
      <c r="C14">
        <v>16</v>
      </c>
      <c r="D14" t="s">
        <v>59</v>
      </c>
      <c r="E14">
        <v>279</v>
      </c>
      <c r="F14">
        <v>1.92</v>
      </c>
      <c r="N14">
        <f t="shared" si="0"/>
        <v>269.26190899199997</v>
      </c>
      <c r="O14">
        <v>10.295100000000001</v>
      </c>
      <c r="P14">
        <f t="shared" si="1"/>
        <v>10.295100000000001</v>
      </c>
      <c r="S14">
        <f t="shared" si="2"/>
        <v>2.8952893439999996</v>
      </c>
    </row>
    <row r="15" spans="1:19">
      <c r="A15" s="9">
        <v>41911</v>
      </c>
      <c r="B15" s="7" t="s">
        <v>23</v>
      </c>
      <c r="C15">
        <v>16</v>
      </c>
      <c r="D15" t="s">
        <v>59</v>
      </c>
      <c r="E15">
        <v>300</v>
      </c>
      <c r="F15">
        <v>1.75</v>
      </c>
      <c r="G15">
        <v>14</v>
      </c>
      <c r="N15">
        <f t="shared" si="0"/>
        <v>240.52798437499999</v>
      </c>
      <c r="O15">
        <v>16.5790074375</v>
      </c>
      <c r="P15">
        <f t="shared" si="1"/>
        <v>16.5790074375</v>
      </c>
      <c r="S15">
        <f t="shared" si="2"/>
        <v>2.4052798437499998</v>
      </c>
    </row>
    <row r="16" spans="1:19">
      <c r="A16" s="9">
        <v>41911</v>
      </c>
      <c r="B16" s="7" t="s">
        <v>23</v>
      </c>
      <c r="C16">
        <v>16</v>
      </c>
      <c r="D16" t="s">
        <v>59</v>
      </c>
      <c r="E16">
        <v>178</v>
      </c>
      <c r="F16">
        <v>1.36</v>
      </c>
      <c r="N16">
        <f t="shared" si="0"/>
        <v>86.191825482666673</v>
      </c>
      <c r="O16">
        <v>6.5682</v>
      </c>
      <c r="P16">
        <f t="shared" si="1"/>
        <v>6.5682</v>
      </c>
      <c r="S16">
        <f t="shared" si="2"/>
        <v>1.4526712160000002</v>
      </c>
    </row>
    <row r="17" spans="1:19">
      <c r="A17" s="9">
        <v>41911</v>
      </c>
      <c r="B17" s="7" t="s">
        <v>23</v>
      </c>
      <c r="C17">
        <v>16</v>
      </c>
      <c r="D17" t="s">
        <v>59</v>
      </c>
      <c r="E17">
        <v>285</v>
      </c>
      <c r="F17">
        <v>1.75</v>
      </c>
      <c r="N17">
        <f t="shared" si="0"/>
        <v>228.50158515624997</v>
      </c>
      <c r="O17">
        <v>10.516500000000001</v>
      </c>
      <c r="P17">
        <f t="shared" si="1"/>
        <v>10.516500000000001</v>
      </c>
      <c r="S17">
        <f t="shared" si="2"/>
        <v>2.4052798437499998</v>
      </c>
    </row>
    <row r="18" spans="1:19">
      <c r="A18" s="9">
        <v>41911</v>
      </c>
      <c r="B18" s="7" t="s">
        <v>23</v>
      </c>
      <c r="C18">
        <v>16</v>
      </c>
      <c r="D18" t="s">
        <v>59</v>
      </c>
      <c r="E18">
        <v>210</v>
      </c>
      <c r="F18">
        <v>1.1499999999999999</v>
      </c>
      <c r="N18">
        <f t="shared" si="0"/>
        <v>72.708173562499979</v>
      </c>
      <c r="O18">
        <v>7.7490000000000006</v>
      </c>
      <c r="P18">
        <f t="shared" si="1"/>
        <v>7.7490000000000006</v>
      </c>
      <c r="S18">
        <f t="shared" si="2"/>
        <v>1.0386881937499999</v>
      </c>
    </row>
    <row r="19" spans="1:19">
      <c r="A19" s="9">
        <v>41911</v>
      </c>
      <c r="B19" s="7" t="s">
        <v>23</v>
      </c>
      <c r="C19">
        <v>16</v>
      </c>
      <c r="D19" t="s">
        <v>59</v>
      </c>
      <c r="E19">
        <v>220</v>
      </c>
      <c r="F19">
        <v>1</v>
      </c>
      <c r="G19">
        <v>8</v>
      </c>
      <c r="N19">
        <f t="shared" si="0"/>
        <v>57.595816666666657</v>
      </c>
      <c r="O19">
        <v>7.8814493999999993</v>
      </c>
      <c r="P19">
        <f t="shared" si="1"/>
        <v>7.8814493999999993</v>
      </c>
      <c r="S19">
        <f t="shared" si="2"/>
        <v>0.78539749999999997</v>
      </c>
    </row>
    <row r="20" spans="1:19">
      <c r="A20" s="9">
        <v>41911</v>
      </c>
      <c r="B20" s="7" t="s">
        <v>23</v>
      </c>
      <c r="C20">
        <v>16</v>
      </c>
      <c r="D20" t="s">
        <v>59</v>
      </c>
      <c r="E20">
        <v>246</v>
      </c>
      <c r="F20">
        <v>1.19</v>
      </c>
      <c r="G20">
        <v>3</v>
      </c>
      <c r="N20">
        <f t="shared" si="0"/>
        <v>91.200514779499983</v>
      </c>
      <c r="O20">
        <v>9.7776185320619984</v>
      </c>
      <c r="P20">
        <f t="shared" si="1"/>
        <v>9.7776185320619984</v>
      </c>
      <c r="S20">
        <f t="shared" si="2"/>
        <v>1.11220139975</v>
      </c>
    </row>
    <row r="21" spans="1:19">
      <c r="A21" s="9">
        <v>41911</v>
      </c>
      <c r="B21" s="7" t="s">
        <v>23</v>
      </c>
      <c r="C21">
        <v>16</v>
      </c>
      <c r="D21" t="s">
        <v>59</v>
      </c>
      <c r="E21">
        <v>257</v>
      </c>
      <c r="F21">
        <v>1.1599999999999999</v>
      </c>
      <c r="N21">
        <f t="shared" si="0"/>
        <v>90.53517837733331</v>
      </c>
      <c r="O21">
        <v>9.4832999999999998</v>
      </c>
      <c r="P21">
        <f t="shared" si="1"/>
        <v>9.4832999999999998</v>
      </c>
      <c r="S21">
        <f t="shared" si="2"/>
        <v>1.0568308759999998</v>
      </c>
    </row>
    <row r="22" spans="1:19">
      <c r="A22" s="9">
        <v>41911</v>
      </c>
      <c r="B22" s="7" t="s">
        <v>23</v>
      </c>
      <c r="C22">
        <v>16</v>
      </c>
      <c r="D22" t="s">
        <v>59</v>
      </c>
      <c r="E22">
        <v>272</v>
      </c>
      <c r="F22">
        <v>0.96</v>
      </c>
      <c r="G22">
        <v>6</v>
      </c>
      <c r="N22">
        <f t="shared" si="0"/>
        <v>65.626558463999984</v>
      </c>
      <c r="O22">
        <v>9.5433561047039994</v>
      </c>
      <c r="P22">
        <f t="shared" si="1"/>
        <v>9.5433561047039994</v>
      </c>
      <c r="S22">
        <f t="shared" si="2"/>
        <v>0.7238223359999999</v>
      </c>
    </row>
    <row r="23" spans="1:19">
      <c r="A23" s="9">
        <v>41911</v>
      </c>
      <c r="B23" s="7" t="s">
        <v>23</v>
      </c>
      <c r="C23">
        <v>16</v>
      </c>
      <c r="D23" t="s">
        <v>59</v>
      </c>
      <c r="E23">
        <v>200</v>
      </c>
      <c r="F23">
        <v>1.19</v>
      </c>
      <c r="N23">
        <f t="shared" si="0"/>
        <v>74.146759983333325</v>
      </c>
      <c r="O23">
        <v>7.3800000000000008</v>
      </c>
      <c r="P23">
        <f t="shared" si="1"/>
        <v>7.3800000000000008</v>
      </c>
      <c r="S23">
        <f t="shared" si="2"/>
        <v>1.11220139975</v>
      </c>
    </row>
    <row r="24" spans="1:19">
      <c r="A24" s="9">
        <v>41911</v>
      </c>
      <c r="B24" s="7" t="s">
        <v>23</v>
      </c>
      <c r="C24">
        <v>16</v>
      </c>
      <c r="D24" t="s">
        <v>59</v>
      </c>
      <c r="E24">
        <v>204</v>
      </c>
      <c r="F24">
        <v>1.02</v>
      </c>
      <c r="G24">
        <v>6</v>
      </c>
      <c r="N24">
        <f t="shared" si="0"/>
        <v>55.56467401199999</v>
      </c>
      <c r="O24">
        <v>7.3859282644319997</v>
      </c>
      <c r="P24">
        <f t="shared" si="1"/>
        <v>7.3859282644319997</v>
      </c>
      <c r="S24">
        <f t="shared" si="2"/>
        <v>0.817127559</v>
      </c>
    </row>
    <row r="25" spans="1:19">
      <c r="A25" s="9">
        <v>41911</v>
      </c>
      <c r="B25" s="7" t="s">
        <v>23</v>
      </c>
      <c r="C25">
        <v>16</v>
      </c>
      <c r="D25" t="s">
        <v>59</v>
      </c>
      <c r="E25">
        <v>222</v>
      </c>
      <c r="F25">
        <v>0.84</v>
      </c>
      <c r="G25">
        <v>7</v>
      </c>
      <c r="N25">
        <f t="shared" si="0"/>
        <v>41.009059223999991</v>
      </c>
      <c r="O25">
        <v>7.3371261320640002</v>
      </c>
      <c r="P25">
        <f t="shared" si="1"/>
        <v>7.3371261320640002</v>
      </c>
      <c r="S25">
        <f t="shared" si="2"/>
        <v>0.55417647599999986</v>
      </c>
    </row>
    <row r="26" spans="1:19">
      <c r="A26" s="9">
        <v>41911</v>
      </c>
      <c r="B26" s="7" t="s">
        <v>23</v>
      </c>
      <c r="C26">
        <v>16</v>
      </c>
      <c r="D26" t="s">
        <v>59</v>
      </c>
      <c r="E26">
        <v>189</v>
      </c>
      <c r="F26">
        <v>1.08</v>
      </c>
      <c r="G26">
        <v>6</v>
      </c>
      <c r="N26">
        <f t="shared" si="0"/>
        <v>57.713521572000005</v>
      </c>
      <c r="O26">
        <v>7.0672867765920007</v>
      </c>
      <c r="P26">
        <f t="shared" si="1"/>
        <v>7.0672867765920007</v>
      </c>
      <c r="S26">
        <f t="shared" si="2"/>
        <v>0.91608764400000009</v>
      </c>
    </row>
    <row r="27" spans="1:19">
      <c r="A27" s="9">
        <v>41911</v>
      </c>
      <c r="B27" s="7" t="s">
        <v>23</v>
      </c>
      <c r="C27">
        <v>16</v>
      </c>
      <c r="D27" t="s">
        <v>59</v>
      </c>
      <c r="E27">
        <v>212</v>
      </c>
      <c r="F27">
        <v>0.72</v>
      </c>
      <c r="G27">
        <v>6</v>
      </c>
      <c r="N27">
        <f t="shared" si="0"/>
        <v>28.771937855999994</v>
      </c>
      <c r="O27">
        <v>6.632589762816</v>
      </c>
      <c r="P27">
        <f t="shared" si="1"/>
        <v>6.632589762816</v>
      </c>
      <c r="S27">
        <f t="shared" si="2"/>
        <v>0.40715006399999998</v>
      </c>
    </row>
    <row r="28" spans="1:19">
      <c r="A28" s="9">
        <v>41911</v>
      </c>
      <c r="B28" s="7" t="s">
        <v>23</v>
      </c>
      <c r="C28">
        <v>16</v>
      </c>
      <c r="D28" t="s">
        <v>59</v>
      </c>
      <c r="E28">
        <v>222</v>
      </c>
      <c r="F28">
        <v>1.05</v>
      </c>
      <c r="N28">
        <f t="shared" si="0"/>
        <v>64.076655037500004</v>
      </c>
      <c r="O28">
        <v>8.1918000000000006</v>
      </c>
      <c r="P28">
        <f t="shared" si="1"/>
        <v>8.1918000000000006</v>
      </c>
      <c r="S28">
        <f t="shared" si="2"/>
        <v>0.86590074375000003</v>
      </c>
    </row>
    <row r="29" spans="1:19">
      <c r="A29" s="9">
        <v>41911</v>
      </c>
      <c r="B29" s="7" t="s">
        <v>23</v>
      </c>
      <c r="C29">
        <v>16</v>
      </c>
      <c r="D29" t="s">
        <v>59</v>
      </c>
      <c r="E29">
        <v>220</v>
      </c>
      <c r="F29">
        <v>0.75</v>
      </c>
      <c r="G29">
        <v>6</v>
      </c>
      <c r="N29">
        <f t="shared" si="0"/>
        <v>32.397646874999992</v>
      </c>
      <c r="O29">
        <v>6.9743152874999996</v>
      </c>
      <c r="P29">
        <f t="shared" si="1"/>
        <v>6.9743152874999996</v>
      </c>
      <c r="S29">
        <f t="shared" si="2"/>
        <v>0.44178609375</v>
      </c>
    </row>
    <row r="30" spans="1:19">
      <c r="A30" s="9">
        <v>41911</v>
      </c>
      <c r="B30" s="7" t="s">
        <v>23</v>
      </c>
      <c r="C30">
        <v>16</v>
      </c>
      <c r="D30" t="s">
        <v>59</v>
      </c>
      <c r="E30">
        <v>207</v>
      </c>
      <c r="F30">
        <v>0.87</v>
      </c>
      <c r="G30">
        <v>8</v>
      </c>
      <c r="N30">
        <f t="shared" si="0"/>
        <v>41.018248374750002</v>
      </c>
      <c r="O30">
        <v>6.9414569414910003</v>
      </c>
      <c r="P30">
        <f t="shared" si="1"/>
        <v>6.9414569414910003</v>
      </c>
      <c r="S30">
        <f t="shared" si="2"/>
        <v>0.59446736774999998</v>
      </c>
    </row>
    <row r="31" spans="1:19">
      <c r="A31" s="9">
        <v>41911</v>
      </c>
      <c r="B31" s="7" t="s">
        <v>23</v>
      </c>
      <c r="C31">
        <v>16</v>
      </c>
      <c r="D31" t="s">
        <v>59</v>
      </c>
      <c r="E31">
        <v>189</v>
      </c>
      <c r="F31">
        <v>0.81</v>
      </c>
      <c r="N31">
        <f t="shared" si="0"/>
        <v>32.463855884250002</v>
      </c>
      <c r="O31">
        <v>6.9741000000000009</v>
      </c>
      <c r="P31">
        <f t="shared" si="1"/>
        <v>6.9741000000000009</v>
      </c>
      <c r="S31">
        <f t="shared" si="2"/>
        <v>0.51529929975000011</v>
      </c>
    </row>
    <row r="32" spans="1:19">
      <c r="A32" s="9">
        <v>41911</v>
      </c>
      <c r="B32" s="7" t="s">
        <v>23</v>
      </c>
      <c r="C32">
        <v>16</v>
      </c>
      <c r="D32" t="s">
        <v>59</v>
      </c>
      <c r="E32">
        <v>184</v>
      </c>
      <c r="F32">
        <v>0.69</v>
      </c>
      <c r="G32">
        <v>2</v>
      </c>
      <c r="N32">
        <f t="shared" si="0"/>
        <v>22.934235317999995</v>
      </c>
      <c r="O32">
        <v>5.6832324714479991</v>
      </c>
      <c r="P32">
        <f t="shared" si="1"/>
        <v>5.6832324714479991</v>
      </c>
      <c r="S32">
        <f t="shared" si="2"/>
        <v>0.37392774974999993</v>
      </c>
    </row>
    <row r="33" spans="1:19">
      <c r="A33" s="9">
        <v>41911</v>
      </c>
      <c r="B33" s="7" t="s">
        <v>23</v>
      </c>
      <c r="C33">
        <v>16</v>
      </c>
      <c r="D33" t="s">
        <v>59</v>
      </c>
      <c r="E33">
        <v>62</v>
      </c>
      <c r="F33">
        <v>0.95</v>
      </c>
      <c r="N33">
        <f t="shared" si="0"/>
        <v>14.648972370833331</v>
      </c>
      <c r="O33">
        <v>2.2878000000000003</v>
      </c>
      <c r="P33">
        <f t="shared" si="1"/>
        <v>2.2878000000000003</v>
      </c>
      <c r="S33">
        <f t="shared" si="2"/>
        <v>0.70882124375</v>
      </c>
    </row>
    <row r="34" spans="1:19">
      <c r="A34" s="9">
        <v>41911</v>
      </c>
      <c r="B34" s="7" t="s">
        <v>23</v>
      </c>
      <c r="C34">
        <v>16</v>
      </c>
      <c r="D34" t="s">
        <v>59</v>
      </c>
      <c r="E34">
        <v>292</v>
      </c>
      <c r="F34">
        <v>1.1100000000000001</v>
      </c>
      <c r="N34">
        <f t="shared" si="0"/>
        <v>94.188323948999994</v>
      </c>
      <c r="O34">
        <v>10.774800000000001</v>
      </c>
      <c r="P34">
        <f t="shared" si="1"/>
        <v>10.774800000000001</v>
      </c>
      <c r="S34">
        <f t="shared" si="2"/>
        <v>0.96768825975000017</v>
      </c>
    </row>
    <row r="35" spans="1:19">
      <c r="A35" s="9">
        <v>41911</v>
      </c>
      <c r="B35" s="7" t="s">
        <v>23</v>
      </c>
      <c r="C35">
        <v>16</v>
      </c>
      <c r="D35" t="s">
        <v>59</v>
      </c>
      <c r="E35">
        <v>229</v>
      </c>
      <c r="F35">
        <v>0.66</v>
      </c>
      <c r="G35">
        <v>5</v>
      </c>
      <c r="N35">
        <f t="shared" si="0"/>
        <v>26.115095192999998</v>
      </c>
      <c r="O35">
        <v>6.9857434269479999</v>
      </c>
      <c r="P35">
        <f t="shared" si="1"/>
        <v>6.9857434269479999</v>
      </c>
      <c r="S35">
        <f t="shared" si="2"/>
        <v>0.34211915100000001</v>
      </c>
    </row>
    <row r="36" spans="1:19">
      <c r="A36" s="9">
        <v>41911</v>
      </c>
      <c r="B36" s="7" t="s">
        <v>23</v>
      </c>
      <c r="C36">
        <v>16</v>
      </c>
      <c r="D36" t="s">
        <v>58</v>
      </c>
      <c r="F36">
        <v>1.9</v>
      </c>
      <c r="J36">
        <f>130+167+200+207+242</f>
        <v>946</v>
      </c>
      <c r="K36">
        <v>5</v>
      </c>
      <c r="L36">
        <v>242</v>
      </c>
      <c r="N36" t="str">
        <f t="shared" si="0"/>
        <v>NA</v>
      </c>
      <c r="O36">
        <v>13.115199999999994</v>
      </c>
      <c r="P36">
        <f t="shared" si="1"/>
        <v>13.115199999999994</v>
      </c>
      <c r="S36">
        <f t="shared" si="2"/>
        <v>2.835284975</v>
      </c>
    </row>
    <row r="37" spans="1:19">
      <c r="A37" s="9">
        <v>41911</v>
      </c>
      <c r="B37" s="7" t="s">
        <v>23</v>
      </c>
      <c r="C37">
        <v>16</v>
      </c>
      <c r="D37" t="s">
        <v>58</v>
      </c>
      <c r="E37">
        <v>240</v>
      </c>
      <c r="F37">
        <v>3.42</v>
      </c>
      <c r="H37">
        <v>31</v>
      </c>
      <c r="I37">
        <v>2.75</v>
      </c>
      <c r="N37" t="str">
        <f t="shared" si="0"/>
        <v>NA</v>
      </c>
      <c r="O37">
        <v>96.564570000000003</v>
      </c>
      <c r="P37">
        <f t="shared" si="1"/>
        <v>96.564570000000003</v>
      </c>
      <c r="S37">
        <f t="shared" si="2"/>
        <v>9.1863233189999995</v>
      </c>
    </row>
    <row r="38" spans="1:19">
      <c r="A38" s="9">
        <v>41911</v>
      </c>
      <c r="B38" s="7" t="s">
        <v>23</v>
      </c>
      <c r="C38">
        <v>16</v>
      </c>
      <c r="D38" t="s">
        <v>58</v>
      </c>
      <c r="F38">
        <v>1.76</v>
      </c>
      <c r="J38">
        <f>245</f>
        <v>245</v>
      </c>
      <c r="K38">
        <v>1</v>
      </c>
      <c r="L38">
        <v>245</v>
      </c>
      <c r="N38" t="str">
        <f t="shared" si="0"/>
        <v>NA</v>
      </c>
      <c r="O38" t="s">
        <v>64</v>
      </c>
      <c r="P38" t="str">
        <f t="shared" si="1"/>
        <v xml:space="preserve"> </v>
      </c>
      <c r="S38">
        <f t="shared" si="2"/>
        <v>2.4328472959999998</v>
      </c>
    </row>
    <row r="39" spans="1:19">
      <c r="A39" s="9">
        <v>41911</v>
      </c>
      <c r="B39" s="7" t="s">
        <v>23</v>
      </c>
      <c r="C39">
        <v>16</v>
      </c>
      <c r="D39" t="s">
        <v>58</v>
      </c>
      <c r="F39">
        <v>0.2</v>
      </c>
      <c r="J39">
        <f>34+38</f>
        <v>72</v>
      </c>
      <c r="K39">
        <v>2</v>
      </c>
      <c r="L39">
        <v>38</v>
      </c>
      <c r="N39" t="str">
        <f t="shared" si="0"/>
        <v>NA</v>
      </c>
      <c r="O39" t="s">
        <v>64</v>
      </c>
      <c r="P39" t="str">
        <f t="shared" si="1"/>
        <v xml:space="preserve"> </v>
      </c>
      <c r="S39">
        <f t="shared" si="2"/>
        <v>3.1415900000000004E-2</v>
      </c>
    </row>
    <row r="40" spans="1:19">
      <c r="A40" s="9">
        <v>41911</v>
      </c>
      <c r="B40" s="7" t="s">
        <v>23</v>
      </c>
      <c r="C40">
        <v>16</v>
      </c>
      <c r="D40" t="s">
        <v>17</v>
      </c>
      <c r="F40">
        <v>3.57</v>
      </c>
      <c r="J40">
        <f>149+200+228+294+251+307+344+356</f>
        <v>2129</v>
      </c>
      <c r="K40">
        <v>8</v>
      </c>
      <c r="L40">
        <v>256</v>
      </c>
      <c r="N40" t="str">
        <f t="shared" si="0"/>
        <v>NA</v>
      </c>
      <c r="O40">
        <v>83.548299999999983</v>
      </c>
      <c r="P40">
        <f t="shared" si="1"/>
        <v>83.548299999999983</v>
      </c>
      <c r="S40">
        <f t="shared" si="2"/>
        <v>10.009812597749999</v>
      </c>
    </row>
    <row r="41" spans="1:19">
      <c r="A41" s="9">
        <v>41911</v>
      </c>
      <c r="B41" s="7" t="s">
        <v>23</v>
      </c>
      <c r="C41">
        <v>38</v>
      </c>
      <c r="D41" t="s">
        <v>58</v>
      </c>
      <c r="F41">
        <v>2.87</v>
      </c>
      <c r="J41">
        <f>225+253+276</f>
        <v>754</v>
      </c>
      <c r="K41">
        <v>3</v>
      </c>
      <c r="L41">
        <v>276</v>
      </c>
      <c r="N41" t="str">
        <f t="shared" si="0"/>
        <v>NA</v>
      </c>
      <c r="O41" t="s">
        <v>64</v>
      </c>
      <c r="P41" t="str">
        <f t="shared" si="1"/>
        <v xml:space="preserve"> </v>
      </c>
      <c r="S41">
        <f t="shared" si="2"/>
        <v>6.4692406677500003</v>
      </c>
    </row>
    <row r="42" spans="1:19">
      <c r="A42" s="9">
        <v>41911</v>
      </c>
      <c r="B42" s="7" t="s">
        <v>23</v>
      </c>
      <c r="C42">
        <v>38</v>
      </c>
      <c r="D42" t="s">
        <v>58</v>
      </c>
      <c r="F42">
        <v>2.41</v>
      </c>
      <c r="J42">
        <f>287+314</f>
        <v>601</v>
      </c>
      <c r="K42">
        <v>2</v>
      </c>
      <c r="L42">
        <v>314</v>
      </c>
      <c r="N42" t="str">
        <f t="shared" si="0"/>
        <v>NA</v>
      </c>
      <c r="O42" t="s">
        <v>64</v>
      </c>
      <c r="P42" t="str">
        <f t="shared" si="1"/>
        <v xml:space="preserve"> </v>
      </c>
      <c r="S42">
        <f t="shared" si="2"/>
        <v>4.5616672197500003</v>
      </c>
    </row>
    <row r="43" spans="1:19">
      <c r="A43" s="9">
        <v>41911</v>
      </c>
      <c r="B43" s="7" t="s">
        <v>23</v>
      </c>
      <c r="C43">
        <v>38</v>
      </c>
      <c r="D43" t="s">
        <v>58</v>
      </c>
      <c r="F43">
        <v>2.2400000000000002</v>
      </c>
      <c r="J43">
        <f>291+335</f>
        <v>626</v>
      </c>
      <c r="K43">
        <v>2</v>
      </c>
      <c r="L43">
        <v>335</v>
      </c>
      <c r="N43" t="str">
        <f t="shared" si="0"/>
        <v>NA</v>
      </c>
      <c r="O43" t="s">
        <v>64</v>
      </c>
      <c r="P43" t="str">
        <f t="shared" si="1"/>
        <v xml:space="preserve"> </v>
      </c>
      <c r="S43">
        <f t="shared" si="2"/>
        <v>3.9408104960000006</v>
      </c>
    </row>
    <row r="44" spans="1:19">
      <c r="A44" s="9">
        <v>41911</v>
      </c>
      <c r="B44" s="7" t="s">
        <v>23</v>
      </c>
      <c r="C44">
        <v>38</v>
      </c>
      <c r="D44" t="s">
        <v>58</v>
      </c>
      <c r="F44">
        <v>2.91</v>
      </c>
      <c r="J44">
        <f>292+325+331+350+364+391</f>
        <v>2053</v>
      </c>
      <c r="K44">
        <v>6</v>
      </c>
      <c r="L44">
        <v>391</v>
      </c>
      <c r="N44" t="str">
        <f t="shared" si="0"/>
        <v>NA</v>
      </c>
      <c r="O44">
        <v>60.457099999999969</v>
      </c>
      <c r="P44">
        <f t="shared" si="1"/>
        <v>60.457099999999969</v>
      </c>
      <c r="S44">
        <f t="shared" si="2"/>
        <v>6.650824569750001</v>
      </c>
    </row>
    <row r="45" spans="1:19">
      <c r="A45" s="9">
        <v>41911</v>
      </c>
      <c r="B45" s="7" t="s">
        <v>23</v>
      </c>
      <c r="C45">
        <v>38</v>
      </c>
      <c r="D45" t="s">
        <v>58</v>
      </c>
      <c r="F45">
        <v>3.9</v>
      </c>
      <c r="J45">
        <f>190+233+253+285+319+338+339</f>
        <v>1957</v>
      </c>
      <c r="K45">
        <v>7</v>
      </c>
      <c r="L45">
        <v>339</v>
      </c>
      <c r="N45" t="str">
        <f t="shared" si="0"/>
        <v>NA</v>
      </c>
      <c r="O45">
        <v>60.522899999999979</v>
      </c>
      <c r="P45">
        <f t="shared" si="1"/>
        <v>60.522899999999979</v>
      </c>
      <c r="S45">
        <f t="shared" si="2"/>
        <v>11.945895974999999</v>
      </c>
    </row>
    <row r="46" spans="1:19">
      <c r="A46" s="9">
        <v>41911</v>
      </c>
      <c r="B46" s="7" t="s">
        <v>23</v>
      </c>
      <c r="C46">
        <v>38</v>
      </c>
      <c r="D46" t="s">
        <v>58</v>
      </c>
      <c r="F46">
        <v>3.64</v>
      </c>
      <c r="J46">
        <f>234+285+291+228+201+288</f>
        <v>1527</v>
      </c>
      <c r="K46">
        <v>6</v>
      </c>
      <c r="L46">
        <v>291</v>
      </c>
      <c r="N46" t="str">
        <f t="shared" si="0"/>
        <v>NA</v>
      </c>
      <c r="O46">
        <v>41.772899999999993</v>
      </c>
      <c r="P46">
        <f t="shared" si="1"/>
        <v>41.772899999999993</v>
      </c>
      <c r="S46">
        <f t="shared" si="2"/>
        <v>10.406202716000001</v>
      </c>
    </row>
    <row r="47" spans="1:19">
      <c r="A47" s="9">
        <v>41911</v>
      </c>
      <c r="B47" s="7" t="s">
        <v>23</v>
      </c>
      <c r="C47">
        <v>38</v>
      </c>
      <c r="D47" t="s">
        <v>58</v>
      </c>
      <c r="F47">
        <v>1.6</v>
      </c>
      <c r="J47">
        <f>200+226+252</f>
        <v>678</v>
      </c>
      <c r="K47">
        <v>3</v>
      </c>
      <c r="L47">
        <v>252</v>
      </c>
      <c r="N47" t="str">
        <f t="shared" si="0"/>
        <v>NA</v>
      </c>
      <c r="O47" t="s">
        <v>64</v>
      </c>
      <c r="P47" t="str">
        <f t="shared" si="1"/>
        <v xml:space="preserve"> </v>
      </c>
      <c r="S47">
        <f t="shared" si="2"/>
        <v>2.0106176000000002</v>
      </c>
    </row>
    <row r="48" spans="1:19">
      <c r="A48" s="9">
        <v>41911</v>
      </c>
      <c r="B48" s="7" t="s">
        <v>23</v>
      </c>
      <c r="C48">
        <v>38</v>
      </c>
      <c r="D48" t="s">
        <v>58</v>
      </c>
      <c r="F48">
        <v>2.1800000000000002</v>
      </c>
      <c r="J48">
        <f>190+245+273+291</f>
        <v>999</v>
      </c>
      <c r="K48">
        <v>4</v>
      </c>
      <c r="L48">
        <v>291</v>
      </c>
      <c r="N48" t="str">
        <f t="shared" si="0"/>
        <v>NA</v>
      </c>
      <c r="O48">
        <v>10.673299999999983</v>
      </c>
      <c r="P48">
        <f t="shared" si="1"/>
        <v>10.673299999999983</v>
      </c>
      <c r="S48">
        <f t="shared" si="2"/>
        <v>3.7325230790000004</v>
      </c>
    </row>
    <row r="49" spans="1:19">
      <c r="A49" s="9">
        <v>41911</v>
      </c>
      <c r="B49" s="7" t="s">
        <v>23</v>
      </c>
      <c r="C49">
        <v>38</v>
      </c>
      <c r="D49" t="s">
        <v>58</v>
      </c>
      <c r="F49">
        <v>1.1499999999999999</v>
      </c>
      <c r="J49">
        <f>53+64+67</f>
        <v>184</v>
      </c>
      <c r="K49">
        <v>3</v>
      </c>
      <c r="L49">
        <v>67</v>
      </c>
      <c r="N49" t="str">
        <f t="shared" si="0"/>
        <v>NA</v>
      </c>
      <c r="O49" t="s">
        <v>64</v>
      </c>
      <c r="P49" t="str">
        <f t="shared" si="1"/>
        <v xml:space="preserve"> </v>
      </c>
      <c r="S49">
        <f t="shared" si="2"/>
        <v>1.0386881937499999</v>
      </c>
    </row>
    <row r="50" spans="1:19">
      <c r="A50" s="9">
        <v>41911</v>
      </c>
      <c r="B50" s="7" t="s">
        <v>23</v>
      </c>
      <c r="C50">
        <v>38</v>
      </c>
      <c r="D50" t="s">
        <v>58</v>
      </c>
      <c r="F50">
        <v>3.3</v>
      </c>
      <c r="J50">
        <f>193+247+293+309+320</f>
        <v>1362</v>
      </c>
      <c r="K50">
        <v>5</v>
      </c>
      <c r="L50">
        <v>320</v>
      </c>
      <c r="N50" t="str">
        <f t="shared" si="0"/>
        <v>NA</v>
      </c>
      <c r="O50">
        <v>28.070399999999992</v>
      </c>
      <c r="P50">
        <f t="shared" si="1"/>
        <v>28.070399999999992</v>
      </c>
      <c r="S50">
        <f t="shared" si="2"/>
        <v>8.5529787749999979</v>
      </c>
    </row>
    <row r="51" spans="1:19">
      <c r="A51" s="9">
        <v>41911</v>
      </c>
      <c r="B51" s="7" t="s">
        <v>23</v>
      </c>
      <c r="C51">
        <v>38</v>
      </c>
      <c r="D51" t="s">
        <v>58</v>
      </c>
      <c r="F51">
        <v>0.65</v>
      </c>
      <c r="J51">
        <f>32+32+49</f>
        <v>113</v>
      </c>
      <c r="K51">
        <v>3</v>
      </c>
      <c r="L51">
        <v>49</v>
      </c>
      <c r="N51" t="str">
        <f t="shared" si="0"/>
        <v>NA</v>
      </c>
      <c r="O51" t="s">
        <v>64</v>
      </c>
      <c r="P51" t="str">
        <f t="shared" si="1"/>
        <v xml:space="preserve"> </v>
      </c>
      <c r="S51">
        <f t="shared" si="2"/>
        <v>0.33183044375000004</v>
      </c>
    </row>
    <row r="52" spans="1:19">
      <c r="A52" s="9">
        <v>41911</v>
      </c>
      <c r="B52" s="7" t="s">
        <v>23</v>
      </c>
      <c r="C52">
        <v>38</v>
      </c>
      <c r="D52" t="s">
        <v>58</v>
      </c>
      <c r="F52">
        <v>3.16</v>
      </c>
      <c r="J52">
        <f>280+277+213+246+280+289+320+341</f>
        <v>2246</v>
      </c>
      <c r="K52">
        <v>8</v>
      </c>
      <c r="L52">
        <v>341</v>
      </c>
      <c r="N52" t="str">
        <f t="shared" si="0"/>
        <v>NA</v>
      </c>
      <c r="O52">
        <v>77.412199999999984</v>
      </c>
      <c r="P52">
        <f t="shared" si="1"/>
        <v>77.412199999999984</v>
      </c>
      <c r="S52">
        <f t="shared" si="2"/>
        <v>7.8426652760000009</v>
      </c>
    </row>
    <row r="53" spans="1:19">
      <c r="A53" s="9">
        <v>41911</v>
      </c>
      <c r="B53" s="7" t="s">
        <v>23</v>
      </c>
      <c r="C53">
        <v>38</v>
      </c>
      <c r="D53" t="s">
        <v>58</v>
      </c>
      <c r="E53">
        <v>219</v>
      </c>
      <c r="F53">
        <v>2.4900000000000002</v>
      </c>
      <c r="H53">
        <v>22</v>
      </c>
      <c r="I53">
        <v>2.2000000000000002</v>
      </c>
      <c r="N53" t="str">
        <f t="shared" si="0"/>
        <v>NA</v>
      </c>
      <c r="O53">
        <v>80.521140000000003</v>
      </c>
      <c r="P53">
        <f t="shared" si="1"/>
        <v>80.521140000000003</v>
      </c>
      <c r="S53">
        <f t="shared" si="2"/>
        <v>4.8695430397500008</v>
      </c>
    </row>
    <row r="54" spans="1:19">
      <c r="A54" s="9">
        <v>41911</v>
      </c>
      <c r="B54" s="7" t="s">
        <v>23</v>
      </c>
      <c r="C54">
        <v>38</v>
      </c>
      <c r="D54" t="s">
        <v>58</v>
      </c>
      <c r="F54">
        <v>1.42</v>
      </c>
      <c r="J54">
        <f>106+146+177+201+230</f>
        <v>860</v>
      </c>
      <c r="K54">
        <v>5</v>
      </c>
      <c r="L54">
        <v>230</v>
      </c>
      <c r="N54" t="str">
        <f t="shared" si="0"/>
        <v>NA</v>
      </c>
      <c r="O54">
        <v>9.3469999999999942</v>
      </c>
      <c r="P54">
        <f t="shared" si="1"/>
        <v>9.3469999999999942</v>
      </c>
      <c r="S54">
        <f t="shared" si="2"/>
        <v>1.5836755189999998</v>
      </c>
    </row>
    <row r="55" spans="1:19">
      <c r="A55" s="9">
        <v>41911</v>
      </c>
      <c r="B55" s="7" t="s">
        <v>23</v>
      </c>
      <c r="C55">
        <v>38</v>
      </c>
      <c r="D55" t="s">
        <v>58</v>
      </c>
      <c r="F55">
        <v>2.97</v>
      </c>
      <c r="J55">
        <f>82+95+222+279+306</f>
        <v>984</v>
      </c>
      <c r="K55">
        <v>5</v>
      </c>
      <c r="L55">
        <v>306</v>
      </c>
      <c r="N55" t="str">
        <f t="shared" si="0"/>
        <v>NA</v>
      </c>
      <c r="O55">
        <v>5.1537999999999826</v>
      </c>
      <c r="P55">
        <f t="shared" si="1"/>
        <v>5.1537999999999826</v>
      </c>
      <c r="S55">
        <f t="shared" si="2"/>
        <v>6.9279128077500012</v>
      </c>
    </row>
    <row r="56" spans="1:19">
      <c r="A56" s="9">
        <v>41911</v>
      </c>
      <c r="B56" s="7" t="s">
        <v>23</v>
      </c>
      <c r="C56">
        <v>38</v>
      </c>
      <c r="D56" t="s">
        <v>58</v>
      </c>
      <c r="E56">
        <v>211</v>
      </c>
      <c r="F56">
        <v>3.12</v>
      </c>
      <c r="H56">
        <v>33</v>
      </c>
      <c r="I56">
        <v>2.75</v>
      </c>
      <c r="N56" t="str">
        <f t="shared" si="0"/>
        <v>NA</v>
      </c>
      <c r="O56">
        <v>88.471670000000003</v>
      </c>
      <c r="P56">
        <f t="shared" si="1"/>
        <v>88.471670000000003</v>
      </c>
      <c r="S56">
        <f t="shared" si="2"/>
        <v>7.6453734240000006</v>
      </c>
    </row>
    <row r="57" spans="1:19">
      <c r="A57" s="9">
        <v>41911</v>
      </c>
      <c r="B57" s="7" t="s">
        <v>23</v>
      </c>
      <c r="C57">
        <v>38</v>
      </c>
      <c r="D57" t="s">
        <v>58</v>
      </c>
      <c r="E57">
        <v>219</v>
      </c>
      <c r="F57">
        <v>2.29</v>
      </c>
      <c r="H57">
        <v>24</v>
      </c>
      <c r="I57">
        <v>2.5</v>
      </c>
      <c r="N57" t="str">
        <f t="shared" si="0"/>
        <v>NA</v>
      </c>
      <c r="O57">
        <v>81.082039999999992</v>
      </c>
      <c r="P57">
        <f t="shared" si="1"/>
        <v>81.082039999999992</v>
      </c>
      <c r="S57">
        <f t="shared" si="2"/>
        <v>4.1187030297499998</v>
      </c>
    </row>
    <row r="58" spans="1:19">
      <c r="A58" s="9">
        <v>41911</v>
      </c>
      <c r="B58" s="7" t="s">
        <v>23</v>
      </c>
      <c r="C58">
        <v>38</v>
      </c>
      <c r="D58" t="s">
        <v>58</v>
      </c>
      <c r="F58">
        <v>2.21</v>
      </c>
      <c r="J58">
        <f>185+224+255+280+290</f>
        <v>1234</v>
      </c>
      <c r="K58">
        <v>5</v>
      </c>
      <c r="L58">
        <v>290</v>
      </c>
      <c r="N58" t="str">
        <f t="shared" si="0"/>
        <v>NA</v>
      </c>
      <c r="O58">
        <v>24.452799999999996</v>
      </c>
      <c r="P58">
        <f t="shared" si="1"/>
        <v>24.452799999999996</v>
      </c>
      <c r="S58">
        <f t="shared" si="2"/>
        <v>3.83595992975</v>
      </c>
    </row>
    <row r="59" spans="1:19">
      <c r="A59" s="9">
        <v>41911</v>
      </c>
      <c r="B59" s="7" t="s">
        <v>23</v>
      </c>
      <c r="C59">
        <v>38</v>
      </c>
      <c r="D59" t="s">
        <v>58</v>
      </c>
      <c r="E59">
        <v>248</v>
      </c>
      <c r="F59">
        <v>3.67</v>
      </c>
      <c r="H59">
        <v>31</v>
      </c>
      <c r="I59">
        <v>2.5</v>
      </c>
      <c r="N59" t="str">
        <f t="shared" si="0"/>
        <v>NA</v>
      </c>
      <c r="O59">
        <v>98.512619999999998</v>
      </c>
      <c r="P59">
        <f t="shared" si="1"/>
        <v>98.512619999999998</v>
      </c>
      <c r="S59">
        <f t="shared" si="2"/>
        <v>10.57844038775</v>
      </c>
    </row>
    <row r="60" spans="1:19">
      <c r="A60" s="9">
        <v>41911</v>
      </c>
      <c r="B60" s="7" t="s">
        <v>23</v>
      </c>
      <c r="C60">
        <v>38</v>
      </c>
      <c r="D60" t="s">
        <v>58</v>
      </c>
      <c r="F60">
        <v>1.48</v>
      </c>
      <c r="J60">
        <f>74+100+114+116</f>
        <v>404</v>
      </c>
      <c r="K60">
        <v>4</v>
      </c>
      <c r="L60">
        <v>116</v>
      </c>
      <c r="N60" t="str">
        <f t="shared" si="0"/>
        <v>NA</v>
      </c>
      <c r="O60" t="s">
        <v>64</v>
      </c>
      <c r="P60" t="str">
        <f t="shared" si="1"/>
        <v xml:space="preserve"> </v>
      </c>
      <c r="S60">
        <f t="shared" si="2"/>
        <v>1.7203346839999998</v>
      </c>
    </row>
    <row r="61" spans="1:19">
      <c r="A61" s="9">
        <v>41911</v>
      </c>
      <c r="B61" s="7" t="s">
        <v>23</v>
      </c>
      <c r="C61">
        <v>46</v>
      </c>
      <c r="D61" t="s">
        <v>17</v>
      </c>
      <c r="F61">
        <v>7.74</v>
      </c>
      <c r="J61">
        <f>357+364+376+401+406+384+402+421</f>
        <v>3111</v>
      </c>
      <c r="K61">
        <v>9</v>
      </c>
      <c r="L61">
        <v>421</v>
      </c>
      <c r="N61" t="str">
        <f t="shared" si="0"/>
        <v>NA</v>
      </c>
      <c r="O61">
        <v>119.92869999999998</v>
      </c>
      <c r="P61">
        <f t="shared" si="1"/>
        <v>119.92869999999998</v>
      </c>
      <c r="S61">
        <f t="shared" si="2"/>
        <v>47.051279270999999</v>
      </c>
    </row>
    <row r="62" spans="1:19">
      <c r="A62" s="9">
        <v>41911</v>
      </c>
      <c r="B62" s="7" t="s">
        <v>23</v>
      </c>
      <c r="C62">
        <v>46</v>
      </c>
      <c r="D62" t="s">
        <v>17</v>
      </c>
      <c r="F62">
        <v>9.41</v>
      </c>
      <c r="J62">
        <f>282+333+329+118+235+326+323+335</f>
        <v>2281</v>
      </c>
      <c r="K62">
        <v>8</v>
      </c>
      <c r="L62">
        <v>335</v>
      </c>
      <c r="N62" t="str">
        <f t="shared" si="0"/>
        <v>NA</v>
      </c>
      <c r="O62">
        <v>80.730699999999985</v>
      </c>
      <c r="P62">
        <f t="shared" si="1"/>
        <v>80.730699999999985</v>
      </c>
      <c r="S62">
        <f t="shared" si="2"/>
        <v>69.545456369749999</v>
      </c>
    </row>
    <row r="63" spans="1:19">
      <c r="A63" s="9">
        <v>41911</v>
      </c>
      <c r="B63" s="7" t="s">
        <v>23</v>
      </c>
      <c r="C63">
        <v>46</v>
      </c>
      <c r="D63" t="s">
        <v>17</v>
      </c>
      <c r="F63">
        <v>1</v>
      </c>
      <c r="J63">
        <f>54+54+32</f>
        <v>140</v>
      </c>
      <c r="K63">
        <v>3</v>
      </c>
      <c r="L63">
        <v>54</v>
      </c>
      <c r="N63" t="str">
        <f t="shared" si="0"/>
        <v>NA</v>
      </c>
      <c r="O63" t="s">
        <v>64</v>
      </c>
      <c r="P63" t="str">
        <f t="shared" si="1"/>
        <v xml:space="preserve"> </v>
      </c>
      <c r="S63">
        <f t="shared" si="2"/>
        <v>0.78539749999999997</v>
      </c>
    </row>
    <row r="64" spans="1:19">
      <c r="A64" s="9">
        <v>41906</v>
      </c>
      <c r="B64" s="7" t="s">
        <v>26</v>
      </c>
      <c r="C64">
        <v>2</v>
      </c>
      <c r="D64" t="s">
        <v>59</v>
      </c>
      <c r="E64">
        <v>250</v>
      </c>
      <c r="F64">
        <v>1.28</v>
      </c>
      <c r="N64">
        <f t="shared" si="0"/>
        <v>107.23293866666667</v>
      </c>
      <c r="O64">
        <v>9.2250000000000014</v>
      </c>
      <c r="P64">
        <f t="shared" si="1"/>
        <v>9.2250000000000014</v>
      </c>
      <c r="S64">
        <f t="shared" si="2"/>
        <v>1.286795264</v>
      </c>
    </row>
    <row r="65" spans="1:19">
      <c r="A65" s="9">
        <v>41906</v>
      </c>
      <c r="B65" s="7" t="s">
        <v>26</v>
      </c>
      <c r="C65">
        <v>2</v>
      </c>
      <c r="D65" t="s">
        <v>59</v>
      </c>
      <c r="E65">
        <v>222</v>
      </c>
      <c r="F65">
        <v>1.1599999999999999</v>
      </c>
      <c r="N65">
        <f t="shared" si="0"/>
        <v>78.205484823999981</v>
      </c>
      <c r="O65">
        <v>8.1918000000000006</v>
      </c>
      <c r="P65">
        <f t="shared" si="1"/>
        <v>8.1918000000000006</v>
      </c>
      <c r="S65">
        <f t="shared" si="2"/>
        <v>1.0568308759999998</v>
      </c>
    </row>
    <row r="66" spans="1:19">
      <c r="A66" s="9">
        <v>41906</v>
      </c>
      <c r="B66" s="7" t="s">
        <v>26</v>
      </c>
      <c r="C66">
        <v>2</v>
      </c>
      <c r="D66" t="s">
        <v>59</v>
      </c>
      <c r="E66">
        <v>166</v>
      </c>
      <c r="F66">
        <v>1.08</v>
      </c>
      <c r="N66">
        <f t="shared" si="0"/>
        <v>50.690182968000002</v>
      </c>
      <c r="O66">
        <v>6.1254</v>
      </c>
      <c r="P66">
        <f t="shared" si="1"/>
        <v>6.1254</v>
      </c>
      <c r="S66">
        <f t="shared" si="2"/>
        <v>0.91608764400000009</v>
      </c>
    </row>
    <row r="67" spans="1:19">
      <c r="A67" s="9">
        <v>41906</v>
      </c>
      <c r="B67" s="7" t="s">
        <v>26</v>
      </c>
      <c r="C67">
        <v>2</v>
      </c>
      <c r="D67" t="s">
        <v>59</v>
      </c>
      <c r="E67">
        <v>54</v>
      </c>
      <c r="F67">
        <v>1.1200000000000001</v>
      </c>
      <c r="N67">
        <f t="shared" si="0"/>
        <v>17.733647231999999</v>
      </c>
      <c r="O67">
        <v>1.9926000000000001</v>
      </c>
      <c r="P67">
        <f t="shared" si="1"/>
        <v>1.9926000000000001</v>
      </c>
      <c r="S67">
        <f t="shared" si="2"/>
        <v>0.98520262400000014</v>
      </c>
    </row>
    <row r="68" spans="1:19">
      <c r="A68" s="9">
        <v>41906</v>
      </c>
      <c r="B68" s="7" t="s">
        <v>26</v>
      </c>
      <c r="C68">
        <v>2</v>
      </c>
      <c r="D68" t="s">
        <v>59</v>
      </c>
      <c r="E68">
        <v>303</v>
      </c>
      <c r="F68">
        <v>1.03</v>
      </c>
      <c r="N68">
        <f t="shared" ref="N68:N131" si="3">IF(OR(D68="S. acutus", D68="S. tabernaemontani", D68="S. californicus"),(1/3)*(3.14159)*((F68/2)^2)*E68,"NA")</f>
        <v>84.156048982749994</v>
      </c>
      <c r="O68">
        <v>11.1807</v>
      </c>
      <c r="P68">
        <f t="shared" si="1"/>
        <v>11.1807</v>
      </c>
      <c r="S68">
        <f t="shared" si="2"/>
        <v>0.83322820774999995</v>
      </c>
    </row>
    <row r="69" spans="1:19">
      <c r="A69" s="9">
        <v>41906</v>
      </c>
      <c r="B69" s="7" t="s">
        <v>26</v>
      </c>
      <c r="C69">
        <v>2</v>
      </c>
      <c r="D69" t="s">
        <v>59</v>
      </c>
      <c r="E69">
        <v>158</v>
      </c>
      <c r="F69">
        <v>0.86</v>
      </c>
      <c r="N69">
        <f t="shared" si="3"/>
        <v>30.593012859333324</v>
      </c>
      <c r="O69">
        <v>5.8302000000000005</v>
      </c>
      <c r="P69">
        <f t="shared" ref="P69:P132" si="4">IF(O69&gt;0,O69," ")</f>
        <v>5.8302000000000005</v>
      </c>
      <c r="S69">
        <f t="shared" ref="S69:S132" si="5">3.14159*((F69/2)^2)</f>
        <v>0.58087999099999987</v>
      </c>
    </row>
    <row r="70" spans="1:19">
      <c r="A70" s="9">
        <v>41906</v>
      </c>
      <c r="B70" s="7" t="s">
        <v>26</v>
      </c>
      <c r="C70">
        <v>2</v>
      </c>
      <c r="D70" t="s">
        <v>59</v>
      </c>
      <c r="E70">
        <v>178</v>
      </c>
      <c r="F70">
        <v>1.06</v>
      </c>
      <c r="N70">
        <f t="shared" si="3"/>
        <v>52.360042772666674</v>
      </c>
      <c r="O70">
        <v>6.5682</v>
      </c>
      <c r="P70">
        <f t="shared" si="4"/>
        <v>6.5682</v>
      </c>
      <c r="S70">
        <f t="shared" si="5"/>
        <v>0.88247263100000006</v>
      </c>
    </row>
    <row r="71" spans="1:19">
      <c r="A71" s="9">
        <v>41906</v>
      </c>
      <c r="B71" s="7" t="s">
        <v>26</v>
      </c>
      <c r="C71">
        <v>2</v>
      </c>
      <c r="D71" t="s">
        <v>59</v>
      </c>
      <c r="E71">
        <v>240</v>
      </c>
      <c r="F71">
        <v>0.9</v>
      </c>
      <c r="G71">
        <v>7</v>
      </c>
      <c r="N71">
        <f t="shared" si="3"/>
        <v>50.893757999999998</v>
      </c>
      <c r="O71">
        <v>8.1681752880000005</v>
      </c>
      <c r="P71">
        <f t="shared" si="4"/>
        <v>8.1681752880000005</v>
      </c>
      <c r="S71">
        <f t="shared" si="5"/>
        <v>0.636171975</v>
      </c>
    </row>
    <row r="72" spans="1:19">
      <c r="A72" s="9">
        <v>41906</v>
      </c>
      <c r="B72" s="7" t="s">
        <v>26</v>
      </c>
      <c r="C72">
        <v>2</v>
      </c>
      <c r="D72" t="s">
        <v>59</v>
      </c>
      <c r="E72">
        <v>261</v>
      </c>
      <c r="F72">
        <v>1</v>
      </c>
      <c r="N72">
        <f t="shared" si="3"/>
        <v>68.329582499999987</v>
      </c>
      <c r="O72">
        <v>9.6309000000000005</v>
      </c>
      <c r="P72">
        <f t="shared" si="4"/>
        <v>9.6309000000000005</v>
      </c>
      <c r="S72">
        <f t="shared" si="5"/>
        <v>0.78539749999999997</v>
      </c>
    </row>
    <row r="73" spans="1:19">
      <c r="A73" s="9">
        <v>41906</v>
      </c>
      <c r="B73" s="7" t="s">
        <v>26</v>
      </c>
      <c r="C73">
        <v>2</v>
      </c>
      <c r="D73" t="s">
        <v>59</v>
      </c>
      <c r="E73">
        <v>281</v>
      </c>
      <c r="F73">
        <v>1.04</v>
      </c>
      <c r="N73">
        <f t="shared" si="3"/>
        <v>79.568516005333322</v>
      </c>
      <c r="O73">
        <v>10.3689</v>
      </c>
      <c r="P73">
        <f t="shared" si="4"/>
        <v>10.3689</v>
      </c>
      <c r="S73">
        <f t="shared" si="5"/>
        <v>0.84948593600000011</v>
      </c>
    </row>
    <row r="74" spans="1:19">
      <c r="A74" s="9">
        <v>41906</v>
      </c>
      <c r="B74" s="7" t="s">
        <v>26</v>
      </c>
      <c r="C74">
        <v>2</v>
      </c>
      <c r="D74" t="s">
        <v>59</v>
      </c>
      <c r="E74">
        <v>160</v>
      </c>
      <c r="F74">
        <v>0.89</v>
      </c>
      <c r="N74">
        <f t="shared" si="3"/>
        <v>33.179379186666665</v>
      </c>
      <c r="O74">
        <v>5.9039999999999999</v>
      </c>
      <c r="P74">
        <f t="shared" si="4"/>
        <v>5.9039999999999999</v>
      </c>
      <c r="S74">
        <f t="shared" si="5"/>
        <v>0.62211335975000004</v>
      </c>
    </row>
    <row r="75" spans="1:19">
      <c r="A75" s="9">
        <v>41906</v>
      </c>
      <c r="B75" s="7" t="s">
        <v>26</v>
      </c>
      <c r="C75">
        <v>2</v>
      </c>
      <c r="D75" t="s">
        <v>59</v>
      </c>
      <c r="E75">
        <v>99</v>
      </c>
      <c r="F75">
        <v>1.05</v>
      </c>
      <c r="N75">
        <f t="shared" si="3"/>
        <v>28.574724543749998</v>
      </c>
      <c r="O75">
        <v>3.6531000000000002</v>
      </c>
      <c r="P75">
        <f t="shared" si="4"/>
        <v>3.6531000000000002</v>
      </c>
      <c r="S75">
        <f t="shared" si="5"/>
        <v>0.86590074375000003</v>
      </c>
    </row>
    <row r="76" spans="1:19">
      <c r="A76" s="9">
        <v>41906</v>
      </c>
      <c r="B76" s="7" t="s">
        <v>26</v>
      </c>
      <c r="C76">
        <v>2</v>
      </c>
      <c r="D76" t="s">
        <v>59</v>
      </c>
      <c r="E76">
        <v>225</v>
      </c>
      <c r="F76">
        <v>0.8</v>
      </c>
      <c r="N76">
        <f t="shared" si="3"/>
        <v>37.699080000000002</v>
      </c>
      <c r="O76">
        <v>8.3025000000000002</v>
      </c>
      <c r="P76">
        <f t="shared" si="4"/>
        <v>8.3025000000000002</v>
      </c>
      <c r="S76">
        <f t="shared" si="5"/>
        <v>0.50265440000000006</v>
      </c>
    </row>
    <row r="77" spans="1:19">
      <c r="A77" s="9">
        <v>41906</v>
      </c>
      <c r="B77" s="7" t="s">
        <v>26</v>
      </c>
      <c r="C77">
        <v>2</v>
      </c>
      <c r="D77" t="s">
        <v>59</v>
      </c>
      <c r="E77">
        <v>271</v>
      </c>
      <c r="F77">
        <v>0.83</v>
      </c>
      <c r="N77">
        <f t="shared" si="3"/>
        <v>48.875783843416656</v>
      </c>
      <c r="O77">
        <v>9.9999000000000002</v>
      </c>
      <c r="P77">
        <f t="shared" si="4"/>
        <v>9.9999000000000002</v>
      </c>
      <c r="S77">
        <f t="shared" si="5"/>
        <v>0.54106033774999995</v>
      </c>
    </row>
    <row r="78" spans="1:19">
      <c r="A78" s="9">
        <v>41906</v>
      </c>
      <c r="B78" s="7" t="s">
        <v>26</v>
      </c>
      <c r="C78">
        <v>2</v>
      </c>
      <c r="D78" t="s">
        <v>59</v>
      </c>
      <c r="E78">
        <v>234</v>
      </c>
      <c r="F78">
        <v>0.88</v>
      </c>
      <c r="N78">
        <f t="shared" si="3"/>
        <v>47.440522271999995</v>
      </c>
      <c r="O78">
        <v>8.6346000000000007</v>
      </c>
      <c r="P78">
        <f t="shared" si="4"/>
        <v>8.6346000000000007</v>
      </c>
      <c r="S78">
        <f t="shared" si="5"/>
        <v>0.60821182399999996</v>
      </c>
    </row>
    <row r="79" spans="1:19">
      <c r="A79" s="9">
        <v>41906</v>
      </c>
      <c r="B79" s="7" t="s">
        <v>26</v>
      </c>
      <c r="C79">
        <v>2</v>
      </c>
      <c r="D79" t="s">
        <v>59</v>
      </c>
      <c r="E79">
        <v>234</v>
      </c>
      <c r="F79">
        <v>0.87</v>
      </c>
      <c r="N79">
        <f t="shared" si="3"/>
        <v>46.368454684500001</v>
      </c>
      <c r="O79">
        <v>8.6346000000000007</v>
      </c>
      <c r="P79">
        <f t="shared" si="4"/>
        <v>8.6346000000000007</v>
      </c>
      <c r="S79">
        <f t="shared" si="5"/>
        <v>0.59446736774999998</v>
      </c>
    </row>
    <row r="80" spans="1:19">
      <c r="A80" s="9">
        <v>41906</v>
      </c>
      <c r="B80" s="7" t="s">
        <v>26</v>
      </c>
      <c r="C80">
        <v>2</v>
      </c>
      <c r="D80" t="s">
        <v>59</v>
      </c>
      <c r="E80">
        <v>250</v>
      </c>
      <c r="F80">
        <v>1.1200000000000001</v>
      </c>
      <c r="N80">
        <f t="shared" si="3"/>
        <v>82.100218666666663</v>
      </c>
      <c r="O80">
        <v>9.2250000000000014</v>
      </c>
      <c r="P80">
        <f t="shared" si="4"/>
        <v>9.2250000000000014</v>
      </c>
      <c r="S80">
        <f t="shared" si="5"/>
        <v>0.98520262400000014</v>
      </c>
    </row>
    <row r="81" spans="1:19">
      <c r="A81" s="9">
        <v>41906</v>
      </c>
      <c r="B81" s="7" t="s">
        <v>26</v>
      </c>
      <c r="C81">
        <v>2</v>
      </c>
      <c r="D81" t="s">
        <v>59</v>
      </c>
      <c r="E81">
        <v>257</v>
      </c>
      <c r="F81">
        <v>0.95</v>
      </c>
      <c r="N81">
        <f t="shared" si="3"/>
        <v>60.722353214583329</v>
      </c>
      <c r="O81">
        <v>9.4832999999999998</v>
      </c>
      <c r="P81">
        <f t="shared" si="4"/>
        <v>9.4832999999999998</v>
      </c>
      <c r="S81">
        <f t="shared" si="5"/>
        <v>0.70882124375</v>
      </c>
    </row>
    <row r="82" spans="1:19">
      <c r="A82" s="9">
        <v>41906</v>
      </c>
      <c r="B82" s="7" t="s">
        <v>26</v>
      </c>
      <c r="C82">
        <v>2</v>
      </c>
      <c r="D82" t="s">
        <v>17</v>
      </c>
      <c r="F82">
        <v>3.53</v>
      </c>
      <c r="J82">
        <f>183+191+198+205+217+202</f>
        <v>1196</v>
      </c>
      <c r="K82">
        <v>6</v>
      </c>
      <c r="L82">
        <v>217</v>
      </c>
      <c r="N82" t="str">
        <f t="shared" si="3"/>
        <v>NA</v>
      </c>
      <c r="O82">
        <v>31.831199999999988</v>
      </c>
      <c r="P82">
        <f t="shared" si="4"/>
        <v>31.831199999999988</v>
      </c>
      <c r="S82">
        <f t="shared" si="5"/>
        <v>9.786759707749999</v>
      </c>
    </row>
    <row r="83" spans="1:19">
      <c r="A83" s="9">
        <v>41906</v>
      </c>
      <c r="B83" s="7" t="s">
        <v>26</v>
      </c>
      <c r="C83">
        <v>2</v>
      </c>
      <c r="D83" t="s">
        <v>17</v>
      </c>
      <c r="F83">
        <v>1.07</v>
      </c>
      <c r="J83">
        <f>60+167+188+228</f>
        <v>643</v>
      </c>
      <c r="K83">
        <v>4</v>
      </c>
      <c r="L83">
        <v>228</v>
      </c>
      <c r="N83" t="str">
        <f t="shared" si="3"/>
        <v>NA</v>
      </c>
      <c r="O83" t="s">
        <v>64</v>
      </c>
      <c r="P83" t="str">
        <f t="shared" si="4"/>
        <v xml:space="preserve"> </v>
      </c>
      <c r="S83">
        <f t="shared" si="5"/>
        <v>0.89920159774999997</v>
      </c>
    </row>
    <row r="84" spans="1:19">
      <c r="A84" s="9">
        <v>41906</v>
      </c>
      <c r="B84" s="7" t="s">
        <v>26</v>
      </c>
      <c r="C84">
        <v>2</v>
      </c>
      <c r="D84" t="s">
        <v>17</v>
      </c>
      <c r="F84">
        <v>1.51</v>
      </c>
      <c r="J84">
        <f>76+126</f>
        <v>202</v>
      </c>
      <c r="K84">
        <v>2</v>
      </c>
      <c r="L84">
        <v>126</v>
      </c>
      <c r="N84" t="str">
        <f t="shared" si="3"/>
        <v>NA</v>
      </c>
      <c r="O84" t="s">
        <v>64</v>
      </c>
      <c r="P84" t="str">
        <f t="shared" si="4"/>
        <v xml:space="preserve"> </v>
      </c>
      <c r="S84">
        <f t="shared" si="5"/>
        <v>1.7907848397499999</v>
      </c>
    </row>
    <row r="85" spans="1:19">
      <c r="A85" s="9">
        <v>41906</v>
      </c>
      <c r="B85" s="7" t="s">
        <v>26</v>
      </c>
      <c r="C85">
        <v>2</v>
      </c>
      <c r="D85" t="s">
        <v>17</v>
      </c>
      <c r="F85">
        <v>2.79</v>
      </c>
      <c r="J85">
        <f>176+177+241+239</f>
        <v>833</v>
      </c>
      <c r="K85">
        <v>4</v>
      </c>
      <c r="L85">
        <v>241</v>
      </c>
      <c r="N85" t="str">
        <f t="shared" si="3"/>
        <v>NA</v>
      </c>
      <c r="O85">
        <v>7.801099999999991</v>
      </c>
      <c r="P85">
        <f t="shared" si="4"/>
        <v>7.801099999999991</v>
      </c>
      <c r="S85">
        <f t="shared" si="5"/>
        <v>6.1136126797500001</v>
      </c>
    </row>
    <row r="86" spans="1:19">
      <c r="A86" s="9">
        <v>41906</v>
      </c>
      <c r="B86" s="7" t="s">
        <v>26</v>
      </c>
      <c r="C86">
        <v>2</v>
      </c>
      <c r="D86" t="s">
        <v>17</v>
      </c>
      <c r="F86">
        <v>1.04</v>
      </c>
      <c r="J86">
        <f>119+174+198+215+221</f>
        <v>927</v>
      </c>
      <c r="K86">
        <v>5</v>
      </c>
      <c r="L86">
        <v>221</v>
      </c>
      <c r="N86" t="str">
        <f t="shared" si="3"/>
        <v>NA</v>
      </c>
      <c r="O86">
        <v>15.291899999999991</v>
      </c>
      <c r="P86">
        <f t="shared" si="4"/>
        <v>15.291899999999991</v>
      </c>
      <c r="S86">
        <f t="shared" si="5"/>
        <v>0.84948593600000011</v>
      </c>
    </row>
    <row r="87" spans="1:19">
      <c r="A87" s="9">
        <v>41906</v>
      </c>
      <c r="B87" s="7" t="s">
        <v>26</v>
      </c>
      <c r="C87">
        <v>2</v>
      </c>
      <c r="D87" t="s">
        <v>17</v>
      </c>
      <c r="F87">
        <v>0.48</v>
      </c>
      <c r="J87">
        <f>118+133+138</f>
        <v>389</v>
      </c>
      <c r="K87">
        <v>3</v>
      </c>
      <c r="L87">
        <v>138</v>
      </c>
      <c r="N87" t="str">
        <f t="shared" si="3"/>
        <v>NA</v>
      </c>
      <c r="O87" t="s">
        <v>64</v>
      </c>
      <c r="P87" t="str">
        <f t="shared" si="4"/>
        <v xml:space="preserve"> </v>
      </c>
      <c r="S87">
        <f t="shared" si="5"/>
        <v>0.18095558399999997</v>
      </c>
    </row>
    <row r="88" spans="1:19">
      <c r="A88" s="9">
        <v>41906</v>
      </c>
      <c r="B88" s="7" t="s">
        <v>26</v>
      </c>
      <c r="C88">
        <v>16</v>
      </c>
      <c r="D88" t="s">
        <v>17</v>
      </c>
      <c r="F88">
        <v>6.66</v>
      </c>
      <c r="J88">
        <f>63+120+117+144+172+190+205+216+226+236+240+241+244</f>
        <v>2414</v>
      </c>
      <c r="K88">
        <v>13</v>
      </c>
      <c r="L88">
        <v>244</v>
      </c>
      <c r="N88" t="str">
        <f t="shared" si="3"/>
        <v>NA</v>
      </c>
      <c r="O88">
        <v>94.230799999999988</v>
      </c>
      <c r="P88">
        <f t="shared" si="4"/>
        <v>94.230799999999988</v>
      </c>
      <c r="S88">
        <f t="shared" si="5"/>
        <v>34.836777351000002</v>
      </c>
    </row>
    <row r="89" spans="1:19">
      <c r="A89" s="9">
        <v>41906</v>
      </c>
      <c r="B89" s="7" t="s">
        <v>26</v>
      </c>
      <c r="C89">
        <v>20</v>
      </c>
      <c r="M89" t="s">
        <v>61</v>
      </c>
      <c r="N89" t="str">
        <f t="shared" si="3"/>
        <v>NA</v>
      </c>
      <c r="O89" t="s">
        <v>64</v>
      </c>
      <c r="P89" t="str">
        <f t="shared" si="4"/>
        <v xml:space="preserve"> </v>
      </c>
      <c r="S89">
        <f t="shared" si="5"/>
        <v>0</v>
      </c>
    </row>
    <row r="90" spans="1:19">
      <c r="A90" s="9">
        <v>41906</v>
      </c>
      <c r="B90" s="7" t="s">
        <v>26</v>
      </c>
      <c r="C90">
        <v>22</v>
      </c>
      <c r="D90" t="s">
        <v>17</v>
      </c>
      <c r="F90">
        <v>4.38</v>
      </c>
      <c r="J90">
        <f>76+119+129+154+161+179+195+194</f>
        <v>1207</v>
      </c>
      <c r="K90">
        <v>8</v>
      </c>
      <c r="L90">
        <v>194</v>
      </c>
      <c r="N90" t="str">
        <f t="shared" si="3"/>
        <v>NA</v>
      </c>
      <c r="O90">
        <v>32.218899999999991</v>
      </c>
      <c r="P90">
        <f t="shared" si="4"/>
        <v>32.218899999999991</v>
      </c>
      <c r="S90">
        <f t="shared" si="5"/>
        <v>15.067379798999999</v>
      </c>
    </row>
    <row r="91" spans="1:19">
      <c r="A91" s="9">
        <v>41906</v>
      </c>
      <c r="B91" s="7" t="s">
        <v>26</v>
      </c>
      <c r="C91">
        <v>22</v>
      </c>
      <c r="D91" t="s">
        <v>17</v>
      </c>
      <c r="F91">
        <v>1.85</v>
      </c>
      <c r="J91">
        <f>31+33+55+60+125</f>
        <v>304</v>
      </c>
      <c r="K91">
        <v>5</v>
      </c>
      <c r="L91">
        <v>125</v>
      </c>
      <c r="N91" t="str">
        <f t="shared" si="3"/>
        <v>NA</v>
      </c>
      <c r="O91" t="s">
        <v>64</v>
      </c>
      <c r="P91" t="str">
        <f t="shared" si="4"/>
        <v xml:space="preserve"> </v>
      </c>
      <c r="S91">
        <f t="shared" si="5"/>
        <v>2.6880229437500001</v>
      </c>
    </row>
    <row r="92" spans="1:19">
      <c r="A92" s="9">
        <v>41906</v>
      </c>
      <c r="B92" s="7" t="s">
        <v>26</v>
      </c>
      <c r="C92">
        <v>22</v>
      </c>
      <c r="D92" t="s">
        <v>17</v>
      </c>
      <c r="F92">
        <v>0.35</v>
      </c>
      <c r="J92">
        <f>43+42</f>
        <v>85</v>
      </c>
      <c r="K92">
        <v>2</v>
      </c>
      <c r="L92">
        <v>43</v>
      </c>
      <c r="N92" t="str">
        <f t="shared" si="3"/>
        <v>NA</v>
      </c>
      <c r="O92" t="s">
        <v>64</v>
      </c>
      <c r="P92" t="str">
        <f t="shared" si="4"/>
        <v xml:space="preserve"> </v>
      </c>
      <c r="S92">
        <f t="shared" si="5"/>
        <v>9.6211193749999979E-2</v>
      </c>
    </row>
    <row r="93" spans="1:19">
      <c r="A93" s="9">
        <v>41906</v>
      </c>
      <c r="B93" s="7" t="s">
        <v>26</v>
      </c>
      <c r="C93">
        <v>22</v>
      </c>
      <c r="D93" t="s">
        <v>17</v>
      </c>
      <c r="F93">
        <v>1.59</v>
      </c>
      <c r="J93">
        <f>73+102+113+127</f>
        <v>415</v>
      </c>
      <c r="K93">
        <v>4</v>
      </c>
      <c r="L93">
        <v>127</v>
      </c>
      <c r="N93" t="str">
        <f t="shared" si="3"/>
        <v>NA</v>
      </c>
      <c r="O93" t="s">
        <v>64</v>
      </c>
      <c r="P93" t="str">
        <f t="shared" si="4"/>
        <v xml:space="preserve"> </v>
      </c>
      <c r="S93">
        <f t="shared" si="5"/>
        <v>1.9855634197500001</v>
      </c>
    </row>
    <row r="94" spans="1:19">
      <c r="A94" s="9">
        <v>41906</v>
      </c>
      <c r="B94" s="7" t="s">
        <v>26</v>
      </c>
      <c r="C94">
        <v>22</v>
      </c>
      <c r="D94" t="s">
        <v>17</v>
      </c>
      <c r="F94">
        <v>3.75</v>
      </c>
      <c r="J94">
        <f>43+55+58+67+76+103+135+148</f>
        <v>685</v>
      </c>
      <c r="K94">
        <v>8</v>
      </c>
      <c r="L94">
        <v>148</v>
      </c>
      <c r="N94" t="str">
        <f t="shared" si="3"/>
        <v>NA</v>
      </c>
      <c r="O94">
        <v>4.945499999999992</v>
      </c>
      <c r="P94">
        <f t="shared" si="4"/>
        <v>4.945499999999992</v>
      </c>
      <c r="S94">
        <f t="shared" si="5"/>
        <v>11.04465234375</v>
      </c>
    </row>
    <row r="95" spans="1:19">
      <c r="A95" s="9">
        <v>41906</v>
      </c>
      <c r="B95" s="7" t="s">
        <v>26</v>
      </c>
      <c r="C95">
        <v>22</v>
      </c>
      <c r="D95" t="s">
        <v>17</v>
      </c>
      <c r="E95">
        <v>161</v>
      </c>
      <c r="F95">
        <v>4.42</v>
      </c>
      <c r="H95">
        <v>22.5</v>
      </c>
      <c r="I95">
        <v>2.5</v>
      </c>
      <c r="N95" t="str">
        <f t="shared" si="3"/>
        <v>NA</v>
      </c>
      <c r="O95">
        <v>86.228520000000003</v>
      </c>
      <c r="P95">
        <f t="shared" si="4"/>
        <v>86.228520000000003</v>
      </c>
      <c r="S95">
        <f t="shared" si="5"/>
        <v>15.343839719</v>
      </c>
    </row>
    <row r="96" spans="1:19">
      <c r="A96" s="9">
        <v>41906</v>
      </c>
      <c r="B96" s="7" t="s">
        <v>26</v>
      </c>
      <c r="C96">
        <v>47</v>
      </c>
      <c r="D96" t="s">
        <v>17</v>
      </c>
      <c r="F96">
        <v>1.33</v>
      </c>
      <c r="J96">
        <f>74+96+116+123</f>
        <v>409</v>
      </c>
      <c r="K96">
        <v>4</v>
      </c>
      <c r="L96">
        <v>123</v>
      </c>
      <c r="N96" t="str">
        <f t="shared" si="3"/>
        <v>NA</v>
      </c>
      <c r="O96" t="s">
        <v>64</v>
      </c>
      <c r="P96" t="str">
        <f t="shared" si="4"/>
        <v xml:space="preserve"> </v>
      </c>
      <c r="S96">
        <f t="shared" si="5"/>
        <v>1.3892896377500001</v>
      </c>
    </row>
    <row r="97" spans="1:19">
      <c r="A97" s="9">
        <v>41906</v>
      </c>
      <c r="B97" s="7" t="s">
        <v>26</v>
      </c>
      <c r="C97">
        <v>47</v>
      </c>
      <c r="D97" t="s">
        <v>17</v>
      </c>
      <c r="F97">
        <v>1.64</v>
      </c>
      <c r="J97">
        <f>67+72+74+100</f>
        <v>313</v>
      </c>
      <c r="K97">
        <v>4</v>
      </c>
      <c r="L97">
        <v>100</v>
      </c>
      <c r="N97" t="str">
        <f t="shared" si="3"/>
        <v>NA</v>
      </c>
      <c r="O97" t="s">
        <v>64</v>
      </c>
      <c r="P97" t="str">
        <f t="shared" si="4"/>
        <v xml:space="preserve"> </v>
      </c>
      <c r="S97">
        <f t="shared" si="5"/>
        <v>2.1124051159999997</v>
      </c>
    </row>
    <row r="98" spans="1:19">
      <c r="A98" s="9">
        <v>41906</v>
      </c>
      <c r="B98" s="7" t="s">
        <v>26</v>
      </c>
      <c r="C98">
        <v>47</v>
      </c>
      <c r="D98" t="s">
        <v>17</v>
      </c>
      <c r="F98">
        <v>14.85</v>
      </c>
      <c r="J98">
        <f>300+327+368+362+397+417+423+442+444+441</f>
        <v>3921</v>
      </c>
      <c r="K98">
        <v>10</v>
      </c>
      <c r="L98">
        <v>444</v>
      </c>
      <c r="N98" t="str">
        <f t="shared" si="3"/>
        <v>NA</v>
      </c>
      <c r="O98">
        <v>168.12469999999996</v>
      </c>
      <c r="P98">
        <f t="shared" si="4"/>
        <v>168.12469999999996</v>
      </c>
      <c r="S98">
        <f t="shared" si="5"/>
        <v>173.19782019374998</v>
      </c>
    </row>
    <row r="99" spans="1:19">
      <c r="A99" s="9">
        <v>41906</v>
      </c>
      <c r="B99" s="7" t="s">
        <v>26</v>
      </c>
      <c r="C99">
        <v>47</v>
      </c>
      <c r="D99" t="s">
        <v>17</v>
      </c>
      <c r="F99">
        <v>1.71</v>
      </c>
      <c r="J99">
        <f>60+84+99+141+150</f>
        <v>534</v>
      </c>
      <c r="K99">
        <v>5</v>
      </c>
      <c r="L99">
        <v>150</v>
      </c>
      <c r="N99" t="str">
        <f t="shared" si="3"/>
        <v>NA</v>
      </c>
      <c r="O99">
        <v>0.72279999999999234</v>
      </c>
      <c r="P99">
        <f t="shared" si="4"/>
        <v>0.72279999999999234</v>
      </c>
      <c r="S99">
        <f t="shared" si="5"/>
        <v>2.2965808297499999</v>
      </c>
    </row>
    <row r="100" spans="1:19">
      <c r="A100" s="9">
        <v>41906</v>
      </c>
      <c r="B100" s="7" t="s">
        <v>26</v>
      </c>
      <c r="C100">
        <v>47</v>
      </c>
      <c r="D100" t="s">
        <v>17</v>
      </c>
      <c r="F100">
        <v>11.84</v>
      </c>
      <c r="J100">
        <f>316+351+376+389+431+447+447+451</f>
        <v>3208</v>
      </c>
      <c r="K100">
        <v>8</v>
      </c>
      <c r="L100">
        <v>451</v>
      </c>
      <c r="N100" t="str">
        <f t="shared" si="3"/>
        <v>NA</v>
      </c>
      <c r="O100">
        <v>123.53759999999997</v>
      </c>
      <c r="P100">
        <f t="shared" si="4"/>
        <v>123.53759999999997</v>
      </c>
      <c r="S100">
        <f t="shared" si="5"/>
        <v>110.10141977599999</v>
      </c>
    </row>
    <row r="101" spans="1:19">
      <c r="A101" s="9">
        <v>41886</v>
      </c>
      <c r="B101" s="7" t="s">
        <v>18</v>
      </c>
      <c r="C101">
        <v>19</v>
      </c>
      <c r="D101" t="s">
        <v>59</v>
      </c>
      <c r="E101">
        <v>233</v>
      </c>
      <c r="F101">
        <v>8.6999999999999993</v>
      </c>
      <c r="N101">
        <f t="shared" si="3"/>
        <v>4617.0298895249989</v>
      </c>
      <c r="O101">
        <v>8.5976999999999997</v>
      </c>
      <c r="P101">
        <f t="shared" si="4"/>
        <v>8.5976999999999997</v>
      </c>
      <c r="S101">
        <f t="shared" si="5"/>
        <v>59.446736774999984</v>
      </c>
    </row>
    <row r="102" spans="1:19">
      <c r="A102" s="9">
        <v>41886</v>
      </c>
      <c r="B102" s="7" t="s">
        <v>18</v>
      </c>
      <c r="C102">
        <v>19</v>
      </c>
      <c r="D102" t="s">
        <v>59</v>
      </c>
      <c r="E102">
        <v>331</v>
      </c>
      <c r="F102">
        <v>1.63</v>
      </c>
      <c r="N102">
        <f t="shared" si="3"/>
        <v>230.23506215841661</v>
      </c>
      <c r="O102">
        <v>12.213900000000001</v>
      </c>
      <c r="P102">
        <f t="shared" si="4"/>
        <v>12.213900000000001</v>
      </c>
      <c r="S102">
        <f t="shared" si="5"/>
        <v>2.0867226177499996</v>
      </c>
    </row>
    <row r="103" spans="1:19">
      <c r="A103" s="9">
        <v>41886</v>
      </c>
      <c r="B103" s="7" t="s">
        <v>18</v>
      </c>
      <c r="C103">
        <v>19</v>
      </c>
      <c r="D103" t="s">
        <v>59</v>
      </c>
      <c r="E103">
        <v>235</v>
      </c>
      <c r="F103">
        <v>0.88</v>
      </c>
      <c r="N103">
        <f t="shared" si="3"/>
        <v>47.643259546666656</v>
      </c>
      <c r="O103">
        <v>8.6715</v>
      </c>
      <c r="P103">
        <f t="shared" si="4"/>
        <v>8.6715</v>
      </c>
      <c r="S103">
        <f t="shared" si="5"/>
        <v>0.60821182399999996</v>
      </c>
    </row>
    <row r="104" spans="1:19">
      <c r="A104" s="9">
        <v>41886</v>
      </c>
      <c r="B104" s="7" t="s">
        <v>18</v>
      </c>
      <c r="C104">
        <v>19</v>
      </c>
      <c r="D104" t="s">
        <v>59</v>
      </c>
      <c r="E104">
        <v>300</v>
      </c>
      <c r="F104">
        <v>1.29</v>
      </c>
      <c r="N104">
        <f t="shared" si="3"/>
        <v>130.69799797499999</v>
      </c>
      <c r="O104">
        <v>11.07</v>
      </c>
      <c r="P104">
        <f t="shared" si="4"/>
        <v>11.07</v>
      </c>
      <c r="S104">
        <f t="shared" si="5"/>
        <v>1.3069799797500001</v>
      </c>
    </row>
    <row r="105" spans="1:19">
      <c r="A105" s="9">
        <v>41886</v>
      </c>
      <c r="B105" s="7" t="s">
        <v>18</v>
      </c>
      <c r="C105">
        <v>19</v>
      </c>
      <c r="D105" t="s">
        <v>59</v>
      </c>
      <c r="E105">
        <v>17</v>
      </c>
      <c r="F105">
        <v>0.24</v>
      </c>
      <c r="N105">
        <f t="shared" si="3"/>
        <v>0.25635374399999994</v>
      </c>
      <c r="O105">
        <v>0.62730000000000008</v>
      </c>
      <c r="P105">
        <f t="shared" si="4"/>
        <v>0.62730000000000008</v>
      </c>
      <c r="S105">
        <f t="shared" si="5"/>
        <v>4.5238895999999994E-2</v>
      </c>
    </row>
    <row r="106" spans="1:19">
      <c r="A106" s="9">
        <v>41886</v>
      </c>
      <c r="B106" s="7" t="s">
        <v>18</v>
      </c>
      <c r="C106">
        <v>19</v>
      </c>
      <c r="D106" t="s">
        <v>59</v>
      </c>
      <c r="E106">
        <v>122</v>
      </c>
      <c r="F106">
        <v>0.91</v>
      </c>
      <c r="N106">
        <f t="shared" si="3"/>
        <v>26.449098569833332</v>
      </c>
      <c r="O106">
        <v>4.5018000000000002</v>
      </c>
      <c r="P106">
        <f t="shared" si="4"/>
        <v>4.5018000000000002</v>
      </c>
      <c r="S106">
        <f t="shared" si="5"/>
        <v>0.65038766975000006</v>
      </c>
    </row>
    <row r="107" spans="1:19">
      <c r="A107" s="9">
        <v>41886</v>
      </c>
      <c r="B107" s="7" t="s">
        <v>18</v>
      </c>
      <c r="C107">
        <v>19</v>
      </c>
      <c r="D107" t="s">
        <v>17</v>
      </c>
      <c r="F107">
        <v>2.0099999999999998</v>
      </c>
      <c r="J107">
        <f>67+111+138+152+205</f>
        <v>673</v>
      </c>
      <c r="K107">
        <v>5</v>
      </c>
      <c r="L107">
        <v>205</v>
      </c>
      <c r="N107" t="str">
        <f t="shared" si="3"/>
        <v>NA</v>
      </c>
      <c r="O107">
        <v>0.97409999999999286</v>
      </c>
      <c r="P107">
        <f t="shared" si="4"/>
        <v>0.97409999999999286</v>
      </c>
      <c r="S107">
        <f t="shared" si="5"/>
        <v>3.1730844397499989</v>
      </c>
    </row>
    <row r="108" spans="1:19">
      <c r="A108" s="9">
        <v>41886</v>
      </c>
      <c r="B108" s="7" t="s">
        <v>18</v>
      </c>
      <c r="C108">
        <v>19</v>
      </c>
      <c r="D108" t="s">
        <v>17</v>
      </c>
      <c r="F108">
        <v>3.54</v>
      </c>
      <c r="J108">
        <f>123+225+256+271+274+310+315</f>
        <v>1774</v>
      </c>
      <c r="K108">
        <v>7</v>
      </c>
      <c r="L108">
        <v>315</v>
      </c>
      <c r="N108" t="str">
        <f t="shared" si="3"/>
        <v>NA</v>
      </c>
      <c r="O108">
        <v>52.252799999999986</v>
      </c>
      <c r="P108">
        <f t="shared" si="4"/>
        <v>52.252799999999986</v>
      </c>
      <c r="S108">
        <f t="shared" si="5"/>
        <v>9.8422873109999998</v>
      </c>
    </row>
    <row r="109" spans="1:19">
      <c r="A109" s="9">
        <v>41886</v>
      </c>
      <c r="B109" s="7" t="s">
        <v>18</v>
      </c>
      <c r="C109">
        <v>19</v>
      </c>
      <c r="D109" t="s">
        <v>17</v>
      </c>
      <c r="F109">
        <v>3.16</v>
      </c>
      <c r="J109">
        <f>260+282+290+316+332</f>
        <v>1480</v>
      </c>
      <c r="K109">
        <v>5</v>
      </c>
      <c r="L109">
        <v>332</v>
      </c>
      <c r="N109" t="str">
        <f t="shared" si="3"/>
        <v>NA</v>
      </c>
      <c r="O109">
        <v>33.972999999999992</v>
      </c>
      <c r="P109">
        <f t="shared" si="4"/>
        <v>33.972999999999992</v>
      </c>
      <c r="S109">
        <f t="shared" si="5"/>
        <v>7.8426652760000009</v>
      </c>
    </row>
    <row r="110" spans="1:19">
      <c r="A110" s="9">
        <v>41886</v>
      </c>
      <c r="B110" s="7" t="s">
        <v>18</v>
      </c>
      <c r="C110">
        <v>19</v>
      </c>
      <c r="D110" t="s">
        <v>17</v>
      </c>
      <c r="F110">
        <v>2.6</v>
      </c>
      <c r="J110">
        <f>136+160+230+249+251+278+305</f>
        <v>1609</v>
      </c>
      <c r="K110">
        <v>7</v>
      </c>
      <c r="L110">
        <v>305</v>
      </c>
      <c r="N110" t="str">
        <f t="shared" si="3"/>
        <v>NA</v>
      </c>
      <c r="O110">
        <v>42.887299999999989</v>
      </c>
      <c r="P110">
        <f t="shared" si="4"/>
        <v>42.887299999999989</v>
      </c>
      <c r="S110">
        <f t="shared" si="5"/>
        <v>5.3092871000000006</v>
      </c>
    </row>
    <row r="111" spans="1:19">
      <c r="A111" s="9">
        <v>41886</v>
      </c>
      <c r="B111" s="7" t="s">
        <v>18</v>
      </c>
      <c r="C111">
        <v>19</v>
      </c>
      <c r="D111" t="s">
        <v>17</v>
      </c>
      <c r="F111">
        <v>5.45</v>
      </c>
      <c r="J111">
        <f>237+289+341+350+354+364+367+369+380+391</f>
        <v>3442</v>
      </c>
      <c r="K111">
        <v>1</v>
      </c>
      <c r="L111">
        <v>391</v>
      </c>
      <c r="N111" t="str">
        <f t="shared" si="3"/>
        <v>NA</v>
      </c>
      <c r="O111">
        <v>163.39839999999998</v>
      </c>
      <c r="P111">
        <f t="shared" si="4"/>
        <v>163.39839999999998</v>
      </c>
      <c r="S111">
        <f t="shared" si="5"/>
        <v>23.32826924375</v>
      </c>
    </row>
    <row r="112" spans="1:19">
      <c r="A112" s="9">
        <v>41886</v>
      </c>
      <c r="B112" s="7" t="s">
        <v>18</v>
      </c>
      <c r="C112">
        <v>19</v>
      </c>
      <c r="D112" t="s">
        <v>17</v>
      </c>
      <c r="F112">
        <v>0.8</v>
      </c>
      <c r="J112">
        <f>37+55</f>
        <v>92</v>
      </c>
      <c r="K112">
        <v>2</v>
      </c>
      <c r="L112">
        <v>55</v>
      </c>
      <c r="N112" t="str">
        <f t="shared" si="3"/>
        <v>NA</v>
      </c>
      <c r="O112" t="s">
        <v>64</v>
      </c>
      <c r="P112" t="str">
        <f t="shared" si="4"/>
        <v xml:space="preserve"> </v>
      </c>
      <c r="S112">
        <f t="shared" si="5"/>
        <v>0.50265440000000006</v>
      </c>
    </row>
    <row r="113" spans="1:19">
      <c r="A113" s="9">
        <v>41886</v>
      </c>
      <c r="B113" s="7" t="s">
        <v>18</v>
      </c>
      <c r="C113">
        <v>19</v>
      </c>
      <c r="D113" t="s">
        <v>17</v>
      </c>
      <c r="F113">
        <v>1.51</v>
      </c>
      <c r="J113">
        <f>211</f>
        <v>211</v>
      </c>
      <c r="K113">
        <v>1</v>
      </c>
      <c r="L113">
        <v>211</v>
      </c>
      <c r="N113" t="str">
        <f t="shared" si="3"/>
        <v>NA</v>
      </c>
      <c r="O113" t="s">
        <v>64</v>
      </c>
      <c r="P113" t="str">
        <f t="shared" si="4"/>
        <v xml:space="preserve"> </v>
      </c>
      <c r="S113">
        <f t="shared" si="5"/>
        <v>1.7907848397499999</v>
      </c>
    </row>
    <row r="114" spans="1:19">
      <c r="A114" s="9">
        <v>41886</v>
      </c>
      <c r="B114" s="7" t="s">
        <v>18</v>
      </c>
      <c r="C114">
        <v>19</v>
      </c>
      <c r="D114" t="s">
        <v>17</v>
      </c>
      <c r="F114">
        <v>0.88</v>
      </c>
      <c r="J114">
        <f>31+63</f>
        <v>94</v>
      </c>
      <c r="K114">
        <v>2</v>
      </c>
      <c r="L114">
        <v>63</v>
      </c>
      <c r="N114" t="str">
        <f t="shared" si="3"/>
        <v>NA</v>
      </c>
      <c r="O114" t="s">
        <v>64</v>
      </c>
      <c r="P114" t="str">
        <f t="shared" si="4"/>
        <v xml:space="preserve"> </v>
      </c>
      <c r="S114">
        <f t="shared" si="5"/>
        <v>0.60821182399999996</v>
      </c>
    </row>
    <row r="115" spans="1:19">
      <c r="A115" s="9">
        <v>41886</v>
      </c>
      <c r="B115" s="7" t="s">
        <v>18</v>
      </c>
      <c r="C115">
        <v>19</v>
      </c>
      <c r="D115" t="s">
        <v>17</v>
      </c>
      <c r="F115">
        <v>3.05</v>
      </c>
      <c r="J115">
        <f>248+308+313+365+387+349</f>
        <v>1970</v>
      </c>
      <c r="K115">
        <v>6</v>
      </c>
      <c r="L115">
        <v>387</v>
      </c>
      <c r="N115" t="str">
        <f t="shared" si="3"/>
        <v>NA</v>
      </c>
      <c r="O115">
        <v>55.576999999999998</v>
      </c>
      <c r="P115">
        <f t="shared" si="4"/>
        <v>55.576999999999998</v>
      </c>
      <c r="S115">
        <f t="shared" si="5"/>
        <v>7.3061602437499982</v>
      </c>
    </row>
    <row r="116" spans="1:19">
      <c r="A116" s="9">
        <v>41886</v>
      </c>
      <c r="B116" s="7" t="s">
        <v>18</v>
      </c>
      <c r="C116">
        <v>20</v>
      </c>
      <c r="D116" t="s">
        <v>59</v>
      </c>
      <c r="E116">
        <v>249</v>
      </c>
      <c r="F116">
        <v>1.46</v>
      </c>
      <c r="N116">
        <f t="shared" si="3"/>
        <v>138.95472481299998</v>
      </c>
      <c r="O116">
        <v>9.1881000000000004</v>
      </c>
      <c r="P116">
        <f t="shared" si="4"/>
        <v>9.1881000000000004</v>
      </c>
      <c r="S116">
        <f t="shared" si="5"/>
        <v>1.6741533109999998</v>
      </c>
    </row>
    <row r="117" spans="1:19">
      <c r="A117" s="9">
        <v>41886</v>
      </c>
      <c r="B117" s="7" t="s">
        <v>18</v>
      </c>
      <c r="C117">
        <v>20</v>
      </c>
      <c r="D117" t="s">
        <v>59</v>
      </c>
      <c r="E117">
        <v>277</v>
      </c>
      <c r="F117">
        <v>1.0900000000000001</v>
      </c>
      <c r="N117">
        <f t="shared" si="3"/>
        <v>86.159074406916673</v>
      </c>
      <c r="O117">
        <v>10.221300000000001</v>
      </c>
      <c r="P117">
        <f t="shared" si="4"/>
        <v>10.221300000000001</v>
      </c>
      <c r="S117">
        <f t="shared" si="5"/>
        <v>0.93313076975000009</v>
      </c>
    </row>
    <row r="118" spans="1:19">
      <c r="A118" s="9">
        <v>41886</v>
      </c>
      <c r="B118" s="7" t="s">
        <v>18</v>
      </c>
      <c r="C118">
        <v>20</v>
      </c>
      <c r="D118" t="s">
        <v>59</v>
      </c>
      <c r="E118">
        <v>298</v>
      </c>
      <c r="F118">
        <v>1.45</v>
      </c>
      <c r="N118">
        <f t="shared" si="3"/>
        <v>164.02895887916665</v>
      </c>
      <c r="O118">
        <v>10.9962</v>
      </c>
      <c r="P118">
        <f t="shared" si="4"/>
        <v>10.9962</v>
      </c>
      <c r="S118">
        <f t="shared" si="5"/>
        <v>1.6512982437499999</v>
      </c>
    </row>
    <row r="119" spans="1:19">
      <c r="A119" s="9">
        <v>41886</v>
      </c>
      <c r="B119" s="7" t="s">
        <v>18</v>
      </c>
      <c r="C119">
        <v>20</v>
      </c>
      <c r="D119" t="s">
        <v>59</v>
      </c>
      <c r="E119">
        <v>165</v>
      </c>
      <c r="F119">
        <v>0.81</v>
      </c>
      <c r="N119">
        <f t="shared" si="3"/>
        <v>28.341461486250004</v>
      </c>
      <c r="O119">
        <v>6.0885000000000007</v>
      </c>
      <c r="P119">
        <f t="shared" si="4"/>
        <v>6.0885000000000007</v>
      </c>
      <c r="S119">
        <f t="shared" si="5"/>
        <v>0.51529929975000011</v>
      </c>
    </row>
    <row r="120" spans="1:19">
      <c r="A120" s="9">
        <v>41886</v>
      </c>
      <c r="B120" s="7" t="s">
        <v>18</v>
      </c>
      <c r="C120">
        <v>20</v>
      </c>
      <c r="D120" t="s">
        <v>59</v>
      </c>
      <c r="E120">
        <v>266</v>
      </c>
      <c r="F120">
        <v>1.06</v>
      </c>
      <c r="N120">
        <f t="shared" si="3"/>
        <v>78.24590661533334</v>
      </c>
      <c r="O120">
        <v>9.8154000000000003</v>
      </c>
      <c r="P120">
        <f t="shared" si="4"/>
        <v>9.8154000000000003</v>
      </c>
      <c r="S120">
        <f t="shared" si="5"/>
        <v>0.88247263100000006</v>
      </c>
    </row>
    <row r="121" spans="1:19">
      <c r="A121" s="9">
        <v>41886</v>
      </c>
      <c r="B121" s="7" t="s">
        <v>18</v>
      </c>
      <c r="C121">
        <v>20</v>
      </c>
      <c r="D121" t="s">
        <v>59</v>
      </c>
      <c r="E121">
        <v>298</v>
      </c>
      <c r="F121">
        <v>1.26</v>
      </c>
      <c r="N121">
        <f t="shared" si="3"/>
        <v>123.85844238600001</v>
      </c>
      <c r="O121">
        <v>10.9962</v>
      </c>
      <c r="P121">
        <f t="shared" si="4"/>
        <v>10.9962</v>
      </c>
      <c r="S121">
        <f t="shared" si="5"/>
        <v>1.246897071</v>
      </c>
    </row>
    <row r="122" spans="1:19">
      <c r="A122" s="9">
        <v>41886</v>
      </c>
      <c r="B122" s="7" t="s">
        <v>18</v>
      </c>
      <c r="C122">
        <v>20</v>
      </c>
      <c r="D122" t="s">
        <v>59</v>
      </c>
      <c r="E122">
        <v>322</v>
      </c>
      <c r="F122">
        <v>0.66</v>
      </c>
      <c r="N122">
        <f t="shared" si="3"/>
        <v>36.720788874</v>
      </c>
      <c r="O122">
        <v>11.8818</v>
      </c>
      <c r="P122">
        <f t="shared" si="4"/>
        <v>11.8818</v>
      </c>
      <c r="S122">
        <f t="shared" si="5"/>
        <v>0.34211915100000001</v>
      </c>
    </row>
    <row r="123" spans="1:19">
      <c r="A123" s="9">
        <v>41886</v>
      </c>
      <c r="B123" s="7" t="s">
        <v>18</v>
      </c>
      <c r="C123">
        <v>20</v>
      </c>
      <c r="D123" t="s">
        <v>59</v>
      </c>
      <c r="E123">
        <v>268</v>
      </c>
      <c r="F123">
        <v>1.32</v>
      </c>
      <c r="N123">
        <f t="shared" si="3"/>
        <v>122.250576624</v>
      </c>
      <c r="O123">
        <v>9.8892000000000007</v>
      </c>
      <c r="P123">
        <f t="shared" si="4"/>
        <v>9.8892000000000007</v>
      </c>
      <c r="S123">
        <f t="shared" si="5"/>
        <v>1.368476604</v>
      </c>
    </row>
    <row r="124" spans="1:19">
      <c r="A124" s="9">
        <v>41886</v>
      </c>
      <c r="B124" s="7" t="s">
        <v>18</v>
      </c>
      <c r="C124">
        <v>20</v>
      </c>
      <c r="D124" t="s">
        <v>59</v>
      </c>
      <c r="E124">
        <v>273</v>
      </c>
      <c r="F124">
        <v>1.26</v>
      </c>
      <c r="N124">
        <f t="shared" si="3"/>
        <v>113.46763346100001</v>
      </c>
      <c r="O124">
        <v>10.073700000000001</v>
      </c>
      <c r="P124">
        <f t="shared" si="4"/>
        <v>10.073700000000001</v>
      </c>
      <c r="S124">
        <f t="shared" si="5"/>
        <v>1.246897071</v>
      </c>
    </row>
    <row r="125" spans="1:19">
      <c r="A125" s="9">
        <v>41886</v>
      </c>
      <c r="B125" s="7" t="s">
        <v>18</v>
      </c>
      <c r="C125">
        <v>20</v>
      </c>
      <c r="D125" t="s">
        <v>59</v>
      </c>
      <c r="E125">
        <v>343</v>
      </c>
      <c r="F125">
        <v>1.1100000000000001</v>
      </c>
      <c r="N125">
        <f t="shared" si="3"/>
        <v>110.63902436475</v>
      </c>
      <c r="O125">
        <v>12.656700000000001</v>
      </c>
      <c r="P125">
        <f t="shared" si="4"/>
        <v>12.656700000000001</v>
      </c>
      <c r="S125">
        <f t="shared" si="5"/>
        <v>0.96768825975000017</v>
      </c>
    </row>
    <row r="126" spans="1:19">
      <c r="A126" s="9">
        <v>41886</v>
      </c>
      <c r="B126" s="7" t="s">
        <v>18</v>
      </c>
      <c r="C126">
        <v>20</v>
      </c>
      <c r="D126" t="s">
        <v>59</v>
      </c>
      <c r="E126">
        <v>247</v>
      </c>
      <c r="F126">
        <v>0.93</v>
      </c>
      <c r="N126">
        <f t="shared" si="3"/>
        <v>55.928234514750002</v>
      </c>
      <c r="O126">
        <v>9.1143000000000001</v>
      </c>
      <c r="P126">
        <f t="shared" si="4"/>
        <v>9.1143000000000001</v>
      </c>
      <c r="S126">
        <f t="shared" si="5"/>
        <v>0.67929029775000005</v>
      </c>
    </row>
    <row r="127" spans="1:19">
      <c r="A127" s="9">
        <v>41886</v>
      </c>
      <c r="B127" s="7" t="s">
        <v>18</v>
      </c>
      <c r="C127">
        <v>20</v>
      </c>
      <c r="D127" t="s">
        <v>59</v>
      </c>
      <c r="E127">
        <v>156</v>
      </c>
      <c r="F127">
        <v>0.76</v>
      </c>
      <c r="N127">
        <f t="shared" si="3"/>
        <v>23.589570991999999</v>
      </c>
      <c r="O127">
        <v>5.7564000000000002</v>
      </c>
      <c r="P127">
        <f t="shared" si="4"/>
        <v>5.7564000000000002</v>
      </c>
      <c r="S127">
        <f t="shared" si="5"/>
        <v>0.45364559599999998</v>
      </c>
    </row>
    <row r="128" spans="1:19">
      <c r="A128" s="9">
        <v>41886</v>
      </c>
      <c r="B128" s="7" t="s">
        <v>18</v>
      </c>
      <c r="C128">
        <v>20</v>
      </c>
      <c r="D128" t="s">
        <v>59</v>
      </c>
      <c r="E128">
        <v>216</v>
      </c>
      <c r="F128">
        <v>1.2</v>
      </c>
      <c r="N128">
        <f t="shared" si="3"/>
        <v>81.430012799999986</v>
      </c>
      <c r="O128">
        <v>7.9704000000000006</v>
      </c>
      <c r="P128">
        <f t="shared" si="4"/>
        <v>7.9704000000000006</v>
      </c>
      <c r="S128">
        <f t="shared" si="5"/>
        <v>1.1309723999999999</v>
      </c>
    </row>
    <row r="129" spans="1:19">
      <c r="A129" s="9">
        <v>41886</v>
      </c>
      <c r="B129" s="7" t="s">
        <v>18</v>
      </c>
      <c r="C129">
        <v>20</v>
      </c>
      <c r="D129" t="s">
        <v>17</v>
      </c>
      <c r="F129">
        <v>0.91</v>
      </c>
      <c r="J129">
        <f>135+225+233+236+315+328</f>
        <v>1472</v>
      </c>
      <c r="K129">
        <v>6</v>
      </c>
      <c r="L129">
        <v>328</v>
      </c>
      <c r="N129" t="str">
        <f t="shared" si="3"/>
        <v>NA</v>
      </c>
      <c r="O129">
        <v>32.036399999999986</v>
      </c>
      <c r="P129">
        <f t="shared" si="4"/>
        <v>32.036399999999986</v>
      </c>
      <c r="S129">
        <f t="shared" si="5"/>
        <v>0.65038766975000006</v>
      </c>
    </row>
    <row r="130" spans="1:19">
      <c r="A130" s="9">
        <v>41886</v>
      </c>
      <c r="B130" s="7" t="s">
        <v>18</v>
      </c>
      <c r="C130">
        <v>20</v>
      </c>
      <c r="D130" t="s">
        <v>17</v>
      </c>
      <c r="F130">
        <v>1.31</v>
      </c>
      <c r="J130">
        <f>61+134+124+189+218+218+234</f>
        <v>1178</v>
      </c>
      <c r="K130">
        <v>7</v>
      </c>
      <c r="L130">
        <v>234</v>
      </c>
      <c r="N130" t="str">
        <f t="shared" si="3"/>
        <v>NA</v>
      </c>
      <c r="O130">
        <v>25.783599999999993</v>
      </c>
      <c r="P130">
        <f t="shared" si="4"/>
        <v>25.783599999999993</v>
      </c>
      <c r="S130">
        <f t="shared" si="5"/>
        <v>1.34782064975</v>
      </c>
    </row>
    <row r="131" spans="1:19">
      <c r="A131" s="9">
        <v>41886</v>
      </c>
      <c r="B131" s="7" t="s">
        <v>18</v>
      </c>
      <c r="C131">
        <v>20</v>
      </c>
      <c r="D131" t="s">
        <v>17</v>
      </c>
      <c r="E131">
        <v>257</v>
      </c>
      <c r="F131">
        <v>1.94</v>
      </c>
      <c r="H131">
        <v>26</v>
      </c>
      <c r="I131">
        <v>2</v>
      </c>
      <c r="N131" t="str">
        <f t="shared" si="3"/>
        <v>NA</v>
      </c>
      <c r="O131">
        <v>82.805540000000008</v>
      </c>
      <c r="P131">
        <f t="shared" si="4"/>
        <v>82.805540000000008</v>
      </c>
      <c r="S131">
        <f t="shared" si="5"/>
        <v>2.9559220309999996</v>
      </c>
    </row>
    <row r="132" spans="1:19">
      <c r="A132" s="9">
        <v>41886</v>
      </c>
      <c r="B132" s="7" t="s">
        <v>18</v>
      </c>
      <c r="C132">
        <v>20</v>
      </c>
      <c r="D132" t="s">
        <v>17</v>
      </c>
      <c r="E132">
        <v>254</v>
      </c>
      <c r="F132">
        <v>2.25</v>
      </c>
      <c r="H132">
        <v>34</v>
      </c>
      <c r="I132">
        <v>2.5</v>
      </c>
      <c r="N132" t="str">
        <f t="shared" ref="N132:N195" si="6">IF(OR(D132="S. acutus", D132="S. tabernaemontani", D132="S. californicus"),(1/3)*(3.14159)*((F132/2)^2)*E132,"NA")</f>
        <v>NA</v>
      </c>
      <c r="O132">
        <v>88.640499999999989</v>
      </c>
      <c r="P132">
        <f t="shared" si="4"/>
        <v>88.640499999999989</v>
      </c>
      <c r="S132">
        <f t="shared" si="5"/>
        <v>3.9760748437499998</v>
      </c>
    </row>
    <row r="133" spans="1:19">
      <c r="A133" s="9">
        <v>41886</v>
      </c>
      <c r="B133" s="7" t="s">
        <v>18</v>
      </c>
      <c r="C133">
        <v>20</v>
      </c>
      <c r="D133" t="s">
        <v>17</v>
      </c>
      <c r="F133">
        <v>0.56000000000000005</v>
      </c>
      <c r="J133">
        <f>25+45</f>
        <v>70</v>
      </c>
      <c r="K133">
        <v>2</v>
      </c>
      <c r="L133">
        <v>45</v>
      </c>
      <c r="N133" t="str">
        <f t="shared" si="6"/>
        <v>NA</v>
      </c>
      <c r="O133" t="s">
        <v>64</v>
      </c>
      <c r="P133" t="str">
        <f t="shared" ref="P133:P196" si="7">IF(O133&gt;0,O133," ")</f>
        <v xml:space="preserve"> </v>
      </c>
      <c r="S133">
        <f t="shared" ref="S133:S196" si="8">3.14159*((F133/2)^2)</f>
        <v>0.24630065600000003</v>
      </c>
    </row>
    <row r="134" spans="1:19">
      <c r="A134" s="9">
        <v>41886</v>
      </c>
      <c r="B134" s="7" t="s">
        <v>18</v>
      </c>
      <c r="C134">
        <v>20</v>
      </c>
      <c r="D134" t="s">
        <v>17</v>
      </c>
      <c r="F134">
        <v>2.36</v>
      </c>
      <c r="J134">
        <f>136+200+213+241+264+292</f>
        <v>1346</v>
      </c>
      <c r="K134">
        <v>6</v>
      </c>
      <c r="L134">
        <v>292</v>
      </c>
      <c r="N134" t="str">
        <f t="shared" si="6"/>
        <v>NA</v>
      </c>
      <c r="O134">
        <v>29.536199999999994</v>
      </c>
      <c r="P134">
        <f t="shared" si="7"/>
        <v>29.536199999999994</v>
      </c>
      <c r="S134">
        <f t="shared" si="8"/>
        <v>4.374349915999999</v>
      </c>
    </row>
    <row r="135" spans="1:19">
      <c r="A135" s="9">
        <v>41886</v>
      </c>
      <c r="B135" s="7" t="s">
        <v>18</v>
      </c>
      <c r="C135">
        <v>20</v>
      </c>
      <c r="D135" t="s">
        <v>17</v>
      </c>
      <c r="F135">
        <v>4.4000000000000004</v>
      </c>
      <c r="J135">
        <f>267+290+310+326</f>
        <v>1193</v>
      </c>
      <c r="K135">
        <v>4</v>
      </c>
      <c r="L135">
        <v>326</v>
      </c>
      <c r="N135" t="str">
        <f t="shared" si="6"/>
        <v>NA</v>
      </c>
      <c r="O135">
        <v>17.873099999999987</v>
      </c>
      <c r="P135">
        <f t="shared" si="7"/>
        <v>17.873099999999987</v>
      </c>
      <c r="S135">
        <f t="shared" si="8"/>
        <v>15.205295600000001</v>
      </c>
    </row>
    <row r="136" spans="1:19">
      <c r="A136" s="9">
        <v>41886</v>
      </c>
      <c r="B136" s="7" t="s">
        <v>18</v>
      </c>
      <c r="C136">
        <v>20</v>
      </c>
      <c r="D136" t="s">
        <v>17</v>
      </c>
      <c r="F136">
        <v>1.0900000000000001</v>
      </c>
      <c r="J136">
        <f>117+192+206+235+269+272</f>
        <v>1291</v>
      </c>
      <c r="K136">
        <v>6</v>
      </c>
      <c r="L136">
        <v>272</v>
      </c>
      <c r="N136" t="str">
        <f t="shared" si="6"/>
        <v>NA</v>
      </c>
      <c r="O136">
        <v>29.147699999999986</v>
      </c>
      <c r="P136">
        <f t="shared" si="7"/>
        <v>29.147699999999986</v>
      </c>
      <c r="S136">
        <f t="shared" si="8"/>
        <v>0.93313076975000009</v>
      </c>
    </row>
    <row r="137" spans="1:19">
      <c r="A137" s="9">
        <v>41886</v>
      </c>
      <c r="B137" s="7" t="s">
        <v>18</v>
      </c>
      <c r="C137">
        <v>20</v>
      </c>
      <c r="D137" t="s">
        <v>17</v>
      </c>
      <c r="F137">
        <v>3.89</v>
      </c>
      <c r="J137">
        <f>215+304+306+348+326+340</f>
        <v>1839</v>
      </c>
      <c r="K137">
        <v>6</v>
      </c>
      <c r="L137">
        <v>348</v>
      </c>
      <c r="N137" t="str">
        <f t="shared" si="6"/>
        <v>NA</v>
      </c>
      <c r="O137">
        <v>53.235299999999995</v>
      </c>
      <c r="P137">
        <f t="shared" si="7"/>
        <v>53.235299999999995</v>
      </c>
      <c r="S137">
        <f t="shared" si="8"/>
        <v>11.88471350975</v>
      </c>
    </row>
    <row r="138" spans="1:19">
      <c r="A138" s="9">
        <v>41886</v>
      </c>
      <c r="B138" s="7" t="s">
        <v>18</v>
      </c>
      <c r="C138">
        <v>20</v>
      </c>
      <c r="D138" t="s">
        <v>17</v>
      </c>
      <c r="F138">
        <v>0.49</v>
      </c>
      <c r="J138">
        <f>19+33+37</f>
        <v>89</v>
      </c>
      <c r="K138">
        <v>3</v>
      </c>
      <c r="L138">
        <v>37</v>
      </c>
      <c r="N138" t="str">
        <f t="shared" si="6"/>
        <v>NA</v>
      </c>
      <c r="O138" t="s">
        <v>64</v>
      </c>
      <c r="P138" t="str">
        <f t="shared" si="7"/>
        <v xml:space="preserve"> </v>
      </c>
      <c r="S138">
        <f t="shared" si="8"/>
        <v>0.18857393974999997</v>
      </c>
    </row>
    <row r="139" spans="1:19">
      <c r="A139" s="9">
        <v>41886</v>
      </c>
      <c r="B139" s="7" t="s">
        <v>18</v>
      </c>
      <c r="C139">
        <v>20</v>
      </c>
      <c r="D139" t="s">
        <v>17</v>
      </c>
      <c r="F139">
        <v>0.73</v>
      </c>
      <c r="J139">
        <f>27+15+23</f>
        <v>65</v>
      </c>
      <c r="K139">
        <v>3</v>
      </c>
      <c r="L139">
        <v>27</v>
      </c>
      <c r="N139" t="str">
        <f t="shared" si="6"/>
        <v>NA</v>
      </c>
      <c r="O139" t="s">
        <v>64</v>
      </c>
      <c r="P139" t="str">
        <f t="shared" si="7"/>
        <v xml:space="preserve"> </v>
      </c>
      <c r="S139">
        <f t="shared" si="8"/>
        <v>0.41853832774999994</v>
      </c>
    </row>
    <row r="140" spans="1:19">
      <c r="A140" s="9">
        <v>41886</v>
      </c>
      <c r="B140" s="7" t="s">
        <v>18</v>
      </c>
      <c r="C140">
        <v>21</v>
      </c>
      <c r="D140" t="s">
        <v>59</v>
      </c>
      <c r="E140">
        <v>398</v>
      </c>
      <c r="F140">
        <v>1.6</v>
      </c>
      <c r="N140">
        <f t="shared" si="6"/>
        <v>266.74193493333337</v>
      </c>
      <c r="O140">
        <v>14.686200000000001</v>
      </c>
      <c r="P140">
        <f t="shared" si="7"/>
        <v>14.686200000000001</v>
      </c>
      <c r="S140">
        <f t="shared" si="8"/>
        <v>2.0106176000000002</v>
      </c>
    </row>
    <row r="141" spans="1:19">
      <c r="A141" s="9">
        <v>41886</v>
      </c>
      <c r="B141" s="7" t="s">
        <v>18</v>
      </c>
      <c r="C141">
        <v>21</v>
      </c>
      <c r="D141" t="s">
        <v>59</v>
      </c>
      <c r="E141">
        <v>308</v>
      </c>
      <c r="F141">
        <v>1.65</v>
      </c>
      <c r="N141">
        <f t="shared" si="6"/>
        <v>219.52645522499995</v>
      </c>
      <c r="O141">
        <v>11.365200000000002</v>
      </c>
      <c r="P141">
        <f t="shared" si="7"/>
        <v>11.365200000000002</v>
      </c>
      <c r="S141">
        <f t="shared" si="8"/>
        <v>2.1382446937499995</v>
      </c>
    </row>
    <row r="142" spans="1:19">
      <c r="A142" s="9">
        <v>41886</v>
      </c>
      <c r="B142" s="7" t="s">
        <v>18</v>
      </c>
      <c r="C142">
        <v>21</v>
      </c>
      <c r="D142" t="s">
        <v>59</v>
      </c>
      <c r="E142">
        <v>134</v>
      </c>
      <c r="F142">
        <v>0.9</v>
      </c>
      <c r="N142">
        <f t="shared" si="6"/>
        <v>28.415681549999999</v>
      </c>
      <c r="O142">
        <v>4.9446000000000003</v>
      </c>
      <c r="P142">
        <f t="shared" si="7"/>
        <v>4.9446000000000003</v>
      </c>
      <c r="S142">
        <f t="shared" si="8"/>
        <v>0.636171975</v>
      </c>
    </row>
    <row r="143" spans="1:19">
      <c r="A143" s="9">
        <v>41886</v>
      </c>
      <c r="B143" s="7" t="s">
        <v>18</v>
      </c>
      <c r="C143">
        <v>21</v>
      </c>
      <c r="D143" t="s">
        <v>17</v>
      </c>
      <c r="F143">
        <v>2.97</v>
      </c>
      <c r="J143">
        <f>83+207+229+282+287+316+322+338+349</f>
        <v>2413</v>
      </c>
      <c r="K143">
        <v>9</v>
      </c>
      <c r="L143">
        <v>349</v>
      </c>
      <c r="N143" t="str">
        <f t="shared" si="6"/>
        <v>NA</v>
      </c>
      <c r="O143">
        <v>85.180099999999968</v>
      </c>
      <c r="P143">
        <f t="shared" si="7"/>
        <v>85.180099999999968</v>
      </c>
      <c r="S143">
        <f t="shared" si="8"/>
        <v>6.9279128077500012</v>
      </c>
    </row>
    <row r="144" spans="1:19">
      <c r="A144" s="9">
        <v>41886</v>
      </c>
      <c r="B144" s="7" t="s">
        <v>18</v>
      </c>
      <c r="C144">
        <v>21</v>
      </c>
      <c r="D144" t="s">
        <v>17</v>
      </c>
      <c r="F144">
        <v>2.58</v>
      </c>
      <c r="J144">
        <f>224+276+294+304+330+334</f>
        <v>1762</v>
      </c>
      <c r="K144">
        <v>6</v>
      </c>
      <c r="L144">
        <v>334</v>
      </c>
      <c r="N144" t="str">
        <f t="shared" si="6"/>
        <v>NA</v>
      </c>
      <c r="O144">
        <v>50.395399999999988</v>
      </c>
      <c r="P144">
        <f t="shared" si="7"/>
        <v>50.395399999999988</v>
      </c>
      <c r="S144">
        <f t="shared" si="8"/>
        <v>5.2279199190000005</v>
      </c>
    </row>
    <row r="145" spans="1:19">
      <c r="A145" s="9">
        <v>41886</v>
      </c>
      <c r="B145" s="7" t="s">
        <v>18</v>
      </c>
      <c r="C145">
        <v>21</v>
      </c>
      <c r="D145" t="s">
        <v>17</v>
      </c>
      <c r="F145">
        <v>0.83</v>
      </c>
      <c r="J145">
        <f>31+73+86+125+133</f>
        <v>448</v>
      </c>
      <c r="K145">
        <v>5</v>
      </c>
      <c r="L145">
        <v>133</v>
      </c>
      <c r="N145" t="str">
        <f t="shared" si="6"/>
        <v>NA</v>
      </c>
      <c r="O145" t="s">
        <v>64</v>
      </c>
      <c r="P145" t="str">
        <f t="shared" si="7"/>
        <v xml:space="preserve"> </v>
      </c>
      <c r="S145">
        <f t="shared" si="8"/>
        <v>0.54106033774999995</v>
      </c>
    </row>
    <row r="146" spans="1:19">
      <c r="A146" s="9">
        <v>41886</v>
      </c>
      <c r="B146" s="7" t="s">
        <v>18</v>
      </c>
      <c r="C146">
        <v>21</v>
      </c>
      <c r="D146" t="s">
        <v>17</v>
      </c>
      <c r="F146">
        <v>0.49</v>
      </c>
      <c r="J146">
        <f>20+22+23</f>
        <v>65</v>
      </c>
      <c r="K146">
        <v>3</v>
      </c>
      <c r="L146">
        <v>23</v>
      </c>
      <c r="N146" t="str">
        <f t="shared" si="6"/>
        <v>NA</v>
      </c>
      <c r="O146" t="s">
        <v>64</v>
      </c>
      <c r="P146" t="str">
        <f t="shared" si="7"/>
        <v xml:space="preserve"> </v>
      </c>
      <c r="S146">
        <f t="shared" si="8"/>
        <v>0.18857393974999997</v>
      </c>
    </row>
    <row r="147" spans="1:19">
      <c r="A147" s="9">
        <v>41886</v>
      </c>
      <c r="B147" s="7" t="s">
        <v>18</v>
      </c>
      <c r="C147">
        <v>21</v>
      </c>
      <c r="D147" t="s">
        <v>17</v>
      </c>
      <c r="F147">
        <v>1.34</v>
      </c>
      <c r="J147">
        <f>259+305</f>
        <v>564</v>
      </c>
      <c r="K147">
        <v>2</v>
      </c>
      <c r="L147">
        <v>305</v>
      </c>
      <c r="N147" t="str">
        <f t="shared" si="6"/>
        <v>NA</v>
      </c>
      <c r="O147" t="s">
        <v>64</v>
      </c>
      <c r="P147" t="str">
        <f t="shared" si="7"/>
        <v xml:space="preserve"> </v>
      </c>
      <c r="S147">
        <f t="shared" si="8"/>
        <v>1.4102597510000001</v>
      </c>
    </row>
    <row r="148" spans="1:19">
      <c r="A148" s="9">
        <v>41886</v>
      </c>
      <c r="B148" s="7" t="s">
        <v>18</v>
      </c>
      <c r="C148">
        <v>21</v>
      </c>
      <c r="D148" t="s">
        <v>17</v>
      </c>
      <c r="F148">
        <v>0.68</v>
      </c>
      <c r="J148">
        <f>15+41+41+70+71</f>
        <v>238</v>
      </c>
      <c r="K148">
        <v>5</v>
      </c>
      <c r="L148">
        <v>71</v>
      </c>
      <c r="N148" t="str">
        <f t="shared" si="6"/>
        <v>NA</v>
      </c>
      <c r="O148" t="s">
        <v>64</v>
      </c>
      <c r="P148" t="str">
        <f t="shared" si="7"/>
        <v xml:space="preserve"> </v>
      </c>
      <c r="S148">
        <f t="shared" si="8"/>
        <v>0.36316780400000004</v>
      </c>
    </row>
    <row r="149" spans="1:19">
      <c r="A149" s="9">
        <v>41886</v>
      </c>
      <c r="B149" s="7" t="s">
        <v>18</v>
      </c>
      <c r="C149">
        <v>21</v>
      </c>
      <c r="D149" t="s">
        <v>17</v>
      </c>
      <c r="F149">
        <v>2.25</v>
      </c>
      <c r="J149">
        <f>108+120+118+243+271+295+314+315+329</f>
        <v>2113</v>
      </c>
      <c r="K149">
        <v>9</v>
      </c>
      <c r="L149">
        <v>329</v>
      </c>
      <c r="N149" t="str">
        <f t="shared" si="6"/>
        <v>NA</v>
      </c>
      <c r="O149">
        <v>68.450099999999978</v>
      </c>
      <c r="P149">
        <f t="shared" si="7"/>
        <v>68.450099999999978</v>
      </c>
      <c r="S149">
        <f t="shared" si="8"/>
        <v>3.9760748437499998</v>
      </c>
    </row>
    <row r="150" spans="1:19">
      <c r="A150" s="9">
        <v>41886</v>
      </c>
      <c r="B150" s="7" t="s">
        <v>18</v>
      </c>
      <c r="C150">
        <v>21</v>
      </c>
      <c r="D150" t="s">
        <v>17</v>
      </c>
      <c r="F150">
        <v>1.08</v>
      </c>
      <c r="J150">
        <f>23+18</f>
        <v>41</v>
      </c>
      <c r="K150">
        <v>2</v>
      </c>
      <c r="L150">
        <v>23</v>
      </c>
      <c r="N150" t="str">
        <f t="shared" si="6"/>
        <v>NA</v>
      </c>
      <c r="O150" t="s">
        <v>64</v>
      </c>
      <c r="P150" t="str">
        <f t="shared" si="7"/>
        <v xml:space="preserve"> </v>
      </c>
      <c r="S150">
        <f t="shared" si="8"/>
        <v>0.91608764400000009</v>
      </c>
    </row>
    <row r="151" spans="1:19">
      <c r="A151" s="9">
        <v>41886</v>
      </c>
      <c r="B151" s="7" t="s">
        <v>18</v>
      </c>
      <c r="C151">
        <v>21</v>
      </c>
      <c r="D151" t="s">
        <v>17</v>
      </c>
      <c r="F151">
        <v>0.8</v>
      </c>
      <c r="J151">
        <f>60+109+115+158</f>
        <v>442</v>
      </c>
      <c r="K151">
        <v>4</v>
      </c>
      <c r="L151">
        <v>158</v>
      </c>
      <c r="N151" t="str">
        <f t="shared" si="6"/>
        <v>NA</v>
      </c>
      <c r="O151" t="s">
        <v>64</v>
      </c>
      <c r="P151" t="str">
        <f t="shared" si="7"/>
        <v xml:space="preserve"> </v>
      </c>
      <c r="S151">
        <f t="shared" si="8"/>
        <v>0.50265440000000006</v>
      </c>
    </row>
    <row r="152" spans="1:19">
      <c r="A152" s="9">
        <v>41886</v>
      </c>
      <c r="B152" s="7" t="s">
        <v>18</v>
      </c>
      <c r="C152">
        <v>27</v>
      </c>
      <c r="D152" t="s">
        <v>59</v>
      </c>
      <c r="E152">
        <v>235</v>
      </c>
      <c r="F152">
        <v>1.23</v>
      </c>
      <c r="N152">
        <f t="shared" si="6"/>
        <v>93.077850423749993</v>
      </c>
      <c r="O152">
        <v>8.6715</v>
      </c>
      <c r="P152">
        <f t="shared" si="7"/>
        <v>8.6715</v>
      </c>
      <c r="S152">
        <f t="shared" si="8"/>
        <v>1.1882278777499999</v>
      </c>
    </row>
    <row r="153" spans="1:19">
      <c r="A153" s="9">
        <v>41886</v>
      </c>
      <c r="B153" s="7" t="s">
        <v>18</v>
      </c>
      <c r="C153">
        <v>27</v>
      </c>
      <c r="D153" t="s">
        <v>59</v>
      </c>
      <c r="E153">
        <v>237</v>
      </c>
      <c r="F153">
        <v>0.79</v>
      </c>
      <c r="N153">
        <f t="shared" si="6"/>
        <v>38.723159800250002</v>
      </c>
      <c r="O153">
        <v>8.7453000000000003</v>
      </c>
      <c r="P153">
        <f t="shared" si="7"/>
        <v>8.7453000000000003</v>
      </c>
      <c r="S153">
        <f t="shared" si="8"/>
        <v>0.49016657975000005</v>
      </c>
    </row>
    <row r="154" spans="1:19">
      <c r="A154" s="9">
        <v>41886</v>
      </c>
      <c r="B154" s="7" t="s">
        <v>18</v>
      </c>
      <c r="C154">
        <v>27</v>
      </c>
      <c r="D154" t="s">
        <v>59</v>
      </c>
      <c r="E154">
        <v>123</v>
      </c>
      <c r="F154">
        <v>1.88</v>
      </c>
      <c r="N154">
        <f t="shared" si="6"/>
        <v>113.81226588399998</v>
      </c>
      <c r="O154">
        <v>4.5387000000000004</v>
      </c>
      <c r="P154">
        <f t="shared" si="7"/>
        <v>4.5387000000000004</v>
      </c>
      <c r="S154">
        <f t="shared" si="8"/>
        <v>2.7759089239999999</v>
      </c>
    </row>
    <row r="155" spans="1:19">
      <c r="A155" s="9">
        <v>41886</v>
      </c>
      <c r="B155" s="7" t="s">
        <v>18</v>
      </c>
      <c r="C155">
        <v>27</v>
      </c>
      <c r="D155" t="s">
        <v>59</v>
      </c>
      <c r="E155">
        <v>373</v>
      </c>
      <c r="F155">
        <v>2.2000000000000002</v>
      </c>
      <c r="N155">
        <f t="shared" si="6"/>
        <v>472.63127156666667</v>
      </c>
      <c r="O155">
        <v>13.7637</v>
      </c>
      <c r="P155">
        <f t="shared" si="7"/>
        <v>13.7637</v>
      </c>
      <c r="S155">
        <f t="shared" si="8"/>
        <v>3.8013239000000003</v>
      </c>
    </row>
    <row r="156" spans="1:19">
      <c r="A156" s="9">
        <v>41886</v>
      </c>
      <c r="B156" s="7" t="s">
        <v>18</v>
      </c>
      <c r="C156">
        <v>27</v>
      </c>
      <c r="D156" t="s">
        <v>59</v>
      </c>
      <c r="E156">
        <v>321</v>
      </c>
      <c r="F156">
        <v>2.23</v>
      </c>
      <c r="N156">
        <f t="shared" si="6"/>
        <v>417.91024536924994</v>
      </c>
      <c r="O156">
        <v>11.844900000000001</v>
      </c>
      <c r="P156">
        <f t="shared" si="7"/>
        <v>11.844900000000001</v>
      </c>
      <c r="S156">
        <f t="shared" si="8"/>
        <v>3.9057032277500001</v>
      </c>
    </row>
    <row r="157" spans="1:19">
      <c r="A157" s="9">
        <v>41886</v>
      </c>
      <c r="B157" s="7" t="s">
        <v>18</v>
      </c>
      <c r="C157">
        <v>27</v>
      </c>
      <c r="D157" t="s">
        <v>59</v>
      </c>
      <c r="E157">
        <v>386</v>
      </c>
      <c r="F157">
        <v>1.94</v>
      </c>
      <c r="N157">
        <f t="shared" si="6"/>
        <v>380.32863465533325</v>
      </c>
      <c r="O157">
        <v>14.243400000000001</v>
      </c>
      <c r="P157">
        <f t="shared" si="7"/>
        <v>14.243400000000001</v>
      </c>
      <c r="S157">
        <f t="shared" si="8"/>
        <v>2.9559220309999996</v>
      </c>
    </row>
    <row r="158" spans="1:19">
      <c r="A158" s="9">
        <v>41886</v>
      </c>
      <c r="B158" s="7" t="s">
        <v>18</v>
      </c>
      <c r="C158">
        <v>27</v>
      </c>
      <c r="D158" t="s">
        <v>59</v>
      </c>
      <c r="E158">
        <v>163</v>
      </c>
      <c r="F158">
        <v>1.98</v>
      </c>
      <c r="N158">
        <f t="shared" si="6"/>
        <v>167.29626483899997</v>
      </c>
      <c r="O158">
        <v>6.0147000000000004</v>
      </c>
      <c r="P158">
        <f t="shared" si="7"/>
        <v>6.0147000000000004</v>
      </c>
      <c r="S158">
        <f t="shared" si="8"/>
        <v>3.079072359</v>
      </c>
    </row>
    <row r="159" spans="1:19">
      <c r="A159" s="9">
        <v>41886</v>
      </c>
      <c r="B159" s="7" t="s">
        <v>18</v>
      </c>
      <c r="C159">
        <v>27</v>
      </c>
      <c r="D159" t="s">
        <v>17</v>
      </c>
      <c r="F159">
        <v>2.58</v>
      </c>
      <c r="J159">
        <f>135+190+243+251+283</f>
        <v>1102</v>
      </c>
      <c r="K159">
        <v>5</v>
      </c>
      <c r="L159">
        <v>283</v>
      </c>
      <c r="N159" t="str">
        <f t="shared" si="6"/>
        <v>NA</v>
      </c>
      <c r="O159">
        <v>16.796399999999998</v>
      </c>
      <c r="P159">
        <f t="shared" si="7"/>
        <v>16.796399999999998</v>
      </c>
      <c r="S159">
        <f t="shared" si="8"/>
        <v>5.2279199190000005</v>
      </c>
    </row>
    <row r="160" spans="1:19">
      <c r="A160" s="9">
        <v>41886</v>
      </c>
      <c r="B160" s="7" t="s">
        <v>18</v>
      </c>
      <c r="C160">
        <v>27</v>
      </c>
      <c r="D160" t="s">
        <v>17</v>
      </c>
      <c r="F160">
        <v>10.6</v>
      </c>
      <c r="J160">
        <f>140+224+256+283+282+273+273+270+265+275</f>
        <v>2541</v>
      </c>
      <c r="K160">
        <v>10</v>
      </c>
      <c r="L160">
        <v>283</v>
      </c>
      <c r="N160" t="str">
        <f t="shared" si="6"/>
        <v>NA</v>
      </c>
      <c r="O160">
        <v>102.48269999999997</v>
      </c>
      <c r="P160">
        <f t="shared" si="7"/>
        <v>102.48269999999997</v>
      </c>
      <c r="S160">
        <f t="shared" si="8"/>
        <v>88.247263099999998</v>
      </c>
    </row>
    <row r="161" spans="1:19">
      <c r="A161" s="9">
        <v>41886</v>
      </c>
      <c r="B161" s="7" t="s">
        <v>18</v>
      </c>
      <c r="C161">
        <v>27</v>
      </c>
      <c r="D161" t="s">
        <v>17</v>
      </c>
      <c r="F161">
        <v>6.68</v>
      </c>
      <c r="J161">
        <f>114+202+233+282+279+304+316+322+330</f>
        <v>2382</v>
      </c>
      <c r="K161">
        <v>9</v>
      </c>
      <c r="L161">
        <v>330</v>
      </c>
      <c r="N161" t="str">
        <f t="shared" si="6"/>
        <v>NA</v>
      </c>
      <c r="O161">
        <v>86.228399999999965</v>
      </c>
      <c r="P161">
        <f t="shared" si="7"/>
        <v>86.228399999999965</v>
      </c>
      <c r="S161">
        <f t="shared" si="8"/>
        <v>35.046321403999997</v>
      </c>
    </row>
    <row r="162" spans="1:19">
      <c r="A162" s="9">
        <v>41886</v>
      </c>
      <c r="B162" s="7" t="s">
        <v>18</v>
      </c>
      <c r="C162">
        <v>27</v>
      </c>
      <c r="D162" t="s">
        <v>17</v>
      </c>
      <c r="F162">
        <v>0.97</v>
      </c>
      <c r="J162">
        <f>44+43</f>
        <v>87</v>
      </c>
      <c r="K162">
        <v>2</v>
      </c>
      <c r="L162">
        <v>44</v>
      </c>
      <c r="N162" t="str">
        <f t="shared" si="6"/>
        <v>NA</v>
      </c>
      <c r="O162" t="s">
        <v>64</v>
      </c>
      <c r="P162" t="str">
        <f t="shared" si="7"/>
        <v xml:space="preserve"> </v>
      </c>
      <c r="S162">
        <f t="shared" si="8"/>
        <v>0.7389805077499999</v>
      </c>
    </row>
    <row r="163" spans="1:19">
      <c r="A163" s="9">
        <v>41886</v>
      </c>
      <c r="B163" s="7" t="s">
        <v>18</v>
      </c>
      <c r="C163">
        <v>27</v>
      </c>
      <c r="D163" t="s">
        <v>17</v>
      </c>
      <c r="F163">
        <v>6.63</v>
      </c>
      <c r="J163">
        <f>179+251+239+275+278+308+317+325+336+337</f>
        <v>2845</v>
      </c>
      <c r="K163">
        <v>10</v>
      </c>
      <c r="L163">
        <v>337</v>
      </c>
      <c r="N163" t="str">
        <f t="shared" si="6"/>
        <v>NA</v>
      </c>
      <c r="O163">
        <v>113.90349999999998</v>
      </c>
      <c r="P163">
        <f t="shared" si="7"/>
        <v>113.90349999999998</v>
      </c>
      <c r="S163">
        <f t="shared" si="8"/>
        <v>34.523639367749993</v>
      </c>
    </row>
    <row r="164" spans="1:19">
      <c r="A164" s="9">
        <v>41886</v>
      </c>
      <c r="B164" s="7" t="s">
        <v>18</v>
      </c>
      <c r="C164">
        <v>27</v>
      </c>
      <c r="D164" t="s">
        <v>17</v>
      </c>
      <c r="F164">
        <v>1.57</v>
      </c>
      <c r="J164">
        <f>59+19+81+111+113</f>
        <v>383</v>
      </c>
      <c r="K164">
        <v>5</v>
      </c>
      <c r="L164">
        <v>113</v>
      </c>
      <c r="N164" t="str">
        <f t="shared" si="6"/>
        <v>NA</v>
      </c>
      <c r="O164" t="s">
        <v>64</v>
      </c>
      <c r="P164" t="str">
        <f t="shared" si="7"/>
        <v xml:space="preserve"> </v>
      </c>
      <c r="S164">
        <f t="shared" si="8"/>
        <v>1.93592629775</v>
      </c>
    </row>
    <row r="165" spans="1:19">
      <c r="A165" s="9">
        <v>41886</v>
      </c>
      <c r="B165" s="7" t="s">
        <v>18</v>
      </c>
      <c r="C165">
        <v>27</v>
      </c>
      <c r="D165" t="s">
        <v>17</v>
      </c>
      <c r="F165">
        <v>4.9800000000000004</v>
      </c>
      <c r="J165">
        <f>143+167+193+233+259+269+295+303+310+328+335</f>
        <v>2835</v>
      </c>
      <c r="K165">
        <v>11</v>
      </c>
      <c r="L165">
        <v>335</v>
      </c>
      <c r="N165" t="str">
        <f t="shared" si="6"/>
        <v>NA</v>
      </c>
      <c r="O165">
        <v>111.50549999999998</v>
      </c>
      <c r="P165">
        <f t="shared" si="7"/>
        <v>111.50549999999998</v>
      </c>
      <c r="S165">
        <f t="shared" si="8"/>
        <v>19.478172159000003</v>
      </c>
    </row>
    <row r="166" spans="1:19">
      <c r="A166" s="9">
        <v>41886</v>
      </c>
      <c r="B166" s="7" t="s">
        <v>18</v>
      </c>
      <c r="C166">
        <v>27</v>
      </c>
      <c r="D166" t="s">
        <v>17</v>
      </c>
      <c r="F166">
        <v>4.05</v>
      </c>
      <c r="J166">
        <f>95+243+95+97+236+246</f>
        <v>1012</v>
      </c>
      <c r="K166">
        <v>6</v>
      </c>
      <c r="L166">
        <v>246</v>
      </c>
      <c r="N166" t="str">
        <f t="shared" si="6"/>
        <v>NA</v>
      </c>
      <c r="O166">
        <v>14.802399999999999</v>
      </c>
      <c r="P166">
        <f t="shared" si="7"/>
        <v>14.802399999999999</v>
      </c>
      <c r="S166">
        <f t="shared" si="8"/>
        <v>12.882482493749999</v>
      </c>
    </row>
    <row r="167" spans="1:19">
      <c r="A167" s="9">
        <v>41886</v>
      </c>
      <c r="B167" s="7" t="s">
        <v>18</v>
      </c>
      <c r="C167">
        <v>27</v>
      </c>
      <c r="D167" t="s">
        <v>17</v>
      </c>
      <c r="F167">
        <v>1.38</v>
      </c>
      <c r="J167">
        <f>35+53+124</f>
        <v>212</v>
      </c>
      <c r="K167">
        <v>3</v>
      </c>
      <c r="L167">
        <v>124</v>
      </c>
      <c r="N167" t="str">
        <f t="shared" si="6"/>
        <v>NA</v>
      </c>
      <c r="O167" t="s">
        <v>64</v>
      </c>
      <c r="P167" t="str">
        <f t="shared" si="7"/>
        <v xml:space="preserve"> </v>
      </c>
      <c r="S167">
        <f t="shared" si="8"/>
        <v>1.4957109989999997</v>
      </c>
    </row>
    <row r="168" spans="1:19">
      <c r="A168" s="9">
        <v>41886</v>
      </c>
      <c r="B168" s="7" t="s">
        <v>18</v>
      </c>
      <c r="C168">
        <v>27</v>
      </c>
      <c r="D168" t="s">
        <v>17</v>
      </c>
      <c r="F168">
        <v>7.45</v>
      </c>
      <c r="J168">
        <f>114+166+165+170+174+220+261+289+286+315+310</f>
        <v>2470</v>
      </c>
      <c r="K168">
        <v>11</v>
      </c>
      <c r="L168">
        <v>315</v>
      </c>
      <c r="N168" t="str">
        <f t="shared" si="6"/>
        <v>NA</v>
      </c>
      <c r="O168">
        <v>90.44</v>
      </c>
      <c r="P168">
        <f t="shared" si="7"/>
        <v>90.44</v>
      </c>
      <c r="S168">
        <f t="shared" si="8"/>
        <v>43.59152474375</v>
      </c>
    </row>
    <row r="169" spans="1:19">
      <c r="A169" s="9">
        <v>41886</v>
      </c>
      <c r="B169" s="7" t="s">
        <v>18</v>
      </c>
      <c r="C169">
        <v>27</v>
      </c>
      <c r="D169" t="s">
        <v>17</v>
      </c>
      <c r="F169">
        <v>1.1299999999999999</v>
      </c>
      <c r="J169">
        <f>38+46+55</f>
        <v>139</v>
      </c>
      <c r="K169">
        <v>3</v>
      </c>
      <c r="L169">
        <v>55</v>
      </c>
      <c r="N169" t="str">
        <f t="shared" si="6"/>
        <v>NA</v>
      </c>
      <c r="O169" t="s">
        <v>64</v>
      </c>
      <c r="P169" t="str">
        <f t="shared" si="7"/>
        <v xml:space="preserve"> </v>
      </c>
      <c r="S169">
        <f t="shared" si="8"/>
        <v>1.0028740677499997</v>
      </c>
    </row>
    <row r="170" spans="1:19">
      <c r="A170" s="9">
        <v>41923</v>
      </c>
      <c r="B170" s="7" t="s">
        <v>20</v>
      </c>
      <c r="C170">
        <v>5</v>
      </c>
      <c r="M170" t="s">
        <v>62</v>
      </c>
      <c r="N170" t="str">
        <f t="shared" si="6"/>
        <v>NA</v>
      </c>
      <c r="O170" t="s">
        <v>64</v>
      </c>
      <c r="P170" t="str">
        <f t="shared" si="7"/>
        <v xml:space="preserve"> </v>
      </c>
      <c r="S170">
        <f t="shared" si="8"/>
        <v>0</v>
      </c>
    </row>
    <row r="171" spans="1:19">
      <c r="A171" s="9">
        <v>41923</v>
      </c>
      <c r="B171" s="7" t="s">
        <v>20</v>
      </c>
      <c r="C171">
        <v>11</v>
      </c>
      <c r="M171" t="s">
        <v>61</v>
      </c>
      <c r="N171" t="str">
        <f t="shared" si="6"/>
        <v>NA</v>
      </c>
      <c r="O171" t="s">
        <v>64</v>
      </c>
      <c r="P171" t="str">
        <f t="shared" si="7"/>
        <v xml:space="preserve"> </v>
      </c>
      <c r="S171">
        <f t="shared" si="8"/>
        <v>0</v>
      </c>
    </row>
    <row r="172" spans="1:19">
      <c r="A172" s="9">
        <v>41923</v>
      </c>
      <c r="B172" s="7" t="s">
        <v>20</v>
      </c>
      <c r="C172">
        <v>22</v>
      </c>
      <c r="D172" t="s">
        <v>17</v>
      </c>
      <c r="F172">
        <v>1.18</v>
      </c>
      <c r="J172">
        <f>35+59+64+102+101</f>
        <v>361</v>
      </c>
      <c r="K172">
        <v>5</v>
      </c>
      <c r="L172">
        <v>102</v>
      </c>
      <c r="N172" t="str">
        <f t="shared" si="6"/>
        <v>NA</v>
      </c>
      <c r="O172" t="s">
        <v>64</v>
      </c>
      <c r="P172" t="str">
        <f t="shared" si="7"/>
        <v xml:space="preserve"> </v>
      </c>
      <c r="S172">
        <f t="shared" si="8"/>
        <v>1.0935874789999998</v>
      </c>
    </row>
    <row r="173" spans="1:19">
      <c r="A173" s="9">
        <v>41923</v>
      </c>
      <c r="B173" s="7" t="s">
        <v>20</v>
      </c>
      <c r="C173">
        <v>22</v>
      </c>
      <c r="D173" t="s">
        <v>17</v>
      </c>
      <c r="F173">
        <v>2.71</v>
      </c>
      <c r="J173">
        <f>99+112+142+145+183+186+170</f>
        <v>1037</v>
      </c>
      <c r="K173">
        <v>7</v>
      </c>
      <c r="L173">
        <v>186</v>
      </c>
      <c r="N173" t="str">
        <f t="shared" si="6"/>
        <v>NA</v>
      </c>
      <c r="O173">
        <v>24.250899999999991</v>
      </c>
      <c r="P173">
        <f t="shared" si="7"/>
        <v>24.250899999999991</v>
      </c>
      <c r="S173">
        <f t="shared" si="8"/>
        <v>5.7680377797500002</v>
      </c>
    </row>
    <row r="174" spans="1:19">
      <c r="A174" s="9">
        <v>41923</v>
      </c>
      <c r="B174" s="7" t="s">
        <v>20</v>
      </c>
      <c r="C174">
        <v>22</v>
      </c>
      <c r="D174" t="s">
        <v>17</v>
      </c>
      <c r="F174">
        <v>0.39</v>
      </c>
      <c r="J174">
        <f>49+62+72</f>
        <v>183</v>
      </c>
      <c r="K174">
        <v>3</v>
      </c>
      <c r="L174">
        <v>72</v>
      </c>
      <c r="N174" t="str">
        <f t="shared" si="6"/>
        <v>NA</v>
      </c>
      <c r="O174" t="s">
        <v>64</v>
      </c>
      <c r="P174" t="str">
        <f t="shared" si="7"/>
        <v xml:space="preserve"> </v>
      </c>
      <c r="S174">
        <f t="shared" si="8"/>
        <v>0.11945895975000001</v>
      </c>
    </row>
    <row r="175" spans="1:19">
      <c r="A175" s="9">
        <v>41923</v>
      </c>
      <c r="B175" s="7" t="s">
        <v>20</v>
      </c>
      <c r="C175">
        <v>22</v>
      </c>
      <c r="D175" t="s">
        <v>17</v>
      </c>
      <c r="F175">
        <v>6.94</v>
      </c>
      <c r="J175">
        <f>105+159+202+227+211+237+244+250+250+236+261</f>
        <v>2382</v>
      </c>
      <c r="K175">
        <v>11</v>
      </c>
      <c r="L175">
        <v>261</v>
      </c>
      <c r="N175" t="str">
        <f t="shared" si="6"/>
        <v>NA</v>
      </c>
      <c r="O175">
        <v>93.426399999999973</v>
      </c>
      <c r="P175">
        <f t="shared" si="7"/>
        <v>93.426399999999973</v>
      </c>
      <c r="S175">
        <f t="shared" si="8"/>
        <v>37.827571030999998</v>
      </c>
    </row>
    <row r="176" spans="1:19">
      <c r="A176" s="9">
        <v>41923</v>
      </c>
      <c r="B176" s="7" t="s">
        <v>20</v>
      </c>
      <c r="C176">
        <v>22</v>
      </c>
      <c r="D176" t="s">
        <v>17</v>
      </c>
      <c r="F176">
        <v>12.78</v>
      </c>
      <c r="J176">
        <f>73+167+190+205+223+229+230+239+243+244+246+251+254+256+260+260+264+272</f>
        <v>4106</v>
      </c>
      <c r="K176">
        <v>18</v>
      </c>
      <c r="L176">
        <v>272</v>
      </c>
      <c r="N176" t="str">
        <f t="shared" si="6"/>
        <v>NA</v>
      </c>
      <c r="O176">
        <v>192.20019999999994</v>
      </c>
      <c r="P176">
        <f t="shared" si="7"/>
        <v>192.20019999999994</v>
      </c>
      <c r="S176">
        <f t="shared" si="8"/>
        <v>128.27771703899998</v>
      </c>
    </row>
    <row r="177" spans="1:19">
      <c r="A177" s="9">
        <v>41923</v>
      </c>
      <c r="B177" s="7" t="s">
        <v>20</v>
      </c>
      <c r="C177">
        <v>22</v>
      </c>
      <c r="D177" t="s">
        <v>17</v>
      </c>
      <c r="F177">
        <v>0.79</v>
      </c>
      <c r="J177">
        <f>45+51+79+84</f>
        <v>259</v>
      </c>
      <c r="K177">
        <v>4</v>
      </c>
      <c r="L177">
        <v>84</v>
      </c>
      <c r="N177" t="str">
        <f t="shared" si="6"/>
        <v>NA</v>
      </c>
      <c r="O177" t="s">
        <v>64</v>
      </c>
      <c r="P177" t="str">
        <f t="shared" si="7"/>
        <v xml:space="preserve"> </v>
      </c>
      <c r="S177">
        <f t="shared" si="8"/>
        <v>0.49016657975000005</v>
      </c>
    </row>
    <row r="178" spans="1:19">
      <c r="A178" s="9">
        <v>41923</v>
      </c>
      <c r="B178" s="7" t="s">
        <v>20</v>
      </c>
      <c r="C178">
        <v>22</v>
      </c>
      <c r="D178" t="s">
        <v>17</v>
      </c>
      <c r="F178">
        <v>0.97</v>
      </c>
      <c r="J178">
        <f>53+102+107</f>
        <v>262</v>
      </c>
      <c r="K178">
        <v>3</v>
      </c>
      <c r="L178">
        <v>107</v>
      </c>
      <c r="N178" t="str">
        <f t="shared" si="6"/>
        <v>NA</v>
      </c>
      <c r="O178" t="s">
        <v>64</v>
      </c>
      <c r="P178" t="str">
        <f t="shared" si="7"/>
        <v xml:space="preserve"> </v>
      </c>
      <c r="S178">
        <f t="shared" si="8"/>
        <v>0.7389805077499999</v>
      </c>
    </row>
    <row r="179" spans="1:19">
      <c r="A179" s="9">
        <v>41923</v>
      </c>
      <c r="B179" s="7" t="s">
        <v>20</v>
      </c>
      <c r="C179">
        <v>22</v>
      </c>
      <c r="D179" t="s">
        <v>17</v>
      </c>
      <c r="F179">
        <v>0.81</v>
      </c>
      <c r="J179">
        <f>58+78+78+99</f>
        <v>313</v>
      </c>
      <c r="K179">
        <v>4</v>
      </c>
      <c r="L179">
        <v>99</v>
      </c>
      <c r="N179" t="str">
        <f t="shared" si="6"/>
        <v>NA</v>
      </c>
      <c r="O179" t="s">
        <v>64</v>
      </c>
      <c r="P179" t="str">
        <f t="shared" si="7"/>
        <v xml:space="preserve"> </v>
      </c>
      <c r="S179">
        <f t="shared" si="8"/>
        <v>0.51529929975000011</v>
      </c>
    </row>
    <row r="180" spans="1:19">
      <c r="A180" s="9">
        <v>41923</v>
      </c>
      <c r="B180" s="7" t="s">
        <v>20</v>
      </c>
      <c r="C180">
        <v>22</v>
      </c>
      <c r="D180" t="s">
        <v>17</v>
      </c>
      <c r="F180">
        <v>3.42</v>
      </c>
      <c r="J180">
        <f>82+154+167+180+185+203+21+233</f>
        <v>1225</v>
      </c>
      <c r="K180">
        <v>8</v>
      </c>
      <c r="L180">
        <v>233</v>
      </c>
      <c r="N180" t="str">
        <f t="shared" si="6"/>
        <v>NA</v>
      </c>
      <c r="O180">
        <v>27.023499999999999</v>
      </c>
      <c r="P180">
        <f t="shared" si="7"/>
        <v>27.023499999999999</v>
      </c>
      <c r="S180">
        <f t="shared" si="8"/>
        <v>9.1863233189999995</v>
      </c>
    </row>
    <row r="181" spans="1:19">
      <c r="A181" s="9">
        <v>41923</v>
      </c>
      <c r="B181" s="7" t="s">
        <v>20</v>
      </c>
      <c r="C181">
        <v>22</v>
      </c>
      <c r="D181" t="s">
        <v>17</v>
      </c>
      <c r="F181">
        <v>2.78</v>
      </c>
      <c r="J181">
        <f>55+94+99+148+149+172+185</f>
        <v>902</v>
      </c>
      <c r="K181">
        <v>7</v>
      </c>
      <c r="L181">
        <v>185</v>
      </c>
      <c r="N181" t="str">
        <f t="shared" si="6"/>
        <v>NA</v>
      </c>
      <c r="O181">
        <v>15.410399999999999</v>
      </c>
      <c r="P181">
        <f t="shared" si="7"/>
        <v>15.410399999999999</v>
      </c>
      <c r="S181">
        <f t="shared" si="8"/>
        <v>6.069866038999999</v>
      </c>
    </row>
    <row r="182" spans="1:19">
      <c r="A182" s="9">
        <v>41923</v>
      </c>
      <c r="B182" s="7" t="s">
        <v>20</v>
      </c>
      <c r="C182">
        <v>22</v>
      </c>
      <c r="D182" t="s">
        <v>17</v>
      </c>
      <c r="F182">
        <v>0.6</v>
      </c>
      <c r="J182">
        <f>30+58+73+90</f>
        <v>251</v>
      </c>
      <c r="K182">
        <v>4</v>
      </c>
      <c r="L182">
        <v>90</v>
      </c>
      <c r="N182" t="str">
        <f t="shared" si="6"/>
        <v>NA</v>
      </c>
      <c r="O182" t="s">
        <v>64</v>
      </c>
      <c r="P182" t="str">
        <f t="shared" si="7"/>
        <v xml:space="preserve"> </v>
      </c>
      <c r="S182">
        <f t="shared" si="8"/>
        <v>0.28274309999999997</v>
      </c>
    </row>
    <row r="183" spans="1:19">
      <c r="A183" s="9">
        <v>41923</v>
      </c>
      <c r="B183" s="7" t="s">
        <v>20</v>
      </c>
      <c r="C183">
        <v>22</v>
      </c>
      <c r="D183" t="s">
        <v>17</v>
      </c>
      <c r="F183">
        <v>8.49</v>
      </c>
      <c r="J183">
        <f>175+188+195+242+246+232+223+229+228+222+253+262+257</f>
        <v>2952</v>
      </c>
      <c r="K183">
        <v>13</v>
      </c>
      <c r="L183">
        <v>262</v>
      </c>
      <c r="N183" t="str">
        <f t="shared" si="6"/>
        <v>NA</v>
      </c>
      <c r="O183">
        <v>127.16339999999998</v>
      </c>
      <c r="P183">
        <f t="shared" si="7"/>
        <v>127.16339999999998</v>
      </c>
      <c r="S183">
        <f t="shared" si="8"/>
        <v>56.611530339749997</v>
      </c>
    </row>
    <row r="184" spans="1:19">
      <c r="A184" s="9">
        <v>41923</v>
      </c>
      <c r="B184" s="7" t="s">
        <v>20</v>
      </c>
      <c r="C184">
        <v>22</v>
      </c>
      <c r="D184" t="s">
        <v>17</v>
      </c>
      <c r="F184">
        <v>3.5</v>
      </c>
      <c r="J184">
        <f>61+86+142+163+192+188+206+215</f>
        <v>1253</v>
      </c>
      <c r="K184">
        <v>8</v>
      </c>
      <c r="L184">
        <v>215</v>
      </c>
      <c r="N184" t="str">
        <f t="shared" si="6"/>
        <v>NA</v>
      </c>
      <c r="O184">
        <v>31.843099999999986</v>
      </c>
      <c r="P184">
        <f t="shared" si="7"/>
        <v>31.843099999999986</v>
      </c>
      <c r="S184">
        <f t="shared" si="8"/>
        <v>9.6211193749999993</v>
      </c>
    </row>
    <row r="185" spans="1:19">
      <c r="A185" s="9">
        <v>41923</v>
      </c>
      <c r="B185" s="7" t="s">
        <v>20</v>
      </c>
      <c r="C185">
        <v>22</v>
      </c>
      <c r="D185" t="s">
        <v>17</v>
      </c>
      <c r="F185">
        <v>1.23</v>
      </c>
      <c r="J185">
        <f>96+127+146+158</f>
        <v>527</v>
      </c>
      <c r="K185">
        <v>4</v>
      </c>
      <c r="L185">
        <v>158</v>
      </c>
      <c r="N185" t="str">
        <f t="shared" si="6"/>
        <v>NA</v>
      </c>
      <c r="O185">
        <v>1.0028999999999968</v>
      </c>
      <c r="P185">
        <f t="shared" si="7"/>
        <v>1.0028999999999968</v>
      </c>
      <c r="S185">
        <f t="shared" si="8"/>
        <v>1.1882278777499999</v>
      </c>
    </row>
    <row r="186" spans="1:19">
      <c r="A186" s="9">
        <v>41923</v>
      </c>
      <c r="B186" s="7" t="s">
        <v>20</v>
      </c>
      <c r="C186">
        <v>22</v>
      </c>
      <c r="D186" t="s">
        <v>17</v>
      </c>
      <c r="F186">
        <v>2.14</v>
      </c>
      <c r="J186">
        <f>75+128+129+165+175</f>
        <v>672</v>
      </c>
      <c r="K186">
        <v>5</v>
      </c>
      <c r="L186">
        <v>175</v>
      </c>
      <c r="N186" t="str">
        <f t="shared" si="6"/>
        <v>NA</v>
      </c>
      <c r="O186">
        <v>5.8273999999999901</v>
      </c>
      <c r="P186">
        <f t="shared" si="7"/>
        <v>5.8273999999999901</v>
      </c>
      <c r="S186">
        <f t="shared" si="8"/>
        <v>3.5968063909999999</v>
      </c>
    </row>
    <row r="187" spans="1:19">
      <c r="A187" s="9">
        <v>41923</v>
      </c>
      <c r="B187" s="7" t="s">
        <v>20</v>
      </c>
      <c r="C187">
        <v>22</v>
      </c>
      <c r="D187" t="s">
        <v>17</v>
      </c>
      <c r="F187">
        <v>1.99</v>
      </c>
      <c r="J187">
        <f>81+95+132+136+159</f>
        <v>603</v>
      </c>
      <c r="K187">
        <v>5</v>
      </c>
      <c r="L187">
        <v>159</v>
      </c>
      <c r="N187" t="str">
        <f t="shared" si="6"/>
        <v>NA</v>
      </c>
      <c r="O187">
        <v>3.8490999999999929</v>
      </c>
      <c r="P187">
        <f t="shared" si="7"/>
        <v>3.8490999999999929</v>
      </c>
      <c r="S187">
        <f t="shared" si="8"/>
        <v>3.1102526397500001</v>
      </c>
    </row>
    <row r="188" spans="1:19">
      <c r="A188" s="9">
        <v>41923</v>
      </c>
      <c r="B188" s="7" t="s">
        <v>20</v>
      </c>
      <c r="C188">
        <v>29</v>
      </c>
      <c r="D188" t="s">
        <v>59</v>
      </c>
      <c r="E188">
        <v>288</v>
      </c>
      <c r="F188">
        <v>1.17</v>
      </c>
      <c r="N188">
        <f t="shared" si="6"/>
        <v>103.21254122399996</v>
      </c>
      <c r="O188">
        <v>10.6272</v>
      </c>
      <c r="P188">
        <f t="shared" si="7"/>
        <v>10.6272</v>
      </c>
      <c r="S188">
        <f t="shared" si="8"/>
        <v>1.0751306377499998</v>
      </c>
    </row>
    <row r="189" spans="1:19">
      <c r="A189" s="9">
        <v>41923</v>
      </c>
      <c r="B189" s="7" t="s">
        <v>20</v>
      </c>
      <c r="C189">
        <v>29</v>
      </c>
      <c r="D189" t="s">
        <v>59</v>
      </c>
      <c r="E189">
        <v>232</v>
      </c>
      <c r="F189">
        <v>0.98</v>
      </c>
      <c r="N189">
        <f t="shared" si="6"/>
        <v>58.332205362666656</v>
      </c>
      <c r="O189">
        <v>8.5608000000000004</v>
      </c>
      <c r="P189">
        <f t="shared" si="7"/>
        <v>8.5608000000000004</v>
      </c>
      <c r="S189">
        <f t="shared" si="8"/>
        <v>0.7542957589999999</v>
      </c>
    </row>
    <row r="190" spans="1:19">
      <c r="A190" s="9">
        <v>41923</v>
      </c>
      <c r="B190" s="7" t="s">
        <v>20</v>
      </c>
      <c r="C190">
        <v>29</v>
      </c>
      <c r="D190" t="s">
        <v>59</v>
      </c>
      <c r="E190">
        <v>248</v>
      </c>
      <c r="F190">
        <v>1.21</v>
      </c>
      <c r="N190">
        <f t="shared" si="6"/>
        <v>95.058439659333317</v>
      </c>
      <c r="O190">
        <v>9.1512000000000011</v>
      </c>
      <c r="P190">
        <f t="shared" si="7"/>
        <v>9.1512000000000011</v>
      </c>
      <c r="S190">
        <f t="shared" si="8"/>
        <v>1.1499004797499999</v>
      </c>
    </row>
    <row r="191" spans="1:19">
      <c r="A191" s="9">
        <v>41923</v>
      </c>
      <c r="B191" s="7" t="s">
        <v>20</v>
      </c>
      <c r="C191">
        <v>29</v>
      </c>
      <c r="D191" t="s">
        <v>59</v>
      </c>
      <c r="E191">
        <v>252</v>
      </c>
      <c r="F191">
        <v>1.2</v>
      </c>
      <c r="N191">
        <f t="shared" si="6"/>
        <v>95.001681599999984</v>
      </c>
      <c r="O191">
        <v>9.2988</v>
      </c>
      <c r="P191">
        <f t="shared" si="7"/>
        <v>9.2988</v>
      </c>
      <c r="S191">
        <f t="shared" si="8"/>
        <v>1.1309723999999999</v>
      </c>
    </row>
    <row r="192" spans="1:19">
      <c r="A192" s="9">
        <v>41923</v>
      </c>
      <c r="B192" s="7" t="s">
        <v>20</v>
      </c>
      <c r="C192">
        <v>29</v>
      </c>
      <c r="D192" t="s">
        <v>59</v>
      </c>
      <c r="E192">
        <v>208</v>
      </c>
      <c r="F192">
        <v>1.27</v>
      </c>
      <c r="N192">
        <f t="shared" si="6"/>
        <v>87.829222190666655</v>
      </c>
      <c r="O192">
        <v>7.6752000000000002</v>
      </c>
      <c r="P192">
        <f t="shared" si="7"/>
        <v>7.6752000000000002</v>
      </c>
      <c r="S192">
        <f t="shared" si="8"/>
        <v>1.26676762775</v>
      </c>
    </row>
    <row r="193" spans="1:19">
      <c r="A193" s="9">
        <v>41923</v>
      </c>
      <c r="B193" s="7" t="s">
        <v>20</v>
      </c>
      <c r="C193">
        <v>29</v>
      </c>
      <c r="D193" t="s">
        <v>59</v>
      </c>
      <c r="E193">
        <v>235</v>
      </c>
      <c r="F193">
        <v>1.55</v>
      </c>
      <c r="N193">
        <f t="shared" si="6"/>
        <v>147.80853701041667</v>
      </c>
      <c r="O193">
        <v>8.6715</v>
      </c>
      <c r="P193">
        <f t="shared" si="7"/>
        <v>8.6715</v>
      </c>
      <c r="S193">
        <f t="shared" si="8"/>
        <v>1.8869174937500002</v>
      </c>
    </row>
    <row r="194" spans="1:19">
      <c r="A194" s="9">
        <v>41923</v>
      </c>
      <c r="B194" s="7" t="s">
        <v>20</v>
      </c>
      <c r="C194">
        <v>29</v>
      </c>
      <c r="D194" t="s">
        <v>59</v>
      </c>
      <c r="E194">
        <v>279</v>
      </c>
      <c r="F194">
        <v>1.35</v>
      </c>
      <c r="N194">
        <f t="shared" si="6"/>
        <v>133.11898576875001</v>
      </c>
      <c r="O194">
        <v>10.295100000000001</v>
      </c>
      <c r="P194">
        <f t="shared" si="7"/>
        <v>10.295100000000001</v>
      </c>
      <c r="S194">
        <f t="shared" si="8"/>
        <v>1.4313869437500002</v>
      </c>
    </row>
    <row r="195" spans="1:19">
      <c r="A195" s="9">
        <v>41923</v>
      </c>
      <c r="B195" s="7" t="s">
        <v>20</v>
      </c>
      <c r="C195">
        <v>29</v>
      </c>
      <c r="D195" t="s">
        <v>59</v>
      </c>
      <c r="E195">
        <v>54</v>
      </c>
      <c r="F195">
        <v>1.01</v>
      </c>
      <c r="N195">
        <f t="shared" si="6"/>
        <v>14.421311815499999</v>
      </c>
      <c r="O195">
        <v>1.9926000000000001</v>
      </c>
      <c r="P195">
        <f t="shared" si="7"/>
        <v>1.9926000000000001</v>
      </c>
      <c r="S195">
        <f t="shared" si="8"/>
        <v>0.80118398974999994</v>
      </c>
    </row>
    <row r="196" spans="1:19">
      <c r="A196" s="9">
        <v>41923</v>
      </c>
      <c r="B196" s="7" t="s">
        <v>20</v>
      </c>
      <c r="C196">
        <v>29</v>
      </c>
      <c r="D196" t="s">
        <v>59</v>
      </c>
      <c r="E196">
        <v>286</v>
      </c>
      <c r="F196">
        <v>1.56</v>
      </c>
      <c r="N196">
        <f t="shared" ref="N196:N259" si="9">IF(OR(D196="S. acutus", D196="S. tabernaemontani", D196="S. californicus"),(1/3)*(3.14159)*((F196/2)^2)*E196,"NA")</f>
        <v>182.21473327199999</v>
      </c>
      <c r="O196">
        <v>10.5534</v>
      </c>
      <c r="P196">
        <f t="shared" si="7"/>
        <v>10.5534</v>
      </c>
      <c r="S196">
        <f t="shared" si="8"/>
        <v>1.9113433560000002</v>
      </c>
    </row>
    <row r="197" spans="1:19">
      <c r="A197" s="9">
        <v>41923</v>
      </c>
      <c r="B197" s="7" t="s">
        <v>20</v>
      </c>
      <c r="C197">
        <v>29</v>
      </c>
      <c r="D197" t="s">
        <v>17</v>
      </c>
      <c r="F197">
        <v>1.18</v>
      </c>
      <c r="J197">
        <f>34+38+49</f>
        <v>121</v>
      </c>
      <c r="K197">
        <v>3</v>
      </c>
      <c r="L197">
        <v>49</v>
      </c>
      <c r="N197" t="str">
        <f t="shared" si="9"/>
        <v>NA</v>
      </c>
      <c r="O197" t="s">
        <v>64</v>
      </c>
      <c r="P197" t="str">
        <f t="shared" ref="P197:P260" si="10">IF(O197&gt;0,O197," ")</f>
        <v xml:space="preserve"> </v>
      </c>
      <c r="S197">
        <f t="shared" ref="S197:S260" si="11">3.14159*((F197/2)^2)</f>
        <v>1.0935874789999998</v>
      </c>
    </row>
    <row r="198" spans="1:19">
      <c r="A198" s="9">
        <v>41923</v>
      </c>
      <c r="B198" s="7" t="s">
        <v>20</v>
      </c>
      <c r="C198">
        <v>29</v>
      </c>
      <c r="D198" t="s">
        <v>17</v>
      </c>
      <c r="F198">
        <v>3.71</v>
      </c>
      <c r="J198">
        <f>200+269+277+265+252+292</f>
        <v>1555</v>
      </c>
      <c r="K198">
        <v>6</v>
      </c>
      <c r="L198">
        <v>292</v>
      </c>
      <c r="N198" t="str">
        <f t="shared" si="9"/>
        <v>NA</v>
      </c>
      <c r="O198">
        <v>43.476499999999987</v>
      </c>
      <c r="P198">
        <f t="shared" si="10"/>
        <v>43.476499999999987</v>
      </c>
      <c r="S198">
        <f t="shared" si="11"/>
        <v>10.810289729749998</v>
      </c>
    </row>
    <row r="199" spans="1:19">
      <c r="A199" s="9">
        <v>41923</v>
      </c>
      <c r="B199" s="7" t="s">
        <v>20</v>
      </c>
      <c r="C199">
        <v>34</v>
      </c>
      <c r="D199" t="s">
        <v>17</v>
      </c>
      <c r="F199">
        <v>0.56999999999999995</v>
      </c>
      <c r="J199">
        <f>17+23</f>
        <v>40</v>
      </c>
      <c r="K199">
        <v>2</v>
      </c>
      <c r="L199">
        <v>23</v>
      </c>
      <c r="N199" t="str">
        <f t="shared" si="9"/>
        <v>NA</v>
      </c>
      <c r="O199" t="s">
        <v>64</v>
      </c>
      <c r="P199" t="str">
        <f t="shared" si="10"/>
        <v xml:space="preserve"> </v>
      </c>
      <c r="S199">
        <f t="shared" si="11"/>
        <v>0.25517564774999996</v>
      </c>
    </row>
    <row r="200" spans="1:19">
      <c r="A200" s="9">
        <v>41923</v>
      </c>
      <c r="B200" s="7" t="s">
        <v>20</v>
      </c>
      <c r="C200">
        <v>34</v>
      </c>
      <c r="D200" t="s">
        <v>17</v>
      </c>
      <c r="F200">
        <v>1.07</v>
      </c>
      <c r="J200">
        <f>71+77+97</f>
        <v>245</v>
      </c>
      <c r="K200">
        <v>3</v>
      </c>
      <c r="L200">
        <v>97</v>
      </c>
      <c r="N200" t="str">
        <f t="shared" si="9"/>
        <v>NA</v>
      </c>
      <c r="O200" t="s">
        <v>64</v>
      </c>
      <c r="P200" t="str">
        <f t="shared" si="10"/>
        <v xml:space="preserve"> </v>
      </c>
      <c r="S200">
        <f t="shared" si="11"/>
        <v>0.89920159774999997</v>
      </c>
    </row>
    <row r="201" spans="1:19">
      <c r="A201" s="9">
        <v>41923</v>
      </c>
      <c r="B201" s="7" t="s">
        <v>20</v>
      </c>
      <c r="C201">
        <v>34</v>
      </c>
      <c r="D201" t="s">
        <v>17</v>
      </c>
      <c r="F201">
        <v>2.7</v>
      </c>
      <c r="J201">
        <f>54+72+98+34</f>
        <v>258</v>
      </c>
      <c r="K201">
        <v>4</v>
      </c>
      <c r="L201">
        <v>98</v>
      </c>
      <c r="N201" t="str">
        <f t="shared" si="9"/>
        <v>NA</v>
      </c>
      <c r="O201" t="s">
        <v>64</v>
      </c>
      <c r="P201" t="str">
        <f t="shared" si="10"/>
        <v xml:space="preserve"> </v>
      </c>
      <c r="S201">
        <f t="shared" si="11"/>
        <v>5.7255477750000008</v>
      </c>
    </row>
    <row r="202" spans="1:19">
      <c r="A202" s="9">
        <v>41923</v>
      </c>
      <c r="B202" s="7" t="s">
        <v>20</v>
      </c>
      <c r="C202">
        <v>34</v>
      </c>
      <c r="D202" t="s">
        <v>17</v>
      </c>
      <c r="F202">
        <v>5.16</v>
      </c>
      <c r="J202">
        <f>277+307+356+334+330</f>
        <v>1604</v>
      </c>
      <c r="K202">
        <v>5</v>
      </c>
      <c r="L202">
        <v>356</v>
      </c>
      <c r="N202" t="str">
        <f t="shared" si="9"/>
        <v>NA</v>
      </c>
      <c r="O202">
        <v>38.307799999999986</v>
      </c>
      <c r="P202">
        <f t="shared" si="10"/>
        <v>38.307799999999986</v>
      </c>
      <c r="S202">
        <f t="shared" si="11"/>
        <v>20.911679676000002</v>
      </c>
    </row>
    <row r="203" spans="1:19">
      <c r="A203" s="9">
        <v>41923</v>
      </c>
      <c r="B203" s="7" t="s">
        <v>20</v>
      </c>
      <c r="C203">
        <v>34</v>
      </c>
      <c r="D203" t="s">
        <v>17</v>
      </c>
      <c r="F203">
        <v>1.6</v>
      </c>
      <c r="J203">
        <f>30+45+61+70+84</f>
        <v>290</v>
      </c>
      <c r="K203">
        <v>5</v>
      </c>
      <c r="L203">
        <v>84</v>
      </c>
      <c r="N203" t="str">
        <f t="shared" si="9"/>
        <v>NA</v>
      </c>
      <c r="O203" t="s">
        <v>64</v>
      </c>
      <c r="P203" t="str">
        <f t="shared" si="10"/>
        <v xml:space="preserve"> </v>
      </c>
      <c r="S203">
        <f t="shared" si="11"/>
        <v>2.0106176000000002</v>
      </c>
    </row>
    <row r="204" spans="1:19">
      <c r="A204" s="9">
        <v>41923</v>
      </c>
      <c r="B204" s="7" t="s">
        <v>20</v>
      </c>
      <c r="C204">
        <v>34</v>
      </c>
      <c r="D204" t="s">
        <v>17</v>
      </c>
      <c r="F204">
        <v>0.87</v>
      </c>
      <c r="J204">
        <f>23+48+54+63</f>
        <v>188</v>
      </c>
      <c r="K204">
        <v>4</v>
      </c>
      <c r="L204">
        <v>63</v>
      </c>
      <c r="N204" t="str">
        <f t="shared" si="9"/>
        <v>NA</v>
      </c>
      <c r="O204" t="s">
        <v>64</v>
      </c>
      <c r="P204" t="str">
        <f t="shared" si="10"/>
        <v xml:space="preserve"> </v>
      </c>
      <c r="S204">
        <f t="shared" si="11"/>
        <v>0.59446736774999998</v>
      </c>
    </row>
    <row r="205" spans="1:19">
      <c r="A205" s="9">
        <v>41923</v>
      </c>
      <c r="B205" s="7" t="s">
        <v>20</v>
      </c>
      <c r="C205">
        <v>34</v>
      </c>
      <c r="D205" t="s">
        <v>17</v>
      </c>
      <c r="F205">
        <v>3.46</v>
      </c>
      <c r="J205">
        <f>298+310+322+342</f>
        <v>1272</v>
      </c>
      <c r="K205">
        <v>4</v>
      </c>
      <c r="L205">
        <v>342</v>
      </c>
      <c r="N205" t="str">
        <f t="shared" si="9"/>
        <v>NA</v>
      </c>
      <c r="O205">
        <v>20.518399999999993</v>
      </c>
      <c r="P205">
        <f t="shared" si="10"/>
        <v>20.518399999999993</v>
      </c>
      <c r="S205">
        <f t="shared" si="11"/>
        <v>9.4024647110000004</v>
      </c>
    </row>
    <row r="206" spans="1:19">
      <c r="A206" s="9">
        <v>41923</v>
      </c>
      <c r="B206" s="7" t="s">
        <v>20</v>
      </c>
      <c r="C206">
        <v>34</v>
      </c>
      <c r="D206" t="s">
        <v>17</v>
      </c>
      <c r="F206">
        <v>0.64</v>
      </c>
      <c r="J206">
        <f>26+38+43</f>
        <v>107</v>
      </c>
      <c r="K206">
        <v>3</v>
      </c>
      <c r="L206">
        <v>43</v>
      </c>
      <c r="N206" t="str">
        <f t="shared" si="9"/>
        <v>NA</v>
      </c>
      <c r="O206" t="s">
        <v>64</v>
      </c>
      <c r="P206" t="str">
        <f t="shared" si="10"/>
        <v xml:space="preserve"> </v>
      </c>
      <c r="S206">
        <f t="shared" si="11"/>
        <v>0.321698816</v>
      </c>
    </row>
    <row r="207" spans="1:19">
      <c r="A207" s="9">
        <v>41923</v>
      </c>
      <c r="B207" s="7" t="s">
        <v>20</v>
      </c>
      <c r="C207">
        <v>34</v>
      </c>
      <c r="D207" t="s">
        <v>17</v>
      </c>
      <c r="F207">
        <v>4</v>
      </c>
      <c r="J207">
        <f>131+218+271+272+286+296</f>
        <v>1474</v>
      </c>
      <c r="K207">
        <v>6</v>
      </c>
      <c r="L207">
        <v>296</v>
      </c>
      <c r="N207" t="str">
        <f t="shared" si="9"/>
        <v>NA</v>
      </c>
      <c r="O207">
        <v>37.417799999999993</v>
      </c>
      <c r="P207">
        <f t="shared" si="10"/>
        <v>37.417799999999993</v>
      </c>
      <c r="S207">
        <f t="shared" si="11"/>
        <v>12.56636</v>
      </c>
    </row>
    <row r="208" spans="1:19">
      <c r="A208" s="9">
        <v>41923</v>
      </c>
      <c r="B208" s="7" t="s">
        <v>20</v>
      </c>
      <c r="C208">
        <v>34</v>
      </c>
      <c r="D208" t="s">
        <v>17</v>
      </c>
      <c r="F208">
        <v>3.81</v>
      </c>
      <c r="J208">
        <f>321+343+377+370</f>
        <v>1411</v>
      </c>
      <c r="K208">
        <v>4</v>
      </c>
      <c r="L208">
        <v>377</v>
      </c>
      <c r="N208" t="str">
        <f t="shared" si="9"/>
        <v>NA</v>
      </c>
      <c r="O208">
        <v>24.049699999999987</v>
      </c>
      <c r="P208">
        <f t="shared" si="10"/>
        <v>24.049699999999987</v>
      </c>
      <c r="S208">
        <f t="shared" si="11"/>
        <v>11.400908649749999</v>
      </c>
    </row>
    <row r="209" spans="1:19">
      <c r="A209" s="9">
        <v>41911</v>
      </c>
      <c r="B209" s="7" t="s">
        <v>21</v>
      </c>
      <c r="C209">
        <v>12</v>
      </c>
      <c r="D209" t="s">
        <v>59</v>
      </c>
      <c r="E209">
        <v>232</v>
      </c>
      <c r="F209">
        <v>1.54</v>
      </c>
      <c r="N209">
        <f t="shared" si="9"/>
        <v>144.04483365066665</v>
      </c>
      <c r="O209">
        <v>8.5608000000000004</v>
      </c>
      <c r="P209">
        <f t="shared" si="10"/>
        <v>8.5608000000000004</v>
      </c>
      <c r="S209">
        <f t="shared" si="11"/>
        <v>1.8626487109999998</v>
      </c>
    </row>
    <row r="210" spans="1:19">
      <c r="A210" s="9">
        <v>41911</v>
      </c>
      <c r="B210" s="7" t="s">
        <v>21</v>
      </c>
      <c r="C210">
        <v>12</v>
      </c>
      <c r="D210" t="s">
        <v>59</v>
      </c>
      <c r="E210">
        <v>188</v>
      </c>
      <c r="F210">
        <v>1.29</v>
      </c>
      <c r="N210">
        <f t="shared" si="9"/>
        <v>81.904078730999998</v>
      </c>
      <c r="O210">
        <v>6.9372000000000007</v>
      </c>
      <c r="P210">
        <f t="shared" si="10"/>
        <v>6.9372000000000007</v>
      </c>
      <c r="S210">
        <f t="shared" si="11"/>
        <v>1.3069799797500001</v>
      </c>
    </row>
    <row r="211" spans="1:19">
      <c r="A211" s="9">
        <v>41911</v>
      </c>
      <c r="B211" s="7" t="s">
        <v>21</v>
      </c>
      <c r="C211">
        <v>12</v>
      </c>
      <c r="D211" t="s">
        <v>59</v>
      </c>
      <c r="E211">
        <v>174</v>
      </c>
      <c r="F211">
        <v>1.29</v>
      </c>
      <c r="N211">
        <f t="shared" si="9"/>
        <v>75.804838825499999</v>
      </c>
      <c r="O211">
        <v>6.4206000000000003</v>
      </c>
      <c r="P211">
        <f t="shared" si="10"/>
        <v>6.4206000000000003</v>
      </c>
      <c r="S211">
        <f t="shared" si="11"/>
        <v>1.3069799797500001</v>
      </c>
    </row>
    <row r="212" spans="1:19">
      <c r="A212" s="9">
        <v>41911</v>
      </c>
      <c r="B212" s="7" t="s">
        <v>21</v>
      </c>
      <c r="C212">
        <v>12</v>
      </c>
      <c r="D212" t="s">
        <v>59</v>
      </c>
      <c r="E212">
        <v>70</v>
      </c>
      <c r="F212">
        <v>1.38</v>
      </c>
      <c r="N212">
        <f t="shared" si="9"/>
        <v>34.899923309999991</v>
      </c>
      <c r="O212">
        <v>2.5830000000000002</v>
      </c>
      <c r="P212">
        <f t="shared" si="10"/>
        <v>2.5830000000000002</v>
      </c>
      <c r="S212">
        <f t="shared" si="11"/>
        <v>1.4957109989999997</v>
      </c>
    </row>
    <row r="213" spans="1:19">
      <c r="A213" s="9">
        <v>41911</v>
      </c>
      <c r="B213" s="7" t="s">
        <v>21</v>
      </c>
      <c r="C213">
        <v>12</v>
      </c>
      <c r="D213" t="s">
        <v>59</v>
      </c>
      <c r="E213">
        <v>201</v>
      </c>
      <c r="F213">
        <v>1.17</v>
      </c>
      <c r="N213">
        <f t="shared" si="9"/>
        <v>72.033752729249983</v>
      </c>
      <c r="O213">
        <v>7.4169</v>
      </c>
      <c r="P213">
        <f t="shared" si="10"/>
        <v>7.4169</v>
      </c>
      <c r="S213">
        <f t="shared" si="11"/>
        <v>1.0751306377499998</v>
      </c>
    </row>
    <row r="214" spans="1:19">
      <c r="A214" s="9">
        <v>41911</v>
      </c>
      <c r="B214" s="7" t="s">
        <v>21</v>
      </c>
      <c r="C214">
        <v>12</v>
      </c>
      <c r="D214" t="s">
        <v>59</v>
      </c>
      <c r="E214">
        <v>100</v>
      </c>
      <c r="F214">
        <v>0.94</v>
      </c>
      <c r="N214">
        <f t="shared" si="9"/>
        <v>23.132574366666663</v>
      </c>
      <c r="O214">
        <v>3.6900000000000004</v>
      </c>
      <c r="P214">
        <f t="shared" si="10"/>
        <v>3.6900000000000004</v>
      </c>
      <c r="S214">
        <f t="shared" si="11"/>
        <v>0.69397723099999997</v>
      </c>
    </row>
    <row r="215" spans="1:19">
      <c r="A215" s="9">
        <v>41911</v>
      </c>
      <c r="B215" s="7" t="s">
        <v>21</v>
      </c>
      <c r="C215">
        <v>12</v>
      </c>
      <c r="D215" t="s">
        <v>59</v>
      </c>
      <c r="E215">
        <v>232</v>
      </c>
      <c r="F215">
        <v>1.84</v>
      </c>
      <c r="N215">
        <f t="shared" si="9"/>
        <v>205.63256401066667</v>
      </c>
      <c r="O215">
        <v>8.5608000000000004</v>
      </c>
      <c r="P215">
        <f t="shared" si="10"/>
        <v>8.5608000000000004</v>
      </c>
      <c r="S215">
        <f t="shared" si="11"/>
        <v>2.659041776</v>
      </c>
    </row>
    <row r="216" spans="1:19">
      <c r="A216" s="9">
        <v>41911</v>
      </c>
      <c r="B216" s="7" t="s">
        <v>21</v>
      </c>
      <c r="C216">
        <v>12</v>
      </c>
      <c r="D216" t="s">
        <v>59</v>
      </c>
      <c r="E216">
        <v>254</v>
      </c>
      <c r="F216">
        <v>1.53</v>
      </c>
      <c r="N216">
        <f t="shared" si="9"/>
        <v>155.66279998949997</v>
      </c>
      <c r="O216">
        <v>9.3726000000000003</v>
      </c>
      <c r="P216">
        <f t="shared" si="10"/>
        <v>9.3726000000000003</v>
      </c>
      <c r="S216">
        <f t="shared" si="11"/>
        <v>1.8385370077499998</v>
      </c>
    </row>
    <row r="217" spans="1:19">
      <c r="A217" s="9">
        <v>41911</v>
      </c>
      <c r="B217" s="7" t="s">
        <v>21</v>
      </c>
      <c r="C217">
        <v>12</v>
      </c>
      <c r="D217" t="s">
        <v>59</v>
      </c>
      <c r="E217">
        <v>200</v>
      </c>
      <c r="F217">
        <v>1.34</v>
      </c>
      <c r="N217">
        <f t="shared" si="9"/>
        <v>94.017316733333331</v>
      </c>
      <c r="O217">
        <v>7.3800000000000008</v>
      </c>
      <c r="P217">
        <f t="shared" si="10"/>
        <v>7.3800000000000008</v>
      </c>
      <c r="S217">
        <f t="shared" si="11"/>
        <v>1.4102597510000001</v>
      </c>
    </row>
    <row r="218" spans="1:19">
      <c r="A218" s="9">
        <v>41911</v>
      </c>
      <c r="B218" s="7" t="s">
        <v>21</v>
      </c>
      <c r="C218">
        <v>12</v>
      </c>
      <c r="D218" t="s">
        <v>59</v>
      </c>
      <c r="E218">
        <v>215</v>
      </c>
      <c r="F218">
        <v>0.84</v>
      </c>
      <c r="N218">
        <f t="shared" si="9"/>
        <v>39.715980779999995</v>
      </c>
      <c r="O218">
        <v>7.9335000000000004</v>
      </c>
      <c r="P218">
        <f t="shared" si="10"/>
        <v>7.9335000000000004</v>
      </c>
      <c r="S218">
        <f t="shared" si="11"/>
        <v>0.55417647599999986</v>
      </c>
    </row>
    <row r="219" spans="1:19">
      <c r="A219" s="9">
        <v>41911</v>
      </c>
      <c r="B219" s="7" t="s">
        <v>21</v>
      </c>
      <c r="C219">
        <v>12</v>
      </c>
      <c r="D219" t="s">
        <v>59</v>
      </c>
      <c r="E219">
        <v>134</v>
      </c>
      <c r="F219">
        <v>2.37</v>
      </c>
      <c r="N219">
        <f t="shared" si="9"/>
        <v>197.0469650595</v>
      </c>
      <c r="O219">
        <v>4.9446000000000003</v>
      </c>
      <c r="P219">
        <f t="shared" si="10"/>
        <v>4.9446000000000003</v>
      </c>
      <c r="S219">
        <f t="shared" si="11"/>
        <v>4.4114992177500003</v>
      </c>
    </row>
    <row r="220" spans="1:19">
      <c r="A220" s="9">
        <v>41911</v>
      </c>
      <c r="B220" s="7" t="s">
        <v>21</v>
      </c>
      <c r="C220">
        <v>12</v>
      </c>
      <c r="D220" t="s">
        <v>59</v>
      </c>
      <c r="E220">
        <v>102</v>
      </c>
      <c r="F220">
        <v>0.88</v>
      </c>
      <c r="N220">
        <f t="shared" si="9"/>
        <v>20.679202015999998</v>
      </c>
      <c r="O220">
        <v>3.7638000000000003</v>
      </c>
      <c r="P220">
        <f t="shared" si="10"/>
        <v>3.7638000000000003</v>
      </c>
      <c r="S220">
        <f t="shared" si="11"/>
        <v>0.60821182399999996</v>
      </c>
    </row>
    <row r="221" spans="1:19">
      <c r="A221" s="9">
        <v>41911</v>
      </c>
      <c r="B221" s="7" t="s">
        <v>21</v>
      </c>
      <c r="C221">
        <v>12</v>
      </c>
      <c r="D221" t="s">
        <v>59</v>
      </c>
      <c r="E221">
        <v>165</v>
      </c>
      <c r="F221">
        <v>1.35</v>
      </c>
      <c r="N221">
        <f t="shared" si="9"/>
        <v>78.726281906250009</v>
      </c>
      <c r="O221">
        <v>6.0885000000000007</v>
      </c>
      <c r="P221">
        <f t="shared" si="10"/>
        <v>6.0885000000000007</v>
      </c>
      <c r="S221">
        <f t="shared" si="11"/>
        <v>1.4313869437500002</v>
      </c>
    </row>
    <row r="222" spans="1:19">
      <c r="A222" s="9">
        <v>41911</v>
      </c>
      <c r="B222" s="7" t="s">
        <v>21</v>
      </c>
      <c r="C222">
        <v>12</v>
      </c>
      <c r="D222" t="s">
        <v>59</v>
      </c>
      <c r="E222">
        <v>230</v>
      </c>
      <c r="F222">
        <v>0.76</v>
      </c>
      <c r="N222">
        <f t="shared" si="9"/>
        <v>34.779495693333331</v>
      </c>
      <c r="O222">
        <v>8.4870000000000001</v>
      </c>
      <c r="P222">
        <f t="shared" si="10"/>
        <v>8.4870000000000001</v>
      </c>
      <c r="S222">
        <f t="shared" si="11"/>
        <v>0.45364559599999998</v>
      </c>
    </row>
    <row r="223" spans="1:19">
      <c r="A223" s="9">
        <v>41911</v>
      </c>
      <c r="B223" s="7" t="s">
        <v>21</v>
      </c>
      <c r="C223">
        <v>12</v>
      </c>
      <c r="D223" t="s">
        <v>59</v>
      </c>
      <c r="E223">
        <v>228</v>
      </c>
      <c r="F223">
        <v>1.51</v>
      </c>
      <c r="N223">
        <f t="shared" si="9"/>
        <v>136.09964782099999</v>
      </c>
      <c r="O223">
        <v>8.4131999999999998</v>
      </c>
      <c r="P223">
        <f t="shared" si="10"/>
        <v>8.4131999999999998</v>
      </c>
      <c r="S223">
        <f t="shared" si="11"/>
        <v>1.7907848397499999</v>
      </c>
    </row>
    <row r="224" spans="1:19">
      <c r="A224" s="9">
        <v>41911</v>
      </c>
      <c r="B224" s="7" t="s">
        <v>21</v>
      </c>
      <c r="C224">
        <v>12</v>
      </c>
      <c r="D224" t="s">
        <v>59</v>
      </c>
      <c r="E224">
        <v>38</v>
      </c>
      <c r="F224">
        <v>0.68</v>
      </c>
      <c r="N224">
        <f t="shared" si="9"/>
        <v>4.6001255173333337</v>
      </c>
      <c r="O224">
        <v>1.4022000000000001</v>
      </c>
      <c r="P224">
        <f t="shared" si="10"/>
        <v>1.4022000000000001</v>
      </c>
      <c r="S224">
        <f t="shared" si="11"/>
        <v>0.36316780400000004</v>
      </c>
    </row>
    <row r="225" spans="1:19">
      <c r="A225" s="9">
        <v>41911</v>
      </c>
      <c r="B225" s="7" t="s">
        <v>21</v>
      </c>
      <c r="C225">
        <v>12</v>
      </c>
      <c r="D225" t="s">
        <v>17</v>
      </c>
      <c r="F225">
        <v>10.050000000000001</v>
      </c>
      <c r="J225">
        <f>184+189+210+213+214+226+229+236+218+230+211+206+192</f>
        <v>2758</v>
      </c>
      <c r="K225">
        <v>13</v>
      </c>
      <c r="L225">
        <v>236</v>
      </c>
      <c r="N225" t="str">
        <f t="shared" si="9"/>
        <v>NA</v>
      </c>
      <c r="O225">
        <v>118.48759999999999</v>
      </c>
      <c r="P225">
        <f t="shared" si="10"/>
        <v>118.48759999999999</v>
      </c>
      <c r="S225">
        <f t="shared" si="11"/>
        <v>79.327110993750011</v>
      </c>
    </row>
    <row r="226" spans="1:19">
      <c r="A226" s="9">
        <v>41911</v>
      </c>
      <c r="B226" s="7" t="s">
        <v>21</v>
      </c>
      <c r="C226">
        <v>12</v>
      </c>
      <c r="D226" t="s">
        <v>17</v>
      </c>
      <c r="F226">
        <v>4.0599999999999996</v>
      </c>
      <c r="J226">
        <f>132+156+222+258+285+300+311</f>
        <v>1664</v>
      </c>
      <c r="K226">
        <v>7</v>
      </c>
      <c r="L226">
        <v>311</v>
      </c>
      <c r="N226" t="str">
        <f t="shared" si="9"/>
        <v>NA</v>
      </c>
      <c r="O226">
        <v>45.571799999999996</v>
      </c>
      <c r="P226">
        <f t="shared" si="10"/>
        <v>45.571799999999996</v>
      </c>
      <c r="S226">
        <f t="shared" si="11"/>
        <v>12.946178230999996</v>
      </c>
    </row>
    <row r="227" spans="1:19">
      <c r="A227" s="9">
        <v>41911</v>
      </c>
      <c r="B227" s="7" t="s">
        <v>21</v>
      </c>
      <c r="C227">
        <v>12</v>
      </c>
      <c r="D227" t="s">
        <v>17</v>
      </c>
      <c r="F227">
        <v>2</v>
      </c>
      <c r="J227">
        <f>32+58+87+90</f>
        <v>267</v>
      </c>
      <c r="K227">
        <v>4</v>
      </c>
      <c r="L227">
        <v>90</v>
      </c>
      <c r="N227" t="str">
        <f t="shared" si="9"/>
        <v>NA</v>
      </c>
      <c r="O227" t="s">
        <v>64</v>
      </c>
      <c r="P227" t="str">
        <f t="shared" si="10"/>
        <v xml:space="preserve"> </v>
      </c>
      <c r="S227">
        <f t="shared" si="11"/>
        <v>3.1415899999999999</v>
      </c>
    </row>
    <row r="228" spans="1:19">
      <c r="A228" s="9">
        <v>41911</v>
      </c>
      <c r="B228" s="7" t="s">
        <v>21</v>
      </c>
      <c r="C228">
        <v>12</v>
      </c>
      <c r="D228" t="s">
        <v>17</v>
      </c>
      <c r="F228">
        <v>1.99</v>
      </c>
      <c r="J228">
        <f>82+122+159+175+186</f>
        <v>724</v>
      </c>
      <c r="K228">
        <v>5</v>
      </c>
      <c r="L228">
        <v>186</v>
      </c>
      <c r="N228" t="str">
        <f t="shared" si="9"/>
        <v>NA</v>
      </c>
      <c r="O228">
        <v>7.4917999999999942</v>
      </c>
      <c r="P228">
        <f t="shared" si="10"/>
        <v>7.4917999999999942</v>
      </c>
      <c r="S228">
        <f t="shared" si="11"/>
        <v>3.1102526397500001</v>
      </c>
    </row>
    <row r="229" spans="1:19">
      <c r="A229" s="9">
        <v>41911</v>
      </c>
      <c r="B229" s="7" t="s">
        <v>21</v>
      </c>
      <c r="C229">
        <v>12</v>
      </c>
      <c r="D229" t="s">
        <v>17</v>
      </c>
      <c r="F229">
        <v>0.55000000000000004</v>
      </c>
      <c r="J229">
        <f>28+38+51+50</f>
        <v>167</v>
      </c>
      <c r="K229">
        <v>4</v>
      </c>
      <c r="L229">
        <v>51</v>
      </c>
      <c r="N229" t="str">
        <f t="shared" si="9"/>
        <v>NA</v>
      </c>
      <c r="O229" t="s">
        <v>64</v>
      </c>
      <c r="P229" t="str">
        <f t="shared" si="10"/>
        <v xml:space="preserve"> </v>
      </c>
      <c r="S229">
        <f t="shared" si="11"/>
        <v>0.23758274375000002</v>
      </c>
    </row>
    <row r="230" spans="1:19">
      <c r="A230" s="9">
        <v>41911</v>
      </c>
      <c r="B230" s="7" t="s">
        <v>21</v>
      </c>
      <c r="C230">
        <v>12</v>
      </c>
      <c r="D230" t="s">
        <v>17</v>
      </c>
      <c r="F230">
        <v>11</v>
      </c>
      <c r="J230">
        <f>170+187+194+210+213+219+222+238+223+246+245+253+256</f>
        <v>2876</v>
      </c>
      <c r="K230">
        <v>13</v>
      </c>
      <c r="L230">
        <v>256</v>
      </c>
      <c r="N230" t="str">
        <f t="shared" si="9"/>
        <v>NA</v>
      </c>
      <c r="O230">
        <v>123.07819999999998</v>
      </c>
      <c r="P230">
        <f t="shared" si="10"/>
        <v>123.07819999999998</v>
      </c>
      <c r="S230">
        <f t="shared" si="11"/>
        <v>95.033097499999997</v>
      </c>
    </row>
    <row r="231" spans="1:19">
      <c r="A231" s="9">
        <v>41911</v>
      </c>
      <c r="B231" s="7" t="s">
        <v>21</v>
      </c>
      <c r="C231">
        <v>12</v>
      </c>
      <c r="D231" t="s">
        <v>17</v>
      </c>
      <c r="F231">
        <v>1.38</v>
      </c>
      <c r="J231">
        <f>47+56+57</f>
        <v>160</v>
      </c>
      <c r="K231">
        <v>3</v>
      </c>
      <c r="L231">
        <v>57</v>
      </c>
      <c r="N231" t="str">
        <f t="shared" si="9"/>
        <v>NA</v>
      </c>
      <c r="O231" t="s">
        <v>64</v>
      </c>
      <c r="P231" t="str">
        <f t="shared" si="10"/>
        <v xml:space="preserve"> </v>
      </c>
      <c r="S231">
        <f t="shared" si="11"/>
        <v>1.4957109989999997</v>
      </c>
    </row>
    <row r="232" spans="1:19">
      <c r="A232" s="9">
        <v>41911</v>
      </c>
      <c r="B232" s="7" t="s">
        <v>21</v>
      </c>
      <c r="C232">
        <v>20</v>
      </c>
      <c r="D232" t="s">
        <v>59</v>
      </c>
      <c r="E232">
        <v>105</v>
      </c>
      <c r="F232">
        <v>0.8</v>
      </c>
      <c r="N232">
        <f t="shared" si="9"/>
        <v>17.592904000000001</v>
      </c>
      <c r="O232">
        <v>3.8745000000000003</v>
      </c>
      <c r="P232">
        <f t="shared" si="10"/>
        <v>3.8745000000000003</v>
      </c>
      <c r="S232">
        <f t="shared" si="11"/>
        <v>0.50265440000000006</v>
      </c>
    </row>
    <row r="233" spans="1:19">
      <c r="A233" s="9">
        <v>41911</v>
      </c>
      <c r="B233" s="7" t="s">
        <v>21</v>
      </c>
      <c r="C233">
        <v>20</v>
      </c>
      <c r="D233" t="s">
        <v>59</v>
      </c>
      <c r="E233">
        <v>134</v>
      </c>
      <c r="F233">
        <v>1.37</v>
      </c>
      <c r="N233">
        <f t="shared" si="9"/>
        <v>65.843694692833338</v>
      </c>
      <c r="O233">
        <v>4.9446000000000003</v>
      </c>
      <c r="P233">
        <f t="shared" si="10"/>
        <v>4.9446000000000003</v>
      </c>
      <c r="S233">
        <f t="shared" si="11"/>
        <v>1.4741125677500002</v>
      </c>
    </row>
    <row r="234" spans="1:19">
      <c r="A234" s="9">
        <v>41911</v>
      </c>
      <c r="B234" s="7" t="s">
        <v>21</v>
      </c>
      <c r="C234">
        <v>20</v>
      </c>
      <c r="D234" t="s">
        <v>59</v>
      </c>
      <c r="E234">
        <v>182</v>
      </c>
      <c r="F234">
        <v>1.38</v>
      </c>
      <c r="N234">
        <f t="shared" si="9"/>
        <v>90.739800605999974</v>
      </c>
      <c r="O234">
        <v>6.7158000000000007</v>
      </c>
      <c r="P234">
        <f t="shared" si="10"/>
        <v>6.7158000000000007</v>
      </c>
      <c r="S234">
        <f t="shared" si="11"/>
        <v>1.4957109989999997</v>
      </c>
    </row>
    <row r="235" spans="1:19">
      <c r="A235" s="9">
        <v>41911</v>
      </c>
      <c r="B235" s="7" t="s">
        <v>21</v>
      </c>
      <c r="C235">
        <v>20</v>
      </c>
      <c r="D235" t="s">
        <v>59</v>
      </c>
      <c r="E235">
        <v>62</v>
      </c>
      <c r="F235">
        <v>0.71</v>
      </c>
      <c r="N235">
        <f t="shared" si="9"/>
        <v>8.1823235148333335</v>
      </c>
      <c r="O235">
        <v>2.2878000000000003</v>
      </c>
      <c r="P235">
        <f t="shared" si="10"/>
        <v>2.2878000000000003</v>
      </c>
      <c r="S235">
        <f t="shared" si="11"/>
        <v>0.39591887974999995</v>
      </c>
    </row>
    <row r="236" spans="1:19">
      <c r="A236" s="9">
        <v>41911</v>
      </c>
      <c r="B236" s="7" t="s">
        <v>21</v>
      </c>
      <c r="C236">
        <v>20</v>
      </c>
      <c r="D236" t="s">
        <v>59</v>
      </c>
      <c r="E236">
        <v>232</v>
      </c>
      <c r="F236">
        <v>1.49</v>
      </c>
      <c r="N236">
        <f t="shared" si="9"/>
        <v>134.84311654066664</v>
      </c>
      <c r="O236">
        <v>8.5608000000000004</v>
      </c>
      <c r="P236">
        <f t="shared" si="10"/>
        <v>8.5608000000000004</v>
      </c>
      <c r="S236">
        <f t="shared" si="11"/>
        <v>1.7436609897499999</v>
      </c>
    </row>
    <row r="237" spans="1:19">
      <c r="A237" s="9">
        <v>41911</v>
      </c>
      <c r="B237" s="7" t="s">
        <v>21</v>
      </c>
      <c r="C237">
        <v>20</v>
      </c>
      <c r="D237" t="s">
        <v>59</v>
      </c>
      <c r="E237">
        <v>159</v>
      </c>
      <c r="F237">
        <v>1.49</v>
      </c>
      <c r="N237">
        <f t="shared" si="9"/>
        <v>92.414032456749993</v>
      </c>
      <c r="O237">
        <v>5.8671000000000006</v>
      </c>
      <c r="P237">
        <f t="shared" si="10"/>
        <v>5.8671000000000006</v>
      </c>
      <c r="S237">
        <f t="shared" si="11"/>
        <v>1.7436609897499999</v>
      </c>
    </row>
    <row r="238" spans="1:19">
      <c r="A238" s="9">
        <v>41911</v>
      </c>
      <c r="B238" s="7" t="s">
        <v>21</v>
      </c>
      <c r="C238">
        <v>20</v>
      </c>
      <c r="D238" t="s">
        <v>59</v>
      </c>
      <c r="E238">
        <v>257</v>
      </c>
      <c r="F238">
        <v>1.19</v>
      </c>
      <c r="N238">
        <f t="shared" si="9"/>
        <v>95.278586578583315</v>
      </c>
      <c r="O238">
        <v>9.4832999999999998</v>
      </c>
      <c r="P238">
        <f t="shared" si="10"/>
        <v>9.4832999999999998</v>
      </c>
      <c r="S238">
        <f t="shared" si="11"/>
        <v>1.11220139975</v>
      </c>
    </row>
    <row r="239" spans="1:19">
      <c r="A239" s="9">
        <v>41911</v>
      </c>
      <c r="B239" s="7" t="s">
        <v>21</v>
      </c>
      <c r="C239">
        <v>20</v>
      </c>
      <c r="D239" t="s">
        <v>59</v>
      </c>
      <c r="E239">
        <v>277</v>
      </c>
      <c r="F239">
        <v>1.35</v>
      </c>
      <c r="N239">
        <f t="shared" si="9"/>
        <v>132.16472780625</v>
      </c>
      <c r="O239">
        <v>10.221300000000001</v>
      </c>
      <c r="P239">
        <f t="shared" si="10"/>
        <v>10.221300000000001</v>
      </c>
      <c r="S239">
        <f t="shared" si="11"/>
        <v>1.4313869437500002</v>
      </c>
    </row>
    <row r="240" spans="1:19">
      <c r="A240" s="9">
        <v>41911</v>
      </c>
      <c r="B240" s="7" t="s">
        <v>21</v>
      </c>
      <c r="C240">
        <v>20</v>
      </c>
      <c r="D240" t="s">
        <v>59</v>
      </c>
      <c r="E240">
        <v>241</v>
      </c>
      <c r="F240">
        <v>1.26</v>
      </c>
      <c r="N240">
        <f t="shared" si="9"/>
        <v>100.167398037</v>
      </c>
      <c r="O240">
        <v>8.8929000000000009</v>
      </c>
      <c r="P240">
        <f t="shared" si="10"/>
        <v>8.8929000000000009</v>
      </c>
      <c r="S240">
        <f t="shared" si="11"/>
        <v>1.246897071</v>
      </c>
    </row>
    <row r="241" spans="1:19">
      <c r="A241" s="9">
        <v>41911</v>
      </c>
      <c r="B241" s="7" t="s">
        <v>21</v>
      </c>
      <c r="C241">
        <v>20</v>
      </c>
      <c r="D241" t="s">
        <v>59</v>
      </c>
      <c r="E241">
        <v>43</v>
      </c>
      <c r="F241">
        <v>0.69</v>
      </c>
      <c r="N241">
        <f t="shared" si="9"/>
        <v>5.3596310797499989</v>
      </c>
      <c r="O241">
        <v>1.5867</v>
      </c>
      <c r="P241">
        <f t="shared" si="10"/>
        <v>1.5867</v>
      </c>
      <c r="S241">
        <f t="shared" si="11"/>
        <v>0.37392774974999993</v>
      </c>
    </row>
    <row r="242" spans="1:19">
      <c r="A242" s="9">
        <v>41911</v>
      </c>
      <c r="B242" s="7" t="s">
        <v>21</v>
      </c>
      <c r="C242">
        <v>20</v>
      </c>
      <c r="D242" t="s">
        <v>59</v>
      </c>
      <c r="E242">
        <v>251</v>
      </c>
      <c r="F242">
        <v>1.23</v>
      </c>
      <c r="N242">
        <f t="shared" si="9"/>
        <v>99.41506577174998</v>
      </c>
      <c r="O242">
        <v>9.2619000000000007</v>
      </c>
      <c r="P242">
        <f t="shared" si="10"/>
        <v>9.2619000000000007</v>
      </c>
      <c r="S242">
        <f t="shared" si="11"/>
        <v>1.1882278777499999</v>
      </c>
    </row>
    <row r="243" spans="1:19">
      <c r="A243" s="9">
        <v>41911</v>
      </c>
      <c r="B243" s="7" t="s">
        <v>21</v>
      </c>
      <c r="C243">
        <v>20</v>
      </c>
      <c r="D243" t="s">
        <v>59</v>
      </c>
      <c r="E243">
        <v>280</v>
      </c>
      <c r="F243">
        <v>1.38</v>
      </c>
      <c r="N243">
        <f t="shared" si="9"/>
        <v>139.59969323999997</v>
      </c>
      <c r="O243">
        <v>10.332000000000001</v>
      </c>
      <c r="P243">
        <f t="shared" si="10"/>
        <v>10.332000000000001</v>
      </c>
      <c r="S243">
        <f t="shared" si="11"/>
        <v>1.4957109989999997</v>
      </c>
    </row>
    <row r="244" spans="1:19">
      <c r="A244" s="9">
        <v>41911</v>
      </c>
      <c r="B244" s="7" t="s">
        <v>21</v>
      </c>
      <c r="C244">
        <v>20</v>
      </c>
      <c r="D244" t="s">
        <v>59</v>
      </c>
      <c r="F244">
        <v>1.27</v>
      </c>
      <c r="N244">
        <f t="shared" si="9"/>
        <v>0</v>
      </c>
      <c r="O244" t="s">
        <v>64</v>
      </c>
      <c r="P244" t="str">
        <f t="shared" si="10"/>
        <v xml:space="preserve"> </v>
      </c>
      <c r="S244">
        <f t="shared" si="11"/>
        <v>1.26676762775</v>
      </c>
    </row>
    <row r="245" spans="1:19">
      <c r="A245" s="9">
        <v>41911</v>
      </c>
      <c r="B245" s="7" t="s">
        <v>21</v>
      </c>
      <c r="C245">
        <v>20</v>
      </c>
      <c r="D245" t="s">
        <v>59</v>
      </c>
      <c r="E245">
        <v>201</v>
      </c>
      <c r="F245">
        <v>0.99</v>
      </c>
      <c r="N245">
        <f t="shared" si="9"/>
        <v>51.574462013249999</v>
      </c>
      <c r="O245">
        <v>7.4169</v>
      </c>
      <c r="P245">
        <f t="shared" si="10"/>
        <v>7.4169</v>
      </c>
      <c r="S245">
        <f t="shared" si="11"/>
        <v>0.76976808975</v>
      </c>
    </row>
    <row r="246" spans="1:19">
      <c r="A246" s="9">
        <v>41911</v>
      </c>
      <c r="B246" s="7" t="s">
        <v>21</v>
      </c>
      <c r="C246">
        <v>20</v>
      </c>
      <c r="D246" t="s">
        <v>59</v>
      </c>
      <c r="E246">
        <v>222</v>
      </c>
      <c r="F246">
        <v>1.24</v>
      </c>
      <c r="N246">
        <f t="shared" si="9"/>
        <v>89.364412503999986</v>
      </c>
      <c r="O246">
        <v>8.1918000000000006</v>
      </c>
      <c r="P246">
        <f t="shared" si="10"/>
        <v>8.1918000000000006</v>
      </c>
      <c r="S246">
        <f t="shared" si="11"/>
        <v>1.207627196</v>
      </c>
    </row>
    <row r="247" spans="1:19">
      <c r="A247" s="9">
        <v>41911</v>
      </c>
      <c r="B247" s="7" t="s">
        <v>21</v>
      </c>
      <c r="C247">
        <v>20</v>
      </c>
      <c r="D247" t="s">
        <v>59</v>
      </c>
      <c r="E247">
        <v>143</v>
      </c>
      <c r="F247">
        <v>1.18</v>
      </c>
      <c r="N247">
        <f t="shared" si="9"/>
        <v>52.127669832333325</v>
      </c>
      <c r="O247">
        <v>5.2766999999999999</v>
      </c>
      <c r="P247">
        <f t="shared" si="10"/>
        <v>5.2766999999999999</v>
      </c>
      <c r="S247">
        <f t="shared" si="11"/>
        <v>1.0935874789999998</v>
      </c>
    </row>
    <row r="248" spans="1:19">
      <c r="A248" s="9">
        <v>41911</v>
      </c>
      <c r="B248" s="7" t="s">
        <v>21</v>
      </c>
      <c r="C248">
        <v>20</v>
      </c>
      <c r="D248" t="s">
        <v>59</v>
      </c>
      <c r="E248">
        <v>222</v>
      </c>
      <c r="F248">
        <v>1.19</v>
      </c>
      <c r="N248">
        <f t="shared" si="9"/>
        <v>82.30290358149999</v>
      </c>
      <c r="O248">
        <v>8.1918000000000006</v>
      </c>
      <c r="P248">
        <f t="shared" si="10"/>
        <v>8.1918000000000006</v>
      </c>
      <c r="S248">
        <f t="shared" si="11"/>
        <v>1.11220139975</v>
      </c>
    </row>
    <row r="249" spans="1:19">
      <c r="A249" s="9">
        <v>41911</v>
      </c>
      <c r="B249" s="7" t="s">
        <v>21</v>
      </c>
      <c r="C249">
        <v>20</v>
      </c>
      <c r="D249" t="s">
        <v>59</v>
      </c>
      <c r="E249">
        <v>111</v>
      </c>
      <c r="F249">
        <v>1.1100000000000001</v>
      </c>
      <c r="N249">
        <f t="shared" si="9"/>
        <v>35.80446561075</v>
      </c>
      <c r="O249">
        <v>4.0959000000000003</v>
      </c>
      <c r="P249">
        <f t="shared" si="10"/>
        <v>4.0959000000000003</v>
      </c>
      <c r="S249">
        <f t="shared" si="11"/>
        <v>0.96768825975000017</v>
      </c>
    </row>
    <row r="250" spans="1:19">
      <c r="A250" s="9">
        <v>41911</v>
      </c>
      <c r="B250" s="7" t="s">
        <v>21</v>
      </c>
      <c r="C250">
        <v>20</v>
      </c>
      <c r="D250" t="s">
        <v>59</v>
      </c>
      <c r="E250">
        <v>114</v>
      </c>
      <c r="F250">
        <v>0.83</v>
      </c>
      <c r="N250">
        <f t="shared" si="9"/>
        <v>20.560292834499997</v>
      </c>
      <c r="O250">
        <v>4.2065999999999999</v>
      </c>
      <c r="P250">
        <f t="shared" si="10"/>
        <v>4.2065999999999999</v>
      </c>
      <c r="S250">
        <f t="shared" si="11"/>
        <v>0.54106033774999995</v>
      </c>
    </row>
    <row r="251" spans="1:19">
      <c r="A251" s="9">
        <v>41911</v>
      </c>
      <c r="B251" s="7" t="s">
        <v>21</v>
      </c>
      <c r="C251">
        <v>20</v>
      </c>
      <c r="D251" t="s">
        <v>59</v>
      </c>
      <c r="E251">
        <v>221</v>
      </c>
      <c r="F251">
        <v>1.4</v>
      </c>
      <c r="N251">
        <f t="shared" si="9"/>
        <v>113.4009270333333</v>
      </c>
      <c r="O251">
        <v>8.1549000000000014</v>
      </c>
      <c r="P251">
        <f t="shared" si="10"/>
        <v>8.1549000000000014</v>
      </c>
      <c r="S251">
        <f t="shared" si="11"/>
        <v>1.5393790999999997</v>
      </c>
    </row>
    <row r="252" spans="1:19">
      <c r="A252" s="9">
        <v>41911</v>
      </c>
      <c r="B252" s="7" t="s">
        <v>21</v>
      </c>
      <c r="C252">
        <v>20</v>
      </c>
      <c r="D252" t="s">
        <v>59</v>
      </c>
      <c r="E252">
        <v>169</v>
      </c>
      <c r="F252">
        <v>0.99</v>
      </c>
      <c r="N252">
        <f t="shared" si="9"/>
        <v>43.363602389249998</v>
      </c>
      <c r="O252">
        <v>6.2361000000000004</v>
      </c>
      <c r="P252">
        <f t="shared" si="10"/>
        <v>6.2361000000000004</v>
      </c>
      <c r="S252">
        <f t="shared" si="11"/>
        <v>0.76976808975</v>
      </c>
    </row>
    <row r="253" spans="1:19">
      <c r="A253" s="9">
        <v>41911</v>
      </c>
      <c r="B253" s="7" t="s">
        <v>21</v>
      </c>
      <c r="C253">
        <v>20</v>
      </c>
      <c r="D253" t="s">
        <v>59</v>
      </c>
      <c r="E253">
        <v>202</v>
      </c>
      <c r="F253">
        <v>0.92</v>
      </c>
      <c r="N253">
        <f t="shared" si="9"/>
        <v>44.760536562666665</v>
      </c>
      <c r="O253">
        <v>7.4538000000000002</v>
      </c>
      <c r="P253">
        <f t="shared" si="10"/>
        <v>7.4538000000000002</v>
      </c>
      <c r="S253">
        <f t="shared" si="11"/>
        <v>0.66476044400000001</v>
      </c>
    </row>
    <row r="254" spans="1:19">
      <c r="A254" s="9">
        <v>41911</v>
      </c>
      <c r="B254" s="7" t="s">
        <v>21</v>
      </c>
      <c r="C254">
        <v>20</v>
      </c>
      <c r="D254" t="s">
        <v>59</v>
      </c>
      <c r="E254">
        <v>217</v>
      </c>
      <c r="F254">
        <v>1.01</v>
      </c>
      <c r="N254">
        <f t="shared" si="9"/>
        <v>57.952308591916662</v>
      </c>
      <c r="O254">
        <v>8.0073000000000008</v>
      </c>
      <c r="P254">
        <f t="shared" si="10"/>
        <v>8.0073000000000008</v>
      </c>
      <c r="S254">
        <f t="shared" si="11"/>
        <v>0.80118398974999994</v>
      </c>
    </row>
    <row r="255" spans="1:19">
      <c r="A255" s="9">
        <v>41911</v>
      </c>
      <c r="B255" s="7" t="s">
        <v>21</v>
      </c>
      <c r="C255">
        <v>20</v>
      </c>
      <c r="D255" t="s">
        <v>59</v>
      </c>
      <c r="E255">
        <v>197</v>
      </c>
      <c r="F255">
        <v>0.93</v>
      </c>
      <c r="N255">
        <f t="shared" si="9"/>
        <v>44.606729552250002</v>
      </c>
      <c r="O255">
        <v>7.2693000000000003</v>
      </c>
      <c r="P255">
        <f t="shared" si="10"/>
        <v>7.2693000000000003</v>
      </c>
      <c r="S255">
        <f t="shared" si="11"/>
        <v>0.67929029775000005</v>
      </c>
    </row>
    <row r="256" spans="1:19">
      <c r="A256" s="9">
        <v>41911</v>
      </c>
      <c r="B256" s="7" t="s">
        <v>21</v>
      </c>
      <c r="C256">
        <v>20</v>
      </c>
      <c r="D256" t="s">
        <v>59</v>
      </c>
      <c r="E256">
        <v>164</v>
      </c>
      <c r="F256">
        <v>0.98</v>
      </c>
      <c r="N256">
        <f t="shared" si="9"/>
        <v>41.234834825333323</v>
      </c>
      <c r="O256">
        <v>6.0516000000000005</v>
      </c>
      <c r="P256">
        <f t="shared" si="10"/>
        <v>6.0516000000000005</v>
      </c>
      <c r="S256">
        <f t="shared" si="11"/>
        <v>0.7542957589999999</v>
      </c>
    </row>
    <row r="257" spans="1:19">
      <c r="A257" s="9">
        <v>41911</v>
      </c>
      <c r="B257" s="7" t="s">
        <v>21</v>
      </c>
      <c r="C257">
        <v>20</v>
      </c>
      <c r="D257" t="s">
        <v>59</v>
      </c>
      <c r="E257">
        <v>260</v>
      </c>
      <c r="F257">
        <v>1.18</v>
      </c>
      <c r="N257">
        <f t="shared" si="9"/>
        <v>94.777581513333317</v>
      </c>
      <c r="O257">
        <v>9.5940000000000012</v>
      </c>
      <c r="P257">
        <f t="shared" si="10"/>
        <v>9.5940000000000012</v>
      </c>
      <c r="S257">
        <f t="shared" si="11"/>
        <v>1.0935874789999998</v>
      </c>
    </row>
    <row r="258" spans="1:19">
      <c r="A258" s="9">
        <v>41911</v>
      </c>
      <c r="B258" s="7" t="s">
        <v>21</v>
      </c>
      <c r="C258">
        <v>20</v>
      </c>
      <c r="D258" t="s">
        <v>59</v>
      </c>
      <c r="E258">
        <v>266</v>
      </c>
      <c r="F258">
        <v>1.25</v>
      </c>
      <c r="N258">
        <f t="shared" si="9"/>
        <v>108.81027864583332</v>
      </c>
      <c r="O258">
        <v>9.8154000000000003</v>
      </c>
      <c r="P258">
        <f t="shared" si="10"/>
        <v>9.8154000000000003</v>
      </c>
      <c r="S258">
        <f t="shared" si="11"/>
        <v>1.22718359375</v>
      </c>
    </row>
    <row r="259" spans="1:19">
      <c r="A259" s="9">
        <v>41911</v>
      </c>
      <c r="B259" s="7" t="s">
        <v>21</v>
      </c>
      <c r="C259">
        <v>20</v>
      </c>
      <c r="D259" t="s">
        <v>58</v>
      </c>
      <c r="E259">
        <v>272</v>
      </c>
      <c r="F259">
        <v>3.78</v>
      </c>
      <c r="H259">
        <v>31</v>
      </c>
      <c r="I259">
        <v>2.5</v>
      </c>
      <c r="N259" t="str">
        <f t="shared" si="9"/>
        <v>NA</v>
      </c>
      <c r="O259">
        <v>104.24038</v>
      </c>
      <c r="P259">
        <f t="shared" si="10"/>
        <v>104.24038</v>
      </c>
      <c r="S259">
        <f t="shared" si="11"/>
        <v>11.222073639</v>
      </c>
    </row>
    <row r="260" spans="1:19">
      <c r="A260" s="9">
        <v>41911</v>
      </c>
      <c r="B260" s="7" t="s">
        <v>21</v>
      </c>
      <c r="C260">
        <v>20</v>
      </c>
      <c r="D260" t="s">
        <v>17</v>
      </c>
      <c r="F260">
        <v>2.2400000000000002</v>
      </c>
      <c r="J260">
        <f>66+116+117+148+158+174</f>
        <v>779</v>
      </c>
      <c r="K260">
        <v>6</v>
      </c>
      <c r="L260">
        <v>174</v>
      </c>
      <c r="N260" t="str">
        <f t="shared" ref="N260:N323" si="12">IF(OR(D260="S. acutus", D260="S. tabernaemontani", D260="S. californicus"),(1/3)*(3.14159)*((F260/2)^2)*E260,"NA")</f>
        <v>NA</v>
      </c>
      <c r="O260">
        <v>11.069299999999998</v>
      </c>
      <c r="P260">
        <f t="shared" si="10"/>
        <v>11.069299999999998</v>
      </c>
      <c r="S260">
        <f t="shared" si="11"/>
        <v>3.9408104960000006</v>
      </c>
    </row>
    <row r="261" spans="1:19">
      <c r="A261" s="9">
        <v>41911</v>
      </c>
      <c r="B261" s="7" t="s">
        <v>21</v>
      </c>
      <c r="C261">
        <v>20</v>
      </c>
      <c r="D261" t="s">
        <v>17</v>
      </c>
      <c r="F261">
        <v>4.93</v>
      </c>
      <c r="J261">
        <f>51+130+134+151+194+284+213+235+257</f>
        <v>1649</v>
      </c>
      <c r="K261">
        <v>9</v>
      </c>
      <c r="L261">
        <v>284</v>
      </c>
      <c r="N261" t="str">
        <f t="shared" si="12"/>
        <v>NA</v>
      </c>
      <c r="O261">
        <v>44.881299999999989</v>
      </c>
      <c r="P261">
        <f t="shared" ref="P261:P324" si="13">IF(O261&gt;0,O261," ")</f>
        <v>44.881299999999989</v>
      </c>
      <c r="S261">
        <f t="shared" ref="S261:S324" si="14">3.14159*((F261/2)^2)</f>
        <v>19.089007697749995</v>
      </c>
    </row>
    <row r="262" spans="1:19">
      <c r="A262" s="9">
        <v>41911</v>
      </c>
      <c r="B262" s="7" t="s">
        <v>21</v>
      </c>
      <c r="C262">
        <v>20</v>
      </c>
      <c r="D262" t="s">
        <v>17</v>
      </c>
      <c r="F262">
        <v>4.7300000000000004</v>
      </c>
      <c r="J262">
        <f>97+136+160+200+210+230</f>
        <v>1033</v>
      </c>
      <c r="K262">
        <v>6</v>
      </c>
      <c r="L262">
        <v>230</v>
      </c>
      <c r="N262" t="str">
        <f t="shared" si="12"/>
        <v>NA</v>
      </c>
      <c r="O262">
        <v>18.827100000000002</v>
      </c>
      <c r="P262">
        <f t="shared" si="13"/>
        <v>18.827100000000002</v>
      </c>
      <c r="S262">
        <f t="shared" si="14"/>
        <v>17.571619727750004</v>
      </c>
    </row>
    <row r="263" spans="1:19">
      <c r="A263" s="9">
        <v>41911</v>
      </c>
      <c r="B263" s="7" t="s">
        <v>21</v>
      </c>
      <c r="C263">
        <v>20</v>
      </c>
      <c r="D263" t="s">
        <v>17</v>
      </c>
      <c r="F263">
        <v>1.54</v>
      </c>
      <c r="J263">
        <f>42+55+70+105+105</f>
        <v>377</v>
      </c>
      <c r="K263">
        <v>5</v>
      </c>
      <c r="L263">
        <v>105</v>
      </c>
      <c r="N263" t="str">
        <f t="shared" si="12"/>
        <v>NA</v>
      </c>
      <c r="O263" t="s">
        <v>64</v>
      </c>
      <c r="P263" t="str">
        <f t="shared" si="13"/>
        <v xml:space="preserve"> </v>
      </c>
      <c r="S263">
        <f t="shared" si="14"/>
        <v>1.8626487109999998</v>
      </c>
    </row>
    <row r="264" spans="1:19">
      <c r="A264" s="9">
        <v>41911</v>
      </c>
      <c r="B264" s="7" t="s">
        <v>21</v>
      </c>
      <c r="C264">
        <v>20</v>
      </c>
      <c r="D264" t="s">
        <v>17</v>
      </c>
      <c r="F264">
        <v>2.16</v>
      </c>
      <c r="J264">
        <f>58+68+96+111+163+170</f>
        <v>666</v>
      </c>
      <c r="K264">
        <v>6</v>
      </c>
      <c r="L264">
        <v>170</v>
      </c>
      <c r="N264" t="str">
        <f t="shared" si="12"/>
        <v>NA</v>
      </c>
      <c r="O264">
        <v>4.1881999999999948</v>
      </c>
      <c r="P264">
        <f t="shared" si="13"/>
        <v>4.1881999999999948</v>
      </c>
      <c r="S264">
        <f t="shared" si="14"/>
        <v>3.6643505760000004</v>
      </c>
    </row>
    <row r="265" spans="1:19">
      <c r="A265" s="9">
        <v>41911</v>
      </c>
      <c r="B265" s="7" t="s">
        <v>21</v>
      </c>
      <c r="C265">
        <v>20</v>
      </c>
      <c r="D265" t="s">
        <v>17</v>
      </c>
      <c r="F265">
        <v>4.57</v>
      </c>
      <c r="J265">
        <f>46+96+131+162+153+184+202</f>
        <v>974</v>
      </c>
      <c r="K265">
        <v>7</v>
      </c>
      <c r="L265">
        <v>202</v>
      </c>
      <c r="N265" t="str">
        <f t="shared" si="12"/>
        <v>NA</v>
      </c>
      <c r="O265">
        <v>17.424800000000005</v>
      </c>
      <c r="P265">
        <f t="shared" si="13"/>
        <v>17.424800000000005</v>
      </c>
      <c r="S265">
        <f t="shared" si="14"/>
        <v>16.40294824775</v>
      </c>
    </row>
    <row r="266" spans="1:19">
      <c r="A266" s="9">
        <v>41911</v>
      </c>
      <c r="B266" s="7" t="s">
        <v>21</v>
      </c>
      <c r="C266">
        <v>20</v>
      </c>
      <c r="D266" t="s">
        <v>17</v>
      </c>
      <c r="F266">
        <v>1.66</v>
      </c>
      <c r="J266">
        <f>48+61+94+95+145</f>
        <v>443</v>
      </c>
      <c r="K266">
        <v>5</v>
      </c>
      <c r="L266">
        <v>145</v>
      </c>
      <c r="N266" t="str">
        <f t="shared" si="12"/>
        <v>NA</v>
      </c>
      <c r="O266" t="s">
        <v>64</v>
      </c>
      <c r="P266" t="str">
        <f t="shared" si="13"/>
        <v xml:space="preserve"> </v>
      </c>
      <c r="S266">
        <f t="shared" si="14"/>
        <v>2.1642413509999998</v>
      </c>
    </row>
    <row r="267" spans="1:19">
      <c r="A267" s="9">
        <v>41911</v>
      </c>
      <c r="B267" s="7" t="s">
        <v>21</v>
      </c>
      <c r="C267">
        <v>20</v>
      </c>
      <c r="D267" t="s">
        <v>17</v>
      </c>
      <c r="F267">
        <v>1.35</v>
      </c>
      <c r="J267">
        <f>22+26+33+36+37</f>
        <v>154</v>
      </c>
      <c r="K267">
        <v>5</v>
      </c>
      <c r="L267">
        <v>37</v>
      </c>
      <c r="N267" t="str">
        <f t="shared" si="12"/>
        <v>NA</v>
      </c>
      <c r="O267" t="s">
        <v>64</v>
      </c>
      <c r="P267" t="str">
        <f t="shared" si="13"/>
        <v xml:space="preserve"> </v>
      </c>
      <c r="S267">
        <f t="shared" si="14"/>
        <v>1.4313869437500002</v>
      </c>
    </row>
    <row r="268" spans="1:19">
      <c r="A268" s="9">
        <v>41911</v>
      </c>
      <c r="B268" s="7" t="s">
        <v>21</v>
      </c>
      <c r="C268">
        <v>20</v>
      </c>
      <c r="D268" t="s">
        <v>17</v>
      </c>
      <c r="F268">
        <v>1.49</v>
      </c>
      <c r="J268">
        <f>41+75+89+93+105+114</f>
        <v>517</v>
      </c>
      <c r="K268">
        <v>6</v>
      </c>
      <c r="L268">
        <v>114</v>
      </c>
      <c r="N268" t="str">
        <f t="shared" si="12"/>
        <v>NA</v>
      </c>
      <c r="O268">
        <v>3.4338999999999977</v>
      </c>
      <c r="P268">
        <f t="shared" si="13"/>
        <v>3.4338999999999977</v>
      </c>
      <c r="S268">
        <f t="shared" si="14"/>
        <v>1.7436609897499999</v>
      </c>
    </row>
    <row r="269" spans="1:19">
      <c r="A269" s="9">
        <v>41911</v>
      </c>
      <c r="B269" s="7" t="s">
        <v>21</v>
      </c>
      <c r="C269">
        <v>20</v>
      </c>
      <c r="D269" t="s">
        <v>17</v>
      </c>
      <c r="F269">
        <v>13.15</v>
      </c>
      <c r="J269">
        <f>71+104+185+242+245+50+92+321+319+310+316+295+276+285+286</f>
        <v>3397</v>
      </c>
      <c r="K269">
        <v>15</v>
      </c>
      <c r="L269">
        <v>321</v>
      </c>
      <c r="N269" t="str">
        <f t="shared" si="12"/>
        <v>NA</v>
      </c>
      <c r="O269">
        <v>143.05089999999998</v>
      </c>
      <c r="P269">
        <f t="shared" si="13"/>
        <v>143.05089999999998</v>
      </c>
      <c r="S269">
        <f t="shared" si="14"/>
        <v>135.81289919375001</v>
      </c>
    </row>
    <row r="270" spans="1:19">
      <c r="A270" s="9">
        <v>41911</v>
      </c>
      <c r="B270" s="7" t="s">
        <v>21</v>
      </c>
      <c r="C270">
        <v>20</v>
      </c>
      <c r="D270" t="s">
        <v>17</v>
      </c>
      <c r="F270">
        <v>6.79</v>
      </c>
      <c r="J270">
        <f>60+163+170+198+204+214+189</f>
        <v>1198</v>
      </c>
      <c r="K270">
        <v>7</v>
      </c>
      <c r="L270">
        <v>214</v>
      </c>
      <c r="N270" t="str">
        <f t="shared" si="12"/>
        <v>NA</v>
      </c>
      <c r="O270">
        <v>30.397599999999997</v>
      </c>
      <c r="P270">
        <f t="shared" si="13"/>
        <v>30.397599999999997</v>
      </c>
      <c r="S270">
        <f t="shared" si="14"/>
        <v>36.210044879750001</v>
      </c>
    </row>
    <row r="271" spans="1:19">
      <c r="A271" s="9">
        <v>41911</v>
      </c>
      <c r="B271" s="7" t="s">
        <v>21</v>
      </c>
      <c r="C271">
        <v>24</v>
      </c>
      <c r="D271" t="s">
        <v>17</v>
      </c>
      <c r="F271">
        <v>3.41</v>
      </c>
      <c r="N271" t="str">
        <f t="shared" si="12"/>
        <v>NA</v>
      </c>
      <c r="O271" t="s">
        <v>64</v>
      </c>
      <c r="P271" t="str">
        <f t="shared" si="13"/>
        <v xml:space="preserve"> </v>
      </c>
      <c r="S271">
        <f t="shared" si="14"/>
        <v>9.1326806697500018</v>
      </c>
    </row>
    <row r="272" spans="1:19">
      <c r="A272" s="9">
        <v>41911</v>
      </c>
      <c r="B272" s="7" t="s">
        <v>21</v>
      </c>
      <c r="C272">
        <v>24</v>
      </c>
      <c r="D272" t="s">
        <v>17</v>
      </c>
      <c r="F272">
        <v>2.67</v>
      </c>
      <c r="J272">
        <f>60+68+69+101+108+124+120</f>
        <v>650</v>
      </c>
      <c r="K272">
        <v>7</v>
      </c>
      <c r="L272">
        <v>124</v>
      </c>
      <c r="N272" t="str">
        <f t="shared" si="12"/>
        <v>NA</v>
      </c>
      <c r="O272">
        <v>8.6059999999999945</v>
      </c>
      <c r="P272">
        <f t="shared" si="13"/>
        <v>8.6059999999999945</v>
      </c>
      <c r="S272">
        <f t="shared" si="14"/>
        <v>5.5990202377499996</v>
      </c>
    </row>
    <row r="273" spans="1:19">
      <c r="A273" s="9">
        <v>41911</v>
      </c>
      <c r="B273" s="7" t="s">
        <v>21</v>
      </c>
      <c r="C273">
        <v>24</v>
      </c>
      <c r="D273" t="s">
        <v>17</v>
      </c>
      <c r="F273">
        <v>1.1100000000000001</v>
      </c>
      <c r="J273">
        <f>39+37+60+68+80</f>
        <v>284</v>
      </c>
      <c r="K273">
        <v>5</v>
      </c>
      <c r="L273">
        <v>80</v>
      </c>
      <c r="N273" t="str">
        <f t="shared" si="12"/>
        <v>NA</v>
      </c>
      <c r="O273" t="s">
        <v>64</v>
      </c>
      <c r="P273" t="str">
        <f t="shared" si="13"/>
        <v xml:space="preserve"> </v>
      </c>
      <c r="S273">
        <f t="shared" si="14"/>
        <v>0.96768825975000017</v>
      </c>
    </row>
    <row r="274" spans="1:19">
      <c r="A274" s="9">
        <v>41911</v>
      </c>
      <c r="B274" s="7" t="s">
        <v>21</v>
      </c>
      <c r="C274">
        <v>24</v>
      </c>
      <c r="D274" t="s">
        <v>17</v>
      </c>
      <c r="F274">
        <v>0.92</v>
      </c>
      <c r="J274">
        <f>55+66+84+81+98</f>
        <v>384</v>
      </c>
      <c r="K274">
        <v>5</v>
      </c>
      <c r="L274">
        <v>98</v>
      </c>
      <c r="N274" t="str">
        <f t="shared" si="12"/>
        <v>NA</v>
      </c>
      <c r="O274" t="s">
        <v>64</v>
      </c>
      <c r="P274" t="str">
        <f t="shared" si="13"/>
        <v xml:space="preserve"> </v>
      </c>
      <c r="S274">
        <f t="shared" si="14"/>
        <v>0.66476044400000001</v>
      </c>
    </row>
    <row r="275" spans="1:19">
      <c r="A275" s="9">
        <v>41911</v>
      </c>
      <c r="B275" s="7" t="s">
        <v>21</v>
      </c>
      <c r="C275">
        <v>24</v>
      </c>
      <c r="D275" t="s">
        <v>17</v>
      </c>
      <c r="F275">
        <v>0.68</v>
      </c>
      <c r="J275">
        <f>37+37+44</f>
        <v>118</v>
      </c>
      <c r="K275">
        <v>3</v>
      </c>
      <c r="L275">
        <v>44</v>
      </c>
      <c r="N275" t="str">
        <f t="shared" si="12"/>
        <v>NA</v>
      </c>
      <c r="O275" t="s">
        <v>64</v>
      </c>
      <c r="P275" t="str">
        <f t="shared" si="13"/>
        <v xml:space="preserve"> </v>
      </c>
      <c r="S275">
        <f t="shared" si="14"/>
        <v>0.36316780400000004</v>
      </c>
    </row>
    <row r="276" spans="1:19">
      <c r="A276" s="9">
        <v>41911</v>
      </c>
      <c r="B276" s="7" t="s">
        <v>21</v>
      </c>
      <c r="C276">
        <v>24</v>
      </c>
      <c r="D276" t="s">
        <v>17</v>
      </c>
      <c r="F276">
        <v>0.63</v>
      </c>
      <c r="J276">
        <f>33+41+62+62</f>
        <v>198</v>
      </c>
      <c r="K276">
        <v>4</v>
      </c>
      <c r="L276">
        <v>62</v>
      </c>
      <c r="N276" t="str">
        <f t="shared" si="12"/>
        <v>NA</v>
      </c>
      <c r="O276" t="s">
        <v>64</v>
      </c>
      <c r="P276" t="str">
        <f t="shared" si="13"/>
        <v xml:space="preserve"> </v>
      </c>
      <c r="S276">
        <f t="shared" si="14"/>
        <v>0.31172426775000001</v>
      </c>
    </row>
    <row r="277" spans="1:19">
      <c r="A277" s="9">
        <v>41911</v>
      </c>
      <c r="B277" s="7" t="s">
        <v>21</v>
      </c>
      <c r="C277">
        <v>24</v>
      </c>
      <c r="D277" t="s">
        <v>17</v>
      </c>
      <c r="F277">
        <v>0.39</v>
      </c>
      <c r="J277">
        <f>21+41+63+63</f>
        <v>188</v>
      </c>
      <c r="K277">
        <v>4</v>
      </c>
      <c r="L277">
        <v>63</v>
      </c>
      <c r="N277" t="str">
        <f t="shared" si="12"/>
        <v>NA</v>
      </c>
      <c r="O277" t="s">
        <v>64</v>
      </c>
      <c r="P277" t="str">
        <f t="shared" si="13"/>
        <v xml:space="preserve"> </v>
      </c>
      <c r="S277">
        <f t="shared" si="14"/>
        <v>0.11945895975000001</v>
      </c>
    </row>
    <row r="278" spans="1:19">
      <c r="A278" s="9">
        <v>41911</v>
      </c>
      <c r="B278" s="7" t="s">
        <v>21</v>
      </c>
      <c r="C278">
        <v>24</v>
      </c>
      <c r="D278" t="s">
        <v>17</v>
      </c>
      <c r="F278">
        <v>6.11</v>
      </c>
      <c r="N278" t="str">
        <f t="shared" si="12"/>
        <v>NA</v>
      </c>
      <c r="O278" t="s">
        <v>64</v>
      </c>
      <c r="P278" t="str">
        <f t="shared" si="13"/>
        <v xml:space="preserve"> </v>
      </c>
      <c r="S278">
        <f t="shared" si="14"/>
        <v>29.320538009750003</v>
      </c>
    </row>
    <row r="279" spans="1:19">
      <c r="A279" s="9">
        <v>41911</v>
      </c>
      <c r="B279" s="7" t="s">
        <v>21</v>
      </c>
      <c r="C279">
        <v>24</v>
      </c>
      <c r="D279" t="s">
        <v>17</v>
      </c>
      <c r="F279">
        <v>2.23</v>
      </c>
      <c r="J279">
        <f>47+48+70+87+115</f>
        <v>367</v>
      </c>
      <c r="K279">
        <v>5</v>
      </c>
      <c r="L279">
        <v>115</v>
      </c>
      <c r="N279" t="str">
        <f t="shared" si="12"/>
        <v>NA</v>
      </c>
      <c r="O279" t="s">
        <v>64</v>
      </c>
      <c r="P279" t="str">
        <f t="shared" si="13"/>
        <v xml:space="preserve"> </v>
      </c>
      <c r="S279">
        <f t="shared" si="14"/>
        <v>3.9057032277500001</v>
      </c>
    </row>
    <row r="280" spans="1:19">
      <c r="A280" s="9">
        <v>41911</v>
      </c>
      <c r="B280" s="7" t="s">
        <v>21</v>
      </c>
      <c r="C280">
        <v>24</v>
      </c>
      <c r="D280" t="s">
        <v>17</v>
      </c>
      <c r="F280">
        <v>0.71</v>
      </c>
      <c r="J280">
        <f>19</f>
        <v>19</v>
      </c>
      <c r="K280">
        <v>1</v>
      </c>
      <c r="L280">
        <v>19</v>
      </c>
      <c r="N280" t="str">
        <f t="shared" si="12"/>
        <v>NA</v>
      </c>
      <c r="O280" t="s">
        <v>64</v>
      </c>
      <c r="P280" t="str">
        <f t="shared" si="13"/>
        <v xml:space="preserve"> </v>
      </c>
      <c r="S280">
        <f t="shared" si="14"/>
        <v>0.39591887974999995</v>
      </c>
    </row>
    <row r="281" spans="1:19">
      <c r="A281" s="9">
        <v>41911</v>
      </c>
      <c r="B281" s="7" t="s">
        <v>21</v>
      </c>
      <c r="C281">
        <v>24</v>
      </c>
      <c r="D281" t="s">
        <v>17</v>
      </c>
      <c r="F281">
        <v>4.04</v>
      </c>
      <c r="J281">
        <f>45+52+88+92+109+140+166</f>
        <v>692</v>
      </c>
      <c r="K281">
        <v>7</v>
      </c>
      <c r="L281">
        <v>166</v>
      </c>
      <c r="N281" t="str">
        <f t="shared" si="12"/>
        <v>NA</v>
      </c>
      <c r="O281">
        <v>4.5193999999999974</v>
      </c>
      <c r="P281">
        <f t="shared" si="13"/>
        <v>4.5193999999999974</v>
      </c>
      <c r="S281">
        <f t="shared" si="14"/>
        <v>12.818943835999999</v>
      </c>
    </row>
    <row r="282" spans="1:19">
      <c r="A282" s="9">
        <v>41911</v>
      </c>
      <c r="B282" s="7" t="s">
        <v>21</v>
      </c>
      <c r="C282">
        <v>24</v>
      </c>
      <c r="D282" t="s">
        <v>17</v>
      </c>
      <c r="F282">
        <v>0.65</v>
      </c>
      <c r="J282">
        <f>25+42+46</f>
        <v>113</v>
      </c>
      <c r="K282">
        <v>3</v>
      </c>
      <c r="L282">
        <v>46</v>
      </c>
      <c r="N282" t="str">
        <f t="shared" si="12"/>
        <v>NA</v>
      </c>
      <c r="O282" t="s">
        <v>64</v>
      </c>
      <c r="P282" t="str">
        <f t="shared" si="13"/>
        <v xml:space="preserve"> </v>
      </c>
      <c r="S282">
        <f t="shared" si="14"/>
        <v>0.33183044375000004</v>
      </c>
    </row>
    <row r="283" spans="1:19">
      <c r="A283" s="9">
        <v>41911</v>
      </c>
      <c r="B283" s="7" t="s">
        <v>21</v>
      </c>
      <c r="C283">
        <v>26</v>
      </c>
      <c r="D283" t="s">
        <v>17</v>
      </c>
      <c r="F283">
        <v>5.4</v>
      </c>
      <c r="J283">
        <f>111+150+169+181+197+217+225+235+243</f>
        <v>1728</v>
      </c>
      <c r="K283">
        <v>9</v>
      </c>
      <c r="L283">
        <v>243</v>
      </c>
      <c r="N283" t="str">
        <f t="shared" si="12"/>
        <v>NA</v>
      </c>
      <c r="O283">
        <v>56.874599999999987</v>
      </c>
      <c r="P283">
        <f t="shared" si="13"/>
        <v>56.874599999999987</v>
      </c>
      <c r="S283">
        <f t="shared" si="14"/>
        <v>22.902191100000003</v>
      </c>
    </row>
    <row r="284" spans="1:19">
      <c r="A284" s="9">
        <v>41911</v>
      </c>
      <c r="B284" s="7" t="s">
        <v>21</v>
      </c>
      <c r="C284">
        <v>47</v>
      </c>
      <c r="D284" t="s">
        <v>58</v>
      </c>
      <c r="F284">
        <v>1.1000000000000001</v>
      </c>
      <c r="J284">
        <f>46+56+68</f>
        <v>170</v>
      </c>
      <c r="K284">
        <v>3</v>
      </c>
      <c r="L284">
        <v>68</v>
      </c>
      <c r="N284" t="str">
        <f t="shared" si="12"/>
        <v>NA</v>
      </c>
      <c r="O284" t="s">
        <v>64</v>
      </c>
      <c r="P284" t="str">
        <f t="shared" si="13"/>
        <v xml:space="preserve"> </v>
      </c>
      <c r="S284">
        <f t="shared" si="14"/>
        <v>0.95033097500000008</v>
      </c>
    </row>
    <row r="285" spans="1:19">
      <c r="A285" s="9">
        <v>41911</v>
      </c>
      <c r="B285" s="7" t="s">
        <v>21</v>
      </c>
      <c r="C285">
        <v>47</v>
      </c>
      <c r="D285" t="s">
        <v>58</v>
      </c>
      <c r="F285">
        <v>1.19</v>
      </c>
      <c r="J285">
        <f>74+62+100+111+120</f>
        <v>467</v>
      </c>
      <c r="K285">
        <v>5</v>
      </c>
      <c r="L285">
        <v>120</v>
      </c>
      <c r="N285" t="str">
        <f t="shared" si="12"/>
        <v>NA</v>
      </c>
      <c r="O285">
        <v>1.1738999999999962</v>
      </c>
      <c r="P285">
        <f t="shared" si="13"/>
        <v>1.1738999999999962</v>
      </c>
      <c r="S285">
        <f t="shared" si="14"/>
        <v>1.11220139975</v>
      </c>
    </row>
    <row r="286" spans="1:19">
      <c r="A286" s="9">
        <v>41911</v>
      </c>
      <c r="B286" s="7" t="s">
        <v>21</v>
      </c>
      <c r="C286">
        <v>47</v>
      </c>
      <c r="D286" t="s">
        <v>58</v>
      </c>
      <c r="F286">
        <v>2.27</v>
      </c>
      <c r="J286">
        <f>270+278+284+300</f>
        <v>1132</v>
      </c>
      <c r="K286">
        <v>4</v>
      </c>
      <c r="L286">
        <v>300</v>
      </c>
      <c r="N286" t="str">
        <f t="shared" si="12"/>
        <v>NA</v>
      </c>
      <c r="O286">
        <v>18.068399999999983</v>
      </c>
      <c r="P286">
        <f t="shared" si="13"/>
        <v>18.068399999999983</v>
      </c>
      <c r="S286">
        <f t="shared" si="14"/>
        <v>4.0470747777499998</v>
      </c>
    </row>
    <row r="287" spans="1:19">
      <c r="A287" s="9">
        <v>41911</v>
      </c>
      <c r="B287" s="7" t="s">
        <v>21</v>
      </c>
      <c r="C287">
        <v>47</v>
      </c>
      <c r="D287" t="s">
        <v>17</v>
      </c>
      <c r="F287">
        <v>4.25</v>
      </c>
      <c r="J287">
        <f>166+280+254+293+307+394+368+376</f>
        <v>2438</v>
      </c>
      <c r="K287">
        <v>8</v>
      </c>
      <c r="L287">
        <v>394</v>
      </c>
      <c r="N287" t="str">
        <f t="shared" si="12"/>
        <v>NA</v>
      </c>
      <c r="O287">
        <v>81.526599999999988</v>
      </c>
      <c r="P287">
        <f t="shared" si="13"/>
        <v>81.526599999999988</v>
      </c>
      <c r="S287">
        <f t="shared" si="14"/>
        <v>14.186242343749999</v>
      </c>
    </row>
    <row r="288" spans="1:19">
      <c r="A288" s="9">
        <v>41911</v>
      </c>
      <c r="B288" s="7" t="s">
        <v>21</v>
      </c>
      <c r="C288">
        <v>47</v>
      </c>
      <c r="D288" t="s">
        <v>17</v>
      </c>
      <c r="F288">
        <v>4.8099999999999996</v>
      </c>
      <c r="J288">
        <f>122+123+189+144+169+208+217</f>
        <v>1172</v>
      </c>
      <c r="K288">
        <v>7</v>
      </c>
      <c r="L288">
        <v>217</v>
      </c>
      <c r="N288" t="str">
        <f t="shared" si="12"/>
        <v>NA</v>
      </c>
      <c r="O288">
        <v>28.171399999999998</v>
      </c>
      <c r="P288">
        <f t="shared" si="13"/>
        <v>28.171399999999998</v>
      </c>
      <c r="S288">
        <f t="shared" si="14"/>
        <v>18.171035099749997</v>
      </c>
    </row>
    <row r="289" spans="1:19">
      <c r="A289" s="9">
        <v>41911</v>
      </c>
      <c r="B289" s="7" t="s">
        <v>21</v>
      </c>
      <c r="C289">
        <v>47</v>
      </c>
      <c r="D289" t="s">
        <v>17</v>
      </c>
      <c r="F289">
        <v>3.17</v>
      </c>
      <c r="J289">
        <f>243+309+324+337+403</f>
        <v>1616</v>
      </c>
      <c r="K289">
        <v>5</v>
      </c>
      <c r="L289">
        <v>403</v>
      </c>
      <c r="N289" t="str">
        <f t="shared" si="12"/>
        <v>NA</v>
      </c>
      <c r="O289">
        <v>31.400199999999998</v>
      </c>
      <c r="P289">
        <f t="shared" si="13"/>
        <v>31.400199999999998</v>
      </c>
      <c r="S289">
        <f t="shared" si="14"/>
        <v>7.8923809377499996</v>
      </c>
    </row>
    <row r="290" spans="1:19">
      <c r="A290" s="9">
        <v>41911</v>
      </c>
      <c r="B290" s="7" t="s">
        <v>21</v>
      </c>
      <c r="C290">
        <v>47</v>
      </c>
      <c r="D290" t="s">
        <v>17</v>
      </c>
      <c r="F290">
        <v>10.01</v>
      </c>
      <c r="J290">
        <f>113+239+297+318+338+326+342+337+375</f>
        <v>2685</v>
      </c>
      <c r="K290">
        <v>9</v>
      </c>
      <c r="L290">
        <v>375</v>
      </c>
      <c r="N290" t="str">
        <f t="shared" si="12"/>
        <v>NA</v>
      </c>
      <c r="O290">
        <v>99.058499999999981</v>
      </c>
      <c r="P290">
        <f t="shared" si="13"/>
        <v>99.058499999999981</v>
      </c>
      <c r="S290">
        <f t="shared" si="14"/>
        <v>78.696908039749985</v>
      </c>
    </row>
    <row r="291" spans="1:19">
      <c r="A291" s="9">
        <v>41911</v>
      </c>
      <c r="B291" s="7" t="s">
        <v>21</v>
      </c>
      <c r="C291">
        <v>47</v>
      </c>
      <c r="D291" t="s">
        <v>17</v>
      </c>
      <c r="F291">
        <v>8.67</v>
      </c>
      <c r="J291">
        <f>250+262+320+335+333+380+313+320</f>
        <v>2513</v>
      </c>
      <c r="K291">
        <v>8</v>
      </c>
      <c r="L291">
        <v>380</v>
      </c>
      <c r="N291" t="str">
        <f t="shared" si="12"/>
        <v>NA</v>
      </c>
      <c r="O291">
        <v>88.825099999999992</v>
      </c>
      <c r="P291">
        <f t="shared" si="13"/>
        <v>88.825099999999992</v>
      </c>
      <c r="S291">
        <f t="shared" si="14"/>
        <v>59.037466137749995</v>
      </c>
    </row>
    <row r="292" spans="1:19">
      <c r="A292" s="9">
        <v>41911</v>
      </c>
      <c r="B292" s="7" t="s">
        <v>21</v>
      </c>
      <c r="C292">
        <v>47</v>
      </c>
      <c r="D292" t="s">
        <v>17</v>
      </c>
      <c r="F292">
        <v>2.4900000000000002</v>
      </c>
      <c r="J292">
        <f>50+93+165+212+254</f>
        <v>774</v>
      </c>
      <c r="K292">
        <v>5</v>
      </c>
      <c r="L292">
        <v>254</v>
      </c>
      <c r="N292" t="str">
        <f t="shared" si="12"/>
        <v>NA</v>
      </c>
      <c r="O292" t="s">
        <v>64</v>
      </c>
      <c r="P292" t="str">
        <f t="shared" si="13"/>
        <v xml:space="preserve"> </v>
      </c>
      <c r="S292">
        <f t="shared" si="14"/>
        <v>4.8695430397500008</v>
      </c>
    </row>
    <row r="293" spans="1:19">
      <c r="A293" s="9">
        <v>41911</v>
      </c>
      <c r="B293" s="7" t="s">
        <v>21</v>
      </c>
      <c r="C293">
        <v>47</v>
      </c>
      <c r="D293" t="s">
        <v>17</v>
      </c>
      <c r="F293">
        <v>7.14</v>
      </c>
      <c r="J293">
        <f>226+320+332+410+420+419+425</f>
        <v>2552</v>
      </c>
      <c r="K293">
        <v>7</v>
      </c>
      <c r="L293">
        <v>425</v>
      </c>
      <c r="N293" t="str">
        <f t="shared" si="12"/>
        <v>NA</v>
      </c>
      <c r="O293">
        <v>86.10539999999996</v>
      </c>
      <c r="P293">
        <f t="shared" si="13"/>
        <v>86.10539999999996</v>
      </c>
      <c r="S293">
        <f t="shared" si="14"/>
        <v>40.039250390999996</v>
      </c>
    </row>
    <row r="294" spans="1:19">
      <c r="A294" s="9">
        <v>41911</v>
      </c>
      <c r="B294" s="7" t="s">
        <v>21</v>
      </c>
      <c r="C294">
        <v>47</v>
      </c>
      <c r="D294" t="s">
        <v>17</v>
      </c>
      <c r="F294">
        <v>2.81</v>
      </c>
      <c r="J294">
        <f>106+249+283+336+343</f>
        <v>1317</v>
      </c>
      <c r="K294">
        <v>5</v>
      </c>
      <c r="L294">
        <v>343</v>
      </c>
      <c r="N294" t="str">
        <f t="shared" si="12"/>
        <v>NA</v>
      </c>
      <c r="O294">
        <v>21.296899999999987</v>
      </c>
      <c r="P294">
        <f t="shared" si="13"/>
        <v>21.296899999999987</v>
      </c>
      <c r="S294">
        <f t="shared" si="14"/>
        <v>6.20157719975</v>
      </c>
    </row>
    <row r="295" spans="1:19">
      <c r="A295" s="9">
        <v>41911</v>
      </c>
      <c r="B295" s="7" t="s">
        <v>21</v>
      </c>
      <c r="C295">
        <v>47</v>
      </c>
      <c r="D295" t="s">
        <v>17</v>
      </c>
      <c r="F295">
        <v>1.28</v>
      </c>
      <c r="J295">
        <f>37+58+86+89</f>
        <v>270</v>
      </c>
      <c r="K295">
        <v>4</v>
      </c>
      <c r="L295">
        <v>89</v>
      </c>
      <c r="N295" t="str">
        <f t="shared" si="12"/>
        <v>NA</v>
      </c>
      <c r="O295" t="s">
        <v>64</v>
      </c>
      <c r="P295" t="str">
        <f t="shared" si="13"/>
        <v xml:space="preserve"> </v>
      </c>
      <c r="S295">
        <f t="shared" si="14"/>
        <v>1.286795264</v>
      </c>
    </row>
    <row r="296" spans="1:19">
      <c r="A296" s="9">
        <v>41911</v>
      </c>
      <c r="B296" s="7" t="s">
        <v>21</v>
      </c>
      <c r="C296">
        <v>47</v>
      </c>
      <c r="D296" t="s">
        <v>17</v>
      </c>
      <c r="F296">
        <v>0.69</v>
      </c>
      <c r="J296">
        <f>37+44+48</f>
        <v>129</v>
      </c>
      <c r="K296">
        <v>3</v>
      </c>
      <c r="L296">
        <v>48</v>
      </c>
      <c r="N296" t="str">
        <f t="shared" si="12"/>
        <v>NA</v>
      </c>
      <c r="O296" t="s">
        <v>64</v>
      </c>
      <c r="P296" t="str">
        <f t="shared" si="13"/>
        <v xml:space="preserve"> </v>
      </c>
      <c r="S296">
        <f t="shared" si="14"/>
        <v>0.37392774974999993</v>
      </c>
    </row>
    <row r="297" spans="1:19">
      <c r="A297" s="9">
        <v>41911</v>
      </c>
      <c r="B297" s="7" t="s">
        <v>21</v>
      </c>
      <c r="C297">
        <v>47</v>
      </c>
      <c r="D297" t="s">
        <v>17</v>
      </c>
      <c r="F297">
        <v>0.7</v>
      </c>
      <c r="J297">
        <f>49+52</f>
        <v>101</v>
      </c>
      <c r="K297">
        <v>2</v>
      </c>
      <c r="L297">
        <v>52</v>
      </c>
      <c r="N297" t="str">
        <f t="shared" si="12"/>
        <v>NA</v>
      </c>
      <c r="O297" t="s">
        <v>64</v>
      </c>
      <c r="P297" t="str">
        <f t="shared" si="13"/>
        <v xml:space="preserve"> </v>
      </c>
      <c r="S297">
        <f t="shared" si="14"/>
        <v>0.38484477499999992</v>
      </c>
    </row>
    <row r="298" spans="1:19">
      <c r="A298" s="9">
        <v>41906</v>
      </c>
      <c r="B298" s="7" t="s">
        <v>22</v>
      </c>
      <c r="C298">
        <v>23</v>
      </c>
      <c r="D298" t="s">
        <v>59</v>
      </c>
      <c r="E298">
        <v>317</v>
      </c>
      <c r="F298">
        <v>1.4</v>
      </c>
      <c r="N298">
        <f t="shared" si="12"/>
        <v>162.66105823333331</v>
      </c>
      <c r="O298">
        <v>11.6973</v>
      </c>
      <c r="P298">
        <f t="shared" si="13"/>
        <v>11.6973</v>
      </c>
      <c r="S298">
        <f t="shared" si="14"/>
        <v>1.5393790999999997</v>
      </c>
    </row>
    <row r="299" spans="1:19">
      <c r="A299" s="9">
        <v>41906</v>
      </c>
      <c r="B299" s="7" t="s">
        <v>22</v>
      </c>
      <c r="C299">
        <v>23</v>
      </c>
      <c r="D299" t="s">
        <v>59</v>
      </c>
      <c r="E299">
        <v>193</v>
      </c>
      <c r="F299">
        <v>1.36</v>
      </c>
      <c r="N299">
        <f t="shared" si="12"/>
        <v>93.455181562666667</v>
      </c>
      <c r="O299">
        <v>7.1217000000000006</v>
      </c>
      <c r="P299">
        <f t="shared" si="13"/>
        <v>7.1217000000000006</v>
      </c>
      <c r="S299">
        <f t="shared" si="14"/>
        <v>1.4526712160000002</v>
      </c>
    </row>
    <row r="300" spans="1:19">
      <c r="A300" s="9">
        <v>41906</v>
      </c>
      <c r="B300" s="7" t="s">
        <v>22</v>
      </c>
      <c r="C300">
        <v>23</v>
      </c>
      <c r="D300" t="s">
        <v>59</v>
      </c>
      <c r="E300">
        <v>300</v>
      </c>
      <c r="F300">
        <v>2</v>
      </c>
      <c r="G300">
        <v>24</v>
      </c>
      <c r="N300">
        <f t="shared" si="12"/>
        <v>314.15899999999999</v>
      </c>
      <c r="O300">
        <v>19.229723999999997</v>
      </c>
      <c r="P300">
        <f t="shared" si="13"/>
        <v>19.229723999999997</v>
      </c>
      <c r="S300">
        <f t="shared" si="14"/>
        <v>3.1415899999999999</v>
      </c>
    </row>
    <row r="301" spans="1:19">
      <c r="A301" s="9">
        <v>41906</v>
      </c>
      <c r="B301" s="7" t="s">
        <v>22</v>
      </c>
      <c r="C301">
        <v>23</v>
      </c>
      <c r="D301" t="s">
        <v>59</v>
      </c>
      <c r="E301">
        <v>56</v>
      </c>
      <c r="F301">
        <v>0.56999999999999995</v>
      </c>
      <c r="N301">
        <f t="shared" si="12"/>
        <v>4.7632787579999984</v>
      </c>
      <c r="O301">
        <v>2.0664000000000002</v>
      </c>
      <c r="P301">
        <f t="shared" si="13"/>
        <v>2.0664000000000002</v>
      </c>
      <c r="S301">
        <f t="shared" si="14"/>
        <v>0.25517564774999996</v>
      </c>
    </row>
    <row r="302" spans="1:19">
      <c r="A302" s="9">
        <v>41906</v>
      </c>
      <c r="B302" s="7" t="s">
        <v>22</v>
      </c>
      <c r="C302">
        <v>23</v>
      </c>
      <c r="D302" t="s">
        <v>59</v>
      </c>
      <c r="E302">
        <v>268</v>
      </c>
      <c r="F302">
        <v>1.68</v>
      </c>
      <c r="N302">
        <f t="shared" si="12"/>
        <v>198.02572742399997</v>
      </c>
      <c r="O302">
        <v>9.8892000000000007</v>
      </c>
      <c r="P302">
        <f t="shared" si="13"/>
        <v>9.8892000000000007</v>
      </c>
      <c r="S302">
        <f t="shared" si="14"/>
        <v>2.2167059039999994</v>
      </c>
    </row>
    <row r="303" spans="1:19">
      <c r="A303" s="9">
        <v>41906</v>
      </c>
      <c r="B303" s="7" t="s">
        <v>22</v>
      </c>
      <c r="C303">
        <v>23</v>
      </c>
      <c r="D303" t="s">
        <v>59</v>
      </c>
      <c r="E303">
        <v>201</v>
      </c>
      <c r="F303">
        <v>1.37</v>
      </c>
      <c r="N303">
        <f t="shared" si="12"/>
        <v>98.765542039250008</v>
      </c>
      <c r="O303">
        <v>7.4169</v>
      </c>
      <c r="P303">
        <f t="shared" si="13"/>
        <v>7.4169</v>
      </c>
      <c r="S303">
        <f t="shared" si="14"/>
        <v>1.4741125677500002</v>
      </c>
    </row>
    <row r="304" spans="1:19">
      <c r="A304" s="9">
        <v>41906</v>
      </c>
      <c r="B304" s="7" t="s">
        <v>22</v>
      </c>
      <c r="C304">
        <v>23</v>
      </c>
      <c r="D304" t="s">
        <v>59</v>
      </c>
      <c r="E304">
        <v>311</v>
      </c>
      <c r="F304">
        <v>1.91</v>
      </c>
      <c r="N304">
        <f t="shared" si="12"/>
        <v>297.02662691408329</v>
      </c>
      <c r="O304">
        <v>11.475900000000001</v>
      </c>
      <c r="P304">
        <f t="shared" si="13"/>
        <v>11.475900000000001</v>
      </c>
      <c r="S304">
        <f t="shared" si="14"/>
        <v>2.8652086197499997</v>
      </c>
    </row>
    <row r="305" spans="1:19">
      <c r="A305" s="9">
        <v>41906</v>
      </c>
      <c r="B305" s="7" t="s">
        <v>22</v>
      </c>
      <c r="C305">
        <v>23</v>
      </c>
      <c r="D305" t="s">
        <v>59</v>
      </c>
      <c r="E305">
        <v>292</v>
      </c>
      <c r="F305">
        <v>2.11</v>
      </c>
      <c r="N305">
        <f t="shared" si="12"/>
        <v>340.3423724156666</v>
      </c>
      <c r="O305">
        <v>10.774800000000001</v>
      </c>
      <c r="P305">
        <f t="shared" si="13"/>
        <v>10.774800000000001</v>
      </c>
      <c r="S305">
        <f t="shared" si="14"/>
        <v>3.4966682097499997</v>
      </c>
    </row>
    <row r="306" spans="1:19">
      <c r="A306" s="9">
        <v>41906</v>
      </c>
      <c r="B306" s="7" t="s">
        <v>22</v>
      </c>
      <c r="C306">
        <v>23</v>
      </c>
      <c r="D306" t="s">
        <v>59</v>
      </c>
      <c r="E306">
        <v>297</v>
      </c>
      <c r="F306">
        <v>1.94</v>
      </c>
      <c r="N306">
        <f t="shared" si="12"/>
        <v>292.63628106899995</v>
      </c>
      <c r="O306">
        <v>10.959300000000001</v>
      </c>
      <c r="P306">
        <f t="shared" si="13"/>
        <v>10.959300000000001</v>
      </c>
      <c r="S306">
        <f t="shared" si="14"/>
        <v>2.9559220309999996</v>
      </c>
    </row>
    <row r="307" spans="1:19">
      <c r="A307" s="9">
        <v>41906</v>
      </c>
      <c r="B307" s="7" t="s">
        <v>22</v>
      </c>
      <c r="C307">
        <v>23</v>
      </c>
      <c r="D307" t="s">
        <v>17</v>
      </c>
      <c r="F307">
        <v>5.75</v>
      </c>
      <c r="J307">
        <f>91+109+194+232+242+262+265</f>
        <v>1395</v>
      </c>
      <c r="K307">
        <v>7</v>
      </c>
      <c r="L307">
        <v>265</v>
      </c>
      <c r="N307" t="str">
        <f t="shared" si="12"/>
        <v>NA</v>
      </c>
      <c r="O307">
        <v>35.173499999999997</v>
      </c>
      <c r="P307">
        <f t="shared" si="13"/>
        <v>35.173499999999997</v>
      </c>
      <c r="S307">
        <f t="shared" si="14"/>
        <v>25.96720484375</v>
      </c>
    </row>
    <row r="308" spans="1:19">
      <c r="A308" s="9">
        <v>41906</v>
      </c>
      <c r="B308" s="7" t="s">
        <v>22</v>
      </c>
      <c r="C308">
        <v>27</v>
      </c>
      <c r="D308" t="s">
        <v>59</v>
      </c>
      <c r="E308">
        <v>195</v>
      </c>
      <c r="F308">
        <v>1.28</v>
      </c>
      <c r="N308">
        <f t="shared" si="12"/>
        <v>83.641692160000005</v>
      </c>
      <c r="O308">
        <v>7.1955</v>
      </c>
      <c r="P308">
        <f t="shared" si="13"/>
        <v>7.1955</v>
      </c>
      <c r="S308">
        <f t="shared" si="14"/>
        <v>1.286795264</v>
      </c>
    </row>
    <row r="309" spans="1:19">
      <c r="A309" s="9">
        <v>41906</v>
      </c>
      <c r="B309" s="7" t="s">
        <v>22</v>
      </c>
      <c r="C309">
        <v>27</v>
      </c>
      <c r="D309" t="s">
        <v>59</v>
      </c>
      <c r="E309">
        <v>183</v>
      </c>
      <c r="F309">
        <v>1.5</v>
      </c>
      <c r="N309">
        <f t="shared" si="12"/>
        <v>107.79580687499998</v>
      </c>
      <c r="O309">
        <v>6.7527000000000008</v>
      </c>
      <c r="P309">
        <f t="shared" si="13"/>
        <v>6.7527000000000008</v>
      </c>
      <c r="S309">
        <f t="shared" si="14"/>
        <v>1.767144375</v>
      </c>
    </row>
    <row r="310" spans="1:19">
      <c r="A310" s="9">
        <v>41906</v>
      </c>
      <c r="B310" s="7" t="s">
        <v>22</v>
      </c>
      <c r="C310">
        <v>27</v>
      </c>
      <c r="D310" t="s">
        <v>59</v>
      </c>
      <c r="E310">
        <v>147</v>
      </c>
      <c r="F310">
        <v>1.06</v>
      </c>
      <c r="N310">
        <f t="shared" si="12"/>
        <v>43.241158919</v>
      </c>
      <c r="O310">
        <v>5.4243000000000006</v>
      </c>
      <c r="P310">
        <f t="shared" si="13"/>
        <v>5.4243000000000006</v>
      </c>
      <c r="S310">
        <f t="shared" si="14"/>
        <v>0.88247263100000006</v>
      </c>
    </row>
    <row r="311" spans="1:19">
      <c r="A311" s="9">
        <v>41906</v>
      </c>
      <c r="B311" s="7" t="s">
        <v>22</v>
      </c>
      <c r="C311">
        <v>27</v>
      </c>
      <c r="D311" t="s">
        <v>59</v>
      </c>
      <c r="E311">
        <v>54</v>
      </c>
      <c r="F311">
        <v>0.35</v>
      </c>
      <c r="N311">
        <f t="shared" si="12"/>
        <v>1.7318014874999996</v>
      </c>
      <c r="O311">
        <v>1.9926000000000001</v>
      </c>
      <c r="P311">
        <f t="shared" si="13"/>
        <v>1.9926000000000001</v>
      </c>
      <c r="S311">
        <f t="shared" si="14"/>
        <v>9.6211193749999979E-2</v>
      </c>
    </row>
    <row r="312" spans="1:19">
      <c r="A312" s="9">
        <v>41906</v>
      </c>
      <c r="B312" s="7" t="s">
        <v>22</v>
      </c>
      <c r="C312">
        <v>27</v>
      </c>
      <c r="D312" t="s">
        <v>59</v>
      </c>
      <c r="E312">
        <v>208</v>
      </c>
      <c r="F312">
        <v>0.65</v>
      </c>
      <c r="N312">
        <f t="shared" si="12"/>
        <v>23.006910766666667</v>
      </c>
      <c r="O312">
        <v>7.6752000000000002</v>
      </c>
      <c r="P312">
        <f t="shared" si="13"/>
        <v>7.6752000000000002</v>
      </c>
      <c r="S312">
        <f t="shared" si="14"/>
        <v>0.33183044375000004</v>
      </c>
    </row>
    <row r="313" spans="1:19">
      <c r="A313" s="9">
        <v>41906</v>
      </c>
      <c r="B313" s="7" t="s">
        <v>22</v>
      </c>
      <c r="C313">
        <v>27</v>
      </c>
      <c r="D313" t="s">
        <v>59</v>
      </c>
      <c r="E313">
        <v>267</v>
      </c>
      <c r="F313">
        <v>1.46</v>
      </c>
      <c r="G313">
        <v>6</v>
      </c>
      <c r="N313">
        <f t="shared" si="12"/>
        <v>148.99964467899997</v>
      </c>
      <c r="O313">
        <v>12.412787208443998</v>
      </c>
      <c r="P313">
        <f t="shared" si="13"/>
        <v>12.412787208443998</v>
      </c>
      <c r="S313">
        <f t="shared" si="14"/>
        <v>1.6741533109999998</v>
      </c>
    </row>
    <row r="314" spans="1:19">
      <c r="A314" s="9">
        <v>41906</v>
      </c>
      <c r="B314" s="7" t="s">
        <v>22</v>
      </c>
      <c r="C314">
        <v>27</v>
      </c>
      <c r="D314" t="s">
        <v>59</v>
      </c>
      <c r="E314">
        <v>214</v>
      </c>
      <c r="F314">
        <v>1.1299999999999999</v>
      </c>
      <c r="N314">
        <f t="shared" si="12"/>
        <v>71.538350166166637</v>
      </c>
      <c r="O314">
        <v>7.8966000000000003</v>
      </c>
      <c r="P314">
        <f t="shared" si="13"/>
        <v>7.8966000000000003</v>
      </c>
      <c r="S314">
        <f t="shared" si="14"/>
        <v>1.0028740677499997</v>
      </c>
    </row>
    <row r="315" spans="1:19">
      <c r="A315" s="9">
        <v>41906</v>
      </c>
      <c r="B315" s="7" t="s">
        <v>22</v>
      </c>
      <c r="C315">
        <v>27</v>
      </c>
      <c r="D315" t="s">
        <v>59</v>
      </c>
      <c r="E315">
        <v>218</v>
      </c>
      <c r="F315">
        <v>1.0900000000000001</v>
      </c>
      <c r="G315">
        <v>12</v>
      </c>
      <c r="N315">
        <f t="shared" si="12"/>
        <v>67.807502601833335</v>
      </c>
      <c r="O315">
        <v>8.1962700936659996</v>
      </c>
      <c r="P315">
        <f t="shared" si="13"/>
        <v>8.1962700936659996</v>
      </c>
      <c r="S315">
        <f t="shared" si="14"/>
        <v>0.93313076975000009</v>
      </c>
    </row>
    <row r="316" spans="1:19">
      <c r="A316" s="9">
        <v>41906</v>
      </c>
      <c r="B316" s="7" t="s">
        <v>22</v>
      </c>
      <c r="C316">
        <v>27</v>
      </c>
      <c r="D316" t="s">
        <v>59</v>
      </c>
      <c r="E316">
        <v>257</v>
      </c>
      <c r="F316">
        <v>1.58</v>
      </c>
      <c r="N316">
        <f t="shared" si="12"/>
        <v>167.96374799433335</v>
      </c>
      <c r="O316">
        <v>9.4832999999999998</v>
      </c>
      <c r="P316">
        <f t="shared" si="13"/>
        <v>9.4832999999999998</v>
      </c>
      <c r="S316">
        <f t="shared" si="14"/>
        <v>1.9606663190000002</v>
      </c>
    </row>
    <row r="317" spans="1:19">
      <c r="A317" s="9">
        <v>41906</v>
      </c>
      <c r="B317" s="7" t="s">
        <v>22</v>
      </c>
      <c r="C317">
        <v>27</v>
      </c>
      <c r="D317" t="s">
        <v>17</v>
      </c>
      <c r="F317">
        <v>3.07</v>
      </c>
      <c r="J317">
        <f>87+136+183+197</f>
        <v>603</v>
      </c>
      <c r="K317">
        <v>4</v>
      </c>
      <c r="L317">
        <v>197</v>
      </c>
      <c r="N317" t="str">
        <f t="shared" si="12"/>
        <v>NA</v>
      </c>
      <c r="O317" t="s">
        <v>64</v>
      </c>
      <c r="P317" t="str">
        <f t="shared" si="13"/>
        <v xml:space="preserve"> </v>
      </c>
      <c r="S317">
        <f t="shared" si="14"/>
        <v>7.4022928977499989</v>
      </c>
    </row>
    <row r="318" spans="1:19">
      <c r="A318" s="9">
        <v>41906</v>
      </c>
      <c r="B318" s="7" t="s">
        <v>22</v>
      </c>
      <c r="C318">
        <v>33</v>
      </c>
      <c r="D318" t="s">
        <v>17</v>
      </c>
      <c r="F318">
        <v>1.49</v>
      </c>
      <c r="J318">
        <f>39+66+73+73</f>
        <v>251</v>
      </c>
      <c r="K318">
        <v>4</v>
      </c>
      <c r="L318">
        <v>73</v>
      </c>
      <c r="N318" t="str">
        <f t="shared" si="12"/>
        <v>NA</v>
      </c>
      <c r="O318" t="s">
        <v>64</v>
      </c>
      <c r="P318" t="str">
        <f t="shared" si="13"/>
        <v xml:space="preserve"> </v>
      </c>
      <c r="S318">
        <f t="shared" si="14"/>
        <v>1.7436609897499999</v>
      </c>
    </row>
    <row r="319" spans="1:19">
      <c r="A319" s="9">
        <v>41906</v>
      </c>
      <c r="B319" s="7" t="s">
        <v>22</v>
      </c>
      <c r="C319">
        <v>33</v>
      </c>
      <c r="D319" t="s">
        <v>17</v>
      </c>
      <c r="F319">
        <v>3.09</v>
      </c>
      <c r="J319">
        <f>45+63+102+135</f>
        <v>345</v>
      </c>
      <c r="K319">
        <v>4</v>
      </c>
      <c r="L319">
        <v>135</v>
      </c>
      <c r="N319" t="str">
        <f t="shared" si="12"/>
        <v>NA</v>
      </c>
      <c r="O319" t="s">
        <v>64</v>
      </c>
      <c r="P319" t="str">
        <f t="shared" si="13"/>
        <v xml:space="preserve"> </v>
      </c>
      <c r="S319">
        <f t="shared" si="14"/>
        <v>7.49905386975</v>
      </c>
    </row>
    <row r="320" spans="1:19">
      <c r="A320" s="9">
        <v>41906</v>
      </c>
      <c r="B320" s="7" t="s">
        <v>22</v>
      </c>
      <c r="C320">
        <v>45</v>
      </c>
      <c r="D320" t="s">
        <v>58</v>
      </c>
      <c r="F320">
        <v>2.63</v>
      </c>
      <c r="J320">
        <f>233+260+283+288</f>
        <v>1064</v>
      </c>
      <c r="K320">
        <v>4</v>
      </c>
      <c r="L320">
        <v>288</v>
      </c>
      <c r="N320" t="str">
        <f t="shared" si="12"/>
        <v>NA</v>
      </c>
      <c r="O320">
        <v>15.500799999999998</v>
      </c>
      <c r="P320">
        <f t="shared" si="13"/>
        <v>15.500799999999998</v>
      </c>
      <c r="S320">
        <f t="shared" si="14"/>
        <v>5.4325159677499988</v>
      </c>
    </row>
    <row r="321" spans="1:19">
      <c r="A321" s="9">
        <v>41906</v>
      </c>
      <c r="B321" s="7" t="s">
        <v>22</v>
      </c>
      <c r="C321">
        <v>45</v>
      </c>
      <c r="D321" t="s">
        <v>17</v>
      </c>
      <c r="F321">
        <v>1.1599999999999999</v>
      </c>
      <c r="J321">
        <f>44+48+61</f>
        <v>153</v>
      </c>
      <c r="K321">
        <v>3</v>
      </c>
      <c r="L321">
        <v>61</v>
      </c>
      <c r="N321" t="str">
        <f t="shared" si="12"/>
        <v>NA</v>
      </c>
      <c r="O321" t="s">
        <v>64</v>
      </c>
      <c r="P321" t="str">
        <f t="shared" si="13"/>
        <v xml:space="preserve"> </v>
      </c>
      <c r="S321">
        <f t="shared" si="14"/>
        <v>1.0568308759999998</v>
      </c>
    </row>
    <row r="322" spans="1:19">
      <c r="A322" s="9">
        <v>41906</v>
      </c>
      <c r="B322" s="7" t="s">
        <v>22</v>
      </c>
      <c r="C322">
        <v>45</v>
      </c>
      <c r="D322" t="s">
        <v>17</v>
      </c>
      <c r="F322">
        <v>1.1000000000000001</v>
      </c>
      <c r="J322">
        <f>42+28+36</f>
        <v>106</v>
      </c>
      <c r="K322">
        <v>3</v>
      </c>
      <c r="L322">
        <v>42</v>
      </c>
      <c r="N322" t="str">
        <f t="shared" si="12"/>
        <v>NA</v>
      </c>
      <c r="O322" t="s">
        <v>64</v>
      </c>
      <c r="P322" t="str">
        <f t="shared" si="13"/>
        <v xml:space="preserve"> </v>
      </c>
      <c r="S322">
        <f t="shared" si="14"/>
        <v>0.95033097500000008</v>
      </c>
    </row>
    <row r="323" spans="1:19">
      <c r="A323" s="9">
        <v>41906</v>
      </c>
      <c r="B323" s="7" t="s">
        <v>22</v>
      </c>
      <c r="C323">
        <v>45</v>
      </c>
      <c r="D323" t="s">
        <v>17</v>
      </c>
      <c r="E323">
        <v>185</v>
      </c>
      <c r="F323">
        <v>2.68</v>
      </c>
      <c r="H323">
        <v>8</v>
      </c>
      <c r="I323">
        <v>2</v>
      </c>
      <c r="N323" t="str">
        <f t="shared" si="12"/>
        <v>NA</v>
      </c>
      <c r="O323">
        <v>72.70938000000001</v>
      </c>
      <c r="P323">
        <f t="shared" si="13"/>
        <v>72.70938000000001</v>
      </c>
      <c r="S323">
        <f t="shared" si="14"/>
        <v>5.6410390040000005</v>
      </c>
    </row>
    <row r="324" spans="1:19">
      <c r="A324" s="9">
        <v>41906</v>
      </c>
      <c r="B324" s="7" t="s">
        <v>22</v>
      </c>
      <c r="C324">
        <v>45</v>
      </c>
      <c r="D324" t="s">
        <v>17</v>
      </c>
      <c r="F324">
        <v>1.98</v>
      </c>
      <c r="J324">
        <f>193+223+267+273</f>
        <v>956</v>
      </c>
      <c r="K324">
        <v>4</v>
      </c>
      <c r="L324">
        <v>273</v>
      </c>
      <c r="N324" t="str">
        <f t="shared" ref="N324:N387" si="15">IF(OR(D324="S. acutus", D324="S. tabernaemontani", D324="S. californicus"),(1/3)*(3.14159)*((F324/2)^2)*E324,"NA")</f>
        <v>NA</v>
      </c>
      <c r="O324">
        <v>10.75719999999999</v>
      </c>
      <c r="P324">
        <f t="shared" si="13"/>
        <v>10.75719999999999</v>
      </c>
      <c r="S324">
        <f t="shared" si="14"/>
        <v>3.079072359</v>
      </c>
    </row>
    <row r="325" spans="1:19">
      <c r="A325" s="9">
        <v>41906</v>
      </c>
      <c r="B325" s="7" t="s">
        <v>22</v>
      </c>
      <c r="C325">
        <v>45</v>
      </c>
      <c r="D325" t="s">
        <v>17</v>
      </c>
      <c r="F325">
        <v>2.15</v>
      </c>
      <c r="J325">
        <f>216+255+274+286+278</f>
        <v>1309</v>
      </c>
      <c r="K325">
        <v>5</v>
      </c>
      <c r="L325">
        <v>286</v>
      </c>
      <c r="N325" t="str">
        <f t="shared" si="15"/>
        <v>NA</v>
      </c>
      <c r="O325">
        <v>30.111299999999993</v>
      </c>
      <c r="P325">
        <f t="shared" ref="P325:P388" si="16">IF(O325&gt;0,O325," ")</f>
        <v>30.111299999999993</v>
      </c>
      <c r="S325">
        <f t="shared" ref="S325:S388" si="17">3.14159*((F325/2)^2)</f>
        <v>3.6304999437499994</v>
      </c>
    </row>
    <row r="326" spans="1:19">
      <c r="A326" s="9">
        <v>41906</v>
      </c>
      <c r="B326" s="7" t="s">
        <v>22</v>
      </c>
      <c r="C326">
        <v>45</v>
      </c>
      <c r="D326" t="s">
        <v>17</v>
      </c>
      <c r="F326">
        <v>0.92</v>
      </c>
      <c r="J326">
        <f>34+39+51+58</f>
        <v>182</v>
      </c>
      <c r="K326">
        <v>4</v>
      </c>
      <c r="L326">
        <v>58</v>
      </c>
      <c r="N326" t="str">
        <f t="shared" si="15"/>
        <v>NA</v>
      </c>
      <c r="O326" t="s">
        <v>64</v>
      </c>
      <c r="P326" t="str">
        <f t="shared" si="16"/>
        <v xml:space="preserve"> </v>
      </c>
      <c r="S326">
        <f t="shared" si="17"/>
        <v>0.66476044400000001</v>
      </c>
    </row>
    <row r="327" spans="1:19">
      <c r="A327" s="9">
        <v>41906</v>
      </c>
      <c r="B327" s="7" t="s">
        <v>22</v>
      </c>
      <c r="C327">
        <v>45</v>
      </c>
      <c r="D327" t="s">
        <v>17</v>
      </c>
      <c r="F327">
        <v>1.36</v>
      </c>
      <c r="J327">
        <f>38+50+54+77</f>
        <v>219</v>
      </c>
      <c r="K327">
        <v>4</v>
      </c>
      <c r="L327">
        <v>77</v>
      </c>
      <c r="N327" t="str">
        <f t="shared" si="15"/>
        <v>NA</v>
      </c>
      <c r="O327" t="s">
        <v>64</v>
      </c>
      <c r="P327" t="str">
        <f t="shared" si="16"/>
        <v xml:space="preserve"> </v>
      </c>
      <c r="S327">
        <f t="shared" si="17"/>
        <v>1.4526712160000002</v>
      </c>
    </row>
    <row r="328" spans="1:19">
      <c r="A328" s="9">
        <v>41906</v>
      </c>
      <c r="B328" s="7" t="s">
        <v>22</v>
      </c>
      <c r="C328">
        <v>45</v>
      </c>
      <c r="D328" t="s">
        <v>17</v>
      </c>
      <c r="F328">
        <v>3.65</v>
      </c>
      <c r="J328">
        <f>198+244+270+300+304+306+331</f>
        <v>1953</v>
      </c>
      <c r="K328">
        <v>7</v>
      </c>
      <c r="L328">
        <v>331</v>
      </c>
      <c r="N328" t="str">
        <f t="shared" si="15"/>
        <v>NA</v>
      </c>
      <c r="O328">
        <v>61.568099999999994</v>
      </c>
      <c r="P328">
        <f t="shared" si="16"/>
        <v>61.568099999999994</v>
      </c>
      <c r="S328">
        <f t="shared" si="17"/>
        <v>10.46345819375</v>
      </c>
    </row>
    <row r="329" spans="1:19">
      <c r="A329" s="9">
        <v>41906</v>
      </c>
      <c r="B329" s="7" t="s">
        <v>22</v>
      </c>
      <c r="C329">
        <v>45</v>
      </c>
      <c r="D329" t="s">
        <v>17</v>
      </c>
      <c r="F329">
        <v>0.85</v>
      </c>
      <c r="J329">
        <f>34+40</f>
        <v>74</v>
      </c>
      <c r="K329">
        <v>2</v>
      </c>
      <c r="L329">
        <v>40</v>
      </c>
      <c r="N329" t="str">
        <f t="shared" si="15"/>
        <v>NA</v>
      </c>
      <c r="O329" t="s">
        <v>64</v>
      </c>
      <c r="P329" t="str">
        <f t="shared" si="16"/>
        <v xml:space="preserve"> </v>
      </c>
      <c r="S329">
        <f t="shared" si="17"/>
        <v>0.56744969374999987</v>
      </c>
    </row>
    <row r="330" spans="1:19">
      <c r="A330" s="9">
        <v>41906</v>
      </c>
      <c r="B330" s="7" t="s">
        <v>22</v>
      </c>
      <c r="C330">
        <v>45</v>
      </c>
      <c r="D330" t="s">
        <v>17</v>
      </c>
      <c r="F330">
        <v>5.33</v>
      </c>
      <c r="J330">
        <f>147+157+157+254+301+316+345</f>
        <v>1677</v>
      </c>
      <c r="K330">
        <v>7</v>
      </c>
      <c r="L330">
        <v>345</v>
      </c>
      <c r="N330" t="str">
        <f t="shared" si="15"/>
        <v>NA</v>
      </c>
      <c r="O330">
        <v>40.862899999999989</v>
      </c>
      <c r="P330">
        <f t="shared" si="16"/>
        <v>40.862899999999989</v>
      </c>
      <c r="S330">
        <f t="shared" si="17"/>
        <v>22.312279037749999</v>
      </c>
    </row>
    <row r="331" spans="1:19">
      <c r="A331" s="9">
        <v>41906</v>
      </c>
      <c r="B331" s="7" t="s">
        <v>22</v>
      </c>
      <c r="C331">
        <v>45</v>
      </c>
      <c r="D331" t="s">
        <v>17</v>
      </c>
      <c r="F331">
        <v>3.41</v>
      </c>
      <c r="J331">
        <f>200+215+288+266+301+330+350</f>
        <v>1950</v>
      </c>
      <c r="K331">
        <v>7</v>
      </c>
      <c r="L331">
        <v>350</v>
      </c>
      <c r="N331" t="str">
        <f t="shared" si="15"/>
        <v>NA</v>
      </c>
      <c r="O331">
        <v>58.251999999999995</v>
      </c>
      <c r="P331">
        <f t="shared" si="16"/>
        <v>58.251999999999995</v>
      </c>
      <c r="S331">
        <f t="shared" si="17"/>
        <v>9.1326806697500018</v>
      </c>
    </row>
    <row r="332" spans="1:19">
      <c r="A332" s="9">
        <v>41906</v>
      </c>
      <c r="B332" s="7" t="s">
        <v>22</v>
      </c>
      <c r="C332">
        <v>48</v>
      </c>
      <c r="D332" t="s">
        <v>59</v>
      </c>
      <c r="E332">
        <v>122</v>
      </c>
      <c r="F332">
        <v>0.96</v>
      </c>
      <c r="N332">
        <f t="shared" si="15"/>
        <v>29.435441663999995</v>
      </c>
      <c r="O332">
        <v>4.5018000000000002</v>
      </c>
      <c r="P332">
        <f t="shared" si="16"/>
        <v>4.5018000000000002</v>
      </c>
      <c r="S332">
        <f t="shared" si="17"/>
        <v>0.7238223359999999</v>
      </c>
    </row>
    <row r="333" spans="1:19">
      <c r="A333" s="9">
        <v>41906</v>
      </c>
      <c r="B333" s="7" t="s">
        <v>22</v>
      </c>
      <c r="C333">
        <v>48</v>
      </c>
      <c r="D333" t="s">
        <v>58</v>
      </c>
      <c r="E333">
        <v>324</v>
      </c>
      <c r="F333">
        <v>2.88</v>
      </c>
      <c r="H333">
        <v>38</v>
      </c>
      <c r="I333">
        <v>2.1</v>
      </c>
      <c r="N333" t="str">
        <f t="shared" si="15"/>
        <v>NA</v>
      </c>
      <c r="O333">
        <v>105.47358</v>
      </c>
      <c r="P333">
        <f t="shared" si="16"/>
        <v>105.47358</v>
      </c>
      <c r="S333">
        <f t="shared" si="17"/>
        <v>6.5144010239999997</v>
      </c>
    </row>
    <row r="334" spans="1:19">
      <c r="A334" s="9">
        <v>41906</v>
      </c>
      <c r="B334" s="7" t="s">
        <v>22</v>
      </c>
      <c r="C334">
        <v>48</v>
      </c>
      <c r="D334" t="s">
        <v>17</v>
      </c>
      <c r="F334">
        <v>4.26</v>
      </c>
      <c r="J334">
        <f>244+316+344+380+385+390+397</f>
        <v>2456</v>
      </c>
      <c r="K334">
        <v>7</v>
      </c>
      <c r="L334">
        <v>397</v>
      </c>
      <c r="N334" t="str">
        <f t="shared" si="15"/>
        <v>NA</v>
      </c>
      <c r="O334">
        <v>84.294199999999961</v>
      </c>
      <c r="P334">
        <f t="shared" si="16"/>
        <v>84.294199999999961</v>
      </c>
      <c r="S334">
        <f t="shared" si="17"/>
        <v>14.253079670999997</v>
      </c>
    </row>
    <row r="335" spans="1:19">
      <c r="A335" s="9">
        <v>41906</v>
      </c>
      <c r="B335" s="7" t="s">
        <v>22</v>
      </c>
      <c r="C335">
        <v>48</v>
      </c>
      <c r="D335" t="s">
        <v>17</v>
      </c>
      <c r="F335">
        <v>1.6</v>
      </c>
      <c r="J335">
        <f>287+307+346</f>
        <v>940</v>
      </c>
      <c r="K335">
        <v>3</v>
      </c>
      <c r="L335">
        <v>346</v>
      </c>
      <c r="N335" t="str">
        <f t="shared" si="15"/>
        <v>NA</v>
      </c>
      <c r="O335" t="s">
        <v>64</v>
      </c>
      <c r="P335" t="str">
        <f t="shared" si="16"/>
        <v xml:space="preserve"> </v>
      </c>
      <c r="S335">
        <f t="shared" si="17"/>
        <v>2.0106176000000002</v>
      </c>
    </row>
    <row r="336" spans="1:19">
      <c r="A336" s="9">
        <v>41906</v>
      </c>
      <c r="B336" s="7" t="s">
        <v>27</v>
      </c>
      <c r="C336">
        <v>4</v>
      </c>
      <c r="D336" t="s">
        <v>59</v>
      </c>
      <c r="E336">
        <v>55</v>
      </c>
      <c r="F336">
        <v>0.93</v>
      </c>
      <c r="N336">
        <f t="shared" si="15"/>
        <v>12.453655458750001</v>
      </c>
      <c r="O336">
        <v>2.0295000000000001</v>
      </c>
      <c r="P336">
        <f t="shared" si="16"/>
        <v>2.0295000000000001</v>
      </c>
      <c r="S336">
        <f t="shared" si="17"/>
        <v>0.67929029775000005</v>
      </c>
    </row>
    <row r="337" spans="1:19">
      <c r="A337" s="9">
        <v>41906</v>
      </c>
      <c r="B337" s="7" t="s">
        <v>27</v>
      </c>
      <c r="C337">
        <v>4</v>
      </c>
      <c r="D337" t="s">
        <v>59</v>
      </c>
      <c r="E337">
        <v>107</v>
      </c>
      <c r="F337">
        <v>0.71</v>
      </c>
      <c r="N337">
        <f t="shared" si="15"/>
        <v>14.121106711083332</v>
      </c>
      <c r="O337">
        <v>3.9483000000000001</v>
      </c>
      <c r="P337">
        <f t="shared" si="16"/>
        <v>3.9483000000000001</v>
      </c>
      <c r="S337">
        <f t="shared" si="17"/>
        <v>0.39591887974999995</v>
      </c>
    </row>
    <row r="338" spans="1:19">
      <c r="A338" s="9">
        <v>41906</v>
      </c>
      <c r="B338" s="7" t="s">
        <v>27</v>
      </c>
      <c r="C338">
        <v>4</v>
      </c>
      <c r="D338" t="s">
        <v>59</v>
      </c>
      <c r="E338">
        <v>38</v>
      </c>
      <c r="F338">
        <v>0.89</v>
      </c>
      <c r="N338">
        <f t="shared" si="15"/>
        <v>7.8801025568333332</v>
      </c>
      <c r="O338">
        <v>1.4022000000000001</v>
      </c>
      <c r="P338">
        <f t="shared" si="16"/>
        <v>1.4022000000000001</v>
      </c>
      <c r="S338">
        <f t="shared" si="17"/>
        <v>0.62211335975000004</v>
      </c>
    </row>
    <row r="339" spans="1:19">
      <c r="A339" s="9">
        <v>41906</v>
      </c>
      <c r="B339" s="7" t="s">
        <v>27</v>
      </c>
      <c r="C339">
        <v>4</v>
      </c>
      <c r="D339" t="s">
        <v>59</v>
      </c>
      <c r="E339">
        <v>107</v>
      </c>
      <c r="F339">
        <v>1.1599999999999999</v>
      </c>
      <c r="G339">
        <v>2</v>
      </c>
      <c r="N339">
        <f t="shared" si="15"/>
        <v>37.693634577333327</v>
      </c>
      <c r="O339">
        <v>4.1817708447839994</v>
      </c>
      <c r="P339">
        <f t="shared" si="16"/>
        <v>4.1817708447839994</v>
      </c>
      <c r="S339">
        <f t="shared" si="17"/>
        <v>1.0568308759999998</v>
      </c>
    </row>
    <row r="340" spans="1:19">
      <c r="A340" s="9">
        <v>41906</v>
      </c>
      <c r="B340" s="7" t="s">
        <v>27</v>
      </c>
      <c r="C340">
        <v>4</v>
      </c>
      <c r="D340" t="s">
        <v>59</v>
      </c>
      <c r="E340">
        <v>209</v>
      </c>
      <c r="F340">
        <v>1.73</v>
      </c>
      <c r="G340">
        <v>23</v>
      </c>
      <c r="N340">
        <f t="shared" si="15"/>
        <v>163.75959371658331</v>
      </c>
      <c r="O340">
        <v>11.412945373796997</v>
      </c>
      <c r="P340">
        <f t="shared" si="16"/>
        <v>11.412945373796997</v>
      </c>
      <c r="S340">
        <f t="shared" si="17"/>
        <v>2.3506161777500001</v>
      </c>
    </row>
    <row r="341" spans="1:19">
      <c r="A341" s="9">
        <v>41906</v>
      </c>
      <c r="B341" s="7" t="s">
        <v>27</v>
      </c>
      <c r="C341">
        <v>4</v>
      </c>
      <c r="D341" t="s">
        <v>59</v>
      </c>
      <c r="E341">
        <v>205</v>
      </c>
      <c r="F341">
        <v>2.02</v>
      </c>
      <c r="N341">
        <f t="shared" si="15"/>
        <v>218.99029053166666</v>
      </c>
      <c r="O341">
        <v>7.5645000000000007</v>
      </c>
      <c r="P341">
        <f t="shared" si="16"/>
        <v>7.5645000000000007</v>
      </c>
      <c r="S341">
        <f t="shared" si="17"/>
        <v>3.2047359589999997</v>
      </c>
    </row>
    <row r="342" spans="1:19">
      <c r="A342" s="9">
        <v>41906</v>
      </c>
      <c r="B342" s="7" t="s">
        <v>27</v>
      </c>
      <c r="C342">
        <v>4</v>
      </c>
      <c r="D342" t="s">
        <v>59</v>
      </c>
      <c r="E342">
        <v>63</v>
      </c>
      <c r="F342">
        <v>1.07</v>
      </c>
      <c r="N342">
        <f t="shared" si="15"/>
        <v>18.883233552749996</v>
      </c>
      <c r="O342">
        <v>2.3247</v>
      </c>
      <c r="P342">
        <f t="shared" si="16"/>
        <v>2.3247</v>
      </c>
      <c r="S342">
        <f t="shared" si="17"/>
        <v>0.89920159774999997</v>
      </c>
    </row>
    <row r="343" spans="1:19">
      <c r="A343" s="9">
        <v>41906</v>
      </c>
      <c r="B343" s="7" t="s">
        <v>27</v>
      </c>
      <c r="C343">
        <v>4</v>
      </c>
      <c r="D343" t="s">
        <v>59</v>
      </c>
      <c r="E343">
        <v>103</v>
      </c>
      <c r="F343">
        <v>1.4</v>
      </c>
      <c r="G343">
        <v>11</v>
      </c>
      <c r="N343">
        <f t="shared" si="15"/>
        <v>52.852015766666653</v>
      </c>
      <c r="O343">
        <v>4.6218725675999988</v>
      </c>
      <c r="P343">
        <f t="shared" si="16"/>
        <v>4.6218725675999988</v>
      </c>
      <c r="S343">
        <f t="shared" si="17"/>
        <v>1.5393790999999997</v>
      </c>
    </row>
    <row r="344" spans="1:19">
      <c r="A344" s="9">
        <v>41906</v>
      </c>
      <c r="B344" s="7" t="s">
        <v>27</v>
      </c>
      <c r="C344">
        <v>4</v>
      </c>
      <c r="D344" t="s">
        <v>59</v>
      </c>
      <c r="E344">
        <v>81</v>
      </c>
      <c r="F344">
        <v>0.84</v>
      </c>
      <c r="N344">
        <f t="shared" si="15"/>
        <v>14.962764851999998</v>
      </c>
      <c r="O344">
        <v>2.9889000000000001</v>
      </c>
      <c r="P344">
        <f t="shared" si="16"/>
        <v>2.9889000000000001</v>
      </c>
      <c r="S344">
        <f t="shared" si="17"/>
        <v>0.55417647599999986</v>
      </c>
    </row>
    <row r="345" spans="1:19">
      <c r="A345" s="9">
        <v>41906</v>
      </c>
      <c r="B345" s="7" t="s">
        <v>27</v>
      </c>
      <c r="C345">
        <v>4</v>
      </c>
      <c r="D345" t="s">
        <v>59</v>
      </c>
      <c r="E345">
        <v>167</v>
      </c>
      <c r="F345">
        <v>1.36</v>
      </c>
      <c r="N345">
        <f t="shared" si="15"/>
        <v>80.865364357333334</v>
      </c>
      <c r="O345">
        <v>6.1623000000000001</v>
      </c>
      <c r="P345">
        <f t="shared" si="16"/>
        <v>6.1623000000000001</v>
      </c>
      <c r="S345">
        <f t="shared" si="17"/>
        <v>1.4526712160000002</v>
      </c>
    </row>
    <row r="346" spans="1:19">
      <c r="A346" s="9">
        <v>41906</v>
      </c>
      <c r="B346" s="7" t="s">
        <v>27</v>
      </c>
      <c r="C346">
        <v>4</v>
      </c>
      <c r="D346" t="s">
        <v>59</v>
      </c>
      <c r="E346">
        <v>180</v>
      </c>
      <c r="F346">
        <v>1.92</v>
      </c>
      <c r="N346">
        <f t="shared" si="15"/>
        <v>173.71736063999998</v>
      </c>
      <c r="O346">
        <v>6.6420000000000003</v>
      </c>
      <c r="P346">
        <f t="shared" si="16"/>
        <v>6.6420000000000003</v>
      </c>
      <c r="S346">
        <f t="shared" si="17"/>
        <v>2.8952893439999996</v>
      </c>
    </row>
    <row r="347" spans="1:19">
      <c r="A347" s="9">
        <v>41906</v>
      </c>
      <c r="B347" s="7" t="s">
        <v>27</v>
      </c>
      <c r="C347">
        <v>4</v>
      </c>
      <c r="D347" t="s">
        <v>59</v>
      </c>
      <c r="E347">
        <v>169</v>
      </c>
      <c r="F347">
        <v>1.39</v>
      </c>
      <c r="N347">
        <f t="shared" si="15"/>
        <v>85.483946715916645</v>
      </c>
      <c r="O347">
        <v>6.2361000000000004</v>
      </c>
      <c r="P347">
        <f t="shared" si="16"/>
        <v>6.2361000000000004</v>
      </c>
      <c r="S347">
        <f t="shared" si="17"/>
        <v>1.5174665097499997</v>
      </c>
    </row>
    <row r="348" spans="1:19">
      <c r="A348" s="9">
        <v>41906</v>
      </c>
      <c r="B348" s="7" t="s">
        <v>27</v>
      </c>
      <c r="C348">
        <v>4</v>
      </c>
      <c r="D348" t="s">
        <v>60</v>
      </c>
      <c r="E348">
        <v>158</v>
      </c>
      <c r="F348">
        <v>2</v>
      </c>
      <c r="N348">
        <f t="shared" si="15"/>
        <v>165.45707333333331</v>
      </c>
      <c r="O348">
        <v>5.8301999999999996</v>
      </c>
      <c r="P348">
        <f t="shared" si="16"/>
        <v>5.8301999999999996</v>
      </c>
      <c r="S348">
        <f t="shared" si="17"/>
        <v>3.1415899999999999</v>
      </c>
    </row>
    <row r="349" spans="1:19">
      <c r="A349" s="9">
        <v>41906</v>
      </c>
      <c r="B349" s="7" t="s">
        <v>27</v>
      </c>
      <c r="C349">
        <v>4</v>
      </c>
      <c r="D349" t="s">
        <v>58</v>
      </c>
      <c r="F349">
        <v>1.26</v>
      </c>
      <c r="J349">
        <f>35+44+50</f>
        <v>129</v>
      </c>
      <c r="K349">
        <v>3</v>
      </c>
      <c r="L349">
        <v>50</v>
      </c>
      <c r="N349" t="str">
        <f t="shared" si="15"/>
        <v>NA</v>
      </c>
      <c r="O349" t="s">
        <v>64</v>
      </c>
      <c r="P349" t="str">
        <f t="shared" si="16"/>
        <v xml:space="preserve"> </v>
      </c>
      <c r="S349">
        <f t="shared" si="17"/>
        <v>1.246897071</v>
      </c>
    </row>
    <row r="350" spans="1:19">
      <c r="A350" s="9">
        <v>41906</v>
      </c>
      <c r="B350" s="7" t="s">
        <v>27</v>
      </c>
      <c r="C350">
        <v>4</v>
      </c>
      <c r="D350" t="s">
        <v>17</v>
      </c>
      <c r="F350">
        <v>1.59</v>
      </c>
      <c r="J350">
        <f>41+41+63+81+101</f>
        <v>327</v>
      </c>
      <c r="K350">
        <v>5</v>
      </c>
      <c r="L350">
        <v>101</v>
      </c>
      <c r="N350" t="str">
        <f t="shared" si="15"/>
        <v>NA</v>
      </c>
      <c r="O350" t="s">
        <v>64</v>
      </c>
      <c r="P350" t="str">
        <f t="shared" si="16"/>
        <v xml:space="preserve"> </v>
      </c>
      <c r="S350">
        <f t="shared" si="17"/>
        <v>1.9855634197500001</v>
      </c>
    </row>
    <row r="351" spans="1:19">
      <c r="A351" s="9">
        <v>41906</v>
      </c>
      <c r="B351" s="7" t="s">
        <v>27</v>
      </c>
      <c r="C351">
        <v>4</v>
      </c>
      <c r="D351" t="s">
        <v>17</v>
      </c>
      <c r="F351">
        <v>0.54</v>
      </c>
      <c r="J351">
        <f>41+42</f>
        <v>83</v>
      </c>
      <c r="K351">
        <v>2</v>
      </c>
      <c r="L351">
        <v>42</v>
      </c>
      <c r="N351" t="str">
        <f t="shared" si="15"/>
        <v>NA</v>
      </c>
      <c r="O351" t="s">
        <v>64</v>
      </c>
      <c r="P351" t="str">
        <f t="shared" si="16"/>
        <v xml:space="preserve"> </v>
      </c>
      <c r="S351">
        <f t="shared" si="17"/>
        <v>0.22902191100000002</v>
      </c>
    </row>
    <row r="352" spans="1:19">
      <c r="A352" s="9">
        <v>41906</v>
      </c>
      <c r="B352" s="7" t="s">
        <v>27</v>
      </c>
      <c r="C352">
        <v>15</v>
      </c>
      <c r="M352" t="s">
        <v>61</v>
      </c>
      <c r="N352" t="str">
        <f t="shared" si="15"/>
        <v>NA</v>
      </c>
      <c r="O352" t="s">
        <v>64</v>
      </c>
      <c r="P352" t="str">
        <f t="shared" si="16"/>
        <v xml:space="preserve"> </v>
      </c>
      <c r="S352">
        <f t="shared" si="17"/>
        <v>0</v>
      </c>
    </row>
    <row r="353" spans="1:19">
      <c r="A353" s="9">
        <v>41906</v>
      </c>
      <c r="B353" s="7" t="s">
        <v>27</v>
      </c>
      <c r="C353">
        <v>33</v>
      </c>
      <c r="D353" t="s">
        <v>17</v>
      </c>
      <c r="F353">
        <v>8.5399999999999991</v>
      </c>
      <c r="J353">
        <f>196+226+256+284+298+304+333+338+351+352+352</f>
        <v>3290</v>
      </c>
      <c r="K353">
        <v>11</v>
      </c>
      <c r="L353">
        <v>352</v>
      </c>
      <c r="N353" t="str">
        <f t="shared" si="15"/>
        <v>NA</v>
      </c>
      <c r="O353">
        <v>139.06599999999997</v>
      </c>
      <c r="P353">
        <f t="shared" si="16"/>
        <v>139.06599999999997</v>
      </c>
      <c r="S353">
        <f t="shared" si="17"/>
        <v>57.280296310999987</v>
      </c>
    </row>
    <row r="354" spans="1:19">
      <c r="A354" s="9">
        <v>41906</v>
      </c>
      <c r="B354" s="7" t="s">
        <v>27</v>
      </c>
      <c r="C354">
        <v>33</v>
      </c>
      <c r="D354" t="s">
        <v>17</v>
      </c>
      <c r="F354">
        <v>7.59</v>
      </c>
      <c r="J354">
        <f>164+242+251+274+295+314+310+323+324+326+167</f>
        <v>2990</v>
      </c>
      <c r="K354">
        <v>11</v>
      </c>
      <c r="L354">
        <v>326</v>
      </c>
      <c r="N354" t="str">
        <f t="shared" si="15"/>
        <v>NA</v>
      </c>
      <c r="O354">
        <v>123.32</v>
      </c>
      <c r="P354">
        <f t="shared" si="16"/>
        <v>123.32</v>
      </c>
      <c r="S354">
        <f t="shared" si="17"/>
        <v>45.245257719750001</v>
      </c>
    </row>
    <row r="355" spans="1:19">
      <c r="A355" s="9">
        <v>41906</v>
      </c>
      <c r="B355" s="7" t="s">
        <v>27</v>
      </c>
      <c r="C355">
        <v>33</v>
      </c>
      <c r="D355" t="s">
        <v>17</v>
      </c>
      <c r="F355">
        <v>0.97</v>
      </c>
      <c r="J355">
        <f>24+62+72+80</f>
        <v>238</v>
      </c>
      <c r="K355">
        <v>4</v>
      </c>
      <c r="L355">
        <v>80</v>
      </c>
      <c r="N355" t="str">
        <f t="shared" si="15"/>
        <v>NA</v>
      </c>
      <c r="O355" t="s">
        <v>64</v>
      </c>
      <c r="P355" t="str">
        <f t="shared" si="16"/>
        <v xml:space="preserve"> </v>
      </c>
      <c r="S355">
        <f t="shared" si="17"/>
        <v>0.7389805077499999</v>
      </c>
    </row>
    <row r="356" spans="1:19">
      <c r="A356" s="9">
        <v>41906</v>
      </c>
      <c r="B356" s="7" t="s">
        <v>27</v>
      </c>
      <c r="C356">
        <v>33</v>
      </c>
      <c r="D356" t="s">
        <v>17</v>
      </c>
      <c r="F356">
        <v>1.01</v>
      </c>
      <c r="J356">
        <f>47+58+77+83</f>
        <v>265</v>
      </c>
      <c r="K356">
        <v>4</v>
      </c>
      <c r="L356">
        <v>83</v>
      </c>
      <c r="N356" t="str">
        <f t="shared" si="15"/>
        <v>NA</v>
      </c>
      <c r="O356" t="s">
        <v>64</v>
      </c>
      <c r="P356" t="str">
        <f t="shared" si="16"/>
        <v xml:space="preserve"> </v>
      </c>
      <c r="S356">
        <f t="shared" si="17"/>
        <v>0.80118398974999994</v>
      </c>
    </row>
    <row r="357" spans="1:19">
      <c r="A357" s="9">
        <v>41906</v>
      </c>
      <c r="B357" s="7" t="s">
        <v>27</v>
      </c>
      <c r="C357">
        <v>33</v>
      </c>
      <c r="D357" t="s">
        <v>17</v>
      </c>
      <c r="F357">
        <v>3.66</v>
      </c>
      <c r="J357">
        <f>71+103+120+149+151+189+200+220</f>
        <v>1203</v>
      </c>
      <c r="K357">
        <v>8</v>
      </c>
      <c r="L357">
        <v>220</v>
      </c>
      <c r="N357" t="str">
        <f t="shared" si="15"/>
        <v>NA</v>
      </c>
      <c r="O357">
        <v>27.688099999999999</v>
      </c>
      <c r="P357">
        <f t="shared" si="16"/>
        <v>27.688099999999999</v>
      </c>
      <c r="S357">
        <f t="shared" si="17"/>
        <v>10.520870751</v>
      </c>
    </row>
    <row r="358" spans="1:19">
      <c r="A358" s="9">
        <v>41906</v>
      </c>
      <c r="B358" s="7" t="s">
        <v>27</v>
      </c>
      <c r="C358">
        <v>33</v>
      </c>
      <c r="D358" t="s">
        <v>17</v>
      </c>
      <c r="F358">
        <v>8.07</v>
      </c>
      <c r="J358">
        <f>232+253+276+291+302+313+329+331+358+360+360</f>
        <v>3405</v>
      </c>
      <c r="K358">
        <v>11</v>
      </c>
      <c r="L358">
        <v>360</v>
      </c>
      <c r="N358" t="str">
        <f t="shared" si="15"/>
        <v>NA</v>
      </c>
      <c r="O358">
        <v>145.42449999999999</v>
      </c>
      <c r="P358">
        <f t="shared" si="16"/>
        <v>145.42449999999999</v>
      </c>
      <c r="S358">
        <f t="shared" si="17"/>
        <v>51.148933647750006</v>
      </c>
    </row>
    <row r="359" spans="1:19">
      <c r="A359" s="9">
        <v>41906</v>
      </c>
      <c r="B359" s="7" t="s">
        <v>27</v>
      </c>
      <c r="C359">
        <v>33</v>
      </c>
      <c r="D359" t="s">
        <v>17</v>
      </c>
      <c r="F359">
        <v>1.23</v>
      </c>
      <c r="J359">
        <f>32+56+74+91+94</f>
        <v>347</v>
      </c>
      <c r="K359">
        <v>5</v>
      </c>
      <c r="L359">
        <v>94</v>
      </c>
      <c r="N359" t="str">
        <f t="shared" si="15"/>
        <v>NA</v>
      </c>
      <c r="O359" t="s">
        <v>64</v>
      </c>
      <c r="P359" t="str">
        <f t="shared" si="16"/>
        <v xml:space="preserve"> </v>
      </c>
      <c r="S359">
        <f t="shared" si="17"/>
        <v>1.1882278777499999</v>
      </c>
    </row>
    <row r="360" spans="1:19">
      <c r="A360" s="9">
        <v>41906</v>
      </c>
      <c r="B360" s="7" t="s">
        <v>27</v>
      </c>
      <c r="C360">
        <v>33</v>
      </c>
      <c r="D360" t="s">
        <v>17</v>
      </c>
      <c r="F360">
        <v>2.4500000000000002</v>
      </c>
      <c r="J360">
        <f>88+100+132+147+189+190</f>
        <v>846</v>
      </c>
      <c r="K360">
        <v>6</v>
      </c>
      <c r="L360">
        <v>190</v>
      </c>
      <c r="N360" t="str">
        <f t="shared" si="15"/>
        <v>NA</v>
      </c>
      <c r="O360">
        <v>12.914199999999997</v>
      </c>
      <c r="P360">
        <f t="shared" si="16"/>
        <v>12.914199999999997</v>
      </c>
      <c r="S360">
        <f t="shared" si="17"/>
        <v>4.7143484937500011</v>
      </c>
    </row>
    <row r="361" spans="1:19">
      <c r="A361" s="9">
        <v>41906</v>
      </c>
      <c r="B361" s="7" t="s">
        <v>27</v>
      </c>
      <c r="C361">
        <v>33</v>
      </c>
      <c r="D361" t="s">
        <v>17</v>
      </c>
      <c r="F361">
        <v>1.55</v>
      </c>
      <c r="J361">
        <f>60+63+72</f>
        <v>195</v>
      </c>
      <c r="K361">
        <v>3</v>
      </c>
      <c r="L361">
        <v>72</v>
      </c>
      <c r="N361" t="str">
        <f t="shared" si="15"/>
        <v>NA</v>
      </c>
      <c r="O361" t="s">
        <v>64</v>
      </c>
      <c r="P361" t="str">
        <f t="shared" si="16"/>
        <v xml:space="preserve"> </v>
      </c>
      <c r="S361">
        <f t="shared" si="17"/>
        <v>1.8869174937500002</v>
      </c>
    </row>
    <row r="362" spans="1:19">
      <c r="A362" s="9">
        <v>41906</v>
      </c>
      <c r="B362" s="7" t="s">
        <v>27</v>
      </c>
      <c r="C362">
        <v>33</v>
      </c>
      <c r="D362" t="s">
        <v>17</v>
      </c>
      <c r="F362">
        <v>1.06</v>
      </c>
      <c r="J362">
        <f>60+66+77</f>
        <v>203</v>
      </c>
      <c r="K362">
        <v>3</v>
      </c>
      <c r="L362">
        <v>77</v>
      </c>
      <c r="N362" t="str">
        <f t="shared" si="15"/>
        <v>NA</v>
      </c>
      <c r="O362" t="s">
        <v>64</v>
      </c>
      <c r="P362" t="str">
        <f t="shared" si="16"/>
        <v xml:space="preserve"> </v>
      </c>
      <c r="S362">
        <f t="shared" si="17"/>
        <v>0.88247263100000006</v>
      </c>
    </row>
    <row r="363" spans="1:19">
      <c r="A363" s="9">
        <v>41906</v>
      </c>
      <c r="B363" s="7" t="s">
        <v>27</v>
      </c>
      <c r="C363">
        <v>33</v>
      </c>
      <c r="D363" t="s">
        <v>17</v>
      </c>
      <c r="F363">
        <v>5.64</v>
      </c>
      <c r="J363">
        <f>165+230+273+277+308+314+320+342+345</f>
        <v>2574</v>
      </c>
      <c r="K363">
        <v>9</v>
      </c>
      <c r="L363">
        <v>345</v>
      </c>
      <c r="N363" t="str">
        <f t="shared" si="15"/>
        <v>NA</v>
      </c>
      <c r="O363">
        <v>96.574799999999982</v>
      </c>
      <c r="P363">
        <f t="shared" si="16"/>
        <v>96.574799999999982</v>
      </c>
      <c r="S363">
        <f t="shared" si="17"/>
        <v>24.983180315999995</v>
      </c>
    </row>
    <row r="364" spans="1:19">
      <c r="A364" s="9">
        <v>41906</v>
      </c>
      <c r="B364" s="7" t="s">
        <v>27</v>
      </c>
      <c r="C364">
        <v>33</v>
      </c>
      <c r="D364" t="s">
        <v>17</v>
      </c>
      <c r="F364">
        <v>4.78</v>
      </c>
      <c r="J364">
        <f>173+248+256+276+267+267+271+282+288+296+299</f>
        <v>2923</v>
      </c>
      <c r="K364">
        <v>11</v>
      </c>
      <c r="L364">
        <v>299</v>
      </c>
      <c r="N364" t="str">
        <f t="shared" si="15"/>
        <v>NA</v>
      </c>
      <c r="O364">
        <v>123.27909999999997</v>
      </c>
      <c r="P364">
        <f t="shared" si="16"/>
        <v>123.27909999999997</v>
      </c>
      <c r="S364">
        <f t="shared" si="17"/>
        <v>17.945076239000002</v>
      </c>
    </row>
    <row r="365" spans="1:19">
      <c r="A365" s="9">
        <v>41906</v>
      </c>
      <c r="B365" s="7" t="s">
        <v>27</v>
      </c>
      <c r="C365">
        <v>33</v>
      </c>
      <c r="D365" t="s">
        <v>17</v>
      </c>
      <c r="F365">
        <v>5.53</v>
      </c>
      <c r="J365">
        <f>62+198+238+242+257+259</f>
        <v>1256</v>
      </c>
      <c r="K365">
        <v>6</v>
      </c>
      <c r="L365">
        <v>259</v>
      </c>
      <c r="N365" t="str">
        <f t="shared" si="15"/>
        <v>NA</v>
      </c>
      <c r="O365">
        <v>28.9452</v>
      </c>
      <c r="P365">
        <f t="shared" si="16"/>
        <v>28.9452</v>
      </c>
      <c r="S365">
        <f t="shared" si="17"/>
        <v>24.018162407750001</v>
      </c>
    </row>
    <row r="366" spans="1:19">
      <c r="A366" s="9">
        <v>41906</v>
      </c>
      <c r="B366" s="7" t="s">
        <v>27</v>
      </c>
      <c r="C366">
        <v>42</v>
      </c>
      <c r="D366" t="s">
        <v>58</v>
      </c>
      <c r="F366">
        <v>1.96</v>
      </c>
      <c r="J366">
        <f>21+278</f>
        <v>299</v>
      </c>
      <c r="K366">
        <v>2</v>
      </c>
      <c r="L366">
        <v>278</v>
      </c>
      <c r="N366" t="str">
        <f t="shared" si="15"/>
        <v>NA</v>
      </c>
      <c r="O366" t="s">
        <v>64</v>
      </c>
      <c r="P366" t="str">
        <f t="shared" si="16"/>
        <v xml:space="preserve"> </v>
      </c>
      <c r="S366">
        <f t="shared" si="17"/>
        <v>3.0171830359999996</v>
      </c>
    </row>
    <row r="367" spans="1:19">
      <c r="A367" s="9">
        <v>41906</v>
      </c>
      <c r="B367" s="7" t="s">
        <v>27</v>
      </c>
      <c r="C367">
        <v>42</v>
      </c>
      <c r="D367" t="s">
        <v>58</v>
      </c>
      <c r="E367">
        <v>309</v>
      </c>
      <c r="F367">
        <v>2.38</v>
      </c>
      <c r="H367">
        <v>35</v>
      </c>
      <c r="I367">
        <v>2</v>
      </c>
      <c r="N367" t="str">
        <f t="shared" si="15"/>
        <v>NA</v>
      </c>
      <c r="O367">
        <v>97.547779999999989</v>
      </c>
      <c r="P367">
        <f t="shared" si="16"/>
        <v>97.547779999999989</v>
      </c>
      <c r="S367">
        <f t="shared" si="17"/>
        <v>4.4488055989999999</v>
      </c>
    </row>
    <row r="368" spans="1:19">
      <c r="A368" s="9">
        <v>41906</v>
      </c>
      <c r="B368" s="7" t="s">
        <v>27</v>
      </c>
      <c r="C368">
        <v>42</v>
      </c>
      <c r="D368" t="s">
        <v>17</v>
      </c>
      <c r="F368">
        <v>6.71</v>
      </c>
      <c r="J368">
        <f>100+118+144+175+186+230+295+327+359+373+384</f>
        <v>2691</v>
      </c>
      <c r="K368">
        <v>11</v>
      </c>
      <c r="L368">
        <v>384</v>
      </c>
      <c r="N368" t="str">
        <f t="shared" si="15"/>
        <v>NA</v>
      </c>
      <c r="O368">
        <v>93.864699999999999</v>
      </c>
      <c r="P368">
        <f t="shared" si="16"/>
        <v>93.864699999999999</v>
      </c>
      <c r="S368">
        <f t="shared" si="17"/>
        <v>35.361815579749994</v>
      </c>
    </row>
    <row r="369" spans="1:19">
      <c r="A369" s="9">
        <v>41906</v>
      </c>
      <c r="B369" s="7" t="s">
        <v>27</v>
      </c>
      <c r="C369">
        <v>42</v>
      </c>
      <c r="D369" t="s">
        <v>17</v>
      </c>
      <c r="F369">
        <v>2.4900000000000002</v>
      </c>
      <c r="J369">
        <f>88+160+160+212+231</f>
        <v>851</v>
      </c>
      <c r="K369">
        <v>5</v>
      </c>
      <c r="L369">
        <v>231</v>
      </c>
      <c r="N369" t="str">
        <f t="shared" si="15"/>
        <v>NA</v>
      </c>
      <c r="O369">
        <v>8.5826999999999956</v>
      </c>
      <c r="P369">
        <f t="shared" si="16"/>
        <v>8.5826999999999956</v>
      </c>
      <c r="S369">
        <f t="shared" si="17"/>
        <v>4.8695430397500008</v>
      </c>
    </row>
    <row r="370" spans="1:19">
      <c r="A370" s="9">
        <v>41906</v>
      </c>
      <c r="B370" s="7" t="s">
        <v>27</v>
      </c>
      <c r="C370">
        <v>42</v>
      </c>
      <c r="D370" t="s">
        <v>17</v>
      </c>
      <c r="F370">
        <v>2.48</v>
      </c>
      <c r="J370">
        <f>48+60+60+58+76+123+118+161</f>
        <v>704</v>
      </c>
      <c r="K370">
        <v>8</v>
      </c>
      <c r="L370">
        <v>161</v>
      </c>
      <c r="N370" t="str">
        <f t="shared" si="15"/>
        <v>NA</v>
      </c>
      <c r="O370">
        <v>4.0807999999999929</v>
      </c>
      <c r="P370">
        <f t="shared" si="16"/>
        <v>4.0807999999999929</v>
      </c>
      <c r="S370">
        <f t="shared" si="17"/>
        <v>4.8305087840000001</v>
      </c>
    </row>
    <row r="371" spans="1:19">
      <c r="A371" s="9">
        <v>41906</v>
      </c>
      <c r="B371" s="7" t="s">
        <v>27</v>
      </c>
      <c r="C371">
        <v>45</v>
      </c>
      <c r="D371" t="s">
        <v>17</v>
      </c>
      <c r="F371">
        <v>1.85</v>
      </c>
      <c r="J371">
        <f>59+84+108+169</f>
        <v>420</v>
      </c>
      <c r="K371">
        <v>4</v>
      </c>
      <c r="L371">
        <v>169</v>
      </c>
      <c r="N371" t="str">
        <f t="shared" si="15"/>
        <v>NA</v>
      </c>
      <c r="O371" t="s">
        <v>64</v>
      </c>
      <c r="P371" t="str">
        <f t="shared" si="16"/>
        <v xml:space="preserve"> </v>
      </c>
      <c r="S371">
        <f t="shared" si="17"/>
        <v>2.6880229437500001</v>
      </c>
    </row>
    <row r="372" spans="1:19">
      <c r="A372" s="9">
        <v>41906</v>
      </c>
      <c r="B372" s="7" t="s">
        <v>27</v>
      </c>
      <c r="C372">
        <v>45</v>
      </c>
      <c r="D372" t="s">
        <v>17</v>
      </c>
      <c r="F372">
        <v>6.77</v>
      </c>
      <c r="J372">
        <f>131+167+193+200+213+230+281+301+328+326+338</f>
        <v>2708</v>
      </c>
      <c r="K372">
        <v>11</v>
      </c>
      <c r="L372">
        <v>338</v>
      </c>
      <c r="N372" t="str">
        <f t="shared" si="15"/>
        <v>NA</v>
      </c>
      <c r="O372">
        <v>102.54259999999998</v>
      </c>
      <c r="P372">
        <f t="shared" si="16"/>
        <v>102.54259999999998</v>
      </c>
      <c r="S372">
        <f t="shared" si="17"/>
        <v>35.997045077749995</v>
      </c>
    </row>
    <row r="373" spans="1:19">
      <c r="A373" s="9">
        <v>41906</v>
      </c>
      <c r="B373" s="7" t="s">
        <v>27</v>
      </c>
      <c r="C373">
        <v>45</v>
      </c>
      <c r="D373" t="s">
        <v>17</v>
      </c>
      <c r="F373">
        <v>3.93</v>
      </c>
      <c r="J373">
        <f>96+170+198+224+254+279+282+298+300</f>
        <v>2101</v>
      </c>
      <c r="K373">
        <v>9</v>
      </c>
      <c r="L373">
        <v>300</v>
      </c>
      <c r="N373" t="str">
        <f t="shared" si="15"/>
        <v>NA</v>
      </c>
      <c r="O373">
        <v>72.405699999999982</v>
      </c>
      <c r="P373">
        <f t="shared" si="16"/>
        <v>72.405699999999982</v>
      </c>
      <c r="S373">
        <f t="shared" si="17"/>
        <v>12.13038584775</v>
      </c>
    </row>
    <row r="374" spans="1:19">
      <c r="A374" s="9">
        <v>41906</v>
      </c>
      <c r="B374" s="7" t="s">
        <v>27</v>
      </c>
      <c r="C374">
        <v>45</v>
      </c>
      <c r="D374" t="s">
        <v>17</v>
      </c>
      <c r="F374">
        <v>5.46</v>
      </c>
      <c r="J374">
        <f>97+113+166+193+200+266+280+298+300+317</f>
        <v>2230</v>
      </c>
      <c r="K374">
        <v>10</v>
      </c>
      <c r="L374">
        <v>317</v>
      </c>
      <c r="N374" t="str">
        <f t="shared" si="15"/>
        <v>NA</v>
      </c>
      <c r="O374">
        <v>76.162999999999982</v>
      </c>
      <c r="P374">
        <f t="shared" si="16"/>
        <v>76.162999999999982</v>
      </c>
      <c r="S374">
        <f t="shared" si="17"/>
        <v>23.413956110999997</v>
      </c>
    </row>
    <row r="375" spans="1:19">
      <c r="A375" s="9">
        <v>41906</v>
      </c>
      <c r="B375" s="7" t="s">
        <v>27</v>
      </c>
      <c r="C375">
        <v>45</v>
      </c>
      <c r="D375" t="s">
        <v>17</v>
      </c>
      <c r="F375">
        <v>9.94</v>
      </c>
      <c r="J375">
        <f>88+131+200+218+245+253+278+278+284+281+287</f>
        <v>2543</v>
      </c>
      <c r="K375">
        <v>11</v>
      </c>
      <c r="L375">
        <v>287</v>
      </c>
      <c r="N375" t="str">
        <f t="shared" si="15"/>
        <v>NA</v>
      </c>
      <c r="O375">
        <v>99.901099999999985</v>
      </c>
      <c r="P375">
        <f t="shared" si="16"/>
        <v>99.901099999999985</v>
      </c>
      <c r="S375">
        <f t="shared" si="17"/>
        <v>77.600100430999987</v>
      </c>
    </row>
    <row r="376" spans="1:19">
      <c r="A376" s="9">
        <v>41906</v>
      </c>
      <c r="B376" s="7" t="s">
        <v>27</v>
      </c>
      <c r="C376">
        <v>45</v>
      </c>
      <c r="D376" t="s">
        <v>17</v>
      </c>
      <c r="F376">
        <v>7.81</v>
      </c>
      <c r="J376">
        <f>130+122+157+163+189+204+214+222+247+250</f>
        <v>1898</v>
      </c>
      <c r="K376">
        <v>10</v>
      </c>
      <c r="L376">
        <v>250</v>
      </c>
      <c r="N376" t="str">
        <f t="shared" si="15"/>
        <v>NA</v>
      </c>
      <c r="O376">
        <v>65.006599999999992</v>
      </c>
      <c r="P376">
        <f t="shared" si="16"/>
        <v>65.006599999999992</v>
      </c>
      <c r="S376">
        <f t="shared" si="17"/>
        <v>47.906184449749993</v>
      </c>
    </row>
    <row r="377" spans="1:19">
      <c r="A377" s="9">
        <v>41906</v>
      </c>
      <c r="B377" s="7" t="s">
        <v>27</v>
      </c>
      <c r="C377">
        <v>45</v>
      </c>
      <c r="D377" t="s">
        <v>17</v>
      </c>
      <c r="F377">
        <v>4.32</v>
      </c>
      <c r="J377">
        <f>149+175+189+237+252+274+291+317+321</f>
        <v>2205</v>
      </c>
      <c r="K377">
        <v>9</v>
      </c>
      <c r="L377">
        <v>321</v>
      </c>
      <c r="N377" t="str">
        <f t="shared" si="15"/>
        <v>NA</v>
      </c>
      <c r="O377">
        <v>75.898499999999984</v>
      </c>
      <c r="P377">
        <f t="shared" si="16"/>
        <v>75.898499999999984</v>
      </c>
      <c r="S377">
        <f t="shared" si="17"/>
        <v>14.657402304000001</v>
      </c>
    </row>
    <row r="378" spans="1:19">
      <c r="A378" s="9">
        <v>41906</v>
      </c>
      <c r="B378" s="7" t="s">
        <v>25</v>
      </c>
      <c r="C378">
        <v>12</v>
      </c>
      <c r="M378" t="s">
        <v>61</v>
      </c>
      <c r="N378" t="str">
        <f t="shared" si="15"/>
        <v>NA</v>
      </c>
      <c r="O378" t="s">
        <v>64</v>
      </c>
      <c r="P378" t="str">
        <f t="shared" si="16"/>
        <v xml:space="preserve"> </v>
      </c>
      <c r="S378">
        <f t="shared" si="17"/>
        <v>0</v>
      </c>
    </row>
    <row r="379" spans="1:19">
      <c r="A379" s="9">
        <v>41906</v>
      </c>
      <c r="B379" s="7" t="s">
        <v>25</v>
      </c>
      <c r="C379">
        <v>13</v>
      </c>
      <c r="D379" t="s">
        <v>59</v>
      </c>
      <c r="E379">
        <v>85</v>
      </c>
      <c r="F379">
        <v>0.36</v>
      </c>
      <c r="N379">
        <f t="shared" si="15"/>
        <v>2.8839796199999994</v>
      </c>
      <c r="O379">
        <v>3.1365000000000003</v>
      </c>
      <c r="P379">
        <f t="shared" si="16"/>
        <v>3.1365000000000003</v>
      </c>
      <c r="S379">
        <f t="shared" si="17"/>
        <v>0.10178751599999999</v>
      </c>
    </row>
    <row r="380" spans="1:19">
      <c r="A380" s="9">
        <v>41906</v>
      </c>
      <c r="B380" s="7" t="s">
        <v>25</v>
      </c>
      <c r="C380">
        <v>13</v>
      </c>
      <c r="D380" t="s">
        <v>59</v>
      </c>
      <c r="E380">
        <v>49</v>
      </c>
      <c r="F380">
        <v>0.23</v>
      </c>
      <c r="N380">
        <f t="shared" si="15"/>
        <v>0.67860961991666668</v>
      </c>
      <c r="O380">
        <v>1.8081</v>
      </c>
      <c r="P380">
        <f t="shared" si="16"/>
        <v>1.8081</v>
      </c>
      <c r="S380">
        <f t="shared" si="17"/>
        <v>4.154752775E-2</v>
      </c>
    </row>
    <row r="381" spans="1:19">
      <c r="A381" s="9">
        <v>41906</v>
      </c>
      <c r="B381" s="7" t="s">
        <v>25</v>
      </c>
      <c r="C381">
        <v>13</v>
      </c>
      <c r="D381" t="s">
        <v>17</v>
      </c>
      <c r="F381">
        <v>4.13</v>
      </c>
      <c r="J381">
        <f>50+66+66+145+176+202</f>
        <v>705</v>
      </c>
      <c r="K381">
        <v>6</v>
      </c>
      <c r="L381">
        <v>202</v>
      </c>
      <c r="N381" t="str">
        <f t="shared" si="15"/>
        <v>NA</v>
      </c>
      <c r="O381">
        <v>1.5414999999999992</v>
      </c>
      <c r="P381">
        <f t="shared" si="16"/>
        <v>1.5414999999999992</v>
      </c>
      <c r="S381">
        <f t="shared" si="17"/>
        <v>13.396446617749998</v>
      </c>
    </row>
    <row r="382" spans="1:19">
      <c r="A382" s="9">
        <v>41906</v>
      </c>
      <c r="B382" s="7" t="s">
        <v>25</v>
      </c>
      <c r="C382">
        <v>13</v>
      </c>
      <c r="D382" t="s">
        <v>17</v>
      </c>
      <c r="F382">
        <v>2.0699999999999998</v>
      </c>
      <c r="J382">
        <f>45+45+102</f>
        <v>192</v>
      </c>
      <c r="K382">
        <v>3</v>
      </c>
      <c r="L382">
        <v>3</v>
      </c>
      <c r="N382" t="str">
        <f t="shared" si="15"/>
        <v>NA</v>
      </c>
      <c r="O382">
        <v>6.1373999999999995</v>
      </c>
      <c r="P382">
        <f t="shared" si="16"/>
        <v>6.1373999999999995</v>
      </c>
      <c r="S382">
        <f t="shared" si="17"/>
        <v>3.3653497477499994</v>
      </c>
    </row>
    <row r="383" spans="1:19">
      <c r="A383" s="9">
        <v>41906</v>
      </c>
      <c r="B383" s="7" t="s">
        <v>25</v>
      </c>
      <c r="C383">
        <v>13</v>
      </c>
      <c r="D383" t="s">
        <v>17</v>
      </c>
      <c r="F383">
        <v>2.37</v>
      </c>
      <c r="J383">
        <f>44+44+51+74+134</f>
        <v>347</v>
      </c>
      <c r="K383">
        <v>5</v>
      </c>
      <c r="L383">
        <v>134</v>
      </c>
      <c r="N383" t="str">
        <f t="shared" si="15"/>
        <v>NA</v>
      </c>
      <c r="O383" t="s">
        <v>64</v>
      </c>
      <c r="P383" t="str">
        <f t="shared" si="16"/>
        <v xml:space="preserve"> </v>
      </c>
      <c r="S383">
        <f t="shared" si="17"/>
        <v>4.4114992177500003</v>
      </c>
    </row>
    <row r="384" spans="1:19">
      <c r="A384" s="9">
        <v>41906</v>
      </c>
      <c r="B384" s="7" t="s">
        <v>25</v>
      </c>
      <c r="C384">
        <v>13</v>
      </c>
      <c r="D384" t="s">
        <v>17</v>
      </c>
      <c r="F384">
        <v>2.2999999999999998</v>
      </c>
      <c r="J384">
        <f>25+56+52+68+77</f>
        <v>278</v>
      </c>
      <c r="K384">
        <v>5</v>
      </c>
      <c r="L384">
        <v>77</v>
      </c>
      <c r="N384" t="str">
        <f t="shared" si="15"/>
        <v>NA</v>
      </c>
      <c r="O384" t="s">
        <v>64</v>
      </c>
      <c r="P384" t="str">
        <f t="shared" si="16"/>
        <v xml:space="preserve"> </v>
      </c>
      <c r="S384">
        <f t="shared" si="17"/>
        <v>4.1547527749999995</v>
      </c>
    </row>
    <row r="385" spans="1:19">
      <c r="A385" s="9">
        <v>41906</v>
      </c>
      <c r="B385" s="7" t="s">
        <v>25</v>
      </c>
      <c r="C385">
        <v>13</v>
      </c>
      <c r="D385" t="s">
        <v>17</v>
      </c>
      <c r="F385">
        <v>1.04</v>
      </c>
      <c r="J385">
        <f>32+40+51+68</f>
        <v>191</v>
      </c>
      <c r="K385">
        <v>4</v>
      </c>
      <c r="L385">
        <v>68</v>
      </c>
      <c r="N385" t="str">
        <f t="shared" si="15"/>
        <v>NA</v>
      </c>
      <c r="O385" t="s">
        <v>64</v>
      </c>
      <c r="P385" t="str">
        <f t="shared" si="16"/>
        <v xml:space="preserve"> </v>
      </c>
      <c r="S385">
        <f t="shared" si="17"/>
        <v>0.84948593600000011</v>
      </c>
    </row>
    <row r="386" spans="1:19">
      <c r="A386" s="9">
        <v>41906</v>
      </c>
      <c r="B386" s="7" t="s">
        <v>25</v>
      </c>
      <c r="C386">
        <v>13</v>
      </c>
      <c r="D386" t="s">
        <v>17</v>
      </c>
      <c r="F386">
        <v>4.46</v>
      </c>
      <c r="J386">
        <f>50+79+92+135+140+140+141+159+193+205</f>
        <v>1334</v>
      </c>
      <c r="K386">
        <v>10</v>
      </c>
      <c r="L386">
        <v>205</v>
      </c>
      <c r="N386" t="str">
        <f t="shared" si="15"/>
        <v>NA</v>
      </c>
      <c r="O386">
        <v>34.76779999999998</v>
      </c>
      <c r="P386">
        <f t="shared" si="16"/>
        <v>34.76779999999998</v>
      </c>
      <c r="S386">
        <f t="shared" si="17"/>
        <v>15.622812911</v>
      </c>
    </row>
    <row r="387" spans="1:19">
      <c r="A387" s="9">
        <v>41906</v>
      </c>
      <c r="B387" s="7" t="s">
        <v>25</v>
      </c>
      <c r="C387">
        <v>13</v>
      </c>
      <c r="D387" t="s">
        <v>17</v>
      </c>
      <c r="F387">
        <v>4.2</v>
      </c>
      <c r="J387">
        <f>51+76+111+152+177+208</f>
        <v>775</v>
      </c>
      <c r="K387">
        <v>6</v>
      </c>
      <c r="L387">
        <v>208</v>
      </c>
      <c r="N387" t="str">
        <f t="shared" si="15"/>
        <v>NA</v>
      </c>
      <c r="O387">
        <v>5.2264999999999944</v>
      </c>
      <c r="P387">
        <f t="shared" si="16"/>
        <v>5.2264999999999944</v>
      </c>
      <c r="S387">
        <f t="shared" si="17"/>
        <v>13.854411900000001</v>
      </c>
    </row>
    <row r="388" spans="1:19">
      <c r="A388" s="9">
        <v>41906</v>
      </c>
      <c r="B388" s="7" t="s">
        <v>25</v>
      </c>
      <c r="C388">
        <v>13</v>
      </c>
      <c r="D388" t="s">
        <v>17</v>
      </c>
      <c r="F388">
        <v>1.29</v>
      </c>
      <c r="J388">
        <f>84+145+191</f>
        <v>420</v>
      </c>
      <c r="K388">
        <v>3</v>
      </c>
      <c r="L388">
        <v>191</v>
      </c>
      <c r="N388" t="str">
        <f t="shared" ref="N388:N451" si="18">IF(OR(D388="S. acutus", D388="S. tabernaemontani", D388="S. californicus"),(1/3)*(3.14159)*((F388/2)^2)*E388,"NA")</f>
        <v>NA</v>
      </c>
      <c r="O388" t="s">
        <v>64</v>
      </c>
      <c r="P388" t="str">
        <f t="shared" si="16"/>
        <v xml:space="preserve"> </v>
      </c>
      <c r="S388">
        <f t="shared" si="17"/>
        <v>1.3069799797500001</v>
      </c>
    </row>
    <row r="389" spans="1:19">
      <c r="A389" s="9">
        <v>41906</v>
      </c>
      <c r="B389" s="7" t="s">
        <v>25</v>
      </c>
      <c r="C389">
        <v>13</v>
      </c>
      <c r="D389" t="s">
        <v>17</v>
      </c>
      <c r="F389">
        <v>3.68</v>
      </c>
      <c r="J389">
        <f>36+57+65+91+104+129+163+187+210+218+90</f>
        <v>1350</v>
      </c>
      <c r="K389">
        <v>11</v>
      </c>
      <c r="L389">
        <v>218</v>
      </c>
      <c r="N389" t="str">
        <f t="shared" si="18"/>
        <v>NA</v>
      </c>
      <c r="O389">
        <v>31.643999999999984</v>
      </c>
      <c r="P389">
        <f t="shared" ref="P389:P452" si="19">IF(O389&gt;0,O389," ")</f>
        <v>31.643999999999984</v>
      </c>
      <c r="S389">
        <f t="shared" ref="S389:S452" si="20">3.14159*((F389/2)^2)</f>
        <v>10.636167104</v>
      </c>
    </row>
    <row r="390" spans="1:19">
      <c r="A390" s="9">
        <v>41906</v>
      </c>
      <c r="B390" s="7" t="s">
        <v>25</v>
      </c>
      <c r="C390">
        <v>13</v>
      </c>
      <c r="D390" t="s">
        <v>17</v>
      </c>
      <c r="F390">
        <v>1.07</v>
      </c>
      <c r="J390">
        <f>67+87+121+130+153</f>
        <v>558</v>
      </c>
      <c r="K390">
        <v>5</v>
      </c>
      <c r="L390">
        <v>153</v>
      </c>
      <c r="N390" t="str">
        <f t="shared" si="18"/>
        <v>NA</v>
      </c>
      <c r="O390">
        <v>1.831599999999991</v>
      </c>
      <c r="P390">
        <f t="shared" si="19"/>
        <v>1.831599999999991</v>
      </c>
      <c r="S390">
        <f t="shared" si="20"/>
        <v>0.89920159774999997</v>
      </c>
    </row>
    <row r="391" spans="1:19">
      <c r="A391" s="9">
        <v>41906</v>
      </c>
      <c r="B391" s="7" t="s">
        <v>25</v>
      </c>
      <c r="C391">
        <v>13</v>
      </c>
      <c r="D391" t="s">
        <v>17</v>
      </c>
      <c r="E391">
        <v>163</v>
      </c>
      <c r="F391">
        <v>3.35</v>
      </c>
      <c r="H391">
        <v>23</v>
      </c>
      <c r="I391">
        <v>2</v>
      </c>
      <c r="N391" t="str">
        <f t="shared" si="18"/>
        <v>NA</v>
      </c>
      <c r="O391">
        <v>74.813100000000006</v>
      </c>
      <c r="P391">
        <f t="shared" si="19"/>
        <v>74.813100000000006</v>
      </c>
      <c r="S391">
        <f t="shared" si="20"/>
        <v>8.8141234437499989</v>
      </c>
    </row>
    <row r="392" spans="1:19">
      <c r="A392" s="9">
        <v>41906</v>
      </c>
      <c r="B392" s="7" t="s">
        <v>25</v>
      </c>
      <c r="C392">
        <v>17</v>
      </c>
      <c r="D392" t="s">
        <v>17</v>
      </c>
      <c r="F392">
        <v>10.14</v>
      </c>
      <c r="J392">
        <f>45+45+48+98+145+177+203+206+225+232+246+256+253+259</f>
        <v>2438</v>
      </c>
      <c r="K392">
        <v>14</v>
      </c>
      <c r="L392">
        <v>259</v>
      </c>
      <c r="N392" t="str">
        <f t="shared" si="18"/>
        <v>NA</v>
      </c>
      <c r="O392">
        <v>91.312600000000003</v>
      </c>
      <c r="P392">
        <f t="shared" si="19"/>
        <v>91.312600000000003</v>
      </c>
      <c r="S392">
        <f t="shared" si="20"/>
        <v>80.754256791000003</v>
      </c>
    </row>
    <row r="393" spans="1:19">
      <c r="A393" s="9">
        <v>41906</v>
      </c>
      <c r="B393" s="7" t="s">
        <v>25</v>
      </c>
      <c r="C393">
        <v>21</v>
      </c>
      <c r="D393" t="s">
        <v>59</v>
      </c>
      <c r="E393">
        <v>108</v>
      </c>
      <c r="F393">
        <v>0.71</v>
      </c>
      <c r="N393">
        <f t="shared" si="18"/>
        <v>14.253079671</v>
      </c>
      <c r="O393">
        <v>3.9852000000000003</v>
      </c>
      <c r="P393">
        <f t="shared" si="19"/>
        <v>3.9852000000000003</v>
      </c>
      <c r="S393">
        <f t="shared" si="20"/>
        <v>0.39591887974999995</v>
      </c>
    </row>
    <row r="394" spans="1:19">
      <c r="A394" s="9">
        <v>41906</v>
      </c>
      <c r="B394" s="7" t="s">
        <v>25</v>
      </c>
      <c r="C394">
        <v>21</v>
      </c>
      <c r="D394" t="s">
        <v>59</v>
      </c>
      <c r="E394">
        <v>132</v>
      </c>
      <c r="F394">
        <v>0.71</v>
      </c>
      <c r="N394">
        <f t="shared" si="18"/>
        <v>17.420430708999998</v>
      </c>
      <c r="O394">
        <v>4.8708</v>
      </c>
      <c r="P394">
        <f t="shared" si="19"/>
        <v>4.8708</v>
      </c>
      <c r="S394">
        <f t="shared" si="20"/>
        <v>0.39591887974999995</v>
      </c>
    </row>
    <row r="395" spans="1:19">
      <c r="A395" s="9">
        <v>41906</v>
      </c>
      <c r="B395" s="7" t="s">
        <v>25</v>
      </c>
      <c r="C395">
        <v>21</v>
      </c>
      <c r="D395" t="s">
        <v>59</v>
      </c>
      <c r="E395">
        <v>78</v>
      </c>
      <c r="F395">
        <v>0.76</v>
      </c>
      <c r="N395">
        <f t="shared" si="18"/>
        <v>11.794785495999999</v>
      </c>
      <c r="O395">
        <v>2.8782000000000001</v>
      </c>
      <c r="P395">
        <f t="shared" si="19"/>
        <v>2.8782000000000001</v>
      </c>
      <c r="S395">
        <f t="shared" si="20"/>
        <v>0.45364559599999998</v>
      </c>
    </row>
    <row r="396" spans="1:19">
      <c r="A396" s="9">
        <v>41906</v>
      </c>
      <c r="B396" s="7" t="s">
        <v>25</v>
      </c>
      <c r="C396">
        <v>21</v>
      </c>
      <c r="D396" t="s">
        <v>59</v>
      </c>
      <c r="E396">
        <v>216</v>
      </c>
      <c r="F396">
        <v>1.23</v>
      </c>
      <c r="N396">
        <f t="shared" si="18"/>
        <v>85.552407197999983</v>
      </c>
      <c r="O396">
        <v>7.9704000000000006</v>
      </c>
      <c r="P396">
        <f t="shared" si="19"/>
        <v>7.9704000000000006</v>
      </c>
      <c r="S396">
        <f t="shared" si="20"/>
        <v>1.1882278777499999</v>
      </c>
    </row>
    <row r="397" spans="1:19">
      <c r="A397" s="9">
        <v>41906</v>
      </c>
      <c r="B397" s="7" t="s">
        <v>25</v>
      </c>
      <c r="C397">
        <v>21</v>
      </c>
      <c r="D397" t="s">
        <v>59</v>
      </c>
      <c r="E397">
        <v>287</v>
      </c>
      <c r="F397">
        <v>1.35</v>
      </c>
      <c r="N397">
        <f t="shared" si="18"/>
        <v>136.93601761875001</v>
      </c>
      <c r="O397">
        <v>10.590300000000001</v>
      </c>
      <c r="P397">
        <f t="shared" si="19"/>
        <v>10.590300000000001</v>
      </c>
      <c r="S397">
        <f t="shared" si="20"/>
        <v>1.4313869437500002</v>
      </c>
    </row>
    <row r="398" spans="1:19">
      <c r="A398" s="9">
        <v>41906</v>
      </c>
      <c r="B398" s="7" t="s">
        <v>25</v>
      </c>
      <c r="C398">
        <v>21</v>
      </c>
      <c r="D398" t="s">
        <v>59</v>
      </c>
      <c r="E398">
        <v>185</v>
      </c>
      <c r="F398">
        <v>1.07</v>
      </c>
      <c r="N398">
        <f t="shared" si="18"/>
        <v>55.450765194583326</v>
      </c>
      <c r="O398">
        <v>6.8265000000000002</v>
      </c>
      <c r="P398">
        <f t="shared" si="19"/>
        <v>6.8265000000000002</v>
      </c>
      <c r="S398">
        <f t="shared" si="20"/>
        <v>0.89920159774999997</v>
      </c>
    </row>
    <row r="399" spans="1:19">
      <c r="A399" s="9">
        <v>41906</v>
      </c>
      <c r="B399" s="7" t="s">
        <v>25</v>
      </c>
      <c r="C399">
        <v>21</v>
      </c>
      <c r="D399" t="s">
        <v>59</v>
      </c>
      <c r="E399">
        <v>196</v>
      </c>
      <c r="F399">
        <v>1.1299999999999999</v>
      </c>
      <c r="N399">
        <f t="shared" si="18"/>
        <v>65.521105759666639</v>
      </c>
      <c r="O399">
        <v>7.2324000000000002</v>
      </c>
      <c r="P399">
        <f t="shared" si="19"/>
        <v>7.2324000000000002</v>
      </c>
      <c r="S399">
        <f t="shared" si="20"/>
        <v>1.0028740677499997</v>
      </c>
    </row>
    <row r="400" spans="1:19">
      <c r="A400" s="9">
        <v>41906</v>
      </c>
      <c r="B400" s="7" t="s">
        <v>25</v>
      </c>
      <c r="C400">
        <v>21</v>
      </c>
      <c r="D400" t="s">
        <v>59</v>
      </c>
      <c r="E400">
        <v>246</v>
      </c>
      <c r="F400">
        <v>1.1599999999999999</v>
      </c>
      <c r="N400">
        <f t="shared" si="18"/>
        <v>86.660131831999976</v>
      </c>
      <c r="O400">
        <v>9.0774000000000008</v>
      </c>
      <c r="P400">
        <f t="shared" si="19"/>
        <v>9.0774000000000008</v>
      </c>
      <c r="S400">
        <f t="shared" si="20"/>
        <v>1.0568308759999998</v>
      </c>
    </row>
    <row r="401" spans="1:19">
      <c r="A401" s="9">
        <v>41906</v>
      </c>
      <c r="B401" s="7" t="s">
        <v>25</v>
      </c>
      <c r="C401">
        <v>21</v>
      </c>
      <c r="D401" t="s">
        <v>58</v>
      </c>
      <c r="E401">
        <v>268</v>
      </c>
      <c r="F401">
        <v>2.58</v>
      </c>
      <c r="H401">
        <v>24</v>
      </c>
      <c r="I401">
        <v>1</v>
      </c>
      <c r="N401" t="str">
        <f t="shared" si="18"/>
        <v>NA</v>
      </c>
      <c r="O401">
        <v>83.321479999999994</v>
      </c>
      <c r="P401">
        <f t="shared" si="19"/>
        <v>83.321479999999994</v>
      </c>
      <c r="S401">
        <f t="shared" si="20"/>
        <v>5.2279199190000005</v>
      </c>
    </row>
    <row r="402" spans="1:19">
      <c r="A402" s="9">
        <v>41906</v>
      </c>
      <c r="B402" s="7" t="s">
        <v>25</v>
      </c>
      <c r="C402">
        <v>21</v>
      </c>
      <c r="D402" t="s">
        <v>58</v>
      </c>
      <c r="E402">
        <v>251</v>
      </c>
      <c r="F402">
        <v>1.42</v>
      </c>
      <c r="H402">
        <v>25</v>
      </c>
      <c r="I402">
        <v>1.8</v>
      </c>
      <c r="N402" t="str">
        <f t="shared" si="18"/>
        <v>NA</v>
      </c>
      <c r="O402">
        <v>76.034820000000011</v>
      </c>
      <c r="P402">
        <f t="shared" si="19"/>
        <v>76.034820000000011</v>
      </c>
      <c r="S402">
        <f t="shared" si="20"/>
        <v>1.5836755189999998</v>
      </c>
    </row>
    <row r="403" spans="1:19">
      <c r="A403" s="9">
        <v>41906</v>
      </c>
      <c r="B403" s="7" t="s">
        <v>25</v>
      </c>
      <c r="C403">
        <v>21</v>
      </c>
      <c r="D403" t="s">
        <v>58</v>
      </c>
      <c r="E403">
        <v>275</v>
      </c>
      <c r="F403">
        <v>1.97</v>
      </c>
      <c r="H403">
        <v>30.5</v>
      </c>
      <c r="I403">
        <v>1.9</v>
      </c>
      <c r="N403" t="str">
        <f t="shared" si="18"/>
        <v>NA</v>
      </c>
      <c r="O403">
        <v>86.379320000000007</v>
      </c>
      <c r="P403">
        <f t="shared" si="19"/>
        <v>86.379320000000007</v>
      </c>
      <c r="S403">
        <f t="shared" si="20"/>
        <v>3.04804915775</v>
      </c>
    </row>
    <row r="404" spans="1:19">
      <c r="A404" s="9">
        <v>41906</v>
      </c>
      <c r="B404" s="7" t="s">
        <v>25</v>
      </c>
      <c r="C404">
        <v>21</v>
      </c>
      <c r="D404" t="s">
        <v>17</v>
      </c>
      <c r="F404">
        <v>10.35</v>
      </c>
      <c r="J404">
        <f>92+169+196+198+212+217+223+231+242+252+228</f>
        <v>2260</v>
      </c>
      <c r="K404">
        <v>11</v>
      </c>
      <c r="L404">
        <v>242</v>
      </c>
      <c r="N404" t="str">
        <f t="shared" si="18"/>
        <v>NA</v>
      </c>
      <c r="O404">
        <v>88.404999999999987</v>
      </c>
      <c r="P404">
        <f t="shared" si="19"/>
        <v>88.404999999999987</v>
      </c>
      <c r="S404">
        <f t="shared" si="20"/>
        <v>84.133743693749992</v>
      </c>
    </row>
    <row r="405" spans="1:19">
      <c r="A405" s="9">
        <v>41906</v>
      </c>
      <c r="B405" s="7" t="s">
        <v>25</v>
      </c>
      <c r="C405">
        <v>21</v>
      </c>
      <c r="D405" t="s">
        <v>17</v>
      </c>
      <c r="F405">
        <v>9.4499999999999993</v>
      </c>
      <c r="J405">
        <f>62+161+158+184+197+195+208+219+223+225+222+225+222+226+229</f>
        <v>2956</v>
      </c>
      <c r="K405">
        <v>15</v>
      </c>
      <c r="L405">
        <v>229</v>
      </c>
      <c r="N405" t="str">
        <f t="shared" si="18"/>
        <v>NA</v>
      </c>
      <c r="O405">
        <v>128.7242</v>
      </c>
      <c r="P405">
        <f t="shared" si="19"/>
        <v>128.7242</v>
      </c>
      <c r="S405">
        <f t="shared" si="20"/>
        <v>70.137960243749987</v>
      </c>
    </row>
    <row r="406" spans="1:19">
      <c r="A406" s="9">
        <v>41906</v>
      </c>
      <c r="B406" s="7" t="s">
        <v>25</v>
      </c>
      <c r="C406">
        <v>21</v>
      </c>
      <c r="D406" t="s">
        <v>17</v>
      </c>
      <c r="F406">
        <v>1.25</v>
      </c>
      <c r="J406">
        <f>34+37+42+63</f>
        <v>176</v>
      </c>
      <c r="K406">
        <v>4</v>
      </c>
      <c r="L406">
        <v>63</v>
      </c>
      <c r="N406" t="str">
        <f t="shared" si="18"/>
        <v>NA</v>
      </c>
      <c r="O406" t="s">
        <v>64</v>
      </c>
      <c r="P406" t="str">
        <f t="shared" si="19"/>
        <v xml:space="preserve"> </v>
      </c>
      <c r="S406">
        <f t="shared" si="20"/>
        <v>1.22718359375</v>
      </c>
    </row>
    <row r="407" spans="1:19">
      <c r="A407" s="9">
        <v>41906</v>
      </c>
      <c r="B407" s="7" t="s">
        <v>25</v>
      </c>
      <c r="C407">
        <v>21</v>
      </c>
      <c r="D407" t="s">
        <v>17</v>
      </c>
      <c r="F407">
        <v>0.51</v>
      </c>
      <c r="J407">
        <f>20+25</f>
        <v>45</v>
      </c>
      <c r="K407">
        <v>2</v>
      </c>
      <c r="L407">
        <v>25</v>
      </c>
      <c r="N407" t="str">
        <f t="shared" si="18"/>
        <v>NA</v>
      </c>
      <c r="O407" t="s">
        <v>64</v>
      </c>
      <c r="P407" t="str">
        <f t="shared" si="19"/>
        <v xml:space="preserve"> </v>
      </c>
      <c r="S407">
        <f t="shared" si="20"/>
        <v>0.20428188975</v>
      </c>
    </row>
    <row r="408" spans="1:19">
      <c r="A408" s="9">
        <v>41906</v>
      </c>
      <c r="B408" s="7" t="s">
        <v>25</v>
      </c>
      <c r="C408">
        <v>21</v>
      </c>
      <c r="D408" t="s">
        <v>17</v>
      </c>
      <c r="F408">
        <v>0.93</v>
      </c>
      <c r="J408">
        <f>14+23+31+34</f>
        <v>102</v>
      </c>
      <c r="K408">
        <v>4</v>
      </c>
      <c r="L408">
        <v>34</v>
      </c>
      <c r="N408" t="str">
        <f t="shared" si="18"/>
        <v>NA</v>
      </c>
      <c r="O408" t="s">
        <v>64</v>
      </c>
      <c r="P408" t="str">
        <f t="shared" si="19"/>
        <v xml:space="preserve"> </v>
      </c>
      <c r="S408">
        <f t="shared" si="20"/>
        <v>0.67929029775000005</v>
      </c>
    </row>
    <row r="409" spans="1:19">
      <c r="A409" s="9">
        <v>41906</v>
      </c>
      <c r="B409" s="7" t="s">
        <v>25</v>
      </c>
      <c r="C409">
        <v>21</v>
      </c>
      <c r="D409" t="s">
        <v>17</v>
      </c>
      <c r="F409">
        <v>8.68</v>
      </c>
      <c r="J409">
        <f>81+61+161+179+186+179+197+210+220+228+235+240+241+238</f>
        <v>2656</v>
      </c>
      <c r="K409">
        <v>14</v>
      </c>
      <c r="L409">
        <v>238</v>
      </c>
      <c r="N409" t="str">
        <f t="shared" si="18"/>
        <v>NA</v>
      </c>
      <c r="O409">
        <v>109.29719999999998</v>
      </c>
      <c r="P409">
        <f t="shared" si="19"/>
        <v>109.29719999999998</v>
      </c>
      <c r="S409">
        <f t="shared" si="20"/>
        <v>59.173732603999994</v>
      </c>
    </row>
    <row r="410" spans="1:19">
      <c r="A410" s="9">
        <v>41906</v>
      </c>
      <c r="B410" s="7" t="s">
        <v>25</v>
      </c>
      <c r="C410">
        <v>21</v>
      </c>
      <c r="D410" t="s">
        <v>17</v>
      </c>
      <c r="F410">
        <v>1.93</v>
      </c>
      <c r="J410">
        <f>55+72+77+98+108</f>
        <v>410</v>
      </c>
      <c r="K410">
        <v>5</v>
      </c>
      <c r="L410">
        <v>108</v>
      </c>
      <c r="N410" t="str">
        <f t="shared" si="18"/>
        <v>NA</v>
      </c>
      <c r="O410" t="s">
        <v>64</v>
      </c>
      <c r="P410" t="str">
        <f t="shared" si="19"/>
        <v xml:space="preserve"> </v>
      </c>
      <c r="S410">
        <f t="shared" si="20"/>
        <v>2.92552714775</v>
      </c>
    </row>
    <row r="411" spans="1:19">
      <c r="A411" s="9">
        <v>41906</v>
      </c>
      <c r="B411" s="7" t="s">
        <v>25</v>
      </c>
      <c r="C411">
        <v>21</v>
      </c>
      <c r="D411" t="s">
        <v>17</v>
      </c>
      <c r="F411">
        <v>1.06</v>
      </c>
      <c r="J411">
        <f>96+141</f>
        <v>237</v>
      </c>
      <c r="K411">
        <v>2</v>
      </c>
      <c r="L411">
        <v>141</v>
      </c>
      <c r="N411" t="str">
        <f t="shared" si="18"/>
        <v>NA</v>
      </c>
      <c r="O411" t="s">
        <v>64</v>
      </c>
      <c r="P411" t="str">
        <f t="shared" si="19"/>
        <v xml:space="preserve"> </v>
      </c>
      <c r="S411">
        <f t="shared" si="20"/>
        <v>0.88247263100000006</v>
      </c>
    </row>
    <row r="412" spans="1:19">
      <c r="A412" s="9">
        <v>41906</v>
      </c>
      <c r="B412" s="7" t="s">
        <v>25</v>
      </c>
      <c r="C412">
        <v>21</v>
      </c>
      <c r="D412" t="s">
        <v>17</v>
      </c>
      <c r="E412">
        <v>200</v>
      </c>
      <c r="F412">
        <v>2.1</v>
      </c>
      <c r="H412">
        <v>24</v>
      </c>
      <c r="I412">
        <v>1.5</v>
      </c>
      <c r="N412" t="str">
        <f t="shared" si="18"/>
        <v>NA</v>
      </c>
      <c r="O412">
        <v>69.075699999999998</v>
      </c>
      <c r="P412">
        <f t="shared" si="19"/>
        <v>69.075699999999998</v>
      </c>
      <c r="S412">
        <f t="shared" si="20"/>
        <v>3.4636029750000001</v>
      </c>
    </row>
    <row r="413" spans="1:19">
      <c r="A413" s="9">
        <v>41906</v>
      </c>
      <c r="B413" s="7" t="s">
        <v>25</v>
      </c>
      <c r="C413">
        <v>21</v>
      </c>
      <c r="D413" t="s">
        <v>17</v>
      </c>
      <c r="F413">
        <v>7.21</v>
      </c>
      <c r="J413">
        <f>75+179+184+230+234+241+249+259+267+270</f>
        <v>2188</v>
      </c>
      <c r="K413">
        <v>10</v>
      </c>
      <c r="L413">
        <v>270</v>
      </c>
      <c r="N413" t="str">
        <f t="shared" si="18"/>
        <v>NA</v>
      </c>
      <c r="O413">
        <v>81.06959999999998</v>
      </c>
      <c r="P413">
        <f t="shared" si="19"/>
        <v>81.06959999999998</v>
      </c>
      <c r="S413">
        <f t="shared" si="20"/>
        <v>40.828182179749994</v>
      </c>
    </row>
    <row r="414" spans="1:19">
      <c r="A414" s="9">
        <v>41906</v>
      </c>
      <c r="B414" s="7" t="s">
        <v>25</v>
      </c>
      <c r="C414">
        <v>21</v>
      </c>
      <c r="D414" t="s">
        <v>17</v>
      </c>
      <c r="F414">
        <v>1.3</v>
      </c>
      <c r="J414">
        <f>43+60</f>
        <v>103</v>
      </c>
      <c r="K414">
        <v>2</v>
      </c>
      <c r="L414">
        <v>60</v>
      </c>
      <c r="N414" t="str">
        <f t="shared" si="18"/>
        <v>NA</v>
      </c>
      <c r="O414" t="s">
        <v>64</v>
      </c>
      <c r="P414" t="str">
        <f t="shared" si="19"/>
        <v xml:space="preserve"> </v>
      </c>
      <c r="S414">
        <f t="shared" si="20"/>
        <v>1.3273217750000001</v>
      </c>
    </row>
    <row r="415" spans="1:19">
      <c r="A415" s="9">
        <v>41906</v>
      </c>
      <c r="B415" s="7" t="s">
        <v>25</v>
      </c>
      <c r="C415">
        <v>21</v>
      </c>
      <c r="D415" t="s">
        <v>17</v>
      </c>
      <c r="F415">
        <v>1.78</v>
      </c>
      <c r="J415">
        <f>60+68+51+58+120+126</f>
        <v>483</v>
      </c>
      <c r="K415">
        <v>6</v>
      </c>
      <c r="L415">
        <v>126</v>
      </c>
      <c r="N415" t="str">
        <f t="shared" si="18"/>
        <v>NA</v>
      </c>
      <c r="O415" t="s">
        <v>64</v>
      </c>
      <c r="P415" t="str">
        <f t="shared" si="19"/>
        <v xml:space="preserve"> </v>
      </c>
      <c r="S415">
        <f t="shared" si="20"/>
        <v>2.4884534390000002</v>
      </c>
    </row>
    <row r="416" spans="1:19">
      <c r="A416" s="9">
        <v>41906</v>
      </c>
      <c r="B416" s="7" t="s">
        <v>25</v>
      </c>
      <c r="C416">
        <v>21</v>
      </c>
      <c r="D416" t="s">
        <v>17</v>
      </c>
      <c r="F416">
        <v>1.3</v>
      </c>
      <c r="J416">
        <f>56+63+65+72</f>
        <v>256</v>
      </c>
      <c r="K416">
        <v>4</v>
      </c>
      <c r="L416">
        <v>72</v>
      </c>
      <c r="N416" t="str">
        <f t="shared" si="18"/>
        <v>NA</v>
      </c>
      <c r="O416" t="s">
        <v>64</v>
      </c>
      <c r="P416" t="str">
        <f t="shared" si="19"/>
        <v xml:space="preserve"> </v>
      </c>
      <c r="S416">
        <f t="shared" si="20"/>
        <v>1.3273217750000001</v>
      </c>
    </row>
    <row r="417" spans="1:19">
      <c r="A417" s="9">
        <v>41906</v>
      </c>
      <c r="B417" s="7" t="s">
        <v>25</v>
      </c>
      <c r="C417">
        <v>21</v>
      </c>
      <c r="D417" t="s">
        <v>17</v>
      </c>
      <c r="F417">
        <v>2.54</v>
      </c>
      <c r="J417">
        <f>57+71+71+100</f>
        <v>299</v>
      </c>
      <c r="K417">
        <v>4</v>
      </c>
      <c r="L417">
        <v>100</v>
      </c>
      <c r="N417" t="str">
        <f t="shared" si="18"/>
        <v>NA</v>
      </c>
      <c r="O417" t="s">
        <v>64</v>
      </c>
      <c r="P417" t="str">
        <f t="shared" si="19"/>
        <v xml:space="preserve"> </v>
      </c>
      <c r="S417">
        <f t="shared" si="20"/>
        <v>5.0670705109999998</v>
      </c>
    </row>
    <row r="418" spans="1:19">
      <c r="A418" s="9">
        <v>41906</v>
      </c>
      <c r="B418" s="7" t="s">
        <v>25</v>
      </c>
      <c r="C418">
        <v>21</v>
      </c>
      <c r="D418" t="s">
        <v>17</v>
      </c>
      <c r="F418">
        <v>0.76</v>
      </c>
      <c r="J418">
        <f>23+23</f>
        <v>46</v>
      </c>
      <c r="K418">
        <v>2</v>
      </c>
      <c r="L418">
        <v>23</v>
      </c>
      <c r="N418" t="str">
        <f t="shared" si="18"/>
        <v>NA</v>
      </c>
      <c r="O418" t="s">
        <v>64</v>
      </c>
      <c r="P418" t="str">
        <f t="shared" si="19"/>
        <v xml:space="preserve"> </v>
      </c>
      <c r="S418">
        <f t="shared" si="20"/>
        <v>0.45364559599999998</v>
      </c>
    </row>
    <row r="419" spans="1:19">
      <c r="A419" s="9">
        <v>41906</v>
      </c>
      <c r="B419" s="7" t="s">
        <v>25</v>
      </c>
      <c r="C419">
        <v>21</v>
      </c>
      <c r="D419" t="s">
        <v>17</v>
      </c>
      <c r="F419">
        <v>0.95</v>
      </c>
      <c r="J419">
        <f>31+43+51</f>
        <v>125</v>
      </c>
      <c r="K419">
        <v>3</v>
      </c>
      <c r="L419">
        <v>51</v>
      </c>
      <c r="N419" t="str">
        <f t="shared" si="18"/>
        <v>NA</v>
      </c>
      <c r="O419" t="s">
        <v>64</v>
      </c>
      <c r="P419" t="str">
        <f t="shared" si="19"/>
        <v xml:space="preserve"> </v>
      </c>
      <c r="S419">
        <f t="shared" si="20"/>
        <v>0.70882124375</v>
      </c>
    </row>
    <row r="420" spans="1:19">
      <c r="A420" s="9">
        <v>41906</v>
      </c>
      <c r="B420" s="7" t="s">
        <v>25</v>
      </c>
      <c r="C420">
        <v>21</v>
      </c>
      <c r="D420" t="s">
        <v>17</v>
      </c>
      <c r="F420">
        <v>1.1399999999999999</v>
      </c>
      <c r="J420">
        <f>41+53+54</f>
        <v>148</v>
      </c>
      <c r="K420">
        <v>3</v>
      </c>
      <c r="L420">
        <v>54</v>
      </c>
      <c r="N420" t="str">
        <f t="shared" si="18"/>
        <v>NA</v>
      </c>
      <c r="O420" t="s">
        <v>64</v>
      </c>
      <c r="P420" t="str">
        <f t="shared" si="19"/>
        <v xml:space="preserve"> </v>
      </c>
      <c r="S420">
        <f t="shared" si="20"/>
        <v>1.0207025909999998</v>
      </c>
    </row>
    <row r="421" spans="1:19">
      <c r="A421" s="9">
        <v>41906</v>
      </c>
      <c r="B421" s="7" t="s">
        <v>25</v>
      </c>
      <c r="C421">
        <v>21</v>
      </c>
      <c r="D421" t="s">
        <v>17</v>
      </c>
      <c r="F421">
        <v>1.77</v>
      </c>
      <c r="J421">
        <f>48+67+114+124+172</f>
        <v>525</v>
      </c>
      <c r="K421">
        <v>5</v>
      </c>
      <c r="L421">
        <v>172</v>
      </c>
      <c r="N421" t="str">
        <f t="shared" si="18"/>
        <v>NA</v>
      </c>
      <c r="O421" t="s">
        <v>64</v>
      </c>
      <c r="P421" t="str">
        <f t="shared" si="19"/>
        <v xml:space="preserve"> </v>
      </c>
      <c r="S421">
        <f t="shared" si="20"/>
        <v>2.4605718277499999</v>
      </c>
    </row>
    <row r="422" spans="1:19">
      <c r="A422" s="9">
        <v>41906</v>
      </c>
      <c r="B422" s="7" t="s">
        <v>25</v>
      </c>
      <c r="C422">
        <v>21</v>
      </c>
      <c r="D422" t="s">
        <v>17</v>
      </c>
      <c r="F422">
        <v>3.54</v>
      </c>
      <c r="J422">
        <f>103+102+153+164+174+190+197</f>
        <v>1083</v>
      </c>
      <c r="K422">
        <v>7</v>
      </c>
      <c r="L422">
        <v>197</v>
      </c>
      <c r="N422" t="str">
        <f t="shared" si="18"/>
        <v>NA</v>
      </c>
      <c r="O422">
        <v>25.515099999999997</v>
      </c>
      <c r="P422">
        <f t="shared" si="19"/>
        <v>25.515099999999997</v>
      </c>
      <c r="S422">
        <f t="shared" si="20"/>
        <v>9.8422873109999998</v>
      </c>
    </row>
    <row r="423" spans="1:19">
      <c r="A423" s="9">
        <v>41906</v>
      </c>
      <c r="B423" s="7" t="s">
        <v>25</v>
      </c>
      <c r="C423">
        <v>21</v>
      </c>
      <c r="D423" t="s">
        <v>17</v>
      </c>
      <c r="F423">
        <v>2.5099999999999998</v>
      </c>
      <c r="J423">
        <f>84+95+129+160+174+137</f>
        <v>779</v>
      </c>
      <c r="K423">
        <v>6</v>
      </c>
      <c r="L423">
        <v>174</v>
      </c>
      <c r="N423" t="str">
        <f t="shared" si="18"/>
        <v>NA</v>
      </c>
      <c r="O423">
        <v>11.069299999999998</v>
      </c>
      <c r="P423">
        <f t="shared" si="19"/>
        <v>11.069299999999998</v>
      </c>
      <c r="S423">
        <f t="shared" si="20"/>
        <v>4.948082789749999</v>
      </c>
    </row>
    <row r="424" spans="1:19">
      <c r="A424" s="9">
        <v>41906</v>
      </c>
      <c r="B424" s="7" t="s">
        <v>25</v>
      </c>
      <c r="C424">
        <v>42</v>
      </c>
      <c r="D424" t="s">
        <v>58</v>
      </c>
      <c r="F424">
        <v>2.8</v>
      </c>
      <c r="J424">
        <f>274+297+332+334+337+346+359</f>
        <v>2279</v>
      </c>
      <c r="K424">
        <v>7</v>
      </c>
      <c r="L424">
        <v>359</v>
      </c>
      <c r="N424" t="str">
        <f t="shared" si="18"/>
        <v>NA</v>
      </c>
      <c r="O424">
        <v>78.72029999999998</v>
      </c>
      <c r="P424">
        <f t="shared" si="19"/>
        <v>78.72029999999998</v>
      </c>
      <c r="S424">
        <f t="shared" si="20"/>
        <v>6.1575163999999987</v>
      </c>
    </row>
    <row r="425" spans="1:19">
      <c r="A425" s="9">
        <v>41906</v>
      </c>
      <c r="B425" s="7" t="s">
        <v>25</v>
      </c>
      <c r="C425">
        <v>42</v>
      </c>
      <c r="D425" t="s">
        <v>58</v>
      </c>
      <c r="F425">
        <v>2.4500000000000002</v>
      </c>
      <c r="J425">
        <f>302+321+324+329</f>
        <v>1276</v>
      </c>
      <c r="K425">
        <v>4</v>
      </c>
      <c r="L425">
        <v>329</v>
      </c>
      <c r="N425" t="str">
        <f t="shared" si="18"/>
        <v>NA</v>
      </c>
      <c r="O425">
        <v>22.91719999999998</v>
      </c>
      <c r="P425">
        <f t="shared" si="19"/>
        <v>22.91719999999998</v>
      </c>
      <c r="S425">
        <f t="shared" si="20"/>
        <v>4.7143484937500011</v>
      </c>
    </row>
    <row r="426" spans="1:19">
      <c r="A426" s="9">
        <v>41906</v>
      </c>
      <c r="B426" s="7" t="s">
        <v>25</v>
      </c>
      <c r="C426">
        <v>42</v>
      </c>
      <c r="D426" t="s">
        <v>17</v>
      </c>
      <c r="F426">
        <v>1.68</v>
      </c>
      <c r="J426">
        <f>168+228</f>
        <v>396</v>
      </c>
      <c r="K426">
        <v>2</v>
      </c>
      <c r="L426">
        <v>228</v>
      </c>
      <c r="N426" t="str">
        <f t="shared" si="18"/>
        <v>NA</v>
      </c>
      <c r="O426" t="s">
        <v>64</v>
      </c>
      <c r="P426" t="str">
        <f t="shared" si="19"/>
        <v xml:space="preserve"> </v>
      </c>
      <c r="S426">
        <f t="shared" si="20"/>
        <v>2.2167059039999994</v>
      </c>
    </row>
    <row r="427" spans="1:19">
      <c r="A427" s="9">
        <v>41906</v>
      </c>
      <c r="B427" s="7" t="s">
        <v>25</v>
      </c>
      <c r="C427">
        <v>42</v>
      </c>
      <c r="D427" t="s">
        <v>17</v>
      </c>
      <c r="F427">
        <v>3.46</v>
      </c>
      <c r="J427">
        <f>239+252+255</f>
        <v>746</v>
      </c>
      <c r="K427">
        <v>3</v>
      </c>
      <c r="L427">
        <v>255</v>
      </c>
      <c r="N427" t="str">
        <f t="shared" si="18"/>
        <v>NA</v>
      </c>
      <c r="O427">
        <v>1.7611999999999952</v>
      </c>
      <c r="P427">
        <f t="shared" si="19"/>
        <v>1.7611999999999952</v>
      </c>
      <c r="S427">
        <f t="shared" si="20"/>
        <v>9.4024647110000004</v>
      </c>
    </row>
    <row r="428" spans="1:19">
      <c r="A428" s="9">
        <v>41906</v>
      </c>
      <c r="B428" s="7" t="s">
        <v>25</v>
      </c>
      <c r="C428">
        <v>42</v>
      </c>
      <c r="D428" t="s">
        <v>17</v>
      </c>
      <c r="F428">
        <v>2.89</v>
      </c>
      <c r="J428">
        <f>264+295+287+313</f>
        <v>1159</v>
      </c>
      <c r="K428">
        <v>4</v>
      </c>
      <c r="L428">
        <v>313</v>
      </c>
      <c r="N428" t="str">
        <f t="shared" si="18"/>
        <v>NA</v>
      </c>
      <c r="O428">
        <v>17.737299999999983</v>
      </c>
      <c r="P428">
        <f t="shared" si="19"/>
        <v>17.737299999999983</v>
      </c>
      <c r="S428">
        <f t="shared" si="20"/>
        <v>6.55971845975</v>
      </c>
    </row>
    <row r="429" spans="1:19">
      <c r="A429" s="9">
        <v>41906</v>
      </c>
      <c r="B429" s="7" t="s">
        <v>25</v>
      </c>
      <c r="C429">
        <v>42</v>
      </c>
      <c r="D429" t="s">
        <v>17</v>
      </c>
      <c r="F429">
        <v>4.66</v>
      </c>
      <c r="J429">
        <f>267+333+348+358+359+364</f>
        <v>2029</v>
      </c>
      <c r="K429">
        <v>6</v>
      </c>
      <c r="L429">
        <v>364</v>
      </c>
      <c r="N429" t="str">
        <f t="shared" si="18"/>
        <v>NA</v>
      </c>
      <c r="O429">
        <v>63.28429999999998</v>
      </c>
      <c r="P429">
        <f t="shared" si="19"/>
        <v>63.28429999999998</v>
      </c>
      <c r="S429">
        <f t="shared" si="20"/>
        <v>17.055377951000001</v>
      </c>
    </row>
    <row r="430" spans="1:19">
      <c r="A430" s="9">
        <v>41911</v>
      </c>
      <c r="B430" s="7" t="s">
        <v>24</v>
      </c>
      <c r="C430">
        <v>12</v>
      </c>
      <c r="D430" t="s">
        <v>59</v>
      </c>
      <c r="E430">
        <v>276</v>
      </c>
      <c r="F430">
        <v>1.44</v>
      </c>
      <c r="N430">
        <f t="shared" si="18"/>
        <v>149.83122355199998</v>
      </c>
      <c r="O430">
        <v>10.1844</v>
      </c>
      <c r="P430">
        <f t="shared" si="19"/>
        <v>10.1844</v>
      </c>
      <c r="S430">
        <f t="shared" si="20"/>
        <v>1.6286002559999999</v>
      </c>
    </row>
    <row r="431" spans="1:19">
      <c r="A431" s="9">
        <v>41911</v>
      </c>
      <c r="B431" s="7" t="s">
        <v>24</v>
      </c>
      <c r="C431">
        <v>12</v>
      </c>
      <c r="D431" t="s">
        <v>59</v>
      </c>
      <c r="E431">
        <v>157</v>
      </c>
      <c r="F431">
        <v>1.24</v>
      </c>
      <c r="N431">
        <f t="shared" si="18"/>
        <v>63.199156590666661</v>
      </c>
      <c r="O431">
        <v>5.7933000000000003</v>
      </c>
      <c r="P431">
        <f t="shared" si="19"/>
        <v>5.7933000000000003</v>
      </c>
      <c r="S431">
        <f t="shared" si="20"/>
        <v>1.207627196</v>
      </c>
    </row>
    <row r="432" spans="1:19">
      <c r="A432" s="9">
        <v>41911</v>
      </c>
      <c r="B432" s="7" t="s">
        <v>24</v>
      </c>
      <c r="C432">
        <v>12</v>
      </c>
      <c r="D432" t="s">
        <v>59</v>
      </c>
      <c r="E432">
        <v>325</v>
      </c>
      <c r="F432">
        <v>1.65</v>
      </c>
      <c r="N432">
        <f t="shared" si="18"/>
        <v>231.64317515624995</v>
      </c>
      <c r="O432">
        <v>11.992500000000001</v>
      </c>
      <c r="P432">
        <f t="shared" si="19"/>
        <v>11.992500000000001</v>
      </c>
      <c r="S432">
        <f t="shared" si="20"/>
        <v>2.1382446937499995</v>
      </c>
    </row>
    <row r="433" spans="1:19">
      <c r="A433" s="9">
        <v>41911</v>
      </c>
      <c r="B433" s="7" t="s">
        <v>24</v>
      </c>
      <c r="C433">
        <v>12</v>
      </c>
      <c r="D433" t="s">
        <v>59</v>
      </c>
      <c r="E433">
        <v>302</v>
      </c>
      <c r="F433">
        <v>2.2799999999999998</v>
      </c>
      <c r="N433">
        <f t="shared" si="18"/>
        <v>411.0029099759999</v>
      </c>
      <c r="O433">
        <v>11.143800000000001</v>
      </c>
      <c r="P433">
        <f t="shared" si="19"/>
        <v>11.143800000000001</v>
      </c>
      <c r="S433">
        <f t="shared" si="20"/>
        <v>4.0828103639999993</v>
      </c>
    </row>
    <row r="434" spans="1:19">
      <c r="A434" s="9">
        <v>41911</v>
      </c>
      <c r="B434" s="7" t="s">
        <v>24</v>
      </c>
      <c r="C434">
        <v>12</v>
      </c>
      <c r="D434" t="s">
        <v>59</v>
      </c>
      <c r="E434">
        <v>336</v>
      </c>
      <c r="F434">
        <v>1.66</v>
      </c>
      <c r="N434">
        <f t="shared" si="18"/>
        <v>242.39503131199996</v>
      </c>
      <c r="O434">
        <v>12.398400000000001</v>
      </c>
      <c r="P434">
        <f t="shared" si="19"/>
        <v>12.398400000000001</v>
      </c>
      <c r="S434">
        <f t="shared" si="20"/>
        <v>2.1642413509999998</v>
      </c>
    </row>
    <row r="435" spans="1:19">
      <c r="A435" s="9">
        <v>41911</v>
      </c>
      <c r="B435" s="7" t="s">
        <v>24</v>
      </c>
      <c r="C435">
        <v>12</v>
      </c>
      <c r="D435" t="s">
        <v>59</v>
      </c>
      <c r="E435">
        <v>286</v>
      </c>
      <c r="F435">
        <v>1.92</v>
      </c>
      <c r="N435">
        <f t="shared" si="18"/>
        <v>276.01758412799995</v>
      </c>
      <c r="O435">
        <v>10.5534</v>
      </c>
      <c r="P435">
        <f t="shared" si="19"/>
        <v>10.5534</v>
      </c>
      <c r="S435">
        <f t="shared" si="20"/>
        <v>2.8952893439999996</v>
      </c>
    </row>
    <row r="436" spans="1:19">
      <c r="A436" s="9">
        <v>41911</v>
      </c>
      <c r="B436" s="7" t="s">
        <v>24</v>
      </c>
      <c r="C436">
        <v>12</v>
      </c>
      <c r="D436" t="s">
        <v>59</v>
      </c>
      <c r="E436">
        <v>250</v>
      </c>
      <c r="F436">
        <v>1.79</v>
      </c>
      <c r="N436">
        <f t="shared" si="18"/>
        <v>209.70767747916662</v>
      </c>
      <c r="O436">
        <v>9.2250000000000014</v>
      </c>
      <c r="P436">
        <f t="shared" si="19"/>
        <v>9.2250000000000014</v>
      </c>
      <c r="S436">
        <f t="shared" si="20"/>
        <v>2.51649212975</v>
      </c>
    </row>
    <row r="437" spans="1:19">
      <c r="A437" s="9">
        <v>41911</v>
      </c>
      <c r="B437" s="7" t="s">
        <v>24</v>
      </c>
      <c r="C437">
        <v>12</v>
      </c>
      <c r="D437" t="s">
        <v>59</v>
      </c>
      <c r="E437">
        <v>265</v>
      </c>
      <c r="F437">
        <v>1.81</v>
      </c>
      <c r="N437">
        <f t="shared" si="18"/>
        <v>227.28526622791665</v>
      </c>
      <c r="O437">
        <v>9.7785000000000011</v>
      </c>
      <c r="P437">
        <f t="shared" si="19"/>
        <v>9.7785000000000011</v>
      </c>
      <c r="S437">
        <f t="shared" si="20"/>
        <v>2.5730407497500001</v>
      </c>
    </row>
    <row r="438" spans="1:19">
      <c r="A438" s="9">
        <v>41911</v>
      </c>
      <c r="B438" s="7" t="s">
        <v>24</v>
      </c>
      <c r="C438">
        <v>12</v>
      </c>
      <c r="D438" t="s">
        <v>59</v>
      </c>
      <c r="E438">
        <v>155</v>
      </c>
      <c r="F438">
        <v>1.77</v>
      </c>
      <c r="N438">
        <f t="shared" si="18"/>
        <v>127.12954443375</v>
      </c>
      <c r="O438">
        <v>5.7195</v>
      </c>
      <c r="P438">
        <f t="shared" si="19"/>
        <v>5.7195</v>
      </c>
      <c r="S438">
        <f t="shared" si="20"/>
        <v>2.4605718277499999</v>
      </c>
    </row>
    <row r="439" spans="1:19">
      <c r="A439" s="9">
        <v>41911</v>
      </c>
      <c r="B439" s="7" t="s">
        <v>24</v>
      </c>
      <c r="C439">
        <v>12</v>
      </c>
      <c r="D439" t="s">
        <v>59</v>
      </c>
      <c r="E439">
        <v>204</v>
      </c>
      <c r="F439">
        <v>0.75</v>
      </c>
      <c r="N439">
        <f t="shared" si="18"/>
        <v>30.041454374999997</v>
      </c>
      <c r="O439">
        <v>7.5276000000000005</v>
      </c>
      <c r="P439">
        <f t="shared" si="19"/>
        <v>7.5276000000000005</v>
      </c>
      <c r="S439">
        <f t="shared" si="20"/>
        <v>0.44178609375</v>
      </c>
    </row>
    <row r="440" spans="1:19">
      <c r="A440" s="9">
        <v>41911</v>
      </c>
      <c r="B440" s="7" t="s">
        <v>24</v>
      </c>
      <c r="C440">
        <v>12</v>
      </c>
      <c r="D440" t="s">
        <v>59</v>
      </c>
      <c r="E440">
        <v>220</v>
      </c>
      <c r="F440">
        <v>1.75</v>
      </c>
      <c r="N440">
        <f t="shared" si="18"/>
        <v>176.38718854166666</v>
      </c>
      <c r="O440">
        <v>8.1180000000000003</v>
      </c>
      <c r="P440">
        <f t="shared" si="19"/>
        <v>8.1180000000000003</v>
      </c>
      <c r="S440">
        <f t="shared" si="20"/>
        <v>2.4052798437499998</v>
      </c>
    </row>
    <row r="441" spans="1:19">
      <c r="A441" s="9">
        <v>41911</v>
      </c>
      <c r="B441" s="7" t="s">
        <v>24</v>
      </c>
      <c r="C441">
        <v>12</v>
      </c>
      <c r="D441" t="s">
        <v>59</v>
      </c>
      <c r="E441">
        <v>191</v>
      </c>
      <c r="F441">
        <v>1.2</v>
      </c>
      <c r="N441">
        <f t="shared" si="18"/>
        <v>72.005242799999991</v>
      </c>
      <c r="O441">
        <v>7.0479000000000003</v>
      </c>
      <c r="P441">
        <f t="shared" si="19"/>
        <v>7.0479000000000003</v>
      </c>
      <c r="S441">
        <f t="shared" si="20"/>
        <v>1.1309723999999999</v>
      </c>
    </row>
    <row r="442" spans="1:19">
      <c r="A442" s="9">
        <v>41911</v>
      </c>
      <c r="B442" s="7" t="s">
        <v>24</v>
      </c>
      <c r="C442">
        <v>12</v>
      </c>
      <c r="D442" t="s">
        <v>59</v>
      </c>
      <c r="E442">
        <v>205</v>
      </c>
      <c r="F442">
        <v>0.94</v>
      </c>
      <c r="N442">
        <f t="shared" si="18"/>
        <v>47.421777451666664</v>
      </c>
      <c r="O442">
        <v>7.5645000000000007</v>
      </c>
      <c r="P442">
        <f t="shared" si="19"/>
        <v>7.5645000000000007</v>
      </c>
      <c r="S442">
        <f t="shared" si="20"/>
        <v>0.69397723099999997</v>
      </c>
    </row>
    <row r="443" spans="1:19">
      <c r="A443" s="9">
        <v>41911</v>
      </c>
      <c r="B443" s="7" t="s">
        <v>24</v>
      </c>
      <c r="C443">
        <v>12</v>
      </c>
      <c r="D443" t="s">
        <v>59</v>
      </c>
      <c r="E443">
        <v>318</v>
      </c>
      <c r="F443">
        <v>1.25</v>
      </c>
      <c r="N443">
        <f t="shared" si="18"/>
        <v>130.0814609375</v>
      </c>
      <c r="O443">
        <v>11.734200000000001</v>
      </c>
      <c r="P443">
        <f t="shared" si="19"/>
        <v>11.734200000000001</v>
      </c>
      <c r="S443">
        <f t="shared" si="20"/>
        <v>1.22718359375</v>
      </c>
    </row>
    <row r="444" spans="1:19">
      <c r="A444" s="9">
        <v>41911</v>
      </c>
      <c r="B444" s="7" t="s">
        <v>24</v>
      </c>
      <c r="C444">
        <v>12</v>
      </c>
      <c r="D444" t="s">
        <v>58</v>
      </c>
      <c r="F444">
        <v>3.46</v>
      </c>
      <c r="J444">
        <f>232+267</f>
        <v>499</v>
      </c>
      <c r="K444">
        <v>2</v>
      </c>
      <c r="L444">
        <v>267</v>
      </c>
      <c r="N444" t="str">
        <f t="shared" si="18"/>
        <v>NA</v>
      </c>
      <c r="O444" t="s">
        <v>64</v>
      </c>
      <c r="P444" t="str">
        <f t="shared" si="19"/>
        <v xml:space="preserve"> </v>
      </c>
      <c r="S444">
        <f t="shared" si="20"/>
        <v>9.4024647110000004</v>
      </c>
    </row>
    <row r="445" spans="1:19">
      <c r="A445" s="9">
        <v>41911</v>
      </c>
      <c r="B445" s="7" t="s">
        <v>24</v>
      </c>
      <c r="C445">
        <v>12</v>
      </c>
      <c r="D445" t="s">
        <v>58</v>
      </c>
      <c r="F445">
        <v>3.56</v>
      </c>
      <c r="J445">
        <f>107+111+117+125+160+265+268</f>
        <v>1153</v>
      </c>
      <c r="K445">
        <v>7</v>
      </c>
      <c r="L445">
        <v>268</v>
      </c>
      <c r="N445" t="str">
        <f t="shared" si="18"/>
        <v>NA</v>
      </c>
      <c r="O445">
        <v>18.540099999999988</v>
      </c>
      <c r="P445">
        <f t="shared" si="19"/>
        <v>18.540099999999988</v>
      </c>
      <c r="S445">
        <f t="shared" si="20"/>
        <v>9.9538137560000006</v>
      </c>
    </row>
    <row r="446" spans="1:19">
      <c r="A446" s="9">
        <v>41911</v>
      </c>
      <c r="B446" s="7" t="s">
        <v>24</v>
      </c>
      <c r="C446">
        <v>12</v>
      </c>
      <c r="D446" t="s">
        <v>17</v>
      </c>
      <c r="F446">
        <v>1.1499999999999999</v>
      </c>
      <c r="J446">
        <f>230</f>
        <v>230</v>
      </c>
      <c r="K446">
        <v>1</v>
      </c>
      <c r="L446">
        <v>230</v>
      </c>
      <c r="N446" t="str">
        <f t="shared" si="18"/>
        <v>NA</v>
      </c>
      <c r="O446" t="s">
        <v>64</v>
      </c>
      <c r="P446" t="str">
        <f t="shared" si="19"/>
        <v xml:space="preserve"> </v>
      </c>
      <c r="S446">
        <f t="shared" si="20"/>
        <v>1.0386881937499999</v>
      </c>
    </row>
    <row r="447" spans="1:19">
      <c r="A447" s="9">
        <v>41911</v>
      </c>
      <c r="B447" s="7" t="s">
        <v>24</v>
      </c>
      <c r="C447">
        <v>26</v>
      </c>
      <c r="D447" t="s">
        <v>17</v>
      </c>
      <c r="F447">
        <v>12.51</v>
      </c>
      <c r="J447">
        <f>107+127+154+175+183+186+189+196+197+223+213+218+219+224+226+234</f>
        <v>3071</v>
      </c>
      <c r="K447">
        <v>16</v>
      </c>
      <c r="L447">
        <v>234</v>
      </c>
      <c r="N447" t="str">
        <f t="shared" si="18"/>
        <v>NA</v>
      </c>
      <c r="O447">
        <v>133.51569999999995</v>
      </c>
      <c r="P447">
        <f t="shared" si="19"/>
        <v>133.51569999999995</v>
      </c>
      <c r="S447">
        <f t="shared" si="20"/>
        <v>122.91478728975</v>
      </c>
    </row>
    <row r="448" spans="1:19">
      <c r="A448" s="9">
        <v>41911</v>
      </c>
      <c r="B448" s="7" t="s">
        <v>24</v>
      </c>
      <c r="C448">
        <v>26</v>
      </c>
      <c r="D448" t="s">
        <v>17</v>
      </c>
      <c r="F448">
        <v>2</v>
      </c>
      <c r="J448">
        <f>40+101</f>
        <v>141</v>
      </c>
      <c r="K448">
        <v>2</v>
      </c>
      <c r="L448">
        <v>101</v>
      </c>
      <c r="N448" t="str">
        <f t="shared" si="18"/>
        <v>NA</v>
      </c>
      <c r="O448" t="s">
        <v>64</v>
      </c>
      <c r="P448" t="str">
        <f t="shared" si="19"/>
        <v xml:space="preserve"> </v>
      </c>
      <c r="S448">
        <f t="shared" si="20"/>
        <v>3.1415899999999999</v>
      </c>
    </row>
    <row r="449" spans="1:19">
      <c r="A449" s="9">
        <v>41911</v>
      </c>
      <c r="B449" s="7" t="s">
        <v>24</v>
      </c>
      <c r="C449">
        <v>28</v>
      </c>
      <c r="D449" t="s">
        <v>17</v>
      </c>
      <c r="F449">
        <v>9.6300000000000008</v>
      </c>
      <c r="J449">
        <f>74+94+109+130+142+220+213+158+178+184</f>
        <v>1502</v>
      </c>
      <c r="K449">
        <v>10</v>
      </c>
      <c r="L449">
        <v>220</v>
      </c>
      <c r="N449" t="str">
        <f t="shared" si="18"/>
        <v>NA</v>
      </c>
      <c r="O449">
        <v>43.51339999999999</v>
      </c>
      <c r="P449">
        <f t="shared" si="19"/>
        <v>43.51339999999999</v>
      </c>
      <c r="S449">
        <f t="shared" si="20"/>
        <v>72.835329417750017</v>
      </c>
    </row>
    <row r="450" spans="1:19">
      <c r="A450" s="9">
        <v>41911</v>
      </c>
      <c r="B450" s="7" t="s">
        <v>24</v>
      </c>
      <c r="C450">
        <v>28</v>
      </c>
      <c r="D450" t="s">
        <v>17</v>
      </c>
      <c r="F450">
        <v>2.54</v>
      </c>
      <c r="J450">
        <f>151+194+195</f>
        <v>540</v>
      </c>
      <c r="K450">
        <v>3</v>
      </c>
      <c r="L450">
        <v>195</v>
      </c>
      <c r="N450" t="str">
        <f t="shared" si="18"/>
        <v>NA</v>
      </c>
      <c r="O450" t="s">
        <v>64</v>
      </c>
      <c r="P450" t="str">
        <f t="shared" si="19"/>
        <v xml:space="preserve"> </v>
      </c>
      <c r="S450">
        <f t="shared" si="20"/>
        <v>5.0670705109999998</v>
      </c>
    </row>
    <row r="451" spans="1:19">
      <c r="A451" s="9">
        <v>41911</v>
      </c>
      <c r="B451" s="7" t="s">
        <v>24</v>
      </c>
      <c r="C451">
        <v>28</v>
      </c>
      <c r="D451" t="s">
        <v>17</v>
      </c>
      <c r="F451">
        <v>2.14</v>
      </c>
      <c r="J451">
        <f>20+33+76</f>
        <v>129</v>
      </c>
      <c r="K451">
        <v>3</v>
      </c>
      <c r="L451">
        <v>76</v>
      </c>
      <c r="N451" t="str">
        <f t="shared" si="18"/>
        <v>NA</v>
      </c>
      <c r="O451" t="s">
        <v>64</v>
      </c>
      <c r="P451" t="str">
        <f t="shared" si="19"/>
        <v xml:space="preserve"> </v>
      </c>
      <c r="S451">
        <f t="shared" si="20"/>
        <v>3.5968063909999999</v>
      </c>
    </row>
    <row r="452" spans="1:19">
      <c r="A452" s="9">
        <v>41911</v>
      </c>
      <c r="B452" s="7" t="s">
        <v>24</v>
      </c>
      <c r="C452">
        <v>34</v>
      </c>
      <c r="D452" t="s">
        <v>59</v>
      </c>
      <c r="E452">
        <v>238</v>
      </c>
      <c r="F452">
        <v>1.81</v>
      </c>
      <c r="G452">
        <v>4</v>
      </c>
      <c r="N452">
        <f t="shared" ref="N452:N515" si="21">IF(OR(D452="S. acutus", D452="S. tabernaemontani", D452="S. californicus"),(1/3)*(3.14159)*((F452/2)^2)*E452,"NA")</f>
        <v>204.12789948016663</v>
      </c>
      <c r="O452">
        <v>13.631804381285999</v>
      </c>
      <c r="P452">
        <f t="shared" si="19"/>
        <v>13.631804381285999</v>
      </c>
      <c r="S452">
        <f t="shared" si="20"/>
        <v>2.5730407497500001</v>
      </c>
    </row>
    <row r="453" spans="1:19">
      <c r="A453" s="9">
        <v>41911</v>
      </c>
      <c r="B453" s="7" t="s">
        <v>24</v>
      </c>
      <c r="C453">
        <v>34</v>
      </c>
      <c r="D453" t="s">
        <v>59</v>
      </c>
      <c r="E453">
        <v>178</v>
      </c>
      <c r="F453">
        <v>1.7</v>
      </c>
      <c r="N453">
        <f t="shared" si="21"/>
        <v>134.67472731666663</v>
      </c>
      <c r="O453">
        <v>6.5682</v>
      </c>
      <c r="P453">
        <f t="shared" ref="P453:P516" si="22">IF(O453&gt;0,O453," ")</f>
        <v>6.5682</v>
      </c>
      <c r="S453">
        <f t="shared" ref="S453:S516" si="23">3.14159*((F453/2)^2)</f>
        <v>2.2697987749999995</v>
      </c>
    </row>
    <row r="454" spans="1:19">
      <c r="A454" s="9">
        <v>41911</v>
      </c>
      <c r="B454" s="7" t="s">
        <v>24</v>
      </c>
      <c r="C454">
        <v>34</v>
      </c>
      <c r="D454" t="s">
        <v>59</v>
      </c>
      <c r="E454">
        <v>188</v>
      </c>
      <c r="F454">
        <v>1.64</v>
      </c>
      <c r="N454">
        <f t="shared" si="21"/>
        <v>132.3773872693333</v>
      </c>
      <c r="O454">
        <v>6.9372000000000007</v>
      </c>
      <c r="P454">
        <f t="shared" si="22"/>
        <v>6.9372000000000007</v>
      </c>
      <c r="S454">
        <f t="shared" si="23"/>
        <v>2.1124051159999997</v>
      </c>
    </row>
    <row r="455" spans="1:19">
      <c r="A455" s="9">
        <v>41911</v>
      </c>
      <c r="B455" s="7" t="s">
        <v>24</v>
      </c>
      <c r="C455">
        <v>34</v>
      </c>
      <c r="D455" t="s">
        <v>59</v>
      </c>
      <c r="E455">
        <v>132</v>
      </c>
      <c r="F455">
        <v>1.42</v>
      </c>
      <c r="N455">
        <f t="shared" si="21"/>
        <v>69.681722835999992</v>
      </c>
      <c r="O455">
        <v>4.8708</v>
      </c>
      <c r="P455">
        <f t="shared" si="22"/>
        <v>4.8708</v>
      </c>
      <c r="S455">
        <f t="shared" si="23"/>
        <v>1.5836755189999998</v>
      </c>
    </row>
    <row r="456" spans="1:19">
      <c r="A456" s="9">
        <v>41911</v>
      </c>
      <c r="B456" s="7" t="s">
        <v>24</v>
      </c>
      <c r="C456">
        <v>34</v>
      </c>
      <c r="D456" t="s">
        <v>59</v>
      </c>
      <c r="E456">
        <v>29</v>
      </c>
      <c r="F456">
        <v>0.49</v>
      </c>
      <c r="N456">
        <f t="shared" si="21"/>
        <v>1.822881417583333</v>
      </c>
      <c r="O456">
        <v>1.0701000000000001</v>
      </c>
      <c r="P456">
        <f t="shared" si="22"/>
        <v>1.0701000000000001</v>
      </c>
      <c r="S456">
        <f t="shared" si="23"/>
        <v>0.18857393974999997</v>
      </c>
    </row>
    <row r="457" spans="1:19">
      <c r="A457" s="9">
        <v>41911</v>
      </c>
      <c r="B457" s="7" t="s">
        <v>24</v>
      </c>
      <c r="C457">
        <v>34</v>
      </c>
      <c r="D457" t="s">
        <v>59</v>
      </c>
      <c r="E457">
        <v>233</v>
      </c>
      <c r="F457">
        <v>0.91</v>
      </c>
      <c r="N457">
        <f t="shared" si="21"/>
        <v>50.513442350583333</v>
      </c>
      <c r="O457">
        <v>8.5976999999999997</v>
      </c>
      <c r="P457">
        <f t="shared" si="22"/>
        <v>8.5976999999999997</v>
      </c>
      <c r="S457">
        <f t="shared" si="23"/>
        <v>0.65038766975000006</v>
      </c>
    </row>
    <row r="458" spans="1:19">
      <c r="A458" s="9">
        <v>41911</v>
      </c>
      <c r="B458" s="7" t="s">
        <v>24</v>
      </c>
      <c r="C458">
        <v>34</v>
      </c>
      <c r="D458" t="s">
        <v>59</v>
      </c>
      <c r="E458">
        <v>98</v>
      </c>
      <c r="F458">
        <v>0.82</v>
      </c>
      <c r="N458">
        <f t="shared" si="21"/>
        <v>17.251308447333329</v>
      </c>
      <c r="O458">
        <v>3.6162000000000001</v>
      </c>
      <c r="P458">
        <f t="shared" si="22"/>
        <v>3.6162000000000001</v>
      </c>
      <c r="S458">
        <f t="shared" si="23"/>
        <v>0.52810127899999992</v>
      </c>
    </row>
    <row r="459" spans="1:19">
      <c r="A459" s="9">
        <v>41911</v>
      </c>
      <c r="B459" s="7" t="s">
        <v>24</v>
      </c>
      <c r="C459">
        <v>34</v>
      </c>
      <c r="D459" t="s">
        <v>59</v>
      </c>
      <c r="E459">
        <v>289</v>
      </c>
      <c r="F459">
        <v>2.2000000000000002</v>
      </c>
      <c r="N459">
        <f t="shared" si="21"/>
        <v>366.19420236666667</v>
      </c>
      <c r="O459">
        <v>10.664100000000001</v>
      </c>
      <c r="P459">
        <f t="shared" si="22"/>
        <v>10.664100000000001</v>
      </c>
      <c r="S459">
        <f t="shared" si="23"/>
        <v>3.8013239000000003</v>
      </c>
    </row>
    <row r="460" spans="1:19">
      <c r="A460" s="9">
        <v>41911</v>
      </c>
      <c r="B460" s="7" t="s">
        <v>24</v>
      </c>
      <c r="C460">
        <v>34</v>
      </c>
      <c r="D460" t="s">
        <v>59</v>
      </c>
      <c r="E460">
        <v>258</v>
      </c>
      <c r="F460">
        <v>1.1499999999999999</v>
      </c>
      <c r="N460">
        <f t="shared" si="21"/>
        <v>89.327184662499974</v>
      </c>
      <c r="O460">
        <v>9.5202000000000009</v>
      </c>
      <c r="P460">
        <f t="shared" si="22"/>
        <v>9.5202000000000009</v>
      </c>
      <c r="S460">
        <f t="shared" si="23"/>
        <v>1.0386881937499999</v>
      </c>
    </row>
    <row r="461" spans="1:19">
      <c r="A461" s="9">
        <v>41911</v>
      </c>
      <c r="B461" s="7" t="s">
        <v>24</v>
      </c>
      <c r="C461">
        <v>34</v>
      </c>
      <c r="D461" t="s">
        <v>59</v>
      </c>
      <c r="E461">
        <v>152</v>
      </c>
      <c r="F461">
        <v>0.4</v>
      </c>
      <c r="N461">
        <f t="shared" si="21"/>
        <v>6.3669557333333335</v>
      </c>
      <c r="O461">
        <v>5.6088000000000005</v>
      </c>
      <c r="P461">
        <f t="shared" si="22"/>
        <v>5.6088000000000005</v>
      </c>
      <c r="S461">
        <f t="shared" si="23"/>
        <v>0.12566360000000001</v>
      </c>
    </row>
    <row r="462" spans="1:19">
      <c r="A462" s="9">
        <v>41911</v>
      </c>
      <c r="B462" s="7" t="s">
        <v>24</v>
      </c>
      <c r="C462">
        <v>34</v>
      </c>
      <c r="D462" t="s">
        <v>59</v>
      </c>
      <c r="E462">
        <v>290</v>
      </c>
      <c r="F462">
        <v>1.74</v>
      </c>
      <c r="N462">
        <f t="shared" si="21"/>
        <v>229.86071552999999</v>
      </c>
      <c r="O462">
        <v>10.701000000000001</v>
      </c>
      <c r="P462">
        <f t="shared" si="22"/>
        <v>10.701000000000001</v>
      </c>
      <c r="S462">
        <f t="shared" si="23"/>
        <v>2.3778694709999999</v>
      </c>
    </row>
    <row r="463" spans="1:19">
      <c r="A463" s="9">
        <v>41911</v>
      </c>
      <c r="B463" s="7" t="s">
        <v>24</v>
      </c>
      <c r="C463">
        <v>34</v>
      </c>
      <c r="D463" t="s">
        <v>59</v>
      </c>
      <c r="E463">
        <v>263</v>
      </c>
      <c r="F463">
        <v>3.42</v>
      </c>
      <c r="N463">
        <f t="shared" si="21"/>
        <v>805.33434429899978</v>
      </c>
      <c r="O463">
        <v>9.7047000000000008</v>
      </c>
      <c r="P463">
        <f t="shared" si="22"/>
        <v>9.7047000000000008</v>
      </c>
      <c r="S463">
        <f t="shared" si="23"/>
        <v>9.1863233189999995</v>
      </c>
    </row>
    <row r="464" spans="1:19">
      <c r="A464" s="9">
        <v>41911</v>
      </c>
      <c r="B464" s="7" t="s">
        <v>24</v>
      </c>
      <c r="C464">
        <v>34</v>
      </c>
      <c r="D464" t="s">
        <v>59</v>
      </c>
      <c r="E464">
        <v>272</v>
      </c>
      <c r="F464">
        <v>1.72</v>
      </c>
      <c r="N464">
        <f t="shared" si="21"/>
        <v>210.66581006933328</v>
      </c>
      <c r="O464">
        <v>10.036800000000001</v>
      </c>
      <c r="P464">
        <f t="shared" si="22"/>
        <v>10.036800000000001</v>
      </c>
      <c r="S464">
        <f t="shared" si="23"/>
        <v>2.3235199639999995</v>
      </c>
    </row>
    <row r="465" spans="1:19">
      <c r="A465" s="9">
        <v>41911</v>
      </c>
      <c r="B465" s="7" t="s">
        <v>24</v>
      </c>
      <c r="C465">
        <v>34</v>
      </c>
      <c r="D465" t="s">
        <v>59</v>
      </c>
      <c r="E465">
        <v>243</v>
      </c>
      <c r="F465">
        <v>1.94</v>
      </c>
      <c r="N465">
        <f t="shared" si="21"/>
        <v>239.42968451099995</v>
      </c>
      <c r="O465">
        <v>8.9667000000000012</v>
      </c>
      <c r="P465">
        <f t="shared" si="22"/>
        <v>8.9667000000000012</v>
      </c>
      <c r="S465">
        <f t="shared" si="23"/>
        <v>2.9559220309999996</v>
      </c>
    </row>
    <row r="466" spans="1:19">
      <c r="A466" s="9">
        <v>41911</v>
      </c>
      <c r="B466" s="7" t="s">
        <v>24</v>
      </c>
      <c r="C466">
        <v>34</v>
      </c>
      <c r="D466" t="s">
        <v>59</v>
      </c>
      <c r="E466">
        <v>283</v>
      </c>
      <c r="F466">
        <v>2.06</v>
      </c>
      <c r="N466">
        <f t="shared" si="21"/>
        <v>314.40477705766665</v>
      </c>
      <c r="O466">
        <v>10.4427</v>
      </c>
      <c r="P466">
        <f t="shared" si="22"/>
        <v>10.4427</v>
      </c>
      <c r="S466">
        <f t="shared" si="23"/>
        <v>3.3329128309999998</v>
      </c>
    </row>
    <row r="467" spans="1:19">
      <c r="A467" s="9">
        <v>41911</v>
      </c>
      <c r="B467" s="7" t="s">
        <v>24</v>
      </c>
      <c r="C467">
        <v>34</v>
      </c>
      <c r="D467" t="s">
        <v>59</v>
      </c>
      <c r="E467">
        <v>208</v>
      </c>
      <c r="F467">
        <v>1.65</v>
      </c>
      <c r="N467">
        <f t="shared" si="21"/>
        <v>148.25163209999997</v>
      </c>
      <c r="O467">
        <v>7.6752000000000002</v>
      </c>
      <c r="P467">
        <f t="shared" si="22"/>
        <v>7.6752000000000002</v>
      </c>
      <c r="S467">
        <f t="shared" si="23"/>
        <v>2.1382446937499995</v>
      </c>
    </row>
    <row r="468" spans="1:19">
      <c r="A468" s="9">
        <v>41911</v>
      </c>
      <c r="B468" s="7" t="s">
        <v>24</v>
      </c>
      <c r="C468">
        <v>34</v>
      </c>
      <c r="D468" t="s">
        <v>59</v>
      </c>
      <c r="E468">
        <v>200</v>
      </c>
      <c r="F468">
        <v>2.0099999999999998</v>
      </c>
      <c r="N468">
        <f t="shared" si="21"/>
        <v>211.53896264999995</v>
      </c>
      <c r="O468">
        <v>7.3800000000000008</v>
      </c>
      <c r="P468">
        <f t="shared" si="22"/>
        <v>7.3800000000000008</v>
      </c>
      <c r="S468">
        <f t="shared" si="23"/>
        <v>3.1730844397499989</v>
      </c>
    </row>
    <row r="469" spans="1:19">
      <c r="A469" s="9">
        <v>41911</v>
      </c>
      <c r="B469" s="7" t="s">
        <v>24</v>
      </c>
      <c r="C469">
        <v>34</v>
      </c>
      <c r="D469" t="s">
        <v>59</v>
      </c>
      <c r="E469">
        <v>232</v>
      </c>
      <c r="F469">
        <v>1.19</v>
      </c>
      <c r="G469">
        <v>4</v>
      </c>
      <c r="N469">
        <f t="shared" si="21"/>
        <v>86.010241580666658</v>
      </c>
      <c r="O469">
        <v>9.2211686969039981</v>
      </c>
      <c r="P469">
        <f t="shared" si="22"/>
        <v>9.2211686969039981</v>
      </c>
      <c r="S469">
        <f t="shared" si="23"/>
        <v>1.11220139975</v>
      </c>
    </row>
    <row r="470" spans="1:19">
      <c r="A470" s="9">
        <v>41911</v>
      </c>
      <c r="B470" s="7" t="s">
        <v>24</v>
      </c>
      <c r="C470">
        <v>34</v>
      </c>
      <c r="D470" t="s">
        <v>59</v>
      </c>
      <c r="E470">
        <v>117</v>
      </c>
      <c r="F470">
        <v>1.63</v>
      </c>
      <c r="N470">
        <f t="shared" si="21"/>
        <v>81.382182092249977</v>
      </c>
      <c r="O470">
        <v>4.3173000000000004</v>
      </c>
      <c r="P470">
        <f t="shared" si="22"/>
        <v>4.3173000000000004</v>
      </c>
      <c r="S470">
        <f t="shared" si="23"/>
        <v>2.0867226177499996</v>
      </c>
    </row>
    <row r="471" spans="1:19">
      <c r="A471" s="9">
        <v>41911</v>
      </c>
      <c r="B471" s="7" t="s">
        <v>24</v>
      </c>
      <c r="C471">
        <v>34</v>
      </c>
      <c r="D471" t="s">
        <v>59</v>
      </c>
      <c r="E471">
        <v>270</v>
      </c>
      <c r="F471">
        <v>3.06</v>
      </c>
      <c r="N471">
        <f t="shared" si="21"/>
        <v>661.87332278999997</v>
      </c>
      <c r="O471">
        <v>9.963000000000001</v>
      </c>
      <c r="P471">
        <f t="shared" si="22"/>
        <v>9.963000000000001</v>
      </c>
      <c r="S471">
        <f t="shared" si="23"/>
        <v>7.3541480309999994</v>
      </c>
    </row>
    <row r="472" spans="1:19">
      <c r="A472" s="9">
        <v>41911</v>
      </c>
      <c r="B472" s="7" t="s">
        <v>24</v>
      </c>
      <c r="C472">
        <v>34</v>
      </c>
      <c r="D472" t="s">
        <v>59</v>
      </c>
      <c r="E472">
        <v>252</v>
      </c>
      <c r="F472">
        <v>1.95</v>
      </c>
      <c r="N472">
        <f t="shared" si="21"/>
        <v>250.86381547499994</v>
      </c>
      <c r="O472">
        <v>9.2988</v>
      </c>
      <c r="P472">
        <f t="shared" si="22"/>
        <v>9.2988</v>
      </c>
      <c r="S472">
        <f t="shared" si="23"/>
        <v>2.9864739937499998</v>
      </c>
    </row>
    <row r="473" spans="1:19">
      <c r="A473" s="9">
        <v>41911</v>
      </c>
      <c r="B473" s="7" t="s">
        <v>24</v>
      </c>
      <c r="C473">
        <v>34</v>
      </c>
      <c r="D473" t="s">
        <v>59</v>
      </c>
      <c r="E473">
        <v>214</v>
      </c>
      <c r="F473">
        <v>1.31</v>
      </c>
      <c r="N473">
        <f t="shared" si="21"/>
        <v>96.144539682166666</v>
      </c>
      <c r="O473">
        <v>7.8966000000000003</v>
      </c>
      <c r="P473">
        <f t="shared" si="22"/>
        <v>7.8966000000000003</v>
      </c>
      <c r="S473">
        <f t="shared" si="23"/>
        <v>1.34782064975</v>
      </c>
    </row>
    <row r="474" spans="1:19">
      <c r="A474" s="9">
        <v>41911</v>
      </c>
      <c r="B474" s="7" t="s">
        <v>24</v>
      </c>
      <c r="C474">
        <v>34</v>
      </c>
      <c r="D474" t="s">
        <v>59</v>
      </c>
      <c r="E474">
        <v>128</v>
      </c>
      <c r="F474">
        <v>1.05</v>
      </c>
      <c r="N474">
        <f t="shared" si="21"/>
        <v>36.945098399999999</v>
      </c>
      <c r="O474">
        <v>4.7232000000000003</v>
      </c>
      <c r="P474">
        <f t="shared" si="22"/>
        <v>4.7232000000000003</v>
      </c>
      <c r="S474">
        <f t="shared" si="23"/>
        <v>0.86590074375000003</v>
      </c>
    </row>
    <row r="475" spans="1:19">
      <c r="A475" s="9">
        <v>41911</v>
      </c>
      <c r="B475" s="7" t="s">
        <v>24</v>
      </c>
      <c r="C475">
        <v>38</v>
      </c>
      <c r="D475" t="s">
        <v>17</v>
      </c>
      <c r="F475">
        <v>9.15</v>
      </c>
      <c r="J475">
        <f>196+225+260+288+288+230+224+200+221+213+236+333+435+437</f>
        <v>3786</v>
      </c>
      <c r="K475">
        <v>14</v>
      </c>
      <c r="L475">
        <v>437</v>
      </c>
      <c r="N475" t="str">
        <f t="shared" si="21"/>
        <v>NA</v>
      </c>
      <c r="O475">
        <v>152.03219999999999</v>
      </c>
      <c r="P475">
        <f t="shared" si="22"/>
        <v>152.03219999999999</v>
      </c>
      <c r="S475">
        <f t="shared" si="23"/>
        <v>65.75544219375</v>
      </c>
    </row>
    <row r="476" spans="1:19">
      <c r="A476" s="9">
        <v>41911</v>
      </c>
      <c r="B476" s="7" t="s">
        <v>24</v>
      </c>
      <c r="C476">
        <v>38</v>
      </c>
      <c r="D476" t="s">
        <v>17</v>
      </c>
      <c r="F476">
        <v>10.38</v>
      </c>
      <c r="J476">
        <f>296+357+360+400+410+417+426+428</f>
        <v>3094</v>
      </c>
      <c r="K476">
        <v>8</v>
      </c>
      <c r="L476">
        <v>428</v>
      </c>
      <c r="N476" t="str">
        <f t="shared" si="21"/>
        <v>NA</v>
      </c>
      <c r="O476">
        <v>119.70579999999998</v>
      </c>
      <c r="P476">
        <f t="shared" si="22"/>
        <v>119.70579999999998</v>
      </c>
      <c r="S476">
        <f t="shared" si="23"/>
        <v>84.62218239900001</v>
      </c>
    </row>
    <row r="477" spans="1:19">
      <c r="A477" s="9">
        <v>41911</v>
      </c>
      <c r="B477" s="7" t="s">
        <v>24</v>
      </c>
      <c r="C477">
        <v>38</v>
      </c>
      <c r="D477" t="s">
        <v>17</v>
      </c>
      <c r="F477">
        <v>8.58</v>
      </c>
      <c r="J477">
        <f>202+284+285+293+298+302</f>
        <v>1664</v>
      </c>
      <c r="K477">
        <v>6</v>
      </c>
      <c r="L477">
        <v>302</v>
      </c>
      <c r="N477" t="str">
        <f t="shared" si="21"/>
        <v>NA</v>
      </c>
      <c r="O477">
        <v>49.1068</v>
      </c>
      <c r="P477">
        <f t="shared" si="22"/>
        <v>49.1068</v>
      </c>
      <c r="S477">
        <f t="shared" si="23"/>
        <v>57.818136518999999</v>
      </c>
    </row>
    <row r="478" spans="1:19">
      <c r="A478" s="9">
        <v>41911</v>
      </c>
      <c r="B478" s="7" t="s">
        <v>24</v>
      </c>
      <c r="C478">
        <v>38</v>
      </c>
      <c r="D478" t="s">
        <v>17</v>
      </c>
      <c r="F478">
        <v>7.69</v>
      </c>
      <c r="J478">
        <f>77+130+162+195+210+217+253+292+293+310</f>
        <v>2139</v>
      </c>
      <c r="K478">
        <v>10</v>
      </c>
      <c r="L478">
        <v>310</v>
      </c>
      <c r="N478" t="str">
        <f t="shared" si="21"/>
        <v>NA</v>
      </c>
      <c r="O478">
        <v>71.241299999999995</v>
      </c>
      <c r="P478">
        <f t="shared" si="22"/>
        <v>71.241299999999995</v>
      </c>
      <c r="S478">
        <f t="shared" si="23"/>
        <v>46.44534509975</v>
      </c>
    </row>
    <row r="479" spans="1:19">
      <c r="A479" s="9">
        <v>41911</v>
      </c>
      <c r="B479" s="7" t="s">
        <v>24</v>
      </c>
      <c r="C479">
        <v>38</v>
      </c>
      <c r="D479" t="s">
        <v>17</v>
      </c>
      <c r="F479">
        <v>5.27</v>
      </c>
      <c r="J479">
        <f>252+264+284+304+319+327</f>
        <v>1750</v>
      </c>
      <c r="K479">
        <v>6</v>
      </c>
      <c r="L479">
        <v>327</v>
      </c>
      <c r="N479" t="str">
        <f t="shared" si="21"/>
        <v>NA</v>
      </c>
      <c r="O479">
        <v>50.742999999999995</v>
      </c>
      <c r="P479">
        <f t="shared" si="22"/>
        <v>50.742999999999995</v>
      </c>
      <c r="S479">
        <f t="shared" si="23"/>
        <v>21.812766227749997</v>
      </c>
    </row>
    <row r="480" spans="1:19">
      <c r="A480" s="9">
        <v>41897</v>
      </c>
      <c r="B480" s="7" t="s">
        <v>19</v>
      </c>
      <c r="C480">
        <v>12</v>
      </c>
      <c r="D480" t="s">
        <v>60</v>
      </c>
      <c r="E480">
        <v>240</v>
      </c>
      <c r="F480">
        <v>1.21</v>
      </c>
      <c r="N480">
        <f t="shared" si="21"/>
        <v>91.992038379999983</v>
      </c>
      <c r="O480">
        <v>8.8559999999999999</v>
      </c>
      <c r="P480">
        <f t="shared" si="22"/>
        <v>8.8559999999999999</v>
      </c>
      <c r="S480">
        <f t="shared" si="23"/>
        <v>1.1499004797499999</v>
      </c>
    </row>
    <row r="481" spans="1:19">
      <c r="A481" s="9">
        <v>41897</v>
      </c>
      <c r="B481" s="7" t="s">
        <v>19</v>
      </c>
      <c r="C481">
        <v>12</v>
      </c>
      <c r="D481" t="s">
        <v>60</v>
      </c>
      <c r="E481">
        <v>166</v>
      </c>
      <c r="F481">
        <v>1.51</v>
      </c>
      <c r="N481">
        <f t="shared" si="21"/>
        <v>99.090094466166661</v>
      </c>
      <c r="O481">
        <v>6.1254</v>
      </c>
      <c r="P481">
        <f t="shared" si="22"/>
        <v>6.1254</v>
      </c>
      <c r="S481">
        <f t="shared" si="23"/>
        <v>1.7907848397499999</v>
      </c>
    </row>
    <row r="482" spans="1:19">
      <c r="A482" s="9">
        <v>41897</v>
      </c>
      <c r="B482" s="7" t="s">
        <v>19</v>
      </c>
      <c r="C482">
        <v>12</v>
      </c>
      <c r="D482" t="s">
        <v>60</v>
      </c>
      <c r="E482">
        <v>186</v>
      </c>
      <c r="F482">
        <v>1.22</v>
      </c>
      <c r="N482">
        <f t="shared" si="21"/>
        <v>72.477109617999986</v>
      </c>
      <c r="O482">
        <v>6.8634000000000004</v>
      </c>
      <c r="P482">
        <f t="shared" si="22"/>
        <v>6.8634000000000004</v>
      </c>
      <c r="S482">
        <f t="shared" si="23"/>
        <v>1.168985639</v>
      </c>
    </row>
    <row r="483" spans="1:19">
      <c r="A483" s="9">
        <v>41897</v>
      </c>
      <c r="B483" s="7" t="s">
        <v>19</v>
      </c>
      <c r="C483">
        <v>12</v>
      </c>
      <c r="D483" t="s">
        <v>60</v>
      </c>
      <c r="E483">
        <v>58</v>
      </c>
      <c r="F483">
        <v>0.54</v>
      </c>
      <c r="N483">
        <f t="shared" si="21"/>
        <v>4.4277569460000006</v>
      </c>
      <c r="O483">
        <v>2.1402000000000001</v>
      </c>
      <c r="P483">
        <f t="shared" si="22"/>
        <v>2.1402000000000001</v>
      </c>
      <c r="S483">
        <f t="shared" si="23"/>
        <v>0.22902191100000002</v>
      </c>
    </row>
    <row r="484" spans="1:19">
      <c r="A484" s="9">
        <v>41897</v>
      </c>
      <c r="B484" s="7" t="s">
        <v>19</v>
      </c>
      <c r="C484">
        <v>12</v>
      </c>
      <c r="D484" t="s">
        <v>60</v>
      </c>
      <c r="E484">
        <v>199</v>
      </c>
      <c r="F484">
        <v>1.25</v>
      </c>
      <c r="N484">
        <f t="shared" si="21"/>
        <v>81.403178385416652</v>
      </c>
      <c r="O484">
        <v>7.3431000000000006</v>
      </c>
      <c r="P484">
        <f t="shared" si="22"/>
        <v>7.3431000000000006</v>
      </c>
      <c r="S484">
        <f t="shared" si="23"/>
        <v>1.22718359375</v>
      </c>
    </row>
    <row r="485" spans="1:19">
      <c r="A485" s="9">
        <v>41897</v>
      </c>
      <c r="B485" s="7" t="s">
        <v>19</v>
      </c>
      <c r="C485">
        <v>12</v>
      </c>
      <c r="D485" t="s">
        <v>60</v>
      </c>
      <c r="E485">
        <v>53</v>
      </c>
      <c r="F485">
        <v>0.77</v>
      </c>
      <c r="N485">
        <f t="shared" si="21"/>
        <v>8.2266984735833315</v>
      </c>
      <c r="O485">
        <v>1.9557000000000002</v>
      </c>
      <c r="P485">
        <f t="shared" si="22"/>
        <v>1.9557000000000002</v>
      </c>
      <c r="S485">
        <f t="shared" si="23"/>
        <v>0.46566217774999996</v>
      </c>
    </row>
    <row r="486" spans="1:19">
      <c r="A486" s="9">
        <v>41897</v>
      </c>
      <c r="B486" s="7" t="s">
        <v>19</v>
      </c>
      <c r="C486">
        <v>12</v>
      </c>
      <c r="D486" t="s">
        <v>60</v>
      </c>
      <c r="E486">
        <v>261</v>
      </c>
      <c r="F486">
        <v>1.28</v>
      </c>
      <c r="N486">
        <f t="shared" si="21"/>
        <v>111.951187968</v>
      </c>
      <c r="O486">
        <v>9.6309000000000005</v>
      </c>
      <c r="P486">
        <f t="shared" si="22"/>
        <v>9.6309000000000005</v>
      </c>
      <c r="S486">
        <f t="shared" si="23"/>
        <v>1.286795264</v>
      </c>
    </row>
    <row r="487" spans="1:19">
      <c r="A487" s="9">
        <v>41897</v>
      </c>
      <c r="B487" s="7" t="s">
        <v>19</v>
      </c>
      <c r="C487">
        <v>12</v>
      </c>
      <c r="D487" t="s">
        <v>60</v>
      </c>
      <c r="E487">
        <v>67</v>
      </c>
      <c r="F487">
        <v>0.54</v>
      </c>
      <c r="N487">
        <f t="shared" si="21"/>
        <v>5.1148226790000004</v>
      </c>
      <c r="O487">
        <v>2.4723000000000002</v>
      </c>
      <c r="P487">
        <f t="shared" si="22"/>
        <v>2.4723000000000002</v>
      </c>
      <c r="S487">
        <f t="shared" si="23"/>
        <v>0.22902191100000002</v>
      </c>
    </row>
    <row r="488" spans="1:19">
      <c r="A488" s="9">
        <v>41897</v>
      </c>
      <c r="B488" s="7" t="s">
        <v>19</v>
      </c>
      <c r="C488">
        <v>12</v>
      </c>
      <c r="D488" t="s">
        <v>60</v>
      </c>
      <c r="E488">
        <v>200</v>
      </c>
      <c r="F488">
        <v>1.4</v>
      </c>
      <c r="N488">
        <f t="shared" si="21"/>
        <v>102.62527333333331</v>
      </c>
      <c r="O488">
        <v>7.3800000000000008</v>
      </c>
      <c r="P488">
        <f t="shared" si="22"/>
        <v>7.3800000000000008</v>
      </c>
      <c r="S488">
        <f t="shared" si="23"/>
        <v>1.5393790999999997</v>
      </c>
    </row>
    <row r="489" spans="1:19">
      <c r="A489" s="9">
        <v>41897</v>
      </c>
      <c r="B489" s="7" t="s">
        <v>19</v>
      </c>
      <c r="C489">
        <v>12</v>
      </c>
      <c r="D489" t="s">
        <v>60</v>
      </c>
      <c r="E489">
        <v>97</v>
      </c>
      <c r="F489">
        <v>0.86</v>
      </c>
      <c r="N489">
        <f t="shared" si="21"/>
        <v>18.781786375666663</v>
      </c>
      <c r="O489">
        <v>3.5793000000000004</v>
      </c>
      <c r="P489">
        <f t="shared" si="22"/>
        <v>3.5793000000000004</v>
      </c>
      <c r="S489">
        <f t="shared" si="23"/>
        <v>0.58087999099999987</v>
      </c>
    </row>
    <row r="490" spans="1:19">
      <c r="A490" s="9">
        <v>41897</v>
      </c>
      <c r="B490" s="7" t="s">
        <v>19</v>
      </c>
      <c r="C490">
        <v>12</v>
      </c>
      <c r="D490" t="s">
        <v>60</v>
      </c>
      <c r="E490">
        <v>164</v>
      </c>
      <c r="F490">
        <v>1.05</v>
      </c>
      <c r="N490">
        <f t="shared" si="21"/>
        <v>47.335907325000001</v>
      </c>
      <c r="O490">
        <v>6.0516000000000005</v>
      </c>
      <c r="P490">
        <f t="shared" si="22"/>
        <v>6.0516000000000005</v>
      </c>
      <c r="S490">
        <f t="shared" si="23"/>
        <v>0.86590074375000003</v>
      </c>
    </row>
    <row r="491" spans="1:19">
      <c r="A491" s="9">
        <v>41897</v>
      </c>
      <c r="B491" s="7" t="s">
        <v>19</v>
      </c>
      <c r="C491">
        <v>12</v>
      </c>
      <c r="D491" t="s">
        <v>58</v>
      </c>
      <c r="E491">
        <v>294</v>
      </c>
      <c r="F491">
        <v>2.79</v>
      </c>
      <c r="H491">
        <v>31</v>
      </c>
      <c r="I491">
        <v>2.5</v>
      </c>
      <c r="N491" t="str">
        <f t="shared" si="21"/>
        <v>NA</v>
      </c>
      <c r="O491">
        <v>100.79034</v>
      </c>
      <c r="P491">
        <f t="shared" si="22"/>
        <v>100.79034</v>
      </c>
      <c r="S491">
        <f t="shared" si="23"/>
        <v>6.1136126797500001</v>
      </c>
    </row>
    <row r="492" spans="1:19">
      <c r="A492" s="9">
        <v>41897</v>
      </c>
      <c r="B492" s="7" t="s">
        <v>19</v>
      </c>
      <c r="C492">
        <v>16</v>
      </c>
      <c r="D492" t="s">
        <v>17</v>
      </c>
      <c r="F492">
        <v>0.54</v>
      </c>
      <c r="J492">
        <f>19+26+31</f>
        <v>76</v>
      </c>
      <c r="K492">
        <v>3</v>
      </c>
      <c r="L492">
        <v>31</v>
      </c>
      <c r="N492" t="str">
        <f t="shared" si="21"/>
        <v>NA</v>
      </c>
      <c r="O492" t="s">
        <v>64</v>
      </c>
      <c r="P492" t="str">
        <f t="shared" si="22"/>
        <v xml:space="preserve"> </v>
      </c>
      <c r="S492">
        <f t="shared" si="23"/>
        <v>0.22902191100000002</v>
      </c>
    </row>
    <row r="493" spans="1:19">
      <c r="A493" s="9">
        <v>41897</v>
      </c>
      <c r="B493" s="7" t="s">
        <v>19</v>
      </c>
      <c r="C493">
        <v>16</v>
      </c>
      <c r="D493" t="s">
        <v>17</v>
      </c>
      <c r="F493">
        <v>1.4</v>
      </c>
      <c r="J493">
        <f>29+68+81+85</f>
        <v>263</v>
      </c>
      <c r="K493">
        <v>4</v>
      </c>
      <c r="L493">
        <v>85</v>
      </c>
      <c r="N493" t="str">
        <f t="shared" si="21"/>
        <v>NA</v>
      </c>
      <c r="O493" t="s">
        <v>64</v>
      </c>
      <c r="P493" t="str">
        <f t="shared" si="22"/>
        <v xml:space="preserve"> </v>
      </c>
      <c r="S493">
        <f t="shared" si="23"/>
        <v>1.5393790999999997</v>
      </c>
    </row>
    <row r="494" spans="1:19">
      <c r="A494" s="9">
        <v>41897</v>
      </c>
      <c r="B494" s="7" t="s">
        <v>19</v>
      </c>
      <c r="C494">
        <v>16</v>
      </c>
      <c r="D494" t="s">
        <v>17</v>
      </c>
      <c r="F494">
        <v>1.74</v>
      </c>
      <c r="J494">
        <f>56+97+116+133+158+161</f>
        <v>721</v>
      </c>
      <c r="K494">
        <v>6</v>
      </c>
      <c r="L494">
        <v>161</v>
      </c>
      <c r="N494" t="str">
        <f t="shared" si="21"/>
        <v>NA</v>
      </c>
      <c r="O494">
        <v>9.3326999999999991</v>
      </c>
      <c r="P494">
        <f t="shared" si="22"/>
        <v>9.3326999999999991</v>
      </c>
      <c r="S494">
        <f t="shared" si="23"/>
        <v>2.3778694709999999</v>
      </c>
    </row>
    <row r="495" spans="1:19">
      <c r="A495" s="9">
        <v>41897</v>
      </c>
      <c r="B495" s="7" t="s">
        <v>19</v>
      </c>
      <c r="C495">
        <v>16</v>
      </c>
      <c r="D495" t="s">
        <v>17</v>
      </c>
      <c r="F495">
        <v>3.02</v>
      </c>
      <c r="J495">
        <f>114+144+180+239+239+262+262+263</f>
        <v>1703</v>
      </c>
      <c r="K495">
        <v>8</v>
      </c>
      <c r="L495">
        <v>263</v>
      </c>
      <c r="N495" t="str">
        <f t="shared" si="21"/>
        <v>NA</v>
      </c>
      <c r="O495">
        <v>53.986099999999993</v>
      </c>
      <c r="P495">
        <f t="shared" si="22"/>
        <v>53.986099999999993</v>
      </c>
      <c r="S495">
        <f t="shared" si="23"/>
        <v>7.1631393589999997</v>
      </c>
    </row>
    <row r="496" spans="1:19">
      <c r="A496" s="9">
        <v>41897</v>
      </c>
      <c r="B496" s="7" t="s">
        <v>19</v>
      </c>
      <c r="C496">
        <v>16</v>
      </c>
      <c r="D496" t="s">
        <v>17</v>
      </c>
      <c r="F496">
        <v>1.29</v>
      </c>
      <c r="J496">
        <f>42+96+149</f>
        <v>287</v>
      </c>
      <c r="K496">
        <v>3</v>
      </c>
      <c r="L496">
        <v>149</v>
      </c>
      <c r="N496" t="str">
        <f t="shared" si="21"/>
        <v>NA</v>
      </c>
      <c r="O496" t="s">
        <v>64</v>
      </c>
      <c r="P496" t="str">
        <f t="shared" si="22"/>
        <v xml:space="preserve"> </v>
      </c>
      <c r="S496">
        <f t="shared" si="23"/>
        <v>1.3069799797500001</v>
      </c>
    </row>
    <row r="497" spans="1:19">
      <c r="A497" s="9">
        <v>41897</v>
      </c>
      <c r="B497" s="7" t="s">
        <v>19</v>
      </c>
      <c r="C497">
        <v>16</v>
      </c>
      <c r="D497" t="s">
        <v>17</v>
      </c>
      <c r="F497">
        <v>6</v>
      </c>
      <c r="J497">
        <f>226+248+254+271+288+290+300+312+320+347</f>
        <v>2856</v>
      </c>
      <c r="K497">
        <v>10</v>
      </c>
      <c r="L497">
        <v>347</v>
      </c>
      <c r="N497" t="str">
        <f t="shared" si="21"/>
        <v>NA</v>
      </c>
      <c r="O497">
        <v>112.99719999999998</v>
      </c>
      <c r="P497">
        <f t="shared" si="22"/>
        <v>112.99719999999998</v>
      </c>
      <c r="S497">
        <f t="shared" si="23"/>
        <v>28.27431</v>
      </c>
    </row>
    <row r="498" spans="1:19">
      <c r="A498" s="9">
        <v>41897</v>
      </c>
      <c r="B498" s="7" t="s">
        <v>19</v>
      </c>
      <c r="C498">
        <v>16</v>
      </c>
      <c r="D498" t="s">
        <v>17</v>
      </c>
      <c r="F498">
        <v>2.83</v>
      </c>
      <c r="J498">
        <f>169+225+237</f>
        <v>631</v>
      </c>
      <c r="K498">
        <v>3</v>
      </c>
      <c r="L498">
        <v>237</v>
      </c>
      <c r="N498" t="str">
        <f t="shared" si="21"/>
        <v>NA</v>
      </c>
      <c r="O498" t="s">
        <v>64</v>
      </c>
      <c r="P498" t="str">
        <f t="shared" si="22"/>
        <v xml:space="preserve"> </v>
      </c>
      <c r="S498">
        <f t="shared" si="23"/>
        <v>6.2901700377500003</v>
      </c>
    </row>
    <row r="499" spans="1:19">
      <c r="A499" s="9">
        <v>41897</v>
      </c>
      <c r="B499" s="7" t="s">
        <v>19</v>
      </c>
      <c r="C499">
        <v>16</v>
      </c>
      <c r="D499" t="s">
        <v>17</v>
      </c>
      <c r="F499">
        <v>3.08</v>
      </c>
      <c r="J499">
        <f>45+82+90+100+160+182+227+223+264</f>
        <v>1373</v>
      </c>
      <c r="K499">
        <v>9</v>
      </c>
      <c r="L499">
        <v>264</v>
      </c>
      <c r="N499" t="str">
        <f t="shared" si="21"/>
        <v>NA</v>
      </c>
      <c r="O499">
        <v>29.752099999999992</v>
      </c>
      <c r="P499">
        <f t="shared" si="22"/>
        <v>29.752099999999992</v>
      </c>
      <c r="S499">
        <f t="shared" si="23"/>
        <v>7.4505948439999994</v>
      </c>
    </row>
    <row r="500" spans="1:19">
      <c r="A500" s="9">
        <v>41897</v>
      </c>
      <c r="B500" s="7" t="s">
        <v>19</v>
      </c>
      <c r="C500">
        <v>16</v>
      </c>
      <c r="D500" t="s">
        <v>17</v>
      </c>
      <c r="F500">
        <v>0.74</v>
      </c>
      <c r="J500">
        <f>68+92+116+142</f>
        <v>418</v>
      </c>
      <c r="K500">
        <v>4</v>
      </c>
      <c r="L500">
        <v>142</v>
      </c>
      <c r="N500" t="str">
        <f t="shared" si="21"/>
        <v>NA</v>
      </c>
      <c r="O500" t="s">
        <v>64</v>
      </c>
      <c r="P500" t="str">
        <f t="shared" si="22"/>
        <v xml:space="preserve"> </v>
      </c>
      <c r="S500">
        <f t="shared" si="23"/>
        <v>0.43008367099999995</v>
      </c>
    </row>
    <row r="501" spans="1:19">
      <c r="A501" s="9">
        <v>41897</v>
      </c>
      <c r="B501" s="7" t="s">
        <v>19</v>
      </c>
      <c r="C501">
        <v>16</v>
      </c>
      <c r="D501" t="s">
        <v>17</v>
      </c>
      <c r="F501">
        <v>1.07</v>
      </c>
      <c r="J501">
        <f>25+50+60+79+87</f>
        <v>301</v>
      </c>
      <c r="K501">
        <v>5</v>
      </c>
      <c r="L501">
        <v>87</v>
      </c>
      <c r="N501" t="str">
        <f t="shared" si="21"/>
        <v>NA</v>
      </c>
      <c r="O501" t="s">
        <v>64</v>
      </c>
      <c r="P501" t="str">
        <f t="shared" si="22"/>
        <v xml:space="preserve"> </v>
      </c>
      <c r="S501">
        <f t="shared" si="23"/>
        <v>0.89920159774999997</v>
      </c>
    </row>
    <row r="502" spans="1:19">
      <c r="A502" s="9">
        <v>41897</v>
      </c>
      <c r="B502" s="7" t="s">
        <v>19</v>
      </c>
      <c r="C502">
        <v>16</v>
      </c>
      <c r="D502" t="s">
        <v>17</v>
      </c>
      <c r="F502">
        <v>1.26</v>
      </c>
      <c r="J502">
        <f>49+99+101+149+150</f>
        <v>548</v>
      </c>
      <c r="K502">
        <v>5</v>
      </c>
      <c r="L502">
        <v>150</v>
      </c>
      <c r="N502" t="str">
        <f t="shared" si="21"/>
        <v>NA</v>
      </c>
      <c r="O502">
        <v>1.6565999999999974</v>
      </c>
      <c r="P502">
        <f t="shared" si="22"/>
        <v>1.6565999999999974</v>
      </c>
      <c r="S502">
        <f t="shared" si="23"/>
        <v>1.246897071</v>
      </c>
    </row>
    <row r="503" spans="1:19">
      <c r="A503" s="9">
        <v>41897</v>
      </c>
      <c r="B503" s="7" t="s">
        <v>19</v>
      </c>
      <c r="C503">
        <v>16</v>
      </c>
      <c r="D503" t="s">
        <v>17</v>
      </c>
      <c r="F503">
        <v>1.23</v>
      </c>
      <c r="J503">
        <f>52+80+87+123+137+151+166</f>
        <v>796</v>
      </c>
      <c r="K503">
        <v>7</v>
      </c>
      <c r="L503">
        <v>166</v>
      </c>
      <c r="N503" t="str">
        <f t="shared" si="21"/>
        <v>NA</v>
      </c>
      <c r="O503">
        <v>11.456199999999999</v>
      </c>
      <c r="P503">
        <f t="shared" si="22"/>
        <v>11.456199999999999</v>
      </c>
      <c r="S503">
        <f t="shared" si="23"/>
        <v>1.1882278777499999</v>
      </c>
    </row>
    <row r="504" spans="1:19">
      <c r="A504" s="9">
        <v>41897</v>
      </c>
      <c r="B504" s="7" t="s">
        <v>19</v>
      </c>
      <c r="C504">
        <v>16</v>
      </c>
      <c r="D504" t="s">
        <v>17</v>
      </c>
      <c r="F504">
        <v>2.48</v>
      </c>
      <c r="J504">
        <f>87+112+139+179+184+211</f>
        <v>912</v>
      </c>
      <c r="K504">
        <v>6</v>
      </c>
      <c r="L504">
        <v>211</v>
      </c>
      <c r="N504" t="str">
        <f t="shared" si="21"/>
        <v>NA</v>
      </c>
      <c r="O504">
        <v>13.872399999999999</v>
      </c>
      <c r="P504">
        <f t="shared" si="22"/>
        <v>13.872399999999999</v>
      </c>
      <c r="S504">
        <f t="shared" si="23"/>
        <v>4.8305087840000001</v>
      </c>
    </row>
    <row r="505" spans="1:19">
      <c r="A505" s="9">
        <v>41897</v>
      </c>
      <c r="B505" s="7" t="s">
        <v>19</v>
      </c>
      <c r="C505">
        <v>16</v>
      </c>
      <c r="D505" t="s">
        <v>17</v>
      </c>
      <c r="F505">
        <v>2.36</v>
      </c>
      <c r="J505">
        <f>81+84+132+166+196+205+218</f>
        <v>1082</v>
      </c>
      <c r="K505">
        <v>7</v>
      </c>
      <c r="L505">
        <v>218</v>
      </c>
      <c r="N505" t="str">
        <f t="shared" si="21"/>
        <v>NA</v>
      </c>
      <c r="O505">
        <v>22.004399999999997</v>
      </c>
      <c r="P505">
        <f t="shared" si="22"/>
        <v>22.004399999999997</v>
      </c>
      <c r="S505">
        <f t="shared" si="23"/>
        <v>4.374349915999999</v>
      </c>
    </row>
    <row r="506" spans="1:19">
      <c r="A506" s="9">
        <v>41897</v>
      </c>
      <c r="B506" s="7" t="s">
        <v>19</v>
      </c>
      <c r="C506">
        <v>16</v>
      </c>
      <c r="D506" t="s">
        <v>17</v>
      </c>
      <c r="F506">
        <v>3.42</v>
      </c>
      <c r="J506">
        <f>56+90+156+190+228+231+234+235</f>
        <v>1420</v>
      </c>
      <c r="K506">
        <v>8</v>
      </c>
      <c r="L506">
        <v>235</v>
      </c>
      <c r="N506" t="str">
        <f t="shared" si="21"/>
        <v>NA</v>
      </c>
      <c r="O506">
        <v>39.701999999999991</v>
      </c>
      <c r="P506">
        <f t="shared" si="22"/>
        <v>39.701999999999991</v>
      </c>
      <c r="S506">
        <f t="shared" si="23"/>
        <v>9.1863233189999995</v>
      </c>
    </row>
    <row r="507" spans="1:19">
      <c r="A507" s="9">
        <v>41897</v>
      </c>
      <c r="B507" s="7" t="s">
        <v>19</v>
      </c>
      <c r="C507">
        <v>16</v>
      </c>
      <c r="D507" t="s">
        <v>17</v>
      </c>
      <c r="F507">
        <v>5.0199999999999996</v>
      </c>
      <c r="J507">
        <f>161+261+281+283+327+340+349</f>
        <v>2002</v>
      </c>
      <c r="K507">
        <v>7</v>
      </c>
      <c r="L507">
        <v>349</v>
      </c>
      <c r="N507" t="str">
        <f t="shared" si="21"/>
        <v>NA</v>
      </c>
      <c r="O507">
        <v>61.884399999999999</v>
      </c>
      <c r="P507">
        <f t="shared" si="22"/>
        <v>61.884399999999999</v>
      </c>
      <c r="S507">
        <f t="shared" si="23"/>
        <v>19.792331158999996</v>
      </c>
    </row>
    <row r="508" spans="1:19">
      <c r="A508" s="9">
        <v>41897</v>
      </c>
      <c r="B508" s="7" t="s">
        <v>19</v>
      </c>
      <c r="C508">
        <v>16</v>
      </c>
      <c r="D508" t="s">
        <v>17</v>
      </c>
      <c r="F508">
        <v>4.16</v>
      </c>
      <c r="J508">
        <f>120+197+245+249+269+273+294+296</f>
        <v>1943</v>
      </c>
      <c r="K508">
        <v>8</v>
      </c>
      <c r="L508">
        <v>296</v>
      </c>
      <c r="N508" t="str">
        <f t="shared" si="21"/>
        <v>NA</v>
      </c>
      <c r="O508">
        <v>64.582099999999969</v>
      </c>
      <c r="P508">
        <f t="shared" si="22"/>
        <v>64.582099999999969</v>
      </c>
      <c r="S508">
        <f t="shared" si="23"/>
        <v>13.591774976000002</v>
      </c>
    </row>
    <row r="509" spans="1:19">
      <c r="A509" s="9">
        <v>41897</v>
      </c>
      <c r="B509" s="7" t="s">
        <v>19</v>
      </c>
      <c r="C509">
        <v>16</v>
      </c>
      <c r="D509" t="s">
        <v>17</v>
      </c>
      <c r="F509">
        <v>1.98</v>
      </c>
      <c r="J509">
        <f>113+151+161+190+192+200</f>
        <v>1007</v>
      </c>
      <c r="K509">
        <v>6</v>
      </c>
      <c r="L509">
        <v>200</v>
      </c>
      <c r="N509" t="str">
        <f t="shared" si="21"/>
        <v>NA</v>
      </c>
      <c r="O509">
        <v>22.012899999999995</v>
      </c>
      <c r="P509">
        <f t="shared" si="22"/>
        <v>22.012899999999995</v>
      </c>
      <c r="S509">
        <f t="shared" si="23"/>
        <v>3.079072359</v>
      </c>
    </row>
    <row r="510" spans="1:19">
      <c r="A510" s="9">
        <v>41897</v>
      </c>
      <c r="B510" s="7" t="s">
        <v>19</v>
      </c>
      <c r="C510">
        <v>16</v>
      </c>
      <c r="D510" t="s">
        <v>17</v>
      </c>
      <c r="F510">
        <v>0.95</v>
      </c>
      <c r="J510">
        <f>37+38+70+102+121+147+162</f>
        <v>677</v>
      </c>
      <c r="K510">
        <v>7</v>
      </c>
      <c r="L510">
        <v>162</v>
      </c>
      <c r="N510" t="str">
        <f t="shared" si="21"/>
        <v>NA</v>
      </c>
      <c r="O510">
        <v>4.1748999999999938</v>
      </c>
      <c r="P510">
        <f t="shared" si="22"/>
        <v>4.1748999999999938</v>
      </c>
      <c r="S510">
        <f t="shared" si="23"/>
        <v>0.70882124375</v>
      </c>
    </row>
    <row r="511" spans="1:19">
      <c r="A511" s="9">
        <v>41897</v>
      </c>
      <c r="B511" s="7" t="s">
        <v>19</v>
      </c>
      <c r="C511">
        <v>16</v>
      </c>
      <c r="D511" t="s">
        <v>17</v>
      </c>
      <c r="F511">
        <v>1.5</v>
      </c>
      <c r="J511">
        <f>48+77+87+202+219+230</f>
        <v>863</v>
      </c>
      <c r="K511">
        <v>6</v>
      </c>
      <c r="L511">
        <v>230</v>
      </c>
      <c r="N511" t="str">
        <f t="shared" si="21"/>
        <v>NA</v>
      </c>
      <c r="O511">
        <v>7.4880999999999958</v>
      </c>
      <c r="P511">
        <f t="shared" si="22"/>
        <v>7.4880999999999958</v>
      </c>
      <c r="S511">
        <f t="shared" si="23"/>
        <v>1.767144375</v>
      </c>
    </row>
    <row r="512" spans="1:19">
      <c r="A512" s="9">
        <v>41897</v>
      </c>
      <c r="B512" s="7" t="s">
        <v>19</v>
      </c>
      <c r="C512">
        <v>29</v>
      </c>
      <c r="D512" t="s">
        <v>58</v>
      </c>
      <c r="E512">
        <v>279</v>
      </c>
      <c r="F512">
        <v>4.4000000000000004</v>
      </c>
      <c r="H512">
        <v>36</v>
      </c>
      <c r="I512">
        <v>2</v>
      </c>
      <c r="N512" t="str">
        <f t="shared" si="21"/>
        <v>NA</v>
      </c>
      <c r="O512">
        <v>107.67670000000001</v>
      </c>
      <c r="P512">
        <f t="shared" si="22"/>
        <v>107.67670000000001</v>
      </c>
      <c r="S512">
        <f t="shared" si="23"/>
        <v>15.205295600000001</v>
      </c>
    </row>
    <row r="513" spans="1:19">
      <c r="A513" s="9">
        <v>41897</v>
      </c>
      <c r="B513" s="7" t="s">
        <v>19</v>
      </c>
      <c r="C513">
        <v>29</v>
      </c>
      <c r="D513" t="s">
        <v>58</v>
      </c>
      <c r="E513">
        <v>323</v>
      </c>
      <c r="F513">
        <v>3.06</v>
      </c>
      <c r="H513">
        <v>26</v>
      </c>
      <c r="I513">
        <v>3</v>
      </c>
      <c r="N513" t="str">
        <f t="shared" si="21"/>
        <v>NA</v>
      </c>
      <c r="O513">
        <v>111.72826000000001</v>
      </c>
      <c r="P513">
        <f t="shared" si="22"/>
        <v>111.72826000000001</v>
      </c>
      <c r="S513">
        <f t="shared" si="23"/>
        <v>7.3541480309999994</v>
      </c>
    </row>
    <row r="514" spans="1:19">
      <c r="A514" s="9">
        <v>41897</v>
      </c>
      <c r="B514" s="7" t="s">
        <v>19</v>
      </c>
      <c r="C514">
        <v>29</v>
      </c>
      <c r="D514" t="s">
        <v>17</v>
      </c>
      <c r="F514">
        <v>0.88</v>
      </c>
      <c r="J514">
        <f>51+83+120</f>
        <v>254</v>
      </c>
      <c r="K514">
        <v>3</v>
      </c>
      <c r="L514">
        <v>120</v>
      </c>
      <c r="N514" t="str">
        <f t="shared" si="21"/>
        <v>NA</v>
      </c>
      <c r="O514" t="s">
        <v>64</v>
      </c>
      <c r="P514" t="str">
        <f t="shared" si="22"/>
        <v xml:space="preserve"> </v>
      </c>
      <c r="S514">
        <f t="shared" si="23"/>
        <v>0.60821182399999996</v>
      </c>
    </row>
    <row r="515" spans="1:19">
      <c r="A515" s="9">
        <v>41897</v>
      </c>
      <c r="B515" s="7" t="s">
        <v>19</v>
      </c>
      <c r="C515">
        <v>29</v>
      </c>
      <c r="D515" t="s">
        <v>17</v>
      </c>
      <c r="F515">
        <v>4.91</v>
      </c>
      <c r="J515">
        <f>155+211+248+252+302+312+317</f>
        <v>1797</v>
      </c>
      <c r="K515">
        <v>7</v>
      </c>
      <c r="L515">
        <v>317</v>
      </c>
      <c r="N515" t="str">
        <f t="shared" si="21"/>
        <v>NA</v>
      </c>
      <c r="O515">
        <v>53.4589</v>
      </c>
      <c r="P515">
        <f t="shared" si="22"/>
        <v>53.4589</v>
      </c>
      <c r="S515">
        <f t="shared" si="23"/>
        <v>18.934441469749999</v>
      </c>
    </row>
    <row r="516" spans="1:19">
      <c r="A516" s="9">
        <v>41897</v>
      </c>
      <c r="B516" s="7" t="s">
        <v>19</v>
      </c>
      <c r="C516">
        <v>29</v>
      </c>
      <c r="D516" t="s">
        <v>17</v>
      </c>
      <c r="F516">
        <v>2.67</v>
      </c>
      <c r="J516">
        <f>99+144+131+166+179+196</f>
        <v>915</v>
      </c>
      <c r="K516">
        <v>6</v>
      </c>
      <c r="L516">
        <v>196</v>
      </c>
      <c r="N516" t="str">
        <f t="shared" ref="N516:N562" si="24">IF(OR(D516="S. acutus", D516="S. tabernaemontani", D516="S. californicus"),(1/3)*(3.14159)*((F516/2)^2)*E516,"NA")</f>
        <v>NA</v>
      </c>
      <c r="O516">
        <v>16.532499999999999</v>
      </c>
      <c r="P516">
        <f t="shared" si="22"/>
        <v>16.532499999999999</v>
      </c>
      <c r="S516">
        <f t="shared" si="23"/>
        <v>5.5990202377499996</v>
      </c>
    </row>
    <row r="517" spans="1:19">
      <c r="A517" s="9">
        <v>41897</v>
      </c>
      <c r="B517" s="7" t="s">
        <v>19</v>
      </c>
      <c r="C517">
        <v>29</v>
      </c>
      <c r="D517" t="s">
        <v>17</v>
      </c>
      <c r="F517">
        <v>8.15</v>
      </c>
      <c r="J517">
        <f>238+250+302+322+336+353+363+371+378</f>
        <v>2913</v>
      </c>
      <c r="K517">
        <v>9</v>
      </c>
      <c r="L517">
        <v>378</v>
      </c>
      <c r="N517" t="str">
        <f t="shared" si="24"/>
        <v>NA</v>
      </c>
      <c r="O517">
        <v>113.77409999999999</v>
      </c>
      <c r="P517">
        <f t="shared" ref="P517:P562" si="25">IF(O517&gt;0,O517," ")</f>
        <v>113.77409999999999</v>
      </c>
      <c r="S517">
        <f t="shared" ref="S517:S562" si="26">3.14159*((F517/2)^2)</f>
        <v>52.168065443749995</v>
      </c>
    </row>
    <row r="518" spans="1:19">
      <c r="A518" s="9">
        <v>41897</v>
      </c>
      <c r="B518" s="7" t="s">
        <v>19</v>
      </c>
      <c r="C518">
        <v>29</v>
      </c>
      <c r="D518" t="s">
        <v>17</v>
      </c>
      <c r="F518">
        <v>3.4</v>
      </c>
      <c r="J518">
        <f>110+153+188+219+238+246</f>
        <v>1154</v>
      </c>
      <c r="K518">
        <v>6</v>
      </c>
      <c r="L518">
        <v>246</v>
      </c>
      <c r="N518" t="str">
        <f t="shared" si="24"/>
        <v>NA</v>
      </c>
      <c r="O518">
        <v>24.273800000000001</v>
      </c>
      <c r="P518">
        <f t="shared" si="25"/>
        <v>24.273800000000001</v>
      </c>
      <c r="S518">
        <f t="shared" si="26"/>
        <v>9.079195099999998</v>
      </c>
    </row>
    <row r="519" spans="1:19">
      <c r="A519" s="9">
        <v>41897</v>
      </c>
      <c r="B519" s="7" t="s">
        <v>19</v>
      </c>
      <c r="C519">
        <v>29</v>
      </c>
      <c r="D519" t="s">
        <v>17</v>
      </c>
      <c r="F519">
        <v>0.42</v>
      </c>
      <c r="J519">
        <f>84+99</f>
        <v>183</v>
      </c>
      <c r="K519">
        <v>2</v>
      </c>
      <c r="L519">
        <v>99</v>
      </c>
      <c r="N519" t="str">
        <f t="shared" si="24"/>
        <v>NA</v>
      </c>
      <c r="O519" t="s">
        <v>64</v>
      </c>
      <c r="P519" t="str">
        <f t="shared" si="25"/>
        <v xml:space="preserve"> </v>
      </c>
      <c r="S519">
        <f t="shared" si="26"/>
        <v>0.13854411899999997</v>
      </c>
    </row>
    <row r="520" spans="1:19">
      <c r="A520" s="9">
        <v>41897</v>
      </c>
      <c r="B520" s="7" t="s">
        <v>19</v>
      </c>
      <c r="C520">
        <v>29</v>
      </c>
      <c r="D520" t="s">
        <v>17</v>
      </c>
      <c r="F520">
        <v>2.94</v>
      </c>
      <c r="J520">
        <f>135+207+217+237+290</f>
        <v>1086</v>
      </c>
      <c r="K520">
        <v>5</v>
      </c>
      <c r="L520">
        <v>290</v>
      </c>
      <c r="N520" t="str">
        <f t="shared" si="24"/>
        <v>NA</v>
      </c>
      <c r="O520">
        <v>14.581199999999995</v>
      </c>
      <c r="P520">
        <f t="shared" si="25"/>
        <v>14.581199999999995</v>
      </c>
      <c r="S520">
        <f t="shared" si="26"/>
        <v>6.7886618309999989</v>
      </c>
    </row>
    <row r="521" spans="1:19">
      <c r="A521" s="9">
        <v>41897</v>
      </c>
      <c r="B521" s="7" t="s">
        <v>19</v>
      </c>
      <c r="C521">
        <v>29</v>
      </c>
      <c r="D521" t="s">
        <v>17</v>
      </c>
      <c r="F521">
        <v>0.9</v>
      </c>
      <c r="J521">
        <f>101+124+151</f>
        <v>376</v>
      </c>
      <c r="K521">
        <v>3</v>
      </c>
      <c r="L521">
        <v>151</v>
      </c>
      <c r="N521" t="str">
        <f t="shared" si="24"/>
        <v>NA</v>
      </c>
      <c r="O521" t="s">
        <v>64</v>
      </c>
      <c r="P521" t="str">
        <f t="shared" si="25"/>
        <v xml:space="preserve"> </v>
      </c>
      <c r="S521">
        <f t="shared" si="26"/>
        <v>0.636171975</v>
      </c>
    </row>
    <row r="522" spans="1:19">
      <c r="A522" s="9">
        <v>41897</v>
      </c>
      <c r="B522" s="7" t="s">
        <v>19</v>
      </c>
      <c r="C522">
        <v>29</v>
      </c>
      <c r="D522" t="s">
        <v>17</v>
      </c>
      <c r="F522">
        <v>1.01</v>
      </c>
      <c r="J522">
        <f>29+56+61</f>
        <v>146</v>
      </c>
      <c r="K522">
        <v>3</v>
      </c>
      <c r="L522">
        <v>61</v>
      </c>
      <c r="N522" t="str">
        <f t="shared" si="24"/>
        <v>NA</v>
      </c>
      <c r="O522" t="s">
        <v>64</v>
      </c>
      <c r="P522" t="str">
        <f t="shared" si="25"/>
        <v xml:space="preserve"> </v>
      </c>
      <c r="S522">
        <f t="shared" si="26"/>
        <v>0.80118398974999994</v>
      </c>
    </row>
    <row r="523" spans="1:19">
      <c r="A523" s="9">
        <v>41897</v>
      </c>
      <c r="B523" s="7" t="s">
        <v>19</v>
      </c>
      <c r="C523">
        <v>29</v>
      </c>
      <c r="D523" t="s">
        <v>17</v>
      </c>
      <c r="F523">
        <v>4.21</v>
      </c>
      <c r="J523">
        <f>120+189+231+257+271+282+282</f>
        <v>1632</v>
      </c>
      <c r="K523">
        <v>7</v>
      </c>
      <c r="L523">
        <v>282</v>
      </c>
      <c r="N523" t="str">
        <f t="shared" si="24"/>
        <v>NA</v>
      </c>
      <c r="O523">
        <v>48.193399999999997</v>
      </c>
      <c r="P523">
        <f t="shared" si="25"/>
        <v>48.193399999999997</v>
      </c>
      <c r="S523">
        <f t="shared" si="26"/>
        <v>13.92046382975</v>
      </c>
    </row>
    <row r="524" spans="1:19">
      <c r="A524" s="9">
        <v>41897</v>
      </c>
      <c r="B524" s="7" t="s">
        <v>19</v>
      </c>
      <c r="C524">
        <v>29</v>
      </c>
      <c r="D524" t="s">
        <v>17</v>
      </c>
      <c r="F524">
        <v>0.5</v>
      </c>
      <c r="J524">
        <f>25+31+34</f>
        <v>90</v>
      </c>
      <c r="K524">
        <v>3</v>
      </c>
      <c r="L524">
        <v>34</v>
      </c>
      <c r="N524" t="str">
        <f t="shared" si="24"/>
        <v>NA</v>
      </c>
      <c r="O524" t="s">
        <v>64</v>
      </c>
      <c r="P524" t="str">
        <f t="shared" si="25"/>
        <v xml:space="preserve"> </v>
      </c>
      <c r="S524">
        <f t="shared" si="26"/>
        <v>0.19634937499999999</v>
      </c>
    </row>
    <row r="525" spans="1:19">
      <c r="A525" s="9">
        <v>41897</v>
      </c>
      <c r="B525" s="7" t="s">
        <v>19</v>
      </c>
      <c r="C525">
        <v>29</v>
      </c>
      <c r="D525" t="s">
        <v>17</v>
      </c>
      <c r="F525">
        <v>3.15</v>
      </c>
      <c r="J525">
        <f>173+254+256+293+303+311</f>
        <v>1590</v>
      </c>
      <c r="K525">
        <v>6</v>
      </c>
      <c r="L525">
        <v>311</v>
      </c>
      <c r="N525" t="str">
        <f t="shared" si="24"/>
        <v>NA</v>
      </c>
      <c r="O525">
        <v>42.694999999999993</v>
      </c>
      <c r="P525">
        <f t="shared" si="25"/>
        <v>42.694999999999993</v>
      </c>
      <c r="S525">
        <f t="shared" si="26"/>
        <v>7.7931066937499995</v>
      </c>
    </row>
    <row r="526" spans="1:19">
      <c r="A526" s="9">
        <v>41897</v>
      </c>
      <c r="B526" s="7" t="s">
        <v>19</v>
      </c>
      <c r="C526">
        <v>29</v>
      </c>
      <c r="D526" t="s">
        <v>17</v>
      </c>
      <c r="F526">
        <v>3.03</v>
      </c>
      <c r="J526">
        <f>108+151+151+197+211+238+252</f>
        <v>1308</v>
      </c>
      <c r="K526">
        <v>7</v>
      </c>
      <c r="L526">
        <v>252</v>
      </c>
      <c r="N526" t="str">
        <f t="shared" si="24"/>
        <v>NA</v>
      </c>
      <c r="O526">
        <v>31.502600000000001</v>
      </c>
      <c r="P526">
        <f t="shared" si="25"/>
        <v>31.502600000000001</v>
      </c>
      <c r="S526">
        <f t="shared" si="26"/>
        <v>7.2106559077499996</v>
      </c>
    </row>
    <row r="527" spans="1:19">
      <c r="A527" s="9">
        <v>41897</v>
      </c>
      <c r="B527" s="7" t="s">
        <v>19</v>
      </c>
      <c r="C527">
        <v>29</v>
      </c>
      <c r="D527" t="s">
        <v>17</v>
      </c>
      <c r="F527">
        <v>1.77</v>
      </c>
      <c r="J527">
        <f>144+198+224+131+243</f>
        <v>940</v>
      </c>
      <c r="K527">
        <v>5</v>
      </c>
      <c r="L527">
        <v>243</v>
      </c>
      <c r="N527" t="str">
        <f t="shared" si="24"/>
        <v>NA</v>
      </c>
      <c r="O527">
        <v>12.550999999999988</v>
      </c>
      <c r="P527">
        <f t="shared" si="25"/>
        <v>12.550999999999988</v>
      </c>
      <c r="S527">
        <f t="shared" si="26"/>
        <v>2.4605718277499999</v>
      </c>
    </row>
    <row r="528" spans="1:19">
      <c r="A528" s="9">
        <v>41897</v>
      </c>
      <c r="B528" s="7" t="s">
        <v>19</v>
      </c>
      <c r="C528">
        <v>29</v>
      </c>
      <c r="D528" t="s">
        <v>17</v>
      </c>
      <c r="F528">
        <v>0.91</v>
      </c>
      <c r="J528">
        <f>100+107+131+135+162</f>
        <v>635</v>
      </c>
      <c r="K528">
        <v>5</v>
      </c>
      <c r="L528">
        <v>162</v>
      </c>
      <c r="N528" t="str">
        <f t="shared" si="24"/>
        <v>NA</v>
      </c>
      <c r="O528">
        <v>5.4914999999999914</v>
      </c>
      <c r="P528">
        <f t="shared" si="25"/>
        <v>5.4914999999999914</v>
      </c>
      <c r="S528">
        <f t="shared" si="26"/>
        <v>0.65038766975000006</v>
      </c>
    </row>
    <row r="529" spans="1:19">
      <c r="A529" s="9">
        <v>41897</v>
      </c>
      <c r="B529" s="7" t="s">
        <v>19</v>
      </c>
      <c r="C529">
        <v>29</v>
      </c>
      <c r="D529" t="s">
        <v>17</v>
      </c>
      <c r="F529">
        <v>1.46</v>
      </c>
      <c r="J529">
        <f>155+166+236+256</f>
        <v>813</v>
      </c>
      <c r="K529">
        <v>4</v>
      </c>
      <c r="L529">
        <v>256</v>
      </c>
      <c r="N529" t="str">
        <f t="shared" si="24"/>
        <v>NA</v>
      </c>
      <c r="O529">
        <v>4.007099999999987</v>
      </c>
      <c r="P529">
        <f t="shared" si="25"/>
        <v>4.007099999999987</v>
      </c>
      <c r="S529">
        <f t="shared" si="26"/>
        <v>1.6741533109999998</v>
      </c>
    </row>
    <row r="530" spans="1:19">
      <c r="A530" s="9">
        <v>41897</v>
      </c>
      <c r="B530" s="7" t="s">
        <v>19</v>
      </c>
      <c r="C530">
        <v>29</v>
      </c>
      <c r="D530" t="s">
        <v>17</v>
      </c>
      <c r="F530">
        <v>4.3099999999999996</v>
      </c>
      <c r="J530">
        <f>119+200+206+243+261+293+305</f>
        <v>1627</v>
      </c>
      <c r="K530">
        <v>7</v>
      </c>
      <c r="L530">
        <v>305</v>
      </c>
      <c r="N530" t="str">
        <f t="shared" si="24"/>
        <v>NA</v>
      </c>
      <c r="O530">
        <v>44.087899999999998</v>
      </c>
      <c r="P530">
        <f t="shared" si="25"/>
        <v>44.087899999999998</v>
      </c>
      <c r="S530">
        <f t="shared" si="26"/>
        <v>14.589622499749996</v>
      </c>
    </row>
    <row r="531" spans="1:19">
      <c r="A531" s="9">
        <v>41897</v>
      </c>
      <c r="B531" s="7" t="s">
        <v>19</v>
      </c>
      <c r="C531">
        <v>29</v>
      </c>
      <c r="D531" t="s">
        <v>17</v>
      </c>
      <c r="F531">
        <v>4.79</v>
      </c>
      <c r="J531">
        <f>117+154+211+266+277+295+320+320</f>
        <v>1960</v>
      </c>
      <c r="K531">
        <v>8</v>
      </c>
      <c r="L531">
        <v>320</v>
      </c>
      <c r="N531" t="str">
        <f t="shared" si="24"/>
        <v>NA</v>
      </c>
      <c r="O531">
        <v>61.779999999999987</v>
      </c>
      <c r="P531">
        <f t="shared" si="25"/>
        <v>61.779999999999987</v>
      </c>
      <c r="S531">
        <f t="shared" si="26"/>
        <v>18.020238779749999</v>
      </c>
    </row>
    <row r="532" spans="1:19">
      <c r="A532" s="9">
        <v>41897</v>
      </c>
      <c r="B532" s="7" t="s">
        <v>19</v>
      </c>
      <c r="C532">
        <v>44</v>
      </c>
      <c r="D532" t="s">
        <v>60</v>
      </c>
      <c r="E532">
        <v>245</v>
      </c>
      <c r="F532">
        <v>0.93</v>
      </c>
      <c r="N532">
        <f t="shared" si="24"/>
        <v>55.475374316250004</v>
      </c>
      <c r="O532">
        <v>9.0404999999999998</v>
      </c>
      <c r="P532">
        <f t="shared" si="25"/>
        <v>9.0404999999999998</v>
      </c>
      <c r="S532">
        <f t="shared" si="26"/>
        <v>0.67929029775000005</v>
      </c>
    </row>
    <row r="533" spans="1:19">
      <c r="A533" s="9">
        <v>41897</v>
      </c>
      <c r="B533" s="7" t="s">
        <v>19</v>
      </c>
      <c r="C533">
        <v>44</v>
      </c>
      <c r="D533" t="s">
        <v>17</v>
      </c>
      <c r="F533">
        <v>6</v>
      </c>
      <c r="J533">
        <f>152+205+283+288+322+331+344</f>
        <v>1925</v>
      </c>
      <c r="K533">
        <v>7</v>
      </c>
      <c r="L533">
        <v>344</v>
      </c>
      <c r="N533" t="str">
        <f t="shared" si="24"/>
        <v>NA</v>
      </c>
      <c r="O533">
        <v>57.568499999999979</v>
      </c>
      <c r="P533">
        <f t="shared" si="25"/>
        <v>57.568499999999979</v>
      </c>
      <c r="S533">
        <f t="shared" si="26"/>
        <v>28.27431</v>
      </c>
    </row>
    <row r="534" spans="1:19">
      <c r="A534" s="9">
        <v>41897</v>
      </c>
      <c r="B534" s="7" t="s">
        <v>19</v>
      </c>
      <c r="C534">
        <v>44</v>
      </c>
      <c r="D534" t="s">
        <v>17</v>
      </c>
      <c r="F534">
        <v>5.51</v>
      </c>
      <c r="J534">
        <f>266+296+330+344+431+446+445</f>
        <v>2558</v>
      </c>
      <c r="K534">
        <v>7</v>
      </c>
      <c r="L534">
        <v>446</v>
      </c>
      <c r="N534" t="str">
        <f t="shared" si="24"/>
        <v>NA</v>
      </c>
      <c r="O534">
        <v>83.06159999999997</v>
      </c>
      <c r="P534">
        <f t="shared" si="25"/>
        <v>83.06159999999997</v>
      </c>
      <c r="S534">
        <f t="shared" si="26"/>
        <v>23.844746639749999</v>
      </c>
    </row>
    <row r="535" spans="1:19">
      <c r="A535" s="9">
        <v>41897</v>
      </c>
      <c r="B535" s="7" t="s">
        <v>19</v>
      </c>
      <c r="C535">
        <v>44</v>
      </c>
      <c r="D535" t="s">
        <v>17</v>
      </c>
      <c r="F535">
        <v>7.02</v>
      </c>
      <c r="J535">
        <f>256+274+323+373+382+421+440+440+452</f>
        <v>3361</v>
      </c>
      <c r="K535">
        <v>9</v>
      </c>
      <c r="L535">
        <v>452</v>
      </c>
      <c r="N535" t="str">
        <f t="shared" si="24"/>
        <v>NA</v>
      </c>
      <c r="O535">
        <v>131.5197</v>
      </c>
      <c r="P535">
        <f t="shared" si="25"/>
        <v>131.5197</v>
      </c>
      <c r="S535">
        <f t="shared" si="26"/>
        <v>38.704702958999995</v>
      </c>
    </row>
    <row r="536" spans="1:19">
      <c r="A536" s="9">
        <v>41897</v>
      </c>
      <c r="B536" s="7" t="s">
        <v>19</v>
      </c>
      <c r="C536">
        <v>44</v>
      </c>
      <c r="D536" t="s">
        <v>17</v>
      </c>
      <c r="F536">
        <v>5.2</v>
      </c>
      <c r="J536">
        <f>198+249+293+310+317+387+388+411</f>
        <v>2553</v>
      </c>
      <c r="K536">
        <v>8</v>
      </c>
      <c r="L536">
        <v>411</v>
      </c>
      <c r="N536" t="str">
        <f t="shared" si="24"/>
        <v>NA</v>
      </c>
      <c r="O536">
        <v>86.409099999999995</v>
      </c>
      <c r="P536">
        <f t="shared" si="25"/>
        <v>86.409099999999995</v>
      </c>
      <c r="S536">
        <f t="shared" si="26"/>
        <v>21.237148400000002</v>
      </c>
    </row>
    <row r="537" spans="1:19">
      <c r="A537" s="9">
        <v>41897</v>
      </c>
      <c r="B537" s="7" t="s">
        <v>19</v>
      </c>
      <c r="C537">
        <v>45</v>
      </c>
      <c r="D537" t="s">
        <v>59</v>
      </c>
      <c r="E537">
        <v>203</v>
      </c>
      <c r="F537">
        <v>1.99</v>
      </c>
      <c r="N537">
        <f t="shared" si="24"/>
        <v>210.46042862308335</v>
      </c>
      <c r="O537">
        <v>7.4907000000000004</v>
      </c>
      <c r="P537">
        <f t="shared" si="25"/>
        <v>7.4907000000000004</v>
      </c>
      <c r="S537">
        <f t="shared" si="26"/>
        <v>3.1102526397500001</v>
      </c>
    </row>
    <row r="538" spans="1:19">
      <c r="A538" s="9">
        <v>41897</v>
      </c>
      <c r="B538" s="7" t="s">
        <v>19</v>
      </c>
      <c r="C538">
        <v>45</v>
      </c>
      <c r="D538" t="s">
        <v>60</v>
      </c>
      <c r="E538">
        <v>277</v>
      </c>
      <c r="F538">
        <v>1.18</v>
      </c>
      <c r="N538">
        <f t="shared" si="24"/>
        <v>100.97457722766664</v>
      </c>
      <c r="O538">
        <v>10.221300000000001</v>
      </c>
      <c r="P538">
        <f t="shared" si="25"/>
        <v>10.221300000000001</v>
      </c>
      <c r="S538">
        <f t="shared" si="26"/>
        <v>1.0935874789999998</v>
      </c>
    </row>
    <row r="539" spans="1:19">
      <c r="A539" s="9">
        <v>41897</v>
      </c>
      <c r="B539" s="7" t="s">
        <v>19</v>
      </c>
      <c r="C539">
        <v>45</v>
      </c>
      <c r="D539" t="s">
        <v>60</v>
      </c>
      <c r="E539">
        <v>182</v>
      </c>
      <c r="F539">
        <v>1.47</v>
      </c>
      <c r="N539">
        <f t="shared" si="24"/>
        <v>102.96137110349997</v>
      </c>
      <c r="O539">
        <v>6.7158000000000007</v>
      </c>
      <c r="P539">
        <f t="shared" si="25"/>
        <v>6.7158000000000007</v>
      </c>
      <c r="S539">
        <f t="shared" si="26"/>
        <v>1.6971654577499997</v>
      </c>
    </row>
    <row r="540" spans="1:19">
      <c r="A540" s="9">
        <v>41897</v>
      </c>
      <c r="B540" s="7" t="s">
        <v>19</v>
      </c>
      <c r="C540">
        <v>45</v>
      </c>
      <c r="D540" t="s">
        <v>60</v>
      </c>
      <c r="E540">
        <v>141</v>
      </c>
      <c r="F540">
        <v>0.91</v>
      </c>
      <c r="N540">
        <f t="shared" si="24"/>
        <v>30.568220478249998</v>
      </c>
      <c r="O540">
        <v>5.2029000000000005</v>
      </c>
      <c r="P540">
        <f t="shared" si="25"/>
        <v>5.2029000000000005</v>
      </c>
      <c r="S540">
        <f t="shared" si="26"/>
        <v>0.65038766975000006</v>
      </c>
    </row>
    <row r="541" spans="1:19">
      <c r="A541" s="9">
        <v>41897</v>
      </c>
      <c r="B541" s="7" t="s">
        <v>19</v>
      </c>
      <c r="C541">
        <v>45</v>
      </c>
      <c r="D541" t="s">
        <v>60</v>
      </c>
      <c r="E541">
        <v>152</v>
      </c>
      <c r="F541">
        <v>1.45</v>
      </c>
      <c r="N541">
        <f t="shared" si="24"/>
        <v>83.665777683333332</v>
      </c>
      <c r="O541">
        <v>5.6088000000000005</v>
      </c>
      <c r="P541">
        <f t="shared" si="25"/>
        <v>5.6088000000000005</v>
      </c>
      <c r="S541">
        <f t="shared" si="26"/>
        <v>1.6512982437499999</v>
      </c>
    </row>
    <row r="542" spans="1:19">
      <c r="A542" s="9">
        <v>41897</v>
      </c>
      <c r="B542" s="7" t="s">
        <v>19</v>
      </c>
      <c r="C542">
        <v>45</v>
      </c>
      <c r="D542" t="s">
        <v>60</v>
      </c>
      <c r="E542">
        <v>263</v>
      </c>
      <c r="F542">
        <v>1.1399999999999999</v>
      </c>
      <c r="N542">
        <f t="shared" si="24"/>
        <v>89.481593810999982</v>
      </c>
      <c r="O542">
        <v>9.7047000000000008</v>
      </c>
      <c r="P542">
        <f t="shared" si="25"/>
        <v>9.7047000000000008</v>
      </c>
      <c r="S542">
        <f t="shared" si="26"/>
        <v>1.0207025909999998</v>
      </c>
    </row>
    <row r="543" spans="1:19">
      <c r="A543" s="9">
        <v>41897</v>
      </c>
      <c r="B543" s="7" t="s">
        <v>19</v>
      </c>
      <c r="C543">
        <v>45</v>
      </c>
      <c r="D543" t="s">
        <v>60</v>
      </c>
      <c r="E543">
        <v>261</v>
      </c>
      <c r="F543">
        <v>2.34</v>
      </c>
      <c r="N543">
        <f t="shared" si="24"/>
        <v>374.14546193699988</v>
      </c>
      <c r="O543">
        <v>9.6309000000000005</v>
      </c>
      <c r="P543">
        <f t="shared" si="25"/>
        <v>9.6309000000000005</v>
      </c>
      <c r="S543">
        <f t="shared" si="26"/>
        <v>4.3005225509999994</v>
      </c>
    </row>
    <row r="544" spans="1:19">
      <c r="A544" s="9">
        <v>41897</v>
      </c>
      <c r="B544" s="7" t="s">
        <v>19</v>
      </c>
      <c r="C544">
        <v>45</v>
      </c>
      <c r="D544" t="s">
        <v>60</v>
      </c>
      <c r="E544">
        <v>340</v>
      </c>
      <c r="F544">
        <v>1.58</v>
      </c>
      <c r="N544">
        <f t="shared" si="24"/>
        <v>222.20884948666668</v>
      </c>
      <c r="O544">
        <v>12.546000000000001</v>
      </c>
      <c r="P544">
        <f t="shared" si="25"/>
        <v>12.546000000000001</v>
      </c>
      <c r="S544">
        <f t="shared" si="26"/>
        <v>1.9606663190000002</v>
      </c>
    </row>
    <row r="545" spans="1:19">
      <c r="A545" s="9">
        <v>41897</v>
      </c>
      <c r="B545" s="7" t="s">
        <v>19</v>
      </c>
      <c r="C545">
        <v>45</v>
      </c>
      <c r="D545" t="s">
        <v>60</v>
      </c>
      <c r="E545">
        <v>311</v>
      </c>
      <c r="F545">
        <v>2.4500000000000002</v>
      </c>
      <c r="N545">
        <f t="shared" si="24"/>
        <v>488.72079385208337</v>
      </c>
      <c r="O545">
        <v>11.475900000000001</v>
      </c>
      <c r="P545">
        <f t="shared" si="25"/>
        <v>11.475900000000001</v>
      </c>
      <c r="S545">
        <f t="shared" si="26"/>
        <v>4.7143484937500011</v>
      </c>
    </row>
    <row r="546" spans="1:19">
      <c r="A546" s="9">
        <v>41897</v>
      </c>
      <c r="B546" s="7" t="s">
        <v>19</v>
      </c>
      <c r="C546">
        <v>45</v>
      </c>
      <c r="D546" t="s">
        <v>60</v>
      </c>
      <c r="E546">
        <v>299</v>
      </c>
      <c r="F546">
        <v>1.87</v>
      </c>
      <c r="N546">
        <f t="shared" si="24"/>
        <v>273.73016626908333</v>
      </c>
      <c r="O546">
        <v>11.033100000000001</v>
      </c>
      <c r="P546">
        <f t="shared" si="25"/>
        <v>11.033100000000001</v>
      </c>
      <c r="S546">
        <f t="shared" si="26"/>
        <v>2.7464565177500004</v>
      </c>
    </row>
    <row r="547" spans="1:19">
      <c r="A547" s="9">
        <v>41897</v>
      </c>
      <c r="B547" s="7" t="s">
        <v>19</v>
      </c>
      <c r="C547">
        <v>45</v>
      </c>
      <c r="D547" t="s">
        <v>60</v>
      </c>
      <c r="E547">
        <v>121</v>
      </c>
      <c r="F547">
        <v>0.71</v>
      </c>
      <c r="N547">
        <f t="shared" si="24"/>
        <v>15.968728149916666</v>
      </c>
      <c r="O547">
        <v>4.4649000000000001</v>
      </c>
      <c r="P547">
        <f t="shared" si="25"/>
        <v>4.4649000000000001</v>
      </c>
      <c r="S547">
        <f t="shared" si="26"/>
        <v>0.39591887974999995</v>
      </c>
    </row>
    <row r="548" spans="1:19">
      <c r="A548" s="9">
        <v>41897</v>
      </c>
      <c r="B548" s="7" t="s">
        <v>19</v>
      </c>
      <c r="C548">
        <v>45</v>
      </c>
      <c r="D548" t="s">
        <v>60</v>
      </c>
      <c r="E548">
        <v>324</v>
      </c>
      <c r="F548">
        <v>1.49</v>
      </c>
      <c r="G548">
        <v>7</v>
      </c>
      <c r="N548">
        <f t="shared" si="24"/>
        <v>188.31538689299998</v>
      </c>
      <c r="O548">
        <v>18.525766285036799</v>
      </c>
      <c r="P548">
        <f t="shared" si="25"/>
        <v>18.525766285036799</v>
      </c>
      <c r="S548">
        <f t="shared" si="26"/>
        <v>1.7436609897499999</v>
      </c>
    </row>
    <row r="549" spans="1:19">
      <c r="A549" s="9">
        <v>41897</v>
      </c>
      <c r="B549" s="7" t="s">
        <v>19</v>
      </c>
      <c r="C549">
        <v>45</v>
      </c>
      <c r="D549" t="s">
        <v>60</v>
      </c>
      <c r="E549">
        <v>362</v>
      </c>
      <c r="F549">
        <v>1.34</v>
      </c>
      <c r="N549">
        <f t="shared" si="24"/>
        <v>170.17134328733334</v>
      </c>
      <c r="O549">
        <v>13.357800000000001</v>
      </c>
      <c r="P549">
        <f t="shared" si="25"/>
        <v>13.357800000000001</v>
      </c>
      <c r="S549">
        <f t="shared" si="26"/>
        <v>1.4102597510000001</v>
      </c>
    </row>
    <row r="550" spans="1:19">
      <c r="A550" s="9">
        <v>41897</v>
      </c>
      <c r="B550" s="7" t="s">
        <v>19</v>
      </c>
      <c r="C550">
        <v>45</v>
      </c>
      <c r="D550" t="s">
        <v>60</v>
      </c>
      <c r="E550">
        <v>367</v>
      </c>
      <c r="F550">
        <v>1.29</v>
      </c>
      <c r="G550">
        <v>6</v>
      </c>
      <c r="N550">
        <f t="shared" si="24"/>
        <v>159.88721752275001</v>
      </c>
      <c r="O550">
        <v>17.907403729310399</v>
      </c>
      <c r="P550">
        <f t="shared" si="25"/>
        <v>17.907403729310399</v>
      </c>
      <c r="S550">
        <f t="shared" si="26"/>
        <v>1.3069799797500001</v>
      </c>
    </row>
    <row r="551" spans="1:19">
      <c r="A551" s="9">
        <v>41897</v>
      </c>
      <c r="B551" s="7" t="s">
        <v>19</v>
      </c>
      <c r="C551">
        <v>45</v>
      </c>
      <c r="D551" t="s">
        <v>60</v>
      </c>
      <c r="E551">
        <v>168</v>
      </c>
      <c r="F551">
        <v>1.17</v>
      </c>
      <c r="N551">
        <f t="shared" si="24"/>
        <v>60.207315713999982</v>
      </c>
      <c r="O551">
        <v>6.1992000000000003</v>
      </c>
      <c r="P551">
        <f t="shared" si="25"/>
        <v>6.1992000000000003</v>
      </c>
      <c r="S551">
        <f t="shared" si="26"/>
        <v>1.0751306377499998</v>
      </c>
    </row>
    <row r="552" spans="1:19">
      <c r="A552" s="9">
        <v>41897</v>
      </c>
      <c r="B552" s="7" t="s">
        <v>19</v>
      </c>
      <c r="C552">
        <v>45</v>
      </c>
      <c r="D552" t="s">
        <v>60</v>
      </c>
      <c r="E552">
        <v>376</v>
      </c>
      <c r="F552">
        <v>1.21</v>
      </c>
      <c r="N552">
        <f t="shared" si="24"/>
        <v>144.12086012866664</v>
      </c>
      <c r="O552">
        <v>13.874400000000001</v>
      </c>
      <c r="P552">
        <f t="shared" si="25"/>
        <v>13.874400000000001</v>
      </c>
      <c r="S552">
        <f t="shared" si="26"/>
        <v>1.1499004797499999</v>
      </c>
    </row>
    <row r="553" spans="1:19">
      <c r="A553" s="9">
        <v>41897</v>
      </c>
      <c r="B553" s="7" t="s">
        <v>19</v>
      </c>
      <c r="C553">
        <v>45</v>
      </c>
      <c r="D553" t="s">
        <v>60</v>
      </c>
      <c r="E553">
        <v>217</v>
      </c>
      <c r="F553">
        <v>1.46</v>
      </c>
      <c r="N553">
        <f t="shared" si="24"/>
        <v>121.09708949566664</v>
      </c>
      <c r="O553">
        <v>8.0073000000000008</v>
      </c>
      <c r="P553">
        <f t="shared" si="25"/>
        <v>8.0073000000000008</v>
      </c>
      <c r="S553">
        <f t="shared" si="26"/>
        <v>1.6741533109999998</v>
      </c>
    </row>
    <row r="554" spans="1:19">
      <c r="A554" s="9">
        <v>41897</v>
      </c>
      <c r="B554" s="7" t="s">
        <v>19</v>
      </c>
      <c r="C554">
        <v>45</v>
      </c>
      <c r="D554" t="s">
        <v>60</v>
      </c>
      <c r="E554">
        <v>153</v>
      </c>
      <c r="F554">
        <v>1.06</v>
      </c>
      <c r="N554">
        <f t="shared" si="24"/>
        <v>45.006104181000005</v>
      </c>
      <c r="O554">
        <v>5.6457000000000006</v>
      </c>
      <c r="P554">
        <f t="shared" si="25"/>
        <v>5.6457000000000006</v>
      </c>
      <c r="S554">
        <f t="shared" si="26"/>
        <v>0.88247263100000006</v>
      </c>
    </row>
    <row r="555" spans="1:19">
      <c r="A555" s="9">
        <v>41897</v>
      </c>
      <c r="B555" s="7" t="s">
        <v>19</v>
      </c>
      <c r="C555">
        <v>45</v>
      </c>
      <c r="D555" t="s">
        <v>60</v>
      </c>
      <c r="E555">
        <v>323</v>
      </c>
      <c r="F555">
        <v>1.4</v>
      </c>
      <c r="N555">
        <f t="shared" si="24"/>
        <v>165.73981643333329</v>
      </c>
      <c r="O555">
        <v>11.918700000000001</v>
      </c>
      <c r="P555">
        <f t="shared" si="25"/>
        <v>11.918700000000001</v>
      </c>
      <c r="S555">
        <f t="shared" si="26"/>
        <v>1.5393790999999997</v>
      </c>
    </row>
    <row r="556" spans="1:19">
      <c r="A556" s="9">
        <v>41897</v>
      </c>
      <c r="B556" s="7" t="s">
        <v>19</v>
      </c>
      <c r="C556">
        <v>45</v>
      </c>
      <c r="D556" t="s">
        <v>58</v>
      </c>
      <c r="F556">
        <v>5.43</v>
      </c>
      <c r="J556">
        <f>145+231+250+280+320+331+325+330</f>
        <v>2212</v>
      </c>
      <c r="K556">
        <v>8</v>
      </c>
      <c r="L556">
        <v>330</v>
      </c>
      <c r="N556" t="str">
        <f t="shared" si="24"/>
        <v>NA</v>
      </c>
      <c r="O556">
        <v>76.948399999999964</v>
      </c>
      <c r="P556">
        <f t="shared" si="25"/>
        <v>76.948399999999964</v>
      </c>
      <c r="S556">
        <f t="shared" si="26"/>
        <v>23.157366747749997</v>
      </c>
    </row>
    <row r="557" spans="1:19">
      <c r="A557" s="9">
        <v>41897</v>
      </c>
      <c r="B557" s="7" t="s">
        <v>19</v>
      </c>
      <c r="C557">
        <v>45</v>
      </c>
      <c r="D557" t="s">
        <v>58</v>
      </c>
      <c r="F557">
        <v>4.4000000000000004</v>
      </c>
      <c r="J557">
        <f>164+216+272+297+368+376</f>
        <v>1693</v>
      </c>
      <c r="K557">
        <v>6</v>
      </c>
      <c r="L557">
        <v>376</v>
      </c>
      <c r="N557" t="str">
        <f t="shared" si="24"/>
        <v>NA</v>
      </c>
      <c r="O557">
        <v>38.90509999999999</v>
      </c>
      <c r="P557">
        <f t="shared" si="25"/>
        <v>38.90509999999999</v>
      </c>
      <c r="S557">
        <f t="shared" si="26"/>
        <v>15.205295600000001</v>
      </c>
    </row>
    <row r="558" spans="1:19">
      <c r="A558" s="9">
        <v>41897</v>
      </c>
      <c r="B558" s="7" t="s">
        <v>19</v>
      </c>
      <c r="C558">
        <v>45</v>
      </c>
      <c r="D558" t="s">
        <v>17</v>
      </c>
      <c r="F558">
        <v>2.33</v>
      </c>
      <c r="J558">
        <f>114+130+181+190+230+237</f>
        <v>1082</v>
      </c>
      <c r="K558">
        <v>6</v>
      </c>
      <c r="L558">
        <v>237</v>
      </c>
      <c r="N558" t="str">
        <f t="shared" si="24"/>
        <v>NA</v>
      </c>
      <c r="O558">
        <v>20.947399999999995</v>
      </c>
      <c r="P558">
        <f t="shared" si="25"/>
        <v>20.947399999999995</v>
      </c>
      <c r="S558">
        <f t="shared" si="26"/>
        <v>4.2638444877500001</v>
      </c>
    </row>
    <row r="559" spans="1:19">
      <c r="A559" s="9">
        <v>41897</v>
      </c>
      <c r="B559" s="7" t="s">
        <v>19</v>
      </c>
      <c r="C559">
        <v>45</v>
      </c>
      <c r="D559" t="s">
        <v>17</v>
      </c>
      <c r="F559">
        <v>1.6</v>
      </c>
      <c r="J559">
        <f>87+127+127+132+88</f>
        <v>561</v>
      </c>
      <c r="K559">
        <v>5</v>
      </c>
      <c r="L559">
        <v>132</v>
      </c>
      <c r="N559" t="str">
        <f t="shared" si="24"/>
        <v>NA</v>
      </c>
      <c r="O559">
        <v>5.4756999999999927</v>
      </c>
      <c r="P559">
        <f t="shared" si="25"/>
        <v>5.4756999999999927</v>
      </c>
      <c r="S559">
        <f t="shared" si="26"/>
        <v>2.0106176000000002</v>
      </c>
    </row>
    <row r="560" spans="1:19">
      <c r="A560" s="9">
        <v>41897</v>
      </c>
      <c r="B560" s="7" t="s">
        <v>19</v>
      </c>
      <c r="C560">
        <v>45</v>
      </c>
      <c r="D560" t="s">
        <v>17</v>
      </c>
      <c r="F560">
        <v>5.55</v>
      </c>
      <c r="J560">
        <f>241+250+302+347+375+383+390</f>
        <v>2288</v>
      </c>
      <c r="K560">
        <v>7</v>
      </c>
      <c r="L560">
        <v>390</v>
      </c>
      <c r="N560" t="str">
        <f t="shared" si="24"/>
        <v>NA</v>
      </c>
      <c r="O560">
        <v>74.236599999999981</v>
      </c>
      <c r="P560">
        <f t="shared" si="25"/>
        <v>74.236599999999981</v>
      </c>
      <c r="S560">
        <f t="shared" si="26"/>
        <v>24.192206493749996</v>
      </c>
    </row>
    <row r="561" spans="1:19">
      <c r="A561" s="9">
        <v>41897</v>
      </c>
      <c r="B561" s="7" t="s">
        <v>19</v>
      </c>
      <c r="C561">
        <v>45</v>
      </c>
      <c r="D561" t="s">
        <v>17</v>
      </c>
      <c r="F561">
        <v>3.58</v>
      </c>
      <c r="J561">
        <f>179+261+270+340+340+359+362+370</f>
        <v>2481</v>
      </c>
      <c r="K561">
        <v>8</v>
      </c>
      <c r="L561">
        <v>370</v>
      </c>
      <c r="N561" t="str">
        <f t="shared" si="24"/>
        <v>NA</v>
      </c>
      <c r="O561">
        <v>88.330699999999979</v>
      </c>
      <c r="P561">
        <f t="shared" si="25"/>
        <v>88.330699999999979</v>
      </c>
      <c r="S561">
        <f t="shared" si="26"/>
        <v>10.065968519</v>
      </c>
    </row>
    <row r="562" spans="1:19">
      <c r="A562" s="9">
        <v>41897</v>
      </c>
      <c r="B562" s="7" t="s">
        <v>19</v>
      </c>
      <c r="C562">
        <v>45</v>
      </c>
      <c r="D562" t="s">
        <v>17</v>
      </c>
      <c r="F562">
        <v>3.04</v>
      </c>
      <c r="J562">
        <f>82+115+236+280+289+294</f>
        <v>1296</v>
      </c>
      <c r="K562">
        <v>6</v>
      </c>
      <c r="L562">
        <v>294</v>
      </c>
      <c r="N562" t="str">
        <f t="shared" si="24"/>
        <v>NA</v>
      </c>
      <c r="O562">
        <v>25.87319999999999</v>
      </c>
      <c r="P562">
        <f t="shared" si="25"/>
        <v>25.87319999999999</v>
      </c>
      <c r="S562">
        <f t="shared" si="26"/>
        <v>7.2583295359999997</v>
      </c>
    </row>
    <row r="563" spans="1:19">
      <c r="A563" s="6"/>
    </row>
    <row r="564" spans="1:19">
      <c r="A564" s="9"/>
      <c r="Q564" s="7" t="s">
        <v>66</v>
      </c>
      <c r="S564">
        <f>SUM(S4:S562)</f>
        <v>4720.8346204639938</v>
      </c>
    </row>
    <row r="565" spans="1:19">
      <c r="A565" s="6"/>
    </row>
    <row r="566" spans="1:19">
      <c r="A566" s="9"/>
    </row>
    <row r="567" spans="1:19">
      <c r="A567" s="6"/>
    </row>
    <row r="568" spans="1:19">
      <c r="A568" s="10"/>
    </row>
    <row r="569" spans="1:19">
      <c r="A569" s="6"/>
    </row>
    <row r="570" spans="1:19">
      <c r="A570" s="10"/>
    </row>
    <row r="571" spans="1:19">
      <c r="A571" s="6"/>
    </row>
    <row r="572" spans="1:19">
      <c r="A572" s="6"/>
    </row>
    <row r="573" spans="1:19">
      <c r="A573" s="10"/>
    </row>
    <row r="574" spans="1:19">
      <c r="A574" s="10"/>
    </row>
    <row r="575" spans="1:19">
      <c r="A575" s="10"/>
    </row>
    <row r="576" spans="1:19">
      <c r="A576" s="6"/>
    </row>
    <row r="577" spans="1:1">
      <c r="A577" s="10"/>
    </row>
    <row r="578" spans="1:1">
      <c r="A578" s="6"/>
    </row>
    <row r="579" spans="1:1">
      <c r="A579" s="10"/>
    </row>
    <row r="580" spans="1:1">
      <c r="A580" s="6"/>
    </row>
    <row r="581" spans="1:1">
      <c r="A581" s="10"/>
    </row>
    <row r="582" spans="1:1">
      <c r="A582" s="6"/>
    </row>
    <row r="583" spans="1:1">
      <c r="A583" s="10"/>
    </row>
    <row r="584" spans="1:1">
      <c r="A584" s="10"/>
    </row>
    <row r="585" spans="1:1">
      <c r="A585" s="6"/>
    </row>
    <row r="586" spans="1:1">
      <c r="A586" s="10"/>
    </row>
    <row r="587" spans="1:1">
      <c r="A587" s="6"/>
    </row>
    <row r="588" spans="1:1">
      <c r="A588" s="6"/>
    </row>
    <row r="589" spans="1:1">
      <c r="A589" s="10"/>
    </row>
    <row r="590" spans="1:1">
      <c r="A590" s="6"/>
    </row>
    <row r="591" spans="1:1">
      <c r="A591" s="10"/>
    </row>
    <row r="592" spans="1:1">
      <c r="A592" s="6"/>
    </row>
    <row r="593" spans="1:1">
      <c r="A593" s="10"/>
    </row>
    <row r="594" spans="1:1">
      <c r="A594" s="6"/>
    </row>
    <row r="595" spans="1:1">
      <c r="A595" s="10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4">
      <c r="A609" s="9"/>
    </row>
    <row r="610" spans="1:4">
      <c r="A610" s="9"/>
    </row>
    <row r="611" spans="1:4">
      <c r="A611" s="9"/>
    </row>
    <row r="612" spans="1:4">
      <c r="A612" s="9"/>
    </row>
    <row r="613" spans="1:4">
      <c r="A613" s="9"/>
    </row>
    <row r="614" spans="1:4">
      <c r="A614" s="9"/>
    </row>
    <row r="615" spans="1:4">
      <c r="A615" s="9"/>
    </row>
    <row r="616" spans="1:4">
      <c r="A616" s="9"/>
      <c r="D616" s="8"/>
    </row>
    <row r="617" spans="1:4">
      <c r="A617" s="9"/>
    </row>
    <row r="618" spans="1:4">
      <c r="A618" s="9"/>
    </row>
    <row r="619" spans="1:4">
      <c r="A619" s="9"/>
      <c r="D619" s="8"/>
    </row>
    <row r="620" spans="1:4">
      <c r="A620" s="9"/>
    </row>
    <row r="621" spans="1:4">
      <c r="A621" s="9"/>
    </row>
    <row r="622" spans="1:4">
      <c r="A622" s="9"/>
    </row>
    <row r="623" spans="1:4">
      <c r="A623" s="9"/>
    </row>
    <row r="624" spans="1:4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</sheetData>
  <sortState ref="A4:O562">
    <sortCondition ref="B4:B562"/>
    <sortCondition ref="C4:C562"/>
    <sortCondition ref="D4:D562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Q1" workbookViewId="0">
      <pane ySplit="2940" topLeftCell="A42" activePane="bottomLeft"/>
      <selection pane="bottomLeft" activeCell="C53" sqref="C53"/>
    </sheetView>
  </sheetViews>
  <sheetFormatPr baseColWidth="10" defaultRowHeight="15" x14ac:dyDescent="0"/>
  <sheetData>
    <row r="1" spans="1:34" ht="20" thickBot="1">
      <c r="A1" s="42" t="s">
        <v>28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11"/>
      <c r="AA1" s="11"/>
    </row>
    <row r="2" spans="1:34" ht="99" thickTop="1">
      <c r="A2" s="12" t="s">
        <v>29</v>
      </c>
      <c r="B2" s="12" t="s">
        <v>4</v>
      </c>
      <c r="C2" s="4" t="s">
        <v>30</v>
      </c>
      <c r="D2" s="13" t="s">
        <v>31</v>
      </c>
      <c r="E2" s="12" t="s">
        <v>32</v>
      </c>
      <c r="F2" s="4" t="s">
        <v>33</v>
      </c>
      <c r="G2" s="4" t="s">
        <v>31</v>
      </c>
      <c r="H2" s="12" t="s">
        <v>34</v>
      </c>
      <c r="I2" s="4" t="s">
        <v>35</v>
      </c>
      <c r="J2" s="4" t="s">
        <v>31</v>
      </c>
      <c r="K2" s="12" t="s">
        <v>36</v>
      </c>
      <c r="L2" s="4" t="s">
        <v>37</v>
      </c>
      <c r="M2" s="14" t="s">
        <v>31</v>
      </c>
      <c r="N2" s="12" t="s">
        <v>38</v>
      </c>
      <c r="O2" s="4" t="s">
        <v>39</v>
      </c>
      <c r="P2" s="4" t="s">
        <v>31</v>
      </c>
      <c r="Q2" s="12" t="s">
        <v>40</v>
      </c>
      <c r="R2" s="4" t="s">
        <v>41</v>
      </c>
      <c r="S2" s="14" t="s">
        <v>31</v>
      </c>
      <c r="T2" s="12" t="s">
        <v>42</v>
      </c>
      <c r="U2" s="4" t="s">
        <v>43</v>
      </c>
      <c r="V2" s="4" t="s">
        <v>31</v>
      </c>
      <c r="W2" s="12" t="s">
        <v>44</v>
      </c>
      <c r="X2" s="12" t="s">
        <v>45</v>
      </c>
      <c r="Y2" s="12" t="s">
        <v>46</v>
      </c>
      <c r="Z2" s="12" t="s">
        <v>47</v>
      </c>
      <c r="AA2" s="12" t="s">
        <v>48</v>
      </c>
      <c r="AB2" s="12" t="s">
        <v>49</v>
      </c>
      <c r="AC2" s="12" t="s">
        <v>50</v>
      </c>
      <c r="AD2" s="12" t="s">
        <v>51</v>
      </c>
      <c r="AE2" s="12" t="s">
        <v>52</v>
      </c>
      <c r="AF2" s="15" t="s">
        <v>53</v>
      </c>
      <c r="AG2" s="15" t="s">
        <v>54</v>
      </c>
      <c r="AH2" s="15" t="s">
        <v>55</v>
      </c>
    </row>
    <row r="3" spans="1:34">
      <c r="A3" s="16" t="s">
        <v>23</v>
      </c>
      <c r="B3" s="17">
        <v>4</v>
      </c>
      <c r="C3" s="18"/>
      <c r="D3" s="19"/>
      <c r="E3" s="17">
        <f>C3*4</f>
        <v>0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Measurments'!O7:O8)</f>
        <v>335.70899999999995</v>
      </c>
      <c r="S3" s="20"/>
      <c r="T3" s="17">
        <f>R3*4</f>
        <v>1342.8359999999998</v>
      </c>
      <c r="U3" s="18">
        <f>SUM('Plant Measurments'!O4:O6)</f>
        <v>0</v>
      </c>
      <c r="V3" s="20"/>
      <c r="W3" s="17">
        <f>U3*4</f>
        <v>0</v>
      </c>
      <c r="X3" s="17">
        <f>SUM(W3,T3,Q3,N3,K3,H3,E3)</f>
        <v>1342.8359999999998</v>
      </c>
      <c r="Y3" s="21">
        <f>AVERAGE(X3:X7)</f>
        <v>1354.6250223420454</v>
      </c>
      <c r="Z3" s="22">
        <f>E3+Q3</f>
        <v>0</v>
      </c>
      <c r="AA3" s="22">
        <f>W3+T3</f>
        <v>1342.8359999999998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5648.9425804872717</v>
      </c>
    </row>
    <row r="4" spans="1:34">
      <c r="A4" s="23" t="s">
        <v>23</v>
      </c>
      <c r="B4" s="24">
        <v>12</v>
      </c>
      <c r="C4" s="25">
        <f>SUM('Plant Measurments'!O9:O10)</f>
        <v>11.40092739</v>
      </c>
      <c r="D4" s="26"/>
      <c r="E4" s="17">
        <f t="shared" ref="E4:E52" si="0">C4*4</f>
        <v>45.603709559999999</v>
      </c>
      <c r="F4" s="25"/>
      <c r="G4" s="27"/>
      <c r="H4" s="17">
        <f t="shared" ref="H4:H7" si="1">F4*4</f>
        <v>0</v>
      </c>
      <c r="I4" s="25"/>
      <c r="J4" s="27"/>
      <c r="K4" s="17">
        <f t="shared" ref="K4:K52" si="2">I4*4</f>
        <v>0</v>
      </c>
      <c r="L4" s="25"/>
      <c r="M4" s="27"/>
      <c r="N4" s="17">
        <f t="shared" ref="N4:N52" si="3">L4*4</f>
        <v>0</v>
      </c>
      <c r="O4" s="25"/>
      <c r="P4" s="27"/>
      <c r="Q4" s="17">
        <f t="shared" ref="Q4:Q52" si="4">O4*4</f>
        <v>0</v>
      </c>
      <c r="R4" s="25">
        <f>SUM('Plant Measurments'!O13)</f>
        <v>28.067999999999998</v>
      </c>
      <c r="S4" s="27"/>
      <c r="T4" s="17">
        <f t="shared" ref="T4:T52" si="5">R4*4</f>
        <v>112.27199999999999</v>
      </c>
      <c r="U4" s="25">
        <f>SUM('Plant Measurments'!O11:O12)</f>
        <v>78.756299999999996</v>
      </c>
      <c r="V4" s="27"/>
      <c r="W4" s="17">
        <f t="shared" ref="W4:W52" si="6">U4*4</f>
        <v>315.02519999999998</v>
      </c>
      <c r="X4" s="24">
        <f t="shared" ref="X4:X52" si="7">SUM(W4,T4,Q4,N4,K4,H4,E4)</f>
        <v>472.90090955999995</v>
      </c>
      <c r="Y4" s="28"/>
      <c r="Z4" s="22">
        <f t="shared" ref="Z4:Z52" si="8">E4+Q4</f>
        <v>45.603709559999999</v>
      </c>
      <c r="AA4" s="22">
        <f t="shared" ref="AA4:AA52" si="9">W4+T4</f>
        <v>427.29719999999998</v>
      </c>
      <c r="AB4">
        <f t="shared" ref="AB4:AB52" si="10">IF(X4&gt;0,(Q4+E4)/X4," ")</f>
        <v>9.6433964575012021E-2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0.90356603542498803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1989.3643634551386</v>
      </c>
    </row>
    <row r="5" spans="1:34">
      <c r="A5" s="23" t="s">
        <v>23</v>
      </c>
      <c r="B5" s="24">
        <v>16</v>
      </c>
      <c r="C5" s="25">
        <f>SUM('Plant Measurments'!O14:O35)</f>
        <v>179.009710537557</v>
      </c>
      <c r="D5" s="26"/>
      <c r="E5" s="17">
        <f t="shared" si="0"/>
        <v>716.03884215022799</v>
      </c>
      <c r="F5" s="25"/>
      <c r="G5" s="27"/>
      <c r="H5" s="17">
        <f t="shared" si="1"/>
        <v>0</v>
      </c>
      <c r="I5" s="25"/>
      <c r="J5" s="27"/>
      <c r="K5" s="17">
        <f t="shared" si="2"/>
        <v>0</v>
      </c>
      <c r="L5" s="25"/>
      <c r="M5" s="27"/>
      <c r="N5" s="17">
        <f t="shared" si="3"/>
        <v>0</v>
      </c>
      <c r="O5" s="25"/>
      <c r="P5" s="27"/>
      <c r="Q5" s="17">
        <f t="shared" si="4"/>
        <v>0</v>
      </c>
      <c r="R5" s="25">
        <f>SUM('Plant Measurments'!O40)</f>
        <v>83.548299999999983</v>
      </c>
      <c r="S5" s="27"/>
      <c r="T5" s="17">
        <f t="shared" si="5"/>
        <v>334.19319999999993</v>
      </c>
      <c r="U5" s="25">
        <f>SUM('Plant Measurments'!O36:O39)</f>
        <v>109.67976999999999</v>
      </c>
      <c r="V5" s="27"/>
      <c r="W5" s="17">
        <f t="shared" si="6"/>
        <v>438.71907999999996</v>
      </c>
      <c r="X5" s="24">
        <f t="shared" si="7"/>
        <v>1488.951122150228</v>
      </c>
      <c r="Y5" s="28"/>
      <c r="Z5" s="22">
        <f t="shared" si="8"/>
        <v>716.03884215022799</v>
      </c>
      <c r="AA5" s="22">
        <f t="shared" si="9"/>
        <v>772.9122799999999</v>
      </c>
      <c r="AB5">
        <f t="shared" si="10"/>
        <v>0.48090150945732868</v>
      </c>
      <c r="AC5">
        <f t="shared" si="11"/>
        <v>0</v>
      </c>
      <c r="AD5">
        <f t="shared" si="12"/>
        <v>0</v>
      </c>
      <c r="AE5">
        <f t="shared" si="13"/>
        <v>0.51909849054267121</v>
      </c>
      <c r="AF5">
        <f t="shared" si="14"/>
        <v>21033.62801</v>
      </c>
      <c r="AG5">
        <f t="shared" si="15"/>
        <v>4206.7256020000004</v>
      </c>
      <c r="AH5">
        <f t="shared" si="16"/>
        <v>6263.6088056759936</v>
      </c>
    </row>
    <row r="6" spans="1:34">
      <c r="A6" s="23" t="s">
        <v>23</v>
      </c>
      <c r="B6" s="24">
        <v>38</v>
      </c>
      <c r="C6" s="25"/>
      <c r="D6" s="26"/>
      <c r="E6" s="17">
        <f t="shared" si="0"/>
        <v>0</v>
      </c>
      <c r="F6" s="25"/>
      <c r="G6" s="27"/>
      <c r="H6" s="17">
        <f t="shared" si="1"/>
        <v>0</v>
      </c>
      <c r="I6" s="25"/>
      <c r="J6" s="27"/>
      <c r="K6" s="17">
        <f t="shared" si="2"/>
        <v>0</v>
      </c>
      <c r="L6" s="25"/>
      <c r="M6" s="27"/>
      <c r="N6" s="17">
        <f t="shared" si="3"/>
        <v>0</v>
      </c>
      <c r="O6" s="25"/>
      <c r="P6" s="27"/>
      <c r="Q6" s="17">
        <f t="shared" si="4"/>
        <v>0</v>
      </c>
      <c r="R6" s="25"/>
      <c r="S6" s="27"/>
      <c r="T6" s="17">
        <f t="shared" si="5"/>
        <v>0</v>
      </c>
      <c r="U6" s="25">
        <f>SUM('Plant Measurments'!O41:O60)</f>
        <v>666.44986999999992</v>
      </c>
      <c r="V6" s="27"/>
      <c r="W6" s="17">
        <f t="shared" si="6"/>
        <v>2665.7994799999997</v>
      </c>
      <c r="X6" s="24">
        <f t="shared" si="7"/>
        <v>2665.7994799999997</v>
      </c>
      <c r="Y6" s="28"/>
      <c r="Z6" s="22">
        <f t="shared" si="8"/>
        <v>0</v>
      </c>
      <c r="AA6" s="22">
        <f t="shared" si="9"/>
        <v>2665.7994799999997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11214.286922314286</v>
      </c>
    </row>
    <row r="7" spans="1:34">
      <c r="A7" s="29" t="s">
        <v>23</v>
      </c>
      <c r="B7" s="30">
        <v>46</v>
      </c>
      <c r="C7" s="31"/>
      <c r="D7" s="32"/>
      <c r="E7" s="17">
        <f t="shared" si="0"/>
        <v>0</v>
      </c>
      <c r="F7" s="31"/>
      <c r="G7" s="33"/>
      <c r="H7" s="17">
        <f t="shared" si="1"/>
        <v>0</v>
      </c>
      <c r="I7" s="31"/>
      <c r="J7" s="33"/>
      <c r="K7" s="17">
        <f t="shared" si="2"/>
        <v>0</v>
      </c>
      <c r="L7" s="31"/>
      <c r="M7" s="33"/>
      <c r="N7" s="17">
        <f t="shared" si="3"/>
        <v>0</v>
      </c>
      <c r="O7" s="31"/>
      <c r="P7" s="33"/>
      <c r="Q7" s="17">
        <f t="shared" si="4"/>
        <v>0</v>
      </c>
      <c r="R7" s="31">
        <f>SUM('Plant Measurments'!O61:O63)</f>
        <v>200.65939999999995</v>
      </c>
      <c r="S7" s="33"/>
      <c r="T7" s="17">
        <f t="shared" si="5"/>
        <v>802.63759999999979</v>
      </c>
      <c r="U7" s="31"/>
      <c r="V7" s="33"/>
      <c r="W7" s="17">
        <f t="shared" si="6"/>
        <v>0</v>
      </c>
      <c r="X7" s="30">
        <f t="shared" si="7"/>
        <v>802.63759999999979</v>
      </c>
      <c r="Y7" s="34"/>
      <c r="Z7" s="22">
        <f t="shared" si="8"/>
        <v>0</v>
      </c>
      <c r="AA7" s="22">
        <f t="shared" si="9"/>
        <v>802.63759999999979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3376.476141047835</v>
      </c>
    </row>
    <row r="8" spans="1:34">
      <c r="A8" s="16" t="s">
        <v>26</v>
      </c>
      <c r="B8" s="17">
        <v>2</v>
      </c>
      <c r="C8" s="18">
        <f>SUM('Plant Measurments'!O64:O81)</f>
        <v>141.11887528799997</v>
      </c>
      <c r="D8" s="19"/>
      <c r="E8" s="17">
        <f t="shared" si="0"/>
        <v>564.47550115199988</v>
      </c>
      <c r="F8" s="18"/>
      <c r="G8" s="20"/>
      <c r="H8" s="17"/>
      <c r="I8" s="18"/>
      <c r="J8" s="20"/>
      <c r="K8" s="17">
        <f t="shared" si="2"/>
        <v>0</v>
      </c>
      <c r="L8" s="18"/>
      <c r="M8" s="20"/>
      <c r="N8" s="17">
        <f t="shared" si="3"/>
        <v>0</v>
      </c>
      <c r="O8" s="18"/>
      <c r="P8" s="20"/>
      <c r="Q8" s="17">
        <f t="shared" si="4"/>
        <v>0</v>
      </c>
      <c r="R8" s="18">
        <f>SUM('Plant Measurments'!O82:O87)</f>
        <v>54.924199999999971</v>
      </c>
      <c r="S8" s="20"/>
      <c r="T8" s="17">
        <f t="shared" si="5"/>
        <v>219.69679999999988</v>
      </c>
      <c r="U8" s="18"/>
      <c r="V8" s="20"/>
      <c r="W8" s="17">
        <f t="shared" si="6"/>
        <v>0</v>
      </c>
      <c r="X8" s="17">
        <f t="shared" si="7"/>
        <v>784.17230115199982</v>
      </c>
      <c r="Y8" s="21">
        <f>AVERAGE(X8:X12)</f>
        <v>564.84151623039998</v>
      </c>
      <c r="Z8" s="22">
        <f t="shared" si="8"/>
        <v>564.47550115199988</v>
      </c>
      <c r="AA8" s="22">
        <f t="shared" si="9"/>
        <v>219.69679999999988</v>
      </c>
      <c r="AB8">
        <f t="shared" si="10"/>
        <v>0.71983606195060557</v>
      </c>
      <c r="AC8">
        <f t="shared" si="11"/>
        <v>0</v>
      </c>
      <c r="AD8">
        <f t="shared" si="12"/>
        <v>0</v>
      </c>
      <c r="AE8">
        <f t="shared" si="13"/>
        <v>0.28016393804939432</v>
      </c>
      <c r="AF8">
        <f t="shared" si="14"/>
        <v>21033.62801</v>
      </c>
      <c r="AG8">
        <f t="shared" si="15"/>
        <v>4206.7256020000004</v>
      </c>
      <c r="AH8">
        <f t="shared" si="16"/>
        <v>3298.7976956353718</v>
      </c>
    </row>
    <row r="9" spans="1:34">
      <c r="A9" s="23" t="s">
        <v>26</v>
      </c>
      <c r="B9" s="24">
        <v>16</v>
      </c>
      <c r="C9" s="25"/>
      <c r="D9" s="26"/>
      <c r="E9" s="17">
        <f t="shared" si="0"/>
        <v>0</v>
      </c>
      <c r="F9" s="25"/>
      <c r="G9" s="27"/>
      <c r="H9" s="24">
        <f>F9*4</f>
        <v>0</v>
      </c>
      <c r="I9" s="25"/>
      <c r="J9" s="27"/>
      <c r="K9" s="17">
        <f t="shared" si="2"/>
        <v>0</v>
      </c>
      <c r="L9" s="25"/>
      <c r="M9" s="27"/>
      <c r="N9" s="17">
        <f t="shared" si="3"/>
        <v>0</v>
      </c>
      <c r="O9" s="25"/>
      <c r="P9" s="27"/>
      <c r="Q9" s="17">
        <f t="shared" si="4"/>
        <v>0</v>
      </c>
      <c r="R9" s="25">
        <f>'Plant Measurments'!O88</f>
        <v>94.230799999999988</v>
      </c>
      <c r="S9" s="27"/>
      <c r="T9" s="17">
        <f t="shared" si="5"/>
        <v>376.92319999999995</v>
      </c>
      <c r="U9" s="25"/>
      <c r="V9" s="27"/>
      <c r="W9" s="17">
        <f t="shared" si="6"/>
        <v>0</v>
      </c>
      <c r="X9" s="24">
        <f>SUM(W9,T9,Q9,N9,K9,H9,E9)</f>
        <v>376.92319999999995</v>
      </c>
      <c r="Y9" s="28"/>
      <c r="Z9" s="22">
        <f t="shared" si="8"/>
        <v>0</v>
      </c>
      <c r="AA9" s="22">
        <f t="shared" si="9"/>
        <v>376.92319999999995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1585.6124754277664</v>
      </c>
    </row>
    <row r="10" spans="1:34">
      <c r="A10" s="23" t="s">
        <v>26</v>
      </c>
      <c r="B10" s="24">
        <v>20</v>
      </c>
      <c r="C10" s="25"/>
      <c r="D10" s="26"/>
      <c r="E10" s="17">
        <f t="shared" si="0"/>
        <v>0</v>
      </c>
      <c r="F10" s="25"/>
      <c r="G10" s="27"/>
      <c r="H10" s="24">
        <f t="shared" ref="H10:H42" si="17">F10*4</f>
        <v>0</v>
      </c>
      <c r="I10" s="25"/>
      <c r="J10" s="27"/>
      <c r="K10" s="17">
        <f t="shared" si="2"/>
        <v>0</v>
      </c>
      <c r="L10" s="25"/>
      <c r="M10" s="27"/>
      <c r="N10" s="17">
        <f t="shared" si="3"/>
        <v>0</v>
      </c>
      <c r="O10" s="25"/>
      <c r="P10" s="27"/>
      <c r="Q10" s="17">
        <f t="shared" si="4"/>
        <v>0</v>
      </c>
      <c r="R10" s="25"/>
      <c r="S10" s="27"/>
      <c r="T10" s="17">
        <f t="shared" si="5"/>
        <v>0</v>
      </c>
      <c r="U10" s="25"/>
      <c r="V10" s="27"/>
      <c r="W10" s="17">
        <f t="shared" si="6"/>
        <v>0</v>
      </c>
      <c r="X10" s="24">
        <f t="shared" si="7"/>
        <v>0</v>
      </c>
      <c r="Y10" s="28"/>
      <c r="Z10" s="22">
        <f t="shared" si="8"/>
        <v>0</v>
      </c>
      <c r="AA10" s="22">
        <f t="shared" si="9"/>
        <v>0</v>
      </c>
      <c r="AB10" t="str">
        <f t="shared" si="10"/>
        <v xml:space="preserve"> </v>
      </c>
      <c r="AC10" t="str">
        <f t="shared" si="11"/>
        <v xml:space="preserve"> </v>
      </c>
      <c r="AD10" t="str">
        <f t="shared" si="12"/>
        <v xml:space="preserve"> </v>
      </c>
      <c r="AE10" t="str">
        <f t="shared" si="13"/>
        <v xml:space="preserve"> </v>
      </c>
      <c r="AF10">
        <f t="shared" si="14"/>
        <v>21033.62801</v>
      </c>
      <c r="AG10">
        <f t="shared" si="15"/>
        <v>4206.7256020000004</v>
      </c>
      <c r="AH10">
        <f t="shared" si="16"/>
        <v>0</v>
      </c>
    </row>
    <row r="11" spans="1:34">
      <c r="A11" s="23" t="s">
        <v>26</v>
      </c>
      <c r="B11" s="24">
        <v>22</v>
      </c>
      <c r="C11" s="25"/>
      <c r="D11" s="26"/>
      <c r="E11" s="17">
        <f t="shared" si="0"/>
        <v>0</v>
      </c>
      <c r="F11" s="25"/>
      <c r="G11" s="27"/>
      <c r="H11" s="24">
        <f t="shared" si="17"/>
        <v>0</v>
      </c>
      <c r="I11" s="25"/>
      <c r="J11" s="27"/>
      <c r="K11" s="17">
        <f t="shared" si="2"/>
        <v>0</v>
      </c>
      <c r="L11" s="25"/>
      <c r="M11" s="27"/>
      <c r="N11" s="17">
        <f t="shared" si="3"/>
        <v>0</v>
      </c>
      <c r="O11" s="25"/>
      <c r="P11" s="27"/>
      <c r="Q11" s="17">
        <f t="shared" si="4"/>
        <v>0</v>
      </c>
      <c r="R11" s="25">
        <f>SUM('Plant Measurments'!O90:O95)</f>
        <v>123.39291999999999</v>
      </c>
      <c r="S11" s="27"/>
      <c r="T11" s="17">
        <f t="shared" si="5"/>
        <v>493.57167999999996</v>
      </c>
      <c r="U11" s="25"/>
      <c r="V11" s="27"/>
      <c r="W11" s="17">
        <f t="shared" si="6"/>
        <v>0</v>
      </c>
      <c r="X11" s="24">
        <f t="shared" si="7"/>
        <v>493.57167999999996</v>
      </c>
      <c r="Y11" s="28"/>
      <c r="Z11" s="22">
        <f t="shared" si="8"/>
        <v>0</v>
      </c>
      <c r="AA11" s="22">
        <f t="shared" si="9"/>
        <v>493.57167999999996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2076.3206226781513</v>
      </c>
    </row>
    <row r="12" spans="1:34">
      <c r="A12" s="29" t="s">
        <v>26</v>
      </c>
      <c r="B12" s="30">
        <v>47</v>
      </c>
      <c r="C12" s="31"/>
      <c r="D12" s="32"/>
      <c r="E12" s="17">
        <f t="shared" si="0"/>
        <v>0</v>
      </c>
      <c r="F12" s="31"/>
      <c r="G12" s="33"/>
      <c r="H12" s="24">
        <f t="shared" si="17"/>
        <v>0</v>
      </c>
      <c r="I12" s="31"/>
      <c r="J12" s="33"/>
      <c r="K12" s="17">
        <f t="shared" si="2"/>
        <v>0</v>
      </c>
      <c r="L12" s="31"/>
      <c r="M12" s="33"/>
      <c r="N12" s="17">
        <f t="shared" si="3"/>
        <v>0</v>
      </c>
      <c r="O12" s="31"/>
      <c r="P12" s="33"/>
      <c r="Q12" s="17">
        <f t="shared" si="4"/>
        <v>0</v>
      </c>
      <c r="R12" s="31">
        <f>SUM('Plant Measurments'!O96:O100)</f>
        <v>292.38509999999997</v>
      </c>
      <c r="S12" s="33"/>
      <c r="T12" s="17">
        <f t="shared" si="5"/>
        <v>1169.5403999999999</v>
      </c>
      <c r="U12" s="31"/>
      <c r="V12" s="33"/>
      <c r="W12" s="17">
        <f t="shared" si="6"/>
        <v>0</v>
      </c>
      <c r="X12" s="30">
        <f t="shared" si="7"/>
        <v>1169.5403999999999</v>
      </c>
      <c r="Y12" s="34"/>
      <c r="Z12" s="22">
        <f t="shared" si="8"/>
        <v>0</v>
      </c>
      <c r="AA12" s="22">
        <f t="shared" si="9"/>
        <v>1169.5403999999999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4919.9355432533202</v>
      </c>
    </row>
    <row r="13" spans="1:34">
      <c r="A13" s="35" t="s">
        <v>18</v>
      </c>
      <c r="B13" s="36">
        <v>19</v>
      </c>
      <c r="C13" s="18">
        <f>SUM('Plant Measurments'!O101:O115)</f>
        <v>394.74479999999994</v>
      </c>
      <c r="D13" s="19"/>
      <c r="E13" s="17">
        <f t="shared" si="0"/>
        <v>1578.9791999999998</v>
      </c>
      <c r="F13" s="18"/>
      <c r="G13" s="20"/>
      <c r="H13" s="24">
        <f t="shared" si="17"/>
        <v>0</v>
      </c>
      <c r="I13" s="18"/>
      <c r="J13" s="20"/>
      <c r="K13" s="17">
        <f t="shared" si="2"/>
        <v>0</v>
      </c>
      <c r="L13" s="18"/>
      <c r="M13" s="20"/>
      <c r="N13" s="17">
        <f t="shared" si="3"/>
        <v>0</v>
      </c>
      <c r="O13" s="18"/>
      <c r="P13" s="20"/>
      <c r="Q13" s="17">
        <f t="shared" si="4"/>
        <v>0</v>
      </c>
      <c r="R13" s="18">
        <f>SUM('Plant Measurments'!O107:O115)</f>
        <v>349.06259999999997</v>
      </c>
      <c r="S13" s="20"/>
      <c r="T13" s="17">
        <f t="shared" si="5"/>
        <v>1396.2503999999999</v>
      </c>
      <c r="U13" s="18"/>
      <c r="V13" s="20"/>
      <c r="W13" s="17">
        <f t="shared" si="6"/>
        <v>0</v>
      </c>
      <c r="X13" s="17">
        <f t="shared" si="7"/>
        <v>2975.2295999999997</v>
      </c>
      <c r="Y13" s="21">
        <f>AVERAGE(X13:X17)</f>
        <v>1750.1274719999997</v>
      </c>
      <c r="Z13" s="22">
        <f t="shared" si="8"/>
        <v>1578.9791999999998</v>
      </c>
      <c r="AA13" s="22">
        <f t="shared" si="9"/>
        <v>1396.2503999999999</v>
      </c>
      <c r="AB13">
        <f t="shared" si="10"/>
        <v>0.53070835272679462</v>
      </c>
      <c r="AC13">
        <f t="shared" si="11"/>
        <v>0</v>
      </c>
      <c r="AD13">
        <f t="shared" si="12"/>
        <v>0</v>
      </c>
      <c r="AE13">
        <f t="shared" si="13"/>
        <v>0.46929164727320544</v>
      </c>
      <c r="AF13">
        <f t="shared" si="14"/>
        <v>21033.62801</v>
      </c>
      <c r="AG13">
        <f t="shared" si="15"/>
        <v>4206.7256020000004</v>
      </c>
      <c r="AH13">
        <f t="shared" si="16"/>
        <v>12515.97453014822</v>
      </c>
    </row>
    <row r="14" spans="1:34">
      <c r="A14" s="23" t="s">
        <v>18</v>
      </c>
      <c r="B14" s="24">
        <v>20</v>
      </c>
      <c r="C14" s="25">
        <f>SUM('Plant Measurments'!O116:O128)</f>
        <v>124.6482</v>
      </c>
      <c r="D14" s="26"/>
      <c r="E14" s="17">
        <f t="shared" si="0"/>
        <v>498.59280000000001</v>
      </c>
      <c r="F14" s="25"/>
      <c r="G14" s="27"/>
      <c r="H14" s="24">
        <f t="shared" si="17"/>
        <v>0</v>
      </c>
      <c r="I14" s="25"/>
      <c r="J14" s="27"/>
      <c r="K14" s="17">
        <f t="shared" si="2"/>
        <v>0</v>
      </c>
      <c r="L14" s="25"/>
      <c r="M14" s="27"/>
      <c r="N14" s="17">
        <f t="shared" si="3"/>
        <v>0</v>
      </c>
      <c r="O14" s="25"/>
      <c r="P14" s="27"/>
      <c r="Q14" s="17">
        <f t="shared" si="4"/>
        <v>0</v>
      </c>
      <c r="R14" s="25">
        <f>SUM('Plant Measurments'!O129:O139)</f>
        <v>359.05833999999993</v>
      </c>
      <c r="S14" s="27"/>
      <c r="T14" s="17">
        <f t="shared" si="5"/>
        <v>1436.2333599999997</v>
      </c>
      <c r="U14" s="25"/>
      <c r="V14" s="27"/>
      <c r="W14" s="17">
        <f t="shared" si="6"/>
        <v>0</v>
      </c>
      <c r="X14" s="24">
        <f t="shared" si="7"/>
        <v>1934.8261599999996</v>
      </c>
      <c r="Y14" s="28"/>
      <c r="Z14" s="22">
        <f t="shared" si="8"/>
        <v>498.59280000000001</v>
      </c>
      <c r="AA14" s="22">
        <f t="shared" si="9"/>
        <v>1436.2333599999997</v>
      </c>
      <c r="AB14">
        <f t="shared" si="10"/>
        <v>0.25769384883652807</v>
      </c>
      <c r="AC14">
        <f t="shared" si="11"/>
        <v>0</v>
      </c>
      <c r="AD14">
        <f t="shared" si="12"/>
        <v>0</v>
      </c>
      <c r="AE14">
        <f t="shared" si="13"/>
        <v>0.74230615116347198</v>
      </c>
      <c r="AF14">
        <f t="shared" si="14"/>
        <v>21033.62801</v>
      </c>
      <c r="AG14">
        <f t="shared" si="15"/>
        <v>4206.7256020000004</v>
      </c>
      <c r="AH14">
        <f t="shared" si="16"/>
        <v>8139.2827426913473</v>
      </c>
    </row>
    <row r="15" spans="1:34">
      <c r="A15" s="23" t="s">
        <v>18</v>
      </c>
      <c r="B15" s="24">
        <v>21</v>
      </c>
      <c r="C15" s="25">
        <f>SUM('Plant Measurments'!O140:O142)</f>
        <v>30.996000000000002</v>
      </c>
      <c r="D15" s="26"/>
      <c r="E15" s="17">
        <f t="shared" si="0"/>
        <v>123.98400000000001</v>
      </c>
      <c r="F15" s="25"/>
      <c r="G15" s="27"/>
      <c r="H15" s="24">
        <f t="shared" si="17"/>
        <v>0</v>
      </c>
      <c r="I15" s="25"/>
      <c r="J15" s="27"/>
      <c r="K15" s="17">
        <f t="shared" si="2"/>
        <v>0</v>
      </c>
      <c r="L15" s="25"/>
      <c r="M15" s="27"/>
      <c r="N15" s="17">
        <f t="shared" si="3"/>
        <v>0</v>
      </c>
      <c r="O15" s="25"/>
      <c r="P15" s="27"/>
      <c r="Q15" s="17">
        <f t="shared" si="4"/>
        <v>0</v>
      </c>
      <c r="R15" s="25">
        <f>SUM('Plant Measurments'!O143:O151)</f>
        <v>204.02559999999994</v>
      </c>
      <c r="S15" s="27"/>
      <c r="T15" s="17">
        <f t="shared" si="5"/>
        <v>816.10239999999976</v>
      </c>
      <c r="U15" s="25"/>
      <c r="V15" s="27"/>
      <c r="W15" s="17">
        <f t="shared" si="6"/>
        <v>0</v>
      </c>
      <c r="X15" s="24">
        <f t="shared" si="7"/>
        <v>940.0863999999998</v>
      </c>
      <c r="Y15" s="28"/>
      <c r="Z15" s="22">
        <f t="shared" si="8"/>
        <v>123.98400000000001</v>
      </c>
      <c r="AA15" s="22">
        <f t="shared" si="9"/>
        <v>816.10239999999976</v>
      </c>
      <c r="AB15">
        <f t="shared" si="10"/>
        <v>0.13188575007573775</v>
      </c>
      <c r="AC15">
        <f t="shared" si="11"/>
        <v>0</v>
      </c>
      <c r="AD15">
        <f t="shared" si="12"/>
        <v>0</v>
      </c>
      <c r="AE15">
        <f t="shared" si="13"/>
        <v>0.86811424992426223</v>
      </c>
      <c r="AF15">
        <f t="shared" si="14"/>
        <v>21033.62801</v>
      </c>
      <c r="AG15">
        <f t="shared" si="15"/>
        <v>4206.7256020000004</v>
      </c>
      <c r="AH15">
        <f t="shared" si="16"/>
        <v>3954.6855269720127</v>
      </c>
    </row>
    <row r="16" spans="1:34">
      <c r="A16" s="23" t="s">
        <v>18</v>
      </c>
      <c r="B16" s="24">
        <v>27</v>
      </c>
      <c r="C16" s="25">
        <f>SUM('Plant Measurments'!O152:O158)</f>
        <v>67.822200000000009</v>
      </c>
      <c r="D16" s="26"/>
      <c r="E16" s="17">
        <f t="shared" si="0"/>
        <v>271.28880000000004</v>
      </c>
      <c r="F16" s="25"/>
      <c r="G16" s="27"/>
      <c r="H16" s="24">
        <f t="shared" si="17"/>
        <v>0</v>
      </c>
      <c r="I16" s="25"/>
      <c r="J16" s="27"/>
      <c r="K16" s="17">
        <f t="shared" si="2"/>
        <v>0</v>
      </c>
      <c r="L16" s="25"/>
      <c r="M16" s="27"/>
      <c r="N16" s="17">
        <f t="shared" si="3"/>
        <v>0</v>
      </c>
      <c r="O16" s="25"/>
      <c r="P16" s="27"/>
      <c r="Q16" s="17">
        <f t="shared" si="4"/>
        <v>0</v>
      </c>
      <c r="R16" s="25">
        <f>SUM('Plant Measurments'!O159:O169)</f>
        <v>536.1588999999999</v>
      </c>
      <c r="S16" s="27"/>
      <c r="T16" s="17">
        <f t="shared" si="5"/>
        <v>2144.6355999999996</v>
      </c>
      <c r="U16" s="25"/>
      <c r="V16" s="27"/>
      <c r="W16" s="17">
        <f t="shared" si="6"/>
        <v>0</v>
      </c>
      <c r="X16" s="24">
        <f t="shared" si="7"/>
        <v>2415.9243999999999</v>
      </c>
      <c r="Y16" s="28"/>
      <c r="Z16" s="22">
        <f t="shared" si="8"/>
        <v>271.28880000000004</v>
      </c>
      <c r="AA16" s="22">
        <f t="shared" si="9"/>
        <v>2144.6355999999996</v>
      </c>
      <c r="AB16">
        <f t="shared" si="10"/>
        <v>0.11229192436650752</v>
      </c>
      <c r="AC16">
        <f t="shared" si="11"/>
        <v>0</v>
      </c>
      <c r="AD16">
        <f t="shared" si="12"/>
        <v>0</v>
      </c>
      <c r="AE16">
        <f t="shared" si="13"/>
        <v>0.88770807563349241</v>
      </c>
      <c r="AF16">
        <f t="shared" si="14"/>
        <v>21033.62801</v>
      </c>
      <c r="AG16">
        <f t="shared" si="15"/>
        <v>4206.7256020000004</v>
      </c>
      <c r="AH16">
        <f t="shared" si="16"/>
        <v>10163.13102597649</v>
      </c>
    </row>
    <row r="17" spans="1:34">
      <c r="A17" s="29" t="s">
        <v>18</v>
      </c>
      <c r="B17" s="30"/>
      <c r="C17" s="31"/>
      <c r="D17" s="32"/>
      <c r="E17" s="17">
        <f t="shared" si="0"/>
        <v>0</v>
      </c>
      <c r="F17" s="31"/>
      <c r="G17" s="33"/>
      <c r="H17" s="24">
        <f t="shared" si="17"/>
        <v>0</v>
      </c>
      <c r="I17" s="31"/>
      <c r="J17" s="33"/>
      <c r="K17" s="17">
        <f t="shared" si="2"/>
        <v>0</v>
      </c>
      <c r="L17" s="31"/>
      <c r="M17" s="33"/>
      <c r="N17" s="17">
        <f t="shared" si="3"/>
        <v>0</v>
      </c>
      <c r="O17" s="31"/>
      <c r="P17" s="33"/>
      <c r="Q17" s="17">
        <f t="shared" si="4"/>
        <v>0</v>
      </c>
      <c r="R17" s="31">
        <f>SUM('Plant Measurments'!O241:O258)</f>
        <v>121.1427</v>
      </c>
      <c r="S17" s="33"/>
      <c r="T17" s="17">
        <f t="shared" si="5"/>
        <v>484.57080000000002</v>
      </c>
      <c r="U17" s="31"/>
      <c r="V17" s="33"/>
      <c r="W17" s="17">
        <f t="shared" si="6"/>
        <v>0</v>
      </c>
      <c r="X17" s="30">
        <f t="shared" si="7"/>
        <v>484.57080000000002</v>
      </c>
      <c r="Y17" s="34"/>
      <c r="Z17" s="22">
        <f t="shared" si="8"/>
        <v>0</v>
      </c>
      <c r="AA17" s="22">
        <f t="shared" si="9"/>
        <v>484.57080000000002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2038.4563903416217</v>
      </c>
    </row>
    <row r="18" spans="1:34">
      <c r="A18" s="16" t="s">
        <v>20</v>
      </c>
      <c r="B18" s="39">
        <v>5</v>
      </c>
      <c r="C18" s="18"/>
      <c r="D18" s="19"/>
      <c r="E18" s="17">
        <f t="shared" si="0"/>
        <v>0</v>
      </c>
      <c r="F18" s="18"/>
      <c r="G18" s="20"/>
      <c r="H18" s="24">
        <f t="shared" si="17"/>
        <v>0</v>
      </c>
      <c r="I18" s="18"/>
      <c r="J18" s="20"/>
      <c r="K18" s="17">
        <f t="shared" si="2"/>
        <v>0</v>
      </c>
      <c r="L18" s="18"/>
      <c r="M18" s="20"/>
      <c r="N18" s="17">
        <f t="shared" si="3"/>
        <v>0</v>
      </c>
      <c r="O18" s="18"/>
      <c r="P18" s="20"/>
      <c r="Q18" s="17">
        <f t="shared" si="4"/>
        <v>0</v>
      </c>
      <c r="R18" s="18"/>
      <c r="S18" s="20"/>
      <c r="T18" s="17">
        <f t="shared" si="5"/>
        <v>0</v>
      </c>
      <c r="U18" s="18"/>
      <c r="V18" s="20"/>
      <c r="W18" s="17">
        <f t="shared" si="6"/>
        <v>0</v>
      </c>
      <c r="X18" s="17">
        <f t="shared" si="7"/>
        <v>0</v>
      </c>
      <c r="Y18" s="21">
        <f>AVERAGE(X18:X22)</f>
        <v>610.07463999999982</v>
      </c>
      <c r="Z18" s="22">
        <f t="shared" si="8"/>
        <v>0</v>
      </c>
      <c r="AA18" s="22">
        <f t="shared" si="9"/>
        <v>0</v>
      </c>
      <c r="AB18" t="str">
        <f t="shared" si="10"/>
        <v xml:space="preserve"> </v>
      </c>
      <c r="AC18" t="str">
        <f t="shared" si="11"/>
        <v xml:space="preserve"> </v>
      </c>
      <c r="AD18" t="str">
        <f t="shared" si="12"/>
        <v xml:space="preserve"> </v>
      </c>
      <c r="AE18" t="str">
        <f t="shared" si="13"/>
        <v xml:space="preserve"> </v>
      </c>
      <c r="AF18">
        <f t="shared" si="14"/>
        <v>21033.62801</v>
      </c>
      <c r="AG18">
        <f t="shared" si="15"/>
        <v>4206.7256020000004</v>
      </c>
      <c r="AH18">
        <f t="shared" si="16"/>
        <v>0</v>
      </c>
    </row>
    <row r="19" spans="1:34">
      <c r="A19" s="23" t="s">
        <v>20</v>
      </c>
      <c r="B19" s="17">
        <v>11</v>
      </c>
      <c r="C19" s="25"/>
      <c r="D19" s="26"/>
      <c r="E19" s="17">
        <f t="shared" si="0"/>
        <v>0</v>
      </c>
      <c r="F19" s="25"/>
      <c r="G19" s="27"/>
      <c r="H19" s="24">
        <f t="shared" si="17"/>
        <v>0</v>
      </c>
      <c r="I19" s="25"/>
      <c r="J19" s="27"/>
      <c r="K19" s="17">
        <f t="shared" si="2"/>
        <v>0</v>
      </c>
      <c r="L19" s="25"/>
      <c r="M19" s="27"/>
      <c r="N19" s="17">
        <f t="shared" si="3"/>
        <v>0</v>
      </c>
      <c r="O19" s="25"/>
      <c r="P19" s="27"/>
      <c r="Q19" s="17">
        <f t="shared" si="4"/>
        <v>0</v>
      </c>
      <c r="R19" s="25"/>
      <c r="S19" s="27"/>
      <c r="T19" s="17">
        <f t="shared" si="5"/>
        <v>0</v>
      </c>
      <c r="U19" s="25"/>
      <c r="V19" s="27"/>
      <c r="W19" s="17">
        <f t="shared" si="6"/>
        <v>0</v>
      </c>
      <c r="X19" s="24">
        <f t="shared" si="7"/>
        <v>0</v>
      </c>
      <c r="Y19" s="28"/>
      <c r="Z19" s="22">
        <f t="shared" si="8"/>
        <v>0</v>
      </c>
      <c r="AA19" s="22">
        <f t="shared" si="9"/>
        <v>0</v>
      </c>
      <c r="AB19" t="str">
        <f t="shared" si="10"/>
        <v xml:space="preserve"> </v>
      </c>
      <c r="AC19" t="str">
        <f t="shared" si="11"/>
        <v xml:space="preserve"> </v>
      </c>
      <c r="AD19" t="str">
        <f t="shared" si="12"/>
        <v xml:space="preserve"> </v>
      </c>
      <c r="AE19" t="str">
        <f t="shared" si="13"/>
        <v xml:space="preserve"> </v>
      </c>
      <c r="AF19">
        <f t="shared" si="14"/>
        <v>21033.62801</v>
      </c>
      <c r="AG19">
        <f t="shared" si="15"/>
        <v>4206.7256020000004</v>
      </c>
      <c r="AH19">
        <f t="shared" si="16"/>
        <v>0</v>
      </c>
    </row>
    <row r="20" spans="1:34">
      <c r="A20" s="23" t="s">
        <v>20</v>
      </c>
      <c r="B20" s="24">
        <v>22</v>
      </c>
      <c r="C20" s="25"/>
      <c r="D20" s="26"/>
      <c r="E20" s="17">
        <f t="shared" si="0"/>
        <v>0</v>
      </c>
      <c r="F20" s="25"/>
      <c r="G20" s="27"/>
      <c r="H20" s="24">
        <f t="shared" si="17"/>
        <v>0</v>
      </c>
      <c r="I20" s="25"/>
      <c r="J20" s="27"/>
      <c r="K20" s="17">
        <f t="shared" si="2"/>
        <v>0</v>
      </c>
      <c r="L20" s="25"/>
      <c r="M20" s="27"/>
      <c r="N20" s="17">
        <f t="shared" si="3"/>
        <v>0</v>
      </c>
      <c r="O20" s="25"/>
      <c r="P20" s="27"/>
      <c r="Q20" s="17">
        <f t="shared" si="4"/>
        <v>0</v>
      </c>
      <c r="R20" s="25">
        <f>SUM('Plant Measurments'!O172:O187)</f>
        <v>521.99729999999988</v>
      </c>
      <c r="S20" s="27"/>
      <c r="T20" s="17">
        <f t="shared" si="5"/>
        <v>2087.9891999999995</v>
      </c>
      <c r="U20" s="25"/>
      <c r="V20" s="27"/>
      <c r="W20" s="17">
        <f t="shared" si="6"/>
        <v>0</v>
      </c>
      <c r="X20" s="24">
        <f t="shared" si="7"/>
        <v>2087.9891999999995</v>
      </c>
      <c r="Y20" s="28"/>
      <c r="Z20" s="22">
        <f t="shared" si="8"/>
        <v>0</v>
      </c>
      <c r="AA20" s="22">
        <f t="shared" si="9"/>
        <v>2087.9891999999995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8783.5976243394962</v>
      </c>
    </row>
    <row r="21" spans="1:34">
      <c r="A21" s="23" t="s">
        <v>20</v>
      </c>
      <c r="B21" s="24">
        <v>29</v>
      </c>
      <c r="C21" s="25">
        <f>SUM('Plant Measurments'!O188:O196)</f>
        <v>76.825800000000001</v>
      </c>
      <c r="D21" s="26"/>
      <c r="E21" s="17">
        <f t="shared" si="0"/>
        <v>307.3032</v>
      </c>
      <c r="F21" s="25"/>
      <c r="G21" s="27"/>
      <c r="H21" s="24">
        <f t="shared" si="17"/>
        <v>0</v>
      </c>
      <c r="I21" s="25"/>
      <c r="J21" s="27"/>
      <c r="K21" s="17">
        <f t="shared" si="2"/>
        <v>0</v>
      </c>
      <c r="L21" s="25"/>
      <c r="M21" s="27"/>
      <c r="N21" s="17">
        <f t="shared" si="3"/>
        <v>0</v>
      </c>
      <c r="O21" s="25"/>
      <c r="P21" s="27"/>
      <c r="Q21" s="17">
        <f t="shared" si="4"/>
        <v>0</v>
      </c>
      <c r="R21" s="25">
        <f>SUM('Plant Measurments'!O197:O198)</f>
        <v>43.476499999999987</v>
      </c>
      <c r="S21" s="27"/>
      <c r="T21" s="17">
        <f t="shared" si="5"/>
        <v>173.90599999999995</v>
      </c>
      <c r="U21" s="25"/>
      <c r="V21" s="27"/>
      <c r="W21" s="17">
        <f t="shared" si="6"/>
        <v>0</v>
      </c>
      <c r="X21" s="24">
        <f t="shared" si="7"/>
        <v>481.20919999999995</v>
      </c>
      <c r="Y21" s="28"/>
      <c r="Z21" s="22">
        <f t="shared" si="8"/>
        <v>307.3032</v>
      </c>
      <c r="AA21" s="22">
        <f t="shared" si="9"/>
        <v>173.90599999999995</v>
      </c>
      <c r="AB21">
        <f t="shared" si="10"/>
        <v>0.63860624443589198</v>
      </c>
      <c r="AC21">
        <f t="shared" si="11"/>
        <v>0</v>
      </c>
      <c r="AD21">
        <f t="shared" si="12"/>
        <v>0</v>
      </c>
      <c r="AE21">
        <f t="shared" si="13"/>
        <v>0.36139375556410802</v>
      </c>
      <c r="AF21">
        <f t="shared" si="14"/>
        <v>21033.62801</v>
      </c>
      <c r="AG21">
        <f t="shared" si="15"/>
        <v>4206.7256020000004</v>
      </c>
      <c r="AH21">
        <f t="shared" si="16"/>
        <v>2024.3150615579384</v>
      </c>
    </row>
    <row r="22" spans="1:34">
      <c r="A22" s="29" t="s">
        <v>20</v>
      </c>
      <c r="B22" s="24">
        <v>34</v>
      </c>
      <c r="C22" s="31"/>
      <c r="D22" s="32"/>
      <c r="E22" s="17">
        <f t="shared" si="0"/>
        <v>0</v>
      </c>
      <c r="F22" s="31"/>
      <c r="G22" s="33"/>
      <c r="H22" s="24">
        <f t="shared" si="17"/>
        <v>0</v>
      </c>
      <c r="I22" s="31"/>
      <c r="J22" s="33"/>
      <c r="K22" s="17">
        <f t="shared" si="2"/>
        <v>0</v>
      </c>
      <c r="L22" s="31"/>
      <c r="M22" s="33"/>
      <c r="N22" s="17">
        <f t="shared" si="3"/>
        <v>0</v>
      </c>
      <c r="O22" s="31"/>
      <c r="P22" s="33"/>
      <c r="Q22" s="17">
        <f t="shared" si="4"/>
        <v>0</v>
      </c>
      <c r="R22" s="31">
        <f>SUM('Plant Measurments'!O199:O208)</f>
        <v>120.29369999999996</v>
      </c>
      <c r="S22" s="33"/>
      <c r="T22" s="17">
        <f t="shared" si="5"/>
        <v>481.17479999999983</v>
      </c>
      <c r="U22" s="31"/>
      <c r="V22" s="33"/>
      <c r="W22" s="17">
        <f t="shared" si="6"/>
        <v>0</v>
      </c>
      <c r="X22" s="30">
        <f t="shared" si="7"/>
        <v>481.17479999999983</v>
      </c>
      <c r="Y22" s="34"/>
      <c r="Z22" s="22">
        <f t="shared" si="8"/>
        <v>0</v>
      </c>
      <c r="AA22" s="22">
        <f t="shared" si="9"/>
        <v>481.17479999999983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2024.170350197229</v>
      </c>
    </row>
    <row r="23" spans="1:34">
      <c r="A23" s="16" t="s">
        <v>21</v>
      </c>
      <c r="B23" s="17">
        <v>12</v>
      </c>
      <c r="C23" s="18">
        <f>SUM('Plant Measurments'!O209:O224)</f>
        <v>101.95469999999999</v>
      </c>
      <c r="D23" s="19"/>
      <c r="E23" s="17">
        <f t="shared" si="0"/>
        <v>407.81879999999995</v>
      </c>
      <c r="F23" s="18"/>
      <c r="G23" s="20"/>
      <c r="H23" s="24">
        <f t="shared" si="17"/>
        <v>0</v>
      </c>
      <c r="I23" s="18"/>
      <c r="J23" s="20"/>
      <c r="K23" s="17">
        <f t="shared" si="2"/>
        <v>0</v>
      </c>
      <c r="L23" s="18"/>
      <c r="M23" s="20"/>
      <c r="N23" s="17">
        <f t="shared" si="3"/>
        <v>0</v>
      </c>
      <c r="O23" s="18"/>
      <c r="P23" s="20"/>
      <c r="Q23" s="17">
        <f t="shared" si="4"/>
        <v>0</v>
      </c>
      <c r="R23" s="18">
        <f>SUM('Plant Measurments'!O225:O231)</f>
        <v>294.62939999999992</v>
      </c>
      <c r="S23" s="20"/>
      <c r="T23" s="17">
        <f t="shared" si="5"/>
        <v>1178.5175999999997</v>
      </c>
      <c r="U23" s="18"/>
      <c r="V23" s="20"/>
      <c r="W23" s="17">
        <f t="shared" si="6"/>
        <v>0</v>
      </c>
      <c r="X23" s="17">
        <f t="shared" si="7"/>
        <v>1586.3363999999997</v>
      </c>
      <c r="Y23" s="21">
        <f>AVERAGE(X23:X27)</f>
        <v>1185.3718239999998</v>
      </c>
      <c r="Z23" s="22">
        <f t="shared" si="8"/>
        <v>407.81879999999995</v>
      </c>
      <c r="AA23" s="22">
        <f t="shared" si="9"/>
        <v>1178.5175999999997</v>
      </c>
      <c r="AB23">
        <f t="shared" si="10"/>
        <v>0.25708216743939055</v>
      </c>
      <c r="AC23">
        <f t="shared" si="11"/>
        <v>0</v>
      </c>
      <c r="AD23">
        <f t="shared" si="12"/>
        <v>0</v>
      </c>
      <c r="AE23">
        <f t="shared" si="13"/>
        <v>0.74291783256060939</v>
      </c>
      <c r="AF23">
        <f t="shared" si="14"/>
        <v>21033.62801</v>
      </c>
      <c r="AG23">
        <f t="shared" si="15"/>
        <v>4206.7256020000004</v>
      </c>
      <c r="AH23">
        <f t="shared" si="16"/>
        <v>6673.2819472645124</v>
      </c>
    </row>
    <row r="24" spans="1:34">
      <c r="A24" s="23" t="s">
        <v>21</v>
      </c>
      <c r="B24" s="24">
        <v>20</v>
      </c>
      <c r="C24" s="25">
        <f>SUM('Plant Measurments'!O232:O258)</f>
        <v>181.99080000000004</v>
      </c>
      <c r="D24" s="26"/>
      <c r="E24" s="17">
        <f t="shared" si="0"/>
        <v>727.96320000000014</v>
      </c>
      <c r="F24" s="25"/>
      <c r="G24" s="27"/>
      <c r="H24" s="24">
        <f t="shared" si="17"/>
        <v>0</v>
      </c>
      <c r="I24" s="25"/>
      <c r="J24" s="27"/>
      <c r="K24" s="17">
        <f t="shared" si="2"/>
        <v>0</v>
      </c>
      <c r="L24" s="25"/>
      <c r="M24" s="27"/>
      <c r="N24" s="17">
        <f t="shared" si="3"/>
        <v>0</v>
      </c>
      <c r="O24" s="25"/>
      <c r="P24" s="27"/>
      <c r="Q24" s="17">
        <f t="shared" si="4"/>
        <v>0</v>
      </c>
      <c r="R24" s="25">
        <f>SUM('Plant Measurments'!O260:O270)</f>
        <v>273.27309999999994</v>
      </c>
      <c r="S24" s="27"/>
      <c r="T24" s="17">
        <f t="shared" si="5"/>
        <v>1093.0923999999998</v>
      </c>
      <c r="U24" s="25">
        <f>'Plant Measurments'!O259</f>
        <v>104.24038</v>
      </c>
      <c r="V24" s="27"/>
      <c r="W24" s="17">
        <f t="shared" si="6"/>
        <v>416.96152000000001</v>
      </c>
      <c r="X24" s="24">
        <f t="shared" si="7"/>
        <v>2238.01712</v>
      </c>
      <c r="Y24" s="28"/>
      <c r="Z24" s="22">
        <f t="shared" si="8"/>
        <v>727.96320000000014</v>
      </c>
      <c r="AA24" s="22">
        <f t="shared" si="9"/>
        <v>1510.0539199999998</v>
      </c>
      <c r="AB24">
        <f t="shared" si="10"/>
        <v>0.32527150641278391</v>
      </c>
      <c r="AC24">
        <f t="shared" si="11"/>
        <v>0</v>
      </c>
      <c r="AD24">
        <f t="shared" si="12"/>
        <v>0</v>
      </c>
      <c r="AE24">
        <f t="shared" si="13"/>
        <v>0.67472849358721609</v>
      </c>
      <c r="AF24">
        <f t="shared" si="14"/>
        <v>21033.62801</v>
      </c>
      <c r="AG24">
        <f t="shared" si="15"/>
        <v>4206.7256020000004</v>
      </c>
      <c r="AH24">
        <f t="shared" si="16"/>
        <v>9414.7239164183065</v>
      </c>
    </row>
    <row r="25" spans="1:34">
      <c r="A25" s="23" t="s">
        <v>21</v>
      </c>
      <c r="B25" s="24">
        <v>24</v>
      </c>
      <c r="C25" s="25"/>
      <c r="D25" s="26"/>
      <c r="E25" s="17">
        <f t="shared" si="0"/>
        <v>0</v>
      </c>
      <c r="F25" s="25"/>
      <c r="G25" s="27"/>
      <c r="H25" s="24">
        <f t="shared" si="17"/>
        <v>0</v>
      </c>
      <c r="I25" s="25"/>
      <c r="J25" s="27"/>
      <c r="K25" s="17">
        <f t="shared" si="2"/>
        <v>0</v>
      </c>
      <c r="L25" s="25"/>
      <c r="M25" s="27"/>
      <c r="N25" s="17">
        <f t="shared" si="3"/>
        <v>0</v>
      </c>
      <c r="O25" s="25"/>
      <c r="P25" s="27"/>
      <c r="Q25" s="17">
        <f t="shared" si="4"/>
        <v>0</v>
      </c>
      <c r="R25" s="25">
        <f>SUM('Plant Measurments'!O271:O282)</f>
        <v>13.125399999999992</v>
      </c>
      <c r="S25" s="27"/>
      <c r="T25" s="17">
        <f t="shared" si="5"/>
        <v>52.501599999999968</v>
      </c>
      <c r="U25" s="25"/>
      <c r="V25" s="27"/>
      <c r="W25" s="17">
        <f t="shared" si="6"/>
        <v>0</v>
      </c>
      <c r="X25" s="24">
        <f t="shared" si="7"/>
        <v>52.501599999999968</v>
      </c>
      <c r="Y25" s="28"/>
      <c r="Z25" s="22">
        <f t="shared" si="8"/>
        <v>0</v>
      </c>
      <c r="AA25" s="22">
        <f t="shared" si="9"/>
        <v>52.501599999999968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220.85982486596308</v>
      </c>
    </row>
    <row r="26" spans="1:34">
      <c r="A26" s="23" t="s">
        <v>21</v>
      </c>
      <c r="B26" s="24">
        <v>26</v>
      </c>
      <c r="C26" s="25"/>
      <c r="D26" s="26"/>
      <c r="E26" s="17">
        <f t="shared" si="0"/>
        <v>0</v>
      </c>
      <c r="F26" s="25"/>
      <c r="G26" s="27"/>
      <c r="H26" s="24">
        <f t="shared" si="17"/>
        <v>0</v>
      </c>
      <c r="I26" s="25"/>
      <c r="J26" s="27"/>
      <c r="K26" s="17">
        <f t="shared" si="2"/>
        <v>0</v>
      </c>
      <c r="L26" s="25"/>
      <c r="M26" s="27"/>
      <c r="N26" s="17">
        <f t="shared" si="3"/>
        <v>0</v>
      </c>
      <c r="O26" s="25"/>
      <c r="P26" s="27"/>
      <c r="Q26" s="17">
        <f t="shared" si="4"/>
        <v>0</v>
      </c>
      <c r="R26" s="25">
        <f>'Plant Measurments'!O283</f>
        <v>56.874599999999987</v>
      </c>
      <c r="S26" s="27"/>
      <c r="T26" s="17">
        <f t="shared" si="5"/>
        <v>227.49839999999995</v>
      </c>
      <c r="U26" s="25"/>
      <c r="V26" s="27"/>
      <c r="W26" s="17">
        <f t="shared" si="6"/>
        <v>0</v>
      </c>
      <c r="X26" s="24">
        <f t="shared" si="7"/>
        <v>227.49839999999995</v>
      </c>
      <c r="Y26" s="28"/>
      <c r="Z26" s="22">
        <f t="shared" si="8"/>
        <v>0</v>
      </c>
      <c r="AA26" s="22">
        <f t="shared" si="9"/>
        <v>227.49839999999995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21033.62801</v>
      </c>
      <c r="AG26">
        <f t="shared" si="15"/>
        <v>4206.7256020000004</v>
      </c>
      <c r="AH26">
        <f t="shared" si="16"/>
        <v>957.02334369403673</v>
      </c>
    </row>
    <row r="27" spans="1:34">
      <c r="A27" s="29" t="s">
        <v>21</v>
      </c>
      <c r="B27" s="30">
        <v>47</v>
      </c>
      <c r="C27" s="31"/>
      <c r="D27" s="32"/>
      <c r="E27" s="17">
        <f t="shared" si="0"/>
        <v>0</v>
      </c>
      <c r="F27" s="31"/>
      <c r="G27" s="33"/>
      <c r="H27" s="24">
        <f t="shared" si="17"/>
        <v>0</v>
      </c>
      <c r="I27" s="31"/>
      <c r="J27" s="33"/>
      <c r="K27" s="17">
        <f t="shared" si="2"/>
        <v>0</v>
      </c>
      <c r="L27" s="31"/>
      <c r="M27" s="33"/>
      <c r="N27" s="17">
        <f t="shared" si="3"/>
        <v>0</v>
      </c>
      <c r="O27" s="31"/>
      <c r="P27" s="33"/>
      <c r="Q27" s="17">
        <f t="shared" si="4"/>
        <v>0</v>
      </c>
      <c r="R27" s="31">
        <f>SUM('Plant Measurments'!O287:O297)</f>
        <v>436.38409999999988</v>
      </c>
      <c r="S27" s="33"/>
      <c r="T27" s="17">
        <f t="shared" si="5"/>
        <v>1745.5363999999995</v>
      </c>
      <c r="U27" s="31">
        <f>SUM('Plant Measurments'!O284:O286)</f>
        <v>19.242299999999979</v>
      </c>
      <c r="V27" s="33"/>
      <c r="W27" s="17">
        <f t="shared" si="6"/>
        <v>76.969199999999915</v>
      </c>
      <c r="X27" s="30">
        <f t="shared" si="7"/>
        <v>1822.5055999999995</v>
      </c>
      <c r="Y27" s="34"/>
      <c r="Z27" s="22">
        <f t="shared" si="8"/>
        <v>0</v>
      </c>
      <c r="AA27" s="22">
        <f t="shared" si="9"/>
        <v>1822.5055999999995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1</v>
      </c>
      <c r="AF27">
        <f t="shared" si="14"/>
        <v>21033.62801</v>
      </c>
      <c r="AG27">
        <f t="shared" si="15"/>
        <v>4206.7256020000004</v>
      </c>
      <c r="AH27">
        <f t="shared" si="16"/>
        <v>7666.7809673083693</v>
      </c>
    </row>
    <row r="28" spans="1:34">
      <c r="A28" s="16" t="s">
        <v>22</v>
      </c>
      <c r="B28" s="36">
        <v>23</v>
      </c>
      <c r="C28" s="18">
        <f>SUM('Plant Measurments'!O298:O306)</f>
        <v>90.631224000000003</v>
      </c>
      <c r="D28" s="19"/>
      <c r="E28" s="17">
        <f t="shared" si="0"/>
        <v>362.52489600000001</v>
      </c>
      <c r="F28" s="18"/>
      <c r="G28" s="20"/>
      <c r="H28" s="24">
        <f t="shared" si="17"/>
        <v>0</v>
      </c>
      <c r="I28" s="18"/>
      <c r="J28" s="20"/>
      <c r="K28" s="17">
        <f t="shared" si="2"/>
        <v>0</v>
      </c>
      <c r="L28" s="18"/>
      <c r="M28" s="20"/>
      <c r="N28" s="17">
        <f t="shared" si="3"/>
        <v>0</v>
      </c>
      <c r="O28" s="18"/>
      <c r="P28" s="20"/>
      <c r="Q28" s="17">
        <f t="shared" si="4"/>
        <v>0</v>
      </c>
      <c r="R28" s="18">
        <f>'Plant Measurments'!O307</f>
        <v>35.173499999999997</v>
      </c>
      <c r="S28" s="20"/>
      <c r="T28" s="17">
        <f t="shared" si="5"/>
        <v>140.69399999999999</v>
      </c>
      <c r="U28" s="18"/>
      <c r="V28" s="20"/>
      <c r="W28" s="17">
        <f t="shared" si="6"/>
        <v>0</v>
      </c>
      <c r="X28" s="17">
        <f t="shared" si="7"/>
        <v>503.21889599999997</v>
      </c>
      <c r="Y28" s="21">
        <f>AVERAGE(X28:X32)</f>
        <v>551.62299304168789</v>
      </c>
      <c r="Z28" s="22">
        <f t="shared" si="8"/>
        <v>362.52489600000001</v>
      </c>
      <c r="AA28" s="22">
        <f t="shared" si="9"/>
        <v>140.69399999999999</v>
      </c>
      <c r="AB28">
        <f t="shared" si="10"/>
        <v>0.72041192984136282</v>
      </c>
      <c r="AC28">
        <f t="shared" si="11"/>
        <v>0</v>
      </c>
      <c r="AD28">
        <f t="shared" si="12"/>
        <v>0</v>
      </c>
      <c r="AE28">
        <f t="shared" si="13"/>
        <v>0.27958807015863729</v>
      </c>
      <c r="AF28">
        <f t="shared" si="14"/>
        <v>21033.62801</v>
      </c>
      <c r="AG28">
        <f t="shared" si="15"/>
        <v>4206.7256020000004</v>
      </c>
      <c r="AH28">
        <f t="shared" si="16"/>
        <v>2116.9038132133755</v>
      </c>
    </row>
    <row r="29" spans="1:34">
      <c r="A29" s="23" t="s">
        <v>22</v>
      </c>
      <c r="B29" s="24">
        <v>27</v>
      </c>
      <c r="C29" s="25">
        <f>SUM('Plant Measurments'!O308:O316)</f>
        <v>67.029257302110011</v>
      </c>
      <c r="D29" s="26"/>
      <c r="E29" s="17">
        <f t="shared" si="0"/>
        <v>268.11702920844004</v>
      </c>
      <c r="F29" s="25"/>
      <c r="G29" s="27"/>
      <c r="H29" s="24">
        <f t="shared" si="17"/>
        <v>0</v>
      </c>
      <c r="I29" s="25"/>
      <c r="J29" s="27"/>
      <c r="K29" s="17">
        <f t="shared" si="2"/>
        <v>0</v>
      </c>
      <c r="L29" s="25"/>
      <c r="M29" s="27"/>
      <c r="N29" s="17">
        <f t="shared" si="3"/>
        <v>0</v>
      </c>
      <c r="O29" s="25"/>
      <c r="P29" s="27"/>
      <c r="Q29" s="17">
        <f t="shared" si="4"/>
        <v>0</v>
      </c>
      <c r="R29" s="25">
        <f>SUM('Plant Measurments'!O369:O370)</f>
        <v>12.663499999999988</v>
      </c>
      <c r="S29" s="27"/>
      <c r="T29" s="17">
        <f t="shared" si="5"/>
        <v>50.653999999999954</v>
      </c>
      <c r="U29" s="25"/>
      <c r="V29" s="27"/>
      <c r="W29" s="17">
        <f t="shared" si="6"/>
        <v>0</v>
      </c>
      <c r="X29" s="24">
        <f t="shared" si="7"/>
        <v>318.77102920843998</v>
      </c>
      <c r="Y29" s="28"/>
      <c r="Z29" s="22">
        <f t="shared" si="8"/>
        <v>268.11702920844004</v>
      </c>
      <c r="AA29" s="22">
        <f t="shared" si="9"/>
        <v>50.653999999999954</v>
      </c>
      <c r="AB29">
        <f t="shared" si="10"/>
        <v>0.84109597372828382</v>
      </c>
      <c r="AC29">
        <f t="shared" si="11"/>
        <v>0</v>
      </c>
      <c r="AD29">
        <f t="shared" si="12"/>
        <v>0</v>
      </c>
      <c r="AE29">
        <f t="shared" si="13"/>
        <v>0.15890402627171618</v>
      </c>
      <c r="AF29">
        <f t="shared" si="14"/>
        <v>21033.62801</v>
      </c>
      <c r="AG29">
        <f t="shared" si="15"/>
        <v>4206.7256020000004</v>
      </c>
      <c r="AH29">
        <f t="shared" si="16"/>
        <v>1340.9822497470343</v>
      </c>
    </row>
    <row r="30" spans="1:34">
      <c r="A30" s="23" t="s">
        <v>22</v>
      </c>
      <c r="B30">
        <v>33</v>
      </c>
      <c r="C30" s="25"/>
      <c r="D30" s="26"/>
      <c r="E30" s="17">
        <f t="shared" si="0"/>
        <v>0</v>
      </c>
      <c r="F30" s="25"/>
      <c r="G30" s="27"/>
      <c r="H30" s="24">
        <f t="shared" si="17"/>
        <v>0</v>
      </c>
      <c r="I30" s="25"/>
      <c r="J30" s="27"/>
      <c r="K30" s="17">
        <f t="shared" si="2"/>
        <v>0</v>
      </c>
      <c r="L30" s="25"/>
      <c r="M30" s="27"/>
      <c r="N30" s="17">
        <f t="shared" si="3"/>
        <v>0</v>
      </c>
      <c r="O30" s="25"/>
      <c r="P30" s="27"/>
      <c r="Q30" s="17">
        <f t="shared" si="4"/>
        <v>0</v>
      </c>
      <c r="R30" s="25"/>
      <c r="S30" s="27"/>
      <c r="T30" s="17">
        <f t="shared" si="5"/>
        <v>0</v>
      </c>
      <c r="U30" s="25"/>
      <c r="V30" s="27"/>
      <c r="W30" s="17">
        <f t="shared" si="6"/>
        <v>0</v>
      </c>
      <c r="X30" s="24">
        <f t="shared" si="7"/>
        <v>0</v>
      </c>
      <c r="Y30" s="28"/>
      <c r="Z30" s="22">
        <f t="shared" si="8"/>
        <v>0</v>
      </c>
      <c r="AA30" s="22">
        <f t="shared" si="9"/>
        <v>0</v>
      </c>
      <c r="AB30" t="str">
        <f t="shared" si="10"/>
        <v xml:space="preserve"> </v>
      </c>
      <c r="AC30" t="str">
        <f t="shared" si="11"/>
        <v xml:space="preserve"> </v>
      </c>
      <c r="AD30" t="str">
        <f t="shared" si="12"/>
        <v xml:space="preserve"> </v>
      </c>
      <c r="AE30" t="str">
        <f t="shared" si="13"/>
        <v xml:space="preserve"> </v>
      </c>
      <c r="AF30">
        <f t="shared" si="14"/>
        <v>21033.62801</v>
      </c>
      <c r="AG30">
        <f t="shared" si="15"/>
        <v>4206.7256020000004</v>
      </c>
      <c r="AH30">
        <f t="shared" si="16"/>
        <v>0</v>
      </c>
    </row>
    <row r="31" spans="1:34">
      <c r="A31" s="23" t="s">
        <v>22</v>
      </c>
      <c r="B31" s="24">
        <v>45</v>
      </c>
      <c r="C31" s="25"/>
      <c r="D31" s="26"/>
      <c r="E31" s="17">
        <f t="shared" si="0"/>
        <v>0</v>
      </c>
      <c r="F31" s="25"/>
      <c r="G31" s="27"/>
      <c r="H31" s="24">
        <f t="shared" si="17"/>
        <v>0</v>
      </c>
      <c r="I31" s="25"/>
      <c r="J31" s="27"/>
      <c r="K31" s="17">
        <f t="shared" si="2"/>
        <v>0</v>
      </c>
      <c r="L31" s="25"/>
      <c r="M31" s="27"/>
      <c r="N31" s="17">
        <f t="shared" si="3"/>
        <v>0</v>
      </c>
      <c r="O31" s="25"/>
      <c r="P31" s="27"/>
      <c r="Q31" s="17">
        <f t="shared" si="4"/>
        <v>0</v>
      </c>
      <c r="R31" s="25">
        <f>SUM('Plant Measurments'!O321:O331)</f>
        <v>274.26087999999999</v>
      </c>
      <c r="S31" s="27"/>
      <c r="T31" s="17">
        <f t="shared" si="5"/>
        <v>1097.0435199999999</v>
      </c>
      <c r="U31" s="25">
        <f>'Plant Measurments'!O320</f>
        <v>15.500799999999998</v>
      </c>
      <c r="V31" s="27"/>
      <c r="W31" s="17">
        <f t="shared" si="6"/>
        <v>62.003199999999993</v>
      </c>
      <c r="X31" s="24">
        <f t="shared" si="7"/>
        <v>1159.0467199999998</v>
      </c>
      <c r="Y31" s="28"/>
      <c r="Z31" s="22">
        <f t="shared" si="8"/>
        <v>0</v>
      </c>
      <c r="AA31" s="22">
        <f t="shared" si="9"/>
        <v>1159.0467199999998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1</v>
      </c>
      <c r="AF31">
        <f t="shared" si="14"/>
        <v>21033.62801</v>
      </c>
      <c r="AG31">
        <f t="shared" si="15"/>
        <v>4206.7256020000004</v>
      </c>
      <c r="AH31">
        <f t="shared" si="16"/>
        <v>4875.7915109381256</v>
      </c>
    </row>
    <row r="32" spans="1:34">
      <c r="A32" s="29" t="s">
        <v>22</v>
      </c>
      <c r="B32" s="24">
        <v>48</v>
      </c>
      <c r="C32" s="31">
        <f>SUM('Plant Measurments'!O332)</f>
        <v>4.5018000000000002</v>
      </c>
      <c r="D32" s="32"/>
      <c r="E32" s="17">
        <f t="shared" si="0"/>
        <v>18.007200000000001</v>
      </c>
      <c r="F32" s="31"/>
      <c r="G32" s="33"/>
      <c r="H32" s="24">
        <f t="shared" si="17"/>
        <v>0</v>
      </c>
      <c r="I32" s="31"/>
      <c r="J32" s="33"/>
      <c r="K32" s="17">
        <f t="shared" si="2"/>
        <v>0</v>
      </c>
      <c r="L32" s="31"/>
      <c r="M32" s="33"/>
      <c r="N32" s="17">
        <f t="shared" si="3"/>
        <v>0</v>
      </c>
      <c r="O32" s="31"/>
      <c r="P32" s="33"/>
      <c r="Q32" s="17">
        <f t="shared" si="4"/>
        <v>0</v>
      </c>
      <c r="R32" s="31">
        <f>SUM('Plant Measurments'!O334:O335)</f>
        <v>84.294199999999961</v>
      </c>
      <c r="S32" s="33"/>
      <c r="T32" s="17">
        <f t="shared" si="5"/>
        <v>337.17679999999984</v>
      </c>
      <c r="U32" s="31">
        <f>'Plant Measurments'!O333</f>
        <v>105.47358</v>
      </c>
      <c r="V32" s="33"/>
      <c r="W32" s="17">
        <f t="shared" si="6"/>
        <v>421.89431999999999</v>
      </c>
      <c r="X32" s="30">
        <f t="shared" si="7"/>
        <v>777.07831999999985</v>
      </c>
      <c r="Y32" s="34"/>
      <c r="Z32" s="22">
        <f t="shared" si="8"/>
        <v>18.007200000000001</v>
      </c>
      <c r="AA32" s="22">
        <f t="shared" si="9"/>
        <v>759.07111999999984</v>
      </c>
      <c r="AB32">
        <f t="shared" si="10"/>
        <v>2.3172953789265417E-2</v>
      </c>
      <c r="AC32">
        <f t="shared" si="11"/>
        <v>0</v>
      </c>
      <c r="AD32">
        <f t="shared" si="12"/>
        <v>0</v>
      </c>
      <c r="AE32">
        <f t="shared" si="13"/>
        <v>0.97682704621073457</v>
      </c>
      <c r="AF32">
        <f t="shared" si="14"/>
        <v>21033.62801</v>
      </c>
      <c r="AG32">
        <f t="shared" si="15"/>
        <v>4206.7256020000004</v>
      </c>
      <c r="AH32">
        <f t="shared" si="16"/>
        <v>3268.9552635031482</v>
      </c>
    </row>
    <row r="33" spans="1:34">
      <c r="A33" s="16" t="s">
        <v>27</v>
      </c>
      <c r="B33" s="17">
        <v>4</v>
      </c>
      <c r="C33" s="18">
        <f>SUM('Plant Measurments'!O336:O347)</f>
        <v>59.515088786181003</v>
      </c>
      <c r="D33" s="37"/>
      <c r="E33" s="17">
        <f t="shared" si="0"/>
        <v>238.06035514472401</v>
      </c>
      <c r="F33" s="18"/>
      <c r="G33" s="20"/>
      <c r="H33" s="24">
        <f t="shared" si="17"/>
        <v>0</v>
      </c>
      <c r="I33" s="18">
        <f>'Plant Measurments'!O348</f>
        <v>5.8301999999999996</v>
      </c>
      <c r="J33" s="20"/>
      <c r="K33" s="17">
        <f t="shared" si="2"/>
        <v>23.320799999999998</v>
      </c>
      <c r="L33" s="18"/>
      <c r="M33" s="20"/>
      <c r="N33" s="17">
        <f t="shared" si="3"/>
        <v>0</v>
      </c>
      <c r="O33" s="18"/>
      <c r="P33" s="20"/>
      <c r="Q33" s="17">
        <f t="shared" si="4"/>
        <v>0</v>
      </c>
      <c r="R33" s="18"/>
      <c r="S33" s="20"/>
      <c r="T33" s="17">
        <f t="shared" si="5"/>
        <v>0</v>
      </c>
      <c r="U33" s="18"/>
      <c r="V33" s="20"/>
      <c r="W33" s="17">
        <f t="shared" si="6"/>
        <v>0</v>
      </c>
      <c r="X33" s="17">
        <f t="shared" si="7"/>
        <v>261.381155144724</v>
      </c>
      <c r="Y33" s="21">
        <f>AVERAGE(X33:X37)</f>
        <v>1166.8405350289445</v>
      </c>
      <c r="Z33" s="22">
        <f t="shared" si="8"/>
        <v>238.06035514472401</v>
      </c>
      <c r="AA33" s="22">
        <f t="shared" si="9"/>
        <v>0</v>
      </c>
      <c r="AB33">
        <f t="shared" si="10"/>
        <v>0.91077857167213327</v>
      </c>
      <c r="AC33">
        <f t="shared" si="11"/>
        <v>0</v>
      </c>
      <c r="AD33">
        <f t="shared" si="12"/>
        <v>8.9221428327866698E-2</v>
      </c>
      <c r="AE33">
        <f t="shared" si="13"/>
        <v>0</v>
      </c>
      <c r="AF33">
        <f t="shared" si="14"/>
        <v>21033.62801</v>
      </c>
      <c r="AG33">
        <f t="shared" si="15"/>
        <v>4206.7256020000004</v>
      </c>
      <c r="AH33">
        <f t="shared" si="16"/>
        <v>1099.5587972276446</v>
      </c>
    </row>
    <row r="34" spans="1:34">
      <c r="A34" s="23" t="s">
        <v>27</v>
      </c>
      <c r="B34" s="24">
        <v>15</v>
      </c>
      <c r="C34" s="25"/>
      <c r="D34" s="26"/>
      <c r="E34" s="17">
        <f t="shared" si="0"/>
        <v>0</v>
      </c>
      <c r="F34" s="25"/>
      <c r="G34" s="27"/>
      <c r="H34" s="24">
        <f t="shared" si="17"/>
        <v>0</v>
      </c>
      <c r="I34" s="25"/>
      <c r="J34" s="27"/>
      <c r="K34" s="17">
        <f t="shared" si="2"/>
        <v>0</v>
      </c>
      <c r="L34" s="25"/>
      <c r="M34" s="27"/>
      <c r="N34" s="17">
        <f t="shared" si="3"/>
        <v>0</v>
      </c>
      <c r="O34" s="25"/>
      <c r="P34" s="27"/>
      <c r="Q34" s="17">
        <f t="shared" si="4"/>
        <v>0</v>
      </c>
      <c r="R34" s="25"/>
      <c r="S34" s="27"/>
      <c r="T34" s="17">
        <f t="shared" si="5"/>
        <v>0</v>
      </c>
      <c r="U34" s="25"/>
      <c r="V34" s="27"/>
      <c r="W34" s="17">
        <f t="shared" si="6"/>
        <v>0</v>
      </c>
      <c r="X34" s="24">
        <f t="shared" si="7"/>
        <v>0</v>
      </c>
      <c r="Y34" s="28"/>
      <c r="Z34" s="22">
        <f t="shared" si="8"/>
        <v>0</v>
      </c>
      <c r="AA34" s="22">
        <f t="shared" si="9"/>
        <v>0</v>
      </c>
      <c r="AB34" t="str">
        <f t="shared" si="10"/>
        <v xml:space="preserve"> </v>
      </c>
      <c r="AC34" t="str">
        <f t="shared" si="11"/>
        <v xml:space="preserve"> </v>
      </c>
      <c r="AD34" t="str">
        <f t="shared" si="12"/>
        <v xml:space="preserve"> </v>
      </c>
      <c r="AE34" t="str">
        <f t="shared" si="13"/>
        <v xml:space="preserve"> </v>
      </c>
      <c r="AF34">
        <f t="shared" si="14"/>
        <v>21033.62801</v>
      </c>
      <c r="AG34">
        <f t="shared" si="15"/>
        <v>4206.7256020000004</v>
      </c>
      <c r="AH34">
        <f t="shared" si="16"/>
        <v>0</v>
      </c>
    </row>
    <row r="35" spans="1:34">
      <c r="A35" s="23" t="s">
        <v>27</v>
      </c>
      <c r="B35" s="24">
        <v>33</v>
      </c>
      <c r="C35" s="25"/>
      <c r="D35" s="26"/>
      <c r="E35" s="17">
        <f t="shared" si="0"/>
        <v>0</v>
      </c>
      <c r="F35" s="25"/>
      <c r="G35" s="27"/>
      <c r="H35" s="24">
        <f t="shared" si="17"/>
        <v>0</v>
      </c>
      <c r="I35" s="25"/>
      <c r="J35" s="27"/>
      <c r="K35" s="17">
        <f t="shared" si="2"/>
        <v>0</v>
      </c>
      <c r="L35" s="25"/>
      <c r="M35" s="27"/>
      <c r="N35" s="17">
        <f t="shared" si="3"/>
        <v>0</v>
      </c>
      <c r="O35" s="25"/>
      <c r="P35" s="27"/>
      <c r="Q35" s="17">
        <f t="shared" si="4"/>
        <v>0</v>
      </c>
      <c r="R35" s="25">
        <f>SUM('Plant Measurments'!O353:O365)</f>
        <v>697.2118999999999</v>
      </c>
      <c r="S35" s="27"/>
      <c r="T35" s="17">
        <f t="shared" si="5"/>
        <v>2788.8475999999996</v>
      </c>
      <c r="U35" s="25"/>
      <c r="V35" s="27"/>
      <c r="W35" s="17">
        <f t="shared" si="6"/>
        <v>0</v>
      </c>
      <c r="X35" s="24">
        <f t="shared" si="7"/>
        <v>2788.8475999999996</v>
      </c>
      <c r="Y35" s="28"/>
      <c r="Z35" s="22">
        <f t="shared" si="8"/>
        <v>0</v>
      </c>
      <c r="AA35" s="22">
        <f t="shared" si="9"/>
        <v>2788.8475999999996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11731.916598996255</v>
      </c>
    </row>
    <row r="36" spans="1:34">
      <c r="A36" s="23" t="s">
        <v>27</v>
      </c>
      <c r="B36" s="24">
        <v>42</v>
      </c>
      <c r="C36" s="25"/>
      <c r="D36" s="26"/>
      <c r="E36" s="17">
        <f t="shared" si="0"/>
        <v>0</v>
      </c>
      <c r="F36" s="25"/>
      <c r="G36" s="27"/>
      <c r="H36" s="24">
        <f t="shared" si="17"/>
        <v>0</v>
      </c>
      <c r="I36" s="25"/>
      <c r="J36" s="27"/>
      <c r="K36" s="17">
        <f t="shared" si="2"/>
        <v>0</v>
      </c>
      <c r="L36" s="25"/>
      <c r="M36" s="27"/>
      <c r="N36" s="17">
        <f t="shared" si="3"/>
        <v>0</v>
      </c>
      <c r="O36" s="25"/>
      <c r="P36" s="27"/>
      <c r="Q36" s="17">
        <f t="shared" si="4"/>
        <v>0</v>
      </c>
      <c r="R36" s="25">
        <f>SUM('Plant Measurments'!O368:O370)</f>
        <v>106.52819999999998</v>
      </c>
      <c r="S36" s="27"/>
      <c r="T36" s="17">
        <f t="shared" si="5"/>
        <v>426.11279999999994</v>
      </c>
      <c r="U36" s="25">
        <f>SUM('Plant Measurments'!O366:O367)</f>
        <v>97.547779999999989</v>
      </c>
      <c r="V36" s="27"/>
      <c r="W36" s="17">
        <f t="shared" si="6"/>
        <v>390.19111999999996</v>
      </c>
      <c r="X36" s="24">
        <f t="shared" si="7"/>
        <v>816.30391999999983</v>
      </c>
      <c r="Y36" s="28"/>
      <c r="Z36" s="22">
        <f t="shared" si="8"/>
        <v>0</v>
      </c>
      <c r="AA36" s="22">
        <f t="shared" si="9"/>
        <v>816.30391999999983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3433.9665992769596</v>
      </c>
    </row>
    <row r="37" spans="1:34">
      <c r="A37" s="29" t="s">
        <v>27</v>
      </c>
      <c r="B37" s="30">
        <v>45</v>
      </c>
      <c r="C37" s="31"/>
      <c r="D37" s="32"/>
      <c r="E37" s="17">
        <f t="shared" si="0"/>
        <v>0</v>
      </c>
      <c r="F37" s="31"/>
      <c r="G37" s="33"/>
      <c r="H37" s="24">
        <f t="shared" si="17"/>
        <v>0</v>
      </c>
      <c r="I37" s="31"/>
      <c r="J37" s="33"/>
      <c r="K37" s="17">
        <f t="shared" si="2"/>
        <v>0</v>
      </c>
      <c r="L37" s="31"/>
      <c r="M37" s="33"/>
      <c r="N37" s="17">
        <f t="shared" si="3"/>
        <v>0</v>
      </c>
      <c r="O37" s="31"/>
      <c r="P37" s="33"/>
      <c r="Q37" s="17">
        <f t="shared" si="4"/>
        <v>0</v>
      </c>
      <c r="R37" s="31">
        <f>SUM('Plant Measurments'!O371:O377)</f>
        <v>491.9174999999999</v>
      </c>
      <c r="S37" s="33"/>
      <c r="T37" s="17">
        <f t="shared" si="5"/>
        <v>1967.6699999999996</v>
      </c>
      <c r="U37" s="31"/>
      <c r="V37" s="33"/>
      <c r="W37" s="17">
        <f t="shared" si="6"/>
        <v>0</v>
      </c>
      <c r="X37" s="30">
        <f t="shared" si="7"/>
        <v>1967.6699999999996</v>
      </c>
      <c r="Y37" s="34"/>
      <c r="Z37" s="22">
        <f t="shared" si="8"/>
        <v>0</v>
      </c>
      <c r="AA37" s="22">
        <f t="shared" si="9"/>
        <v>1967.6699999999996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8277.4477652873393</v>
      </c>
    </row>
    <row r="38" spans="1:34">
      <c r="A38" s="16" t="s">
        <v>25</v>
      </c>
      <c r="B38" s="17">
        <v>12</v>
      </c>
      <c r="C38" s="18"/>
      <c r="D38" s="19"/>
      <c r="E38" s="17">
        <f t="shared" si="0"/>
        <v>0</v>
      </c>
      <c r="F38" s="18"/>
      <c r="G38" s="20"/>
      <c r="H38" s="24">
        <f t="shared" si="17"/>
        <v>0</v>
      </c>
      <c r="I38" s="18"/>
      <c r="J38" s="20"/>
      <c r="K38" s="17">
        <f t="shared" si="2"/>
        <v>0</v>
      </c>
      <c r="L38" s="18"/>
      <c r="M38" s="20"/>
      <c r="N38" s="17">
        <f t="shared" si="3"/>
        <v>0</v>
      </c>
      <c r="O38" s="18"/>
      <c r="P38" s="20"/>
      <c r="Q38" s="17">
        <f t="shared" si="4"/>
        <v>0</v>
      </c>
      <c r="R38" s="18"/>
      <c r="S38" s="20"/>
      <c r="T38" s="17">
        <f t="shared" si="5"/>
        <v>0</v>
      </c>
      <c r="U38" s="18"/>
      <c r="V38" s="20"/>
      <c r="W38" s="17">
        <f t="shared" si="6"/>
        <v>0</v>
      </c>
      <c r="X38" s="17">
        <f t="shared" si="7"/>
        <v>0</v>
      </c>
      <c r="Y38" s="21">
        <f>AVERAGE(X38:X42)</f>
        <v>1003.1255359999999</v>
      </c>
      <c r="Z38" s="22">
        <f t="shared" si="8"/>
        <v>0</v>
      </c>
      <c r="AA38" s="22">
        <f t="shared" si="9"/>
        <v>0</v>
      </c>
      <c r="AB38" t="str">
        <f t="shared" si="10"/>
        <v xml:space="preserve"> </v>
      </c>
      <c r="AC38" t="str">
        <f t="shared" si="11"/>
        <v xml:space="preserve"> </v>
      </c>
      <c r="AD38" t="str">
        <f t="shared" si="12"/>
        <v xml:space="preserve"> </v>
      </c>
      <c r="AE38" t="str">
        <f t="shared" si="13"/>
        <v xml:space="preserve"> </v>
      </c>
      <c r="AF38">
        <f t="shared" si="14"/>
        <v>21033.62801</v>
      </c>
      <c r="AG38">
        <f t="shared" si="15"/>
        <v>4206.7256020000004</v>
      </c>
      <c r="AH38">
        <f t="shared" si="16"/>
        <v>0</v>
      </c>
    </row>
    <row r="39" spans="1:34">
      <c r="A39" s="23" t="s">
        <v>25</v>
      </c>
      <c r="B39" s="24">
        <v>13</v>
      </c>
      <c r="C39" s="25">
        <f>SUM('Plant Measurments'!O379:O380)</f>
        <v>4.9446000000000003</v>
      </c>
      <c r="D39" s="26"/>
      <c r="E39" s="17">
        <f t="shared" si="0"/>
        <v>19.778400000000001</v>
      </c>
      <c r="F39" s="25"/>
      <c r="G39" s="27"/>
      <c r="H39" s="24">
        <f t="shared" si="17"/>
        <v>0</v>
      </c>
      <c r="I39" s="25"/>
      <c r="J39" s="27"/>
      <c r="K39" s="17">
        <f t="shared" si="2"/>
        <v>0</v>
      </c>
      <c r="L39" s="25"/>
      <c r="M39" s="27"/>
      <c r="N39" s="17">
        <f t="shared" si="3"/>
        <v>0</v>
      </c>
      <c r="O39" s="25"/>
      <c r="P39" s="27"/>
      <c r="Q39" s="17">
        <f t="shared" si="4"/>
        <v>0</v>
      </c>
      <c r="R39" s="25">
        <f>SUM('Plant Measurments'!O379:O391)</f>
        <v>160.90649999999997</v>
      </c>
      <c r="S39" s="27"/>
      <c r="T39" s="17">
        <f t="shared" si="5"/>
        <v>643.62599999999986</v>
      </c>
      <c r="U39" s="25"/>
      <c r="V39" s="27"/>
      <c r="W39" s="17">
        <f t="shared" si="6"/>
        <v>0</v>
      </c>
      <c r="X39" s="24">
        <f t="shared" si="7"/>
        <v>663.4043999999999</v>
      </c>
      <c r="Y39" s="28"/>
      <c r="Z39" s="22">
        <f t="shared" si="8"/>
        <v>19.778400000000001</v>
      </c>
      <c r="AA39" s="22">
        <f t="shared" si="9"/>
        <v>643.62599999999986</v>
      </c>
      <c r="AB39">
        <f t="shared" si="10"/>
        <v>2.9813489328680973E-2</v>
      </c>
      <c r="AC39">
        <f t="shared" si="11"/>
        <v>0</v>
      </c>
      <c r="AD39">
        <f t="shared" si="12"/>
        <v>0</v>
      </c>
      <c r="AE39">
        <f t="shared" si="13"/>
        <v>0.970186510671319</v>
      </c>
      <c r="AF39">
        <f t="shared" si="14"/>
        <v>21033.62801</v>
      </c>
      <c r="AG39">
        <f t="shared" si="15"/>
        <v>4206.7256020000004</v>
      </c>
      <c r="AH39">
        <f t="shared" si="16"/>
        <v>2790.7602739594486</v>
      </c>
    </row>
    <row r="40" spans="1:34">
      <c r="A40" s="23" t="s">
        <v>25</v>
      </c>
      <c r="B40" s="24">
        <v>17</v>
      </c>
      <c r="C40" s="25"/>
      <c r="D40" s="26"/>
      <c r="E40" s="17">
        <f t="shared" si="0"/>
        <v>0</v>
      </c>
      <c r="F40" s="25"/>
      <c r="G40" s="27"/>
      <c r="H40" s="24">
        <f t="shared" si="17"/>
        <v>0</v>
      </c>
      <c r="I40" s="25"/>
      <c r="J40" s="27"/>
      <c r="K40" s="17">
        <f t="shared" si="2"/>
        <v>0</v>
      </c>
      <c r="L40" s="25"/>
      <c r="M40" s="27"/>
      <c r="N40" s="17">
        <f t="shared" si="3"/>
        <v>0</v>
      </c>
      <c r="O40" s="25"/>
      <c r="P40" s="27"/>
      <c r="Q40" s="17">
        <f t="shared" si="4"/>
        <v>0</v>
      </c>
      <c r="R40" s="25">
        <f>'Plant Measurments'!O392</f>
        <v>91.312600000000003</v>
      </c>
      <c r="S40" s="27"/>
      <c r="T40" s="17">
        <f t="shared" si="5"/>
        <v>365.25040000000001</v>
      </c>
      <c r="U40" s="25"/>
      <c r="V40" s="27"/>
      <c r="W40" s="17">
        <f t="shared" si="6"/>
        <v>0</v>
      </c>
      <c r="X40" s="24">
        <f t="shared" si="7"/>
        <v>365.25040000000001</v>
      </c>
      <c r="Y40" s="28"/>
      <c r="Z40" s="22">
        <f t="shared" si="8"/>
        <v>0</v>
      </c>
      <c r="AA40" s="22">
        <f t="shared" si="9"/>
        <v>365.25040000000001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1536.5082088207409</v>
      </c>
    </row>
    <row r="41" spans="1:34">
      <c r="A41" s="23" t="s">
        <v>25</v>
      </c>
      <c r="B41" s="24">
        <v>21</v>
      </c>
      <c r="C41" s="25">
        <f>SUM('Plant Measurments'!O393:O400)</f>
        <v>53.431200000000004</v>
      </c>
      <c r="D41" s="26"/>
      <c r="E41" s="17">
        <f t="shared" si="0"/>
        <v>213.72480000000002</v>
      </c>
      <c r="F41" s="25"/>
      <c r="G41" s="27"/>
      <c r="H41" s="24">
        <f t="shared" si="17"/>
        <v>0</v>
      </c>
      <c r="I41" s="25"/>
      <c r="J41" s="27"/>
      <c r="K41" s="17">
        <f t="shared" si="2"/>
        <v>0</v>
      </c>
      <c r="L41" s="25"/>
      <c r="M41" s="27"/>
      <c r="N41" s="17">
        <f t="shared" si="3"/>
        <v>0</v>
      </c>
      <c r="O41" s="25"/>
      <c r="P41" s="27"/>
      <c r="Q41" s="17">
        <f t="shared" si="4"/>
        <v>0</v>
      </c>
      <c r="R41" s="25">
        <f>SUM('Plant Measurments'!O404:O423)</f>
        <v>513.15609999999992</v>
      </c>
      <c r="S41" s="27"/>
      <c r="T41" s="17">
        <f t="shared" si="5"/>
        <v>2052.6243999999997</v>
      </c>
      <c r="U41" s="25">
        <f>SUM('Plant Measurments'!O401:O403)</f>
        <v>245.73562000000001</v>
      </c>
      <c r="V41" s="27"/>
      <c r="W41" s="17">
        <f t="shared" si="6"/>
        <v>982.94248000000005</v>
      </c>
      <c r="X41" s="24">
        <f t="shared" si="7"/>
        <v>3249.2916799999998</v>
      </c>
      <c r="Y41" s="28"/>
      <c r="Z41" s="22">
        <f t="shared" si="8"/>
        <v>213.72480000000002</v>
      </c>
      <c r="AA41" s="22">
        <f t="shared" si="9"/>
        <v>3035.5668799999999</v>
      </c>
      <c r="AB41">
        <f t="shared" si="10"/>
        <v>6.5775812407213627E-2</v>
      </c>
      <c r="AC41">
        <f t="shared" si="11"/>
        <v>0</v>
      </c>
      <c r="AD41">
        <f t="shared" si="12"/>
        <v>0</v>
      </c>
      <c r="AE41">
        <f t="shared" si="13"/>
        <v>0.93422418759278636</v>
      </c>
      <c r="AF41">
        <f t="shared" si="14"/>
        <v>21033.62801</v>
      </c>
      <c r="AG41">
        <f t="shared" si="15"/>
        <v>4206.7256020000004</v>
      </c>
      <c r="AH41">
        <f t="shared" si="16"/>
        <v>13668.878498621592</v>
      </c>
    </row>
    <row r="42" spans="1:34">
      <c r="A42" s="29" t="s">
        <v>25</v>
      </c>
      <c r="B42" s="30">
        <v>42</v>
      </c>
      <c r="C42" s="31"/>
      <c r="D42" s="32"/>
      <c r="E42" s="17">
        <f>C42*4</f>
        <v>0</v>
      </c>
      <c r="F42" s="31"/>
      <c r="G42" s="33"/>
      <c r="H42" s="24">
        <f t="shared" si="17"/>
        <v>0</v>
      </c>
      <c r="I42" s="31"/>
      <c r="J42" s="33"/>
      <c r="K42" s="17">
        <f t="shared" si="2"/>
        <v>0</v>
      </c>
      <c r="L42" s="31"/>
      <c r="M42" s="33"/>
      <c r="N42" s="17">
        <f t="shared" si="3"/>
        <v>0</v>
      </c>
      <c r="O42" s="31"/>
      <c r="P42" s="33"/>
      <c r="Q42" s="17">
        <f t="shared" si="4"/>
        <v>0</v>
      </c>
      <c r="R42" s="31">
        <f>SUM('Plant Measurments'!O426:O429)</f>
        <v>82.782799999999952</v>
      </c>
      <c r="S42" s="33"/>
      <c r="T42" s="17">
        <f t="shared" si="5"/>
        <v>331.13119999999981</v>
      </c>
      <c r="U42" s="31">
        <f>SUM('Plant Measurments'!O424:O425)</f>
        <v>101.63749999999996</v>
      </c>
      <c r="V42" s="33"/>
      <c r="W42" s="17">
        <f t="shared" si="6"/>
        <v>406.54999999999984</v>
      </c>
      <c r="X42" s="30">
        <f t="shared" si="7"/>
        <v>737.68119999999965</v>
      </c>
      <c r="Y42" s="34"/>
      <c r="Z42" s="22">
        <f t="shared" si="8"/>
        <v>0</v>
      </c>
      <c r="AA42" s="22">
        <f t="shared" si="9"/>
        <v>737.68119999999965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1</v>
      </c>
      <c r="AF42">
        <f t="shared" si="14"/>
        <v>21033.62801</v>
      </c>
      <c r="AG42">
        <f t="shared" si="15"/>
        <v>4206.7256020000004</v>
      </c>
      <c r="AH42">
        <f t="shared" si="16"/>
        <v>3103.2223901540815</v>
      </c>
    </row>
    <row r="43" spans="1:34">
      <c r="A43" s="16" t="s">
        <v>24</v>
      </c>
      <c r="B43" s="17">
        <v>12</v>
      </c>
      <c r="C43" s="18">
        <f>SUM('Plant Measurments'!O430:O443)</f>
        <v>128.78100000000001</v>
      </c>
      <c r="D43" s="38"/>
      <c r="E43" s="17">
        <f t="shared" si="0"/>
        <v>515.12400000000002</v>
      </c>
      <c r="F43" s="18"/>
      <c r="G43" s="20"/>
      <c r="H43" s="17"/>
      <c r="I43" s="18"/>
      <c r="J43" s="20"/>
      <c r="K43" s="17">
        <f t="shared" si="2"/>
        <v>0</v>
      </c>
      <c r="L43" s="18"/>
      <c r="M43" s="20"/>
      <c r="N43" s="17">
        <f t="shared" si="3"/>
        <v>0</v>
      </c>
      <c r="O43" s="18"/>
      <c r="P43" s="20"/>
      <c r="Q43" s="17">
        <f t="shared" si="4"/>
        <v>0</v>
      </c>
      <c r="R43" s="18"/>
      <c r="S43" s="20"/>
      <c r="T43" s="17">
        <f t="shared" si="5"/>
        <v>0</v>
      </c>
      <c r="U43" s="18">
        <f>SUM('Plant Measurments'!O444:O445)</f>
        <v>18.540099999999988</v>
      </c>
      <c r="V43" s="19"/>
      <c r="W43" s="17">
        <f t="shared" si="6"/>
        <v>74.160399999999953</v>
      </c>
      <c r="X43" s="17">
        <f t="shared" si="7"/>
        <v>589.28440000000001</v>
      </c>
      <c r="Y43" s="21">
        <f>AVERAGE(X43:X47)</f>
        <v>758.87325846255192</v>
      </c>
      <c r="Z43" s="22">
        <f t="shared" si="8"/>
        <v>515.12400000000002</v>
      </c>
      <c r="AA43" s="22">
        <f t="shared" si="9"/>
        <v>74.160399999999953</v>
      </c>
      <c r="AB43">
        <f t="shared" si="10"/>
        <v>0.87415176780515491</v>
      </c>
      <c r="AC43">
        <f t="shared" si="11"/>
        <v>0</v>
      </c>
      <c r="AD43">
        <f t="shared" si="12"/>
        <v>0</v>
      </c>
      <c r="AE43">
        <f t="shared" si="13"/>
        <v>0.12584823219484506</v>
      </c>
      <c r="AF43">
        <f t="shared" si="14"/>
        <v>21033.62801</v>
      </c>
      <c r="AG43">
        <f t="shared" si="15"/>
        <v>4206.7256020000004</v>
      </c>
      <c r="AH43">
        <f t="shared" si="16"/>
        <v>2478.957772339209</v>
      </c>
    </row>
    <row r="44" spans="1:34">
      <c r="A44" s="23" t="s">
        <v>24</v>
      </c>
      <c r="B44" s="24">
        <v>26</v>
      </c>
      <c r="C44" s="25"/>
      <c r="D44" s="26"/>
      <c r="E44" s="17">
        <f t="shared" si="0"/>
        <v>0</v>
      </c>
      <c r="F44" s="25"/>
      <c r="G44" s="27"/>
      <c r="H44" s="24"/>
      <c r="I44" s="25"/>
      <c r="J44" s="27"/>
      <c r="K44" s="17">
        <f t="shared" si="2"/>
        <v>0</v>
      </c>
      <c r="L44" s="25"/>
      <c r="M44" s="27"/>
      <c r="N44" s="17">
        <f t="shared" si="3"/>
        <v>0</v>
      </c>
      <c r="O44" s="25"/>
      <c r="P44" s="27"/>
      <c r="Q44" s="17">
        <f t="shared" si="4"/>
        <v>0</v>
      </c>
      <c r="R44" s="25">
        <f>SUM('Plant Measurments'!O447:O448)</f>
        <v>133.51569999999995</v>
      </c>
      <c r="S44" s="27"/>
      <c r="T44" s="17">
        <f t="shared" si="5"/>
        <v>534.06279999999981</v>
      </c>
      <c r="U44" s="25"/>
      <c r="V44" s="27"/>
      <c r="W44" s="17">
        <f t="shared" si="6"/>
        <v>0</v>
      </c>
      <c r="X44" s="24">
        <f t="shared" si="7"/>
        <v>534.06279999999981</v>
      </c>
      <c r="Y44" s="28"/>
      <c r="Z44" s="22">
        <f t="shared" si="8"/>
        <v>0</v>
      </c>
      <c r="AA44" s="22">
        <f t="shared" si="9"/>
        <v>534.06279999999981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2246.655653835805</v>
      </c>
    </row>
    <row r="45" spans="1:34">
      <c r="A45" s="23" t="s">
        <v>24</v>
      </c>
      <c r="B45" s="24">
        <v>28</v>
      </c>
      <c r="C45" s="25"/>
      <c r="D45" s="26"/>
      <c r="E45" s="17">
        <f t="shared" si="0"/>
        <v>0</v>
      </c>
      <c r="F45" s="25"/>
      <c r="G45" s="27"/>
      <c r="H45" s="24"/>
      <c r="I45" s="25"/>
      <c r="J45" s="27"/>
      <c r="K45" s="17">
        <f t="shared" si="2"/>
        <v>0</v>
      </c>
      <c r="L45" s="25"/>
      <c r="M45" s="27"/>
      <c r="N45" s="17">
        <f t="shared" si="3"/>
        <v>0</v>
      </c>
      <c r="O45" s="25"/>
      <c r="P45" s="27"/>
      <c r="Q45" s="17">
        <f t="shared" si="4"/>
        <v>0</v>
      </c>
      <c r="R45" s="25">
        <f>SUM('Plant Measurments'!O449:O451)</f>
        <v>43.51339999999999</v>
      </c>
      <c r="S45" s="27"/>
      <c r="T45" s="17">
        <f t="shared" si="5"/>
        <v>174.05359999999996</v>
      </c>
      <c r="U45" s="25"/>
      <c r="V45" s="27"/>
      <c r="W45" s="17">
        <f t="shared" si="6"/>
        <v>0</v>
      </c>
      <c r="X45" s="24">
        <f t="shared" si="7"/>
        <v>174.05359999999996</v>
      </c>
      <c r="Y45" s="28"/>
      <c r="Z45" s="22">
        <f t="shared" si="8"/>
        <v>0</v>
      </c>
      <c r="AA45" s="22">
        <f t="shared" si="9"/>
        <v>174.05359999999996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732.19573524026714</v>
      </c>
    </row>
    <row r="46" spans="1:34">
      <c r="A46" s="23" t="s">
        <v>24</v>
      </c>
      <c r="B46" s="24">
        <v>34</v>
      </c>
      <c r="C46" s="25">
        <f>SUM('Plant Measurments'!O452:O474)</f>
        <v>181.41227307818997</v>
      </c>
      <c r="D46" s="26"/>
      <c r="E46" s="17">
        <f t="shared" si="0"/>
        <v>725.64909231275988</v>
      </c>
      <c r="F46" s="25"/>
      <c r="G46" s="27"/>
      <c r="H46" s="24">
        <f>F46*4</f>
        <v>0</v>
      </c>
      <c r="I46" s="25"/>
      <c r="J46" s="27"/>
      <c r="K46" s="17">
        <f t="shared" si="2"/>
        <v>0</v>
      </c>
      <c r="L46" s="25"/>
      <c r="M46" s="27"/>
      <c r="N46" s="17">
        <f t="shared" si="3"/>
        <v>0</v>
      </c>
      <c r="O46" s="25"/>
      <c r="P46" s="27"/>
      <c r="Q46" s="17">
        <f t="shared" si="4"/>
        <v>0</v>
      </c>
      <c r="R46" s="25"/>
      <c r="S46" s="27"/>
      <c r="T46" s="17">
        <f t="shared" si="5"/>
        <v>0</v>
      </c>
      <c r="U46" s="25"/>
      <c r="V46" s="27"/>
      <c r="W46" s="17">
        <f t="shared" si="6"/>
        <v>0</v>
      </c>
      <c r="X46" s="24">
        <f t="shared" si="7"/>
        <v>725.64909231275988</v>
      </c>
      <c r="Y46" s="28"/>
      <c r="Z46" s="22">
        <f t="shared" si="8"/>
        <v>725.64909231275988</v>
      </c>
      <c r="AA46" s="22">
        <f t="shared" si="9"/>
        <v>0</v>
      </c>
      <c r="AB46">
        <f t="shared" si="10"/>
        <v>1</v>
      </c>
      <c r="AC46">
        <f t="shared" si="11"/>
        <v>0</v>
      </c>
      <c r="AD46">
        <f t="shared" si="12"/>
        <v>0</v>
      </c>
      <c r="AE46">
        <f t="shared" si="13"/>
        <v>0</v>
      </c>
      <c r="AF46">
        <f t="shared" si="14"/>
        <v>21033.62801</v>
      </c>
      <c r="AG46">
        <f t="shared" si="15"/>
        <v>4206.7256020000004</v>
      </c>
      <c r="AH46">
        <f t="shared" si="16"/>
        <v>3052.6066147001488</v>
      </c>
    </row>
    <row r="47" spans="1:34">
      <c r="A47" s="29" t="s">
        <v>24</v>
      </c>
      <c r="B47" s="30">
        <v>38</v>
      </c>
      <c r="C47" s="31"/>
      <c r="D47" s="32"/>
      <c r="E47" s="17">
        <f t="shared" si="0"/>
        <v>0</v>
      </c>
      <c r="F47" s="31"/>
      <c r="G47" s="33"/>
      <c r="H47" s="30"/>
      <c r="I47" s="31"/>
      <c r="J47" s="33"/>
      <c r="K47" s="17">
        <f t="shared" si="2"/>
        <v>0</v>
      </c>
      <c r="L47" s="31"/>
      <c r="M47" s="33"/>
      <c r="N47" s="17">
        <f t="shared" si="3"/>
        <v>0</v>
      </c>
      <c r="O47" s="31"/>
      <c r="P47" s="33"/>
      <c r="Q47" s="17">
        <f t="shared" si="4"/>
        <v>0</v>
      </c>
      <c r="R47" s="31">
        <f>SUM('Plant Measurments'!O475:O479)</f>
        <v>442.82909999999998</v>
      </c>
      <c r="S47" s="33"/>
      <c r="T47" s="17">
        <f t="shared" si="5"/>
        <v>1771.3163999999999</v>
      </c>
      <c r="U47" s="31"/>
      <c r="V47" s="33"/>
      <c r="W47" s="17">
        <f t="shared" si="6"/>
        <v>0</v>
      </c>
      <c r="X47" s="30">
        <f t="shared" si="7"/>
        <v>1771.3163999999999</v>
      </c>
      <c r="Y47" s="34"/>
      <c r="Z47" s="22">
        <f t="shared" si="8"/>
        <v>0</v>
      </c>
      <c r="AA47" s="22">
        <f t="shared" si="9"/>
        <v>1771.3163999999999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1</v>
      </c>
      <c r="AF47">
        <f t="shared" si="14"/>
        <v>21033.62801</v>
      </c>
      <c r="AG47">
        <f t="shared" si="15"/>
        <v>4206.7256020000004</v>
      </c>
      <c r="AH47">
        <f t="shared" si="16"/>
        <v>7451.4420491224728</v>
      </c>
    </row>
    <row r="48" spans="1:34">
      <c r="A48" s="16" t="s">
        <v>19</v>
      </c>
      <c r="B48" s="17">
        <v>12</v>
      </c>
      <c r="C48" s="18"/>
      <c r="D48" s="19"/>
      <c r="E48" s="17">
        <f t="shared" si="0"/>
        <v>0</v>
      </c>
      <c r="F48" s="18"/>
      <c r="G48" s="20"/>
      <c r="H48" s="17"/>
      <c r="I48" s="18">
        <f>SUM('Plant Measurments'!O480:O490)</f>
        <v>62.3979</v>
      </c>
      <c r="J48" s="20"/>
      <c r="K48" s="17">
        <f t="shared" si="2"/>
        <v>249.5916</v>
      </c>
      <c r="L48" s="18"/>
      <c r="M48" s="20"/>
      <c r="N48" s="17">
        <f t="shared" si="3"/>
        <v>0</v>
      </c>
      <c r="O48" s="18"/>
      <c r="P48" s="20"/>
      <c r="Q48" s="17">
        <f t="shared" si="4"/>
        <v>0</v>
      </c>
      <c r="R48" s="18"/>
      <c r="S48" s="20"/>
      <c r="T48" s="17">
        <f t="shared" si="5"/>
        <v>0</v>
      </c>
      <c r="U48" s="18">
        <f>'Plant Measurments'!O491</f>
        <v>100.79034</v>
      </c>
      <c r="V48" s="20"/>
      <c r="W48" s="17">
        <f t="shared" si="6"/>
        <v>403.16136</v>
      </c>
      <c r="X48" s="17">
        <f t="shared" si="7"/>
        <v>652.75296000000003</v>
      </c>
      <c r="Y48" s="21">
        <f>AVERAGE(X48:X52)</f>
        <v>1809.4598189949259</v>
      </c>
      <c r="Z48" s="22">
        <f>E48+Q48</f>
        <v>0</v>
      </c>
      <c r="AA48" s="22">
        <f t="shared" si="9"/>
        <v>403.16136</v>
      </c>
      <c r="AB48">
        <f t="shared" si="10"/>
        <v>0</v>
      </c>
      <c r="AC48">
        <f t="shared" si="11"/>
        <v>0</v>
      </c>
      <c r="AD48">
        <f t="shared" si="12"/>
        <v>0.38236762649073242</v>
      </c>
      <c r="AE48">
        <f t="shared" si="13"/>
        <v>0.61763237350926758</v>
      </c>
      <c r="AF48">
        <f t="shared" si="14"/>
        <v>21033.62801</v>
      </c>
      <c r="AG48">
        <f t="shared" si="15"/>
        <v>4206.7256020000004</v>
      </c>
      <c r="AH48">
        <f t="shared" si="16"/>
        <v>2745.9525886132824</v>
      </c>
    </row>
    <row r="49" spans="1:34">
      <c r="A49" s="23" t="s">
        <v>19</v>
      </c>
      <c r="B49" s="24">
        <v>16</v>
      </c>
      <c r="C49" s="25"/>
      <c r="D49" s="26"/>
      <c r="E49" s="17">
        <f t="shared" si="0"/>
        <v>0</v>
      </c>
      <c r="F49" s="25"/>
      <c r="G49" s="27"/>
      <c r="H49" s="24"/>
      <c r="I49" s="25"/>
      <c r="J49" s="27"/>
      <c r="K49" s="17">
        <f t="shared" si="2"/>
        <v>0</v>
      </c>
      <c r="L49" s="25"/>
      <c r="M49" s="27"/>
      <c r="N49" s="17">
        <f t="shared" si="3"/>
        <v>0</v>
      </c>
      <c r="O49" s="25"/>
      <c r="P49" s="27"/>
      <c r="Q49" s="17">
        <f t="shared" si="4"/>
        <v>0</v>
      </c>
      <c r="R49" s="25">
        <f>SUM('Plant Measurments'!O492:O511)</f>
        <v>454.9020999999999</v>
      </c>
      <c r="S49" s="27"/>
      <c r="T49" s="17">
        <f t="shared" si="5"/>
        <v>1819.6083999999996</v>
      </c>
      <c r="U49" s="25"/>
      <c r="V49" s="27"/>
      <c r="W49" s="17">
        <f t="shared" si="6"/>
        <v>0</v>
      </c>
      <c r="X49" s="24">
        <f t="shared" si="7"/>
        <v>1819.6083999999996</v>
      </c>
      <c r="Y49" s="28"/>
      <c r="Z49" s="22">
        <f t="shared" si="8"/>
        <v>0</v>
      </c>
      <c r="AA49" s="22">
        <f t="shared" si="9"/>
        <v>1819.6083999999996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7654.5932418942566</v>
      </c>
    </row>
    <row r="50" spans="1:34">
      <c r="A50" s="23" t="s">
        <v>19</v>
      </c>
      <c r="B50" s="24">
        <v>29</v>
      </c>
      <c r="C50" s="25"/>
      <c r="D50" s="26"/>
      <c r="E50" s="17">
        <f t="shared" si="0"/>
        <v>0</v>
      </c>
      <c r="F50" s="25"/>
      <c r="G50" s="27"/>
      <c r="H50" s="24">
        <f>F50*4</f>
        <v>0</v>
      </c>
      <c r="I50" s="25"/>
      <c r="J50" s="27"/>
      <c r="K50" s="17">
        <f t="shared" si="2"/>
        <v>0</v>
      </c>
      <c r="L50" s="25"/>
      <c r="M50" s="27"/>
      <c r="N50" s="17">
        <f t="shared" si="3"/>
        <v>0</v>
      </c>
      <c r="O50" s="25"/>
      <c r="P50" s="27"/>
      <c r="Q50" s="17">
        <f t="shared" si="4"/>
        <v>0</v>
      </c>
      <c r="R50" s="25">
        <f>SUM('Plant Measurments'!O514:O531)</f>
        <v>472.92899999999986</v>
      </c>
      <c r="S50" s="27"/>
      <c r="T50" s="17">
        <f t="shared" si="5"/>
        <v>1891.7159999999994</v>
      </c>
      <c r="U50" s="25">
        <f>SUM('Plant Measurments'!O512:O513)</f>
        <v>219.40496000000002</v>
      </c>
      <c r="V50" s="27"/>
      <c r="W50" s="17">
        <f t="shared" si="6"/>
        <v>877.61984000000007</v>
      </c>
      <c r="X50" s="24">
        <f t="shared" si="7"/>
        <v>2769.3358399999997</v>
      </c>
      <c r="Y50" s="28"/>
      <c r="Z50" s="22">
        <f t="shared" si="8"/>
        <v>0</v>
      </c>
      <c r="AA50" s="22">
        <f t="shared" si="9"/>
        <v>2769.3358399999997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11649.835978664176</v>
      </c>
    </row>
    <row r="51" spans="1:34">
      <c r="A51" s="23" t="s">
        <v>19</v>
      </c>
      <c r="B51" s="24">
        <v>44</v>
      </c>
      <c r="C51" s="25"/>
      <c r="D51" s="26"/>
      <c r="E51" s="17">
        <f t="shared" si="0"/>
        <v>0</v>
      </c>
      <c r="F51" s="25"/>
      <c r="G51" s="27"/>
      <c r="H51" s="24">
        <f>F51*4</f>
        <v>0</v>
      </c>
      <c r="I51" s="25">
        <f>'Plant Measurments'!O532</f>
        <v>9.0404999999999998</v>
      </c>
      <c r="J51" s="27"/>
      <c r="K51" s="17">
        <f t="shared" si="2"/>
        <v>36.161999999999999</v>
      </c>
      <c r="L51" s="25"/>
      <c r="M51" s="27"/>
      <c r="N51" s="17">
        <f t="shared" si="3"/>
        <v>0</v>
      </c>
      <c r="O51" s="25"/>
      <c r="P51" s="27"/>
      <c r="Q51" s="17">
        <f t="shared" si="4"/>
        <v>0</v>
      </c>
      <c r="R51" s="25">
        <f>SUM('Plant Measurments'!O533:O536)</f>
        <v>358.55889999999988</v>
      </c>
      <c r="S51" s="27"/>
      <c r="T51" s="17">
        <f t="shared" si="5"/>
        <v>1434.2355999999995</v>
      </c>
      <c r="U51" s="25">
        <f>SUM('Plant Measurments'!O550:O555)</f>
        <v>63.552703729310402</v>
      </c>
      <c r="V51" s="27"/>
      <c r="W51" s="17">
        <f t="shared" si="6"/>
        <v>254.21081491724161</v>
      </c>
      <c r="X51" s="24">
        <f t="shared" si="7"/>
        <v>1724.6084149172411</v>
      </c>
      <c r="Y51" s="28"/>
      <c r="Z51" s="22">
        <f t="shared" si="8"/>
        <v>0</v>
      </c>
      <c r="AA51" s="22">
        <f t="shared" si="9"/>
        <v>1688.4464149172411</v>
      </c>
      <c r="AB51">
        <f t="shared" si="10"/>
        <v>0</v>
      </c>
      <c r="AC51">
        <f t="shared" si="11"/>
        <v>0</v>
      </c>
      <c r="AD51">
        <f t="shared" si="12"/>
        <v>2.0968238173495926E-2</v>
      </c>
      <c r="AE51">
        <f t="shared" si="13"/>
        <v>0.97903176182650409</v>
      </c>
      <c r="AF51">
        <f t="shared" si="14"/>
        <v>21033.62801</v>
      </c>
      <c r="AG51">
        <f t="shared" si="15"/>
        <v>4206.7256020000004</v>
      </c>
      <c r="AH51">
        <f t="shared" si="16"/>
        <v>7254.9543724569976</v>
      </c>
    </row>
    <row r="52" spans="1:34">
      <c r="A52" s="29" t="s">
        <v>19</v>
      </c>
      <c r="B52" s="30">
        <v>45</v>
      </c>
      <c r="C52" s="31">
        <f>'Plant Measurments'!O537</f>
        <v>7.4907000000000004</v>
      </c>
      <c r="D52" s="32"/>
      <c r="E52" s="17">
        <f t="shared" si="0"/>
        <v>29.962800000000001</v>
      </c>
      <c r="F52" s="31"/>
      <c r="G52" s="33"/>
      <c r="H52" s="30"/>
      <c r="I52" s="31">
        <f>SUM('Plant Measurments'!O538:O555)</f>
        <v>182.0405700143472</v>
      </c>
      <c r="J52" s="33"/>
      <c r="K52" s="17">
        <f t="shared" si="2"/>
        <v>728.16228005738878</v>
      </c>
      <c r="L52" s="31"/>
      <c r="M52" s="33"/>
      <c r="N52" s="17">
        <f t="shared" si="3"/>
        <v>0</v>
      </c>
      <c r="O52" s="31"/>
      <c r="P52" s="33"/>
      <c r="Q52" s="17">
        <f t="shared" si="4"/>
        <v>0</v>
      </c>
      <c r="R52" s="31">
        <f>SUM('Plant Measurments'!O558:O562)</f>
        <v>214.86359999999996</v>
      </c>
      <c r="S52" s="33"/>
      <c r="T52" s="17">
        <f t="shared" si="5"/>
        <v>859.45439999999985</v>
      </c>
      <c r="U52" s="31">
        <f>SUM('Plant Measurments'!O556:O557)</f>
        <v>115.85349999999995</v>
      </c>
      <c r="V52" s="33"/>
      <c r="W52" s="17">
        <f t="shared" si="6"/>
        <v>463.41399999999982</v>
      </c>
      <c r="X52" s="30">
        <f t="shared" si="7"/>
        <v>2080.9934800573883</v>
      </c>
      <c r="Y52" s="34"/>
      <c r="Z52" s="22">
        <f t="shared" si="8"/>
        <v>29.962800000000001</v>
      </c>
      <c r="AA52" s="22">
        <f t="shared" si="9"/>
        <v>1322.8683999999996</v>
      </c>
      <c r="AB52">
        <f t="shared" si="10"/>
        <v>1.4398315173564939E-2</v>
      </c>
      <c r="AC52">
        <f t="shared" si="11"/>
        <v>0</v>
      </c>
      <c r="AD52">
        <f t="shared" si="12"/>
        <v>0.34991088969548717</v>
      </c>
      <c r="AE52">
        <f t="shared" si="13"/>
        <v>0.63569079513094795</v>
      </c>
      <c r="AF52">
        <f t="shared" si="14"/>
        <v>21033.62801</v>
      </c>
      <c r="AG52">
        <f t="shared" si="15"/>
        <v>4206.7256020000004</v>
      </c>
      <c r="AH52">
        <f t="shared" si="16"/>
        <v>8754.1685501524917</v>
      </c>
    </row>
    <row r="53" spans="1:34">
      <c r="Y53" t="s">
        <v>56</v>
      </c>
      <c r="AB53">
        <f>AVERAGE(AB3:AB52)</f>
        <v>0.18250704872777818</v>
      </c>
      <c r="AC53">
        <f t="shared" ref="AC53:AE53" si="18">AVERAGE(AC3:AC52)</f>
        <v>0</v>
      </c>
      <c r="AD53">
        <f t="shared" si="18"/>
        <v>1.9147004151990502E-2</v>
      </c>
      <c r="AE53">
        <f t="shared" si="18"/>
        <v>0.79834594712023121</v>
      </c>
      <c r="AG53" t="s">
        <v>57</v>
      </c>
      <c r="AH53">
        <f>SUM(AH3:AH52)</f>
        <v>226215.88292851555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2013-06-17T16:19:05Z</dcterms:created>
  <dcterms:modified xsi:type="dcterms:W3CDTF">2015-07-29T22:38:23Z</dcterms:modified>
</cp:coreProperties>
</file>