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5940" yWindow="600" windowWidth="39020" windowHeight="24480" tabRatio="500" activeTab="1"/>
  </bookViews>
  <sheets>
    <sheet name="Plant Measurments" sheetId="1" r:id="rId1"/>
    <sheet name="Quadrat Totals" sheetId="2" r:id="rId2"/>
  </sheets>
  <externalReferences>
    <externalReference r:id="rId3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73" i="1" l="1"/>
  <c r="O574" i="1"/>
  <c r="O575" i="1"/>
  <c r="U51" i="2"/>
  <c r="O564" i="1"/>
  <c r="O565" i="1"/>
  <c r="O566" i="1"/>
  <c r="O567" i="1"/>
  <c r="O568" i="1"/>
  <c r="O569" i="1"/>
  <c r="O570" i="1"/>
  <c r="O571" i="1"/>
  <c r="O572" i="1"/>
  <c r="I51" i="2"/>
  <c r="O560" i="1"/>
  <c r="O561" i="1"/>
  <c r="O562" i="1"/>
  <c r="O563" i="1"/>
  <c r="U50" i="2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I50" i="2"/>
  <c r="O518" i="1"/>
  <c r="O519" i="1"/>
  <c r="O520" i="1"/>
  <c r="O521" i="1"/>
  <c r="O522" i="1"/>
  <c r="O523" i="1"/>
  <c r="R49" i="2"/>
  <c r="O517" i="1"/>
  <c r="U49" i="2"/>
  <c r="O515" i="1"/>
  <c r="O516" i="1"/>
  <c r="R48" i="2"/>
  <c r="O512" i="1"/>
  <c r="O513" i="1"/>
  <c r="O514" i="1"/>
  <c r="U48" i="2"/>
  <c r="O506" i="1"/>
  <c r="O507" i="1"/>
  <c r="O508" i="1"/>
  <c r="O509" i="1"/>
  <c r="O510" i="1"/>
  <c r="O511" i="1"/>
  <c r="I48" i="2"/>
  <c r="O497" i="1"/>
  <c r="O498" i="1"/>
  <c r="O499" i="1"/>
  <c r="O500" i="1"/>
  <c r="O501" i="1"/>
  <c r="O502" i="1"/>
  <c r="O503" i="1"/>
  <c r="O504" i="1"/>
  <c r="O505" i="1"/>
  <c r="R47" i="2"/>
  <c r="O494" i="1"/>
  <c r="O495" i="1"/>
  <c r="O496" i="1"/>
  <c r="R46" i="2"/>
  <c r="O487" i="1"/>
  <c r="O488" i="1"/>
  <c r="O489" i="1"/>
  <c r="O490" i="1"/>
  <c r="O491" i="1"/>
  <c r="O492" i="1"/>
  <c r="O493" i="1"/>
  <c r="U46" i="2"/>
  <c r="O484" i="1"/>
  <c r="O485" i="1"/>
  <c r="O486" i="1"/>
  <c r="R45" i="2"/>
  <c r="O476" i="1"/>
  <c r="O477" i="1"/>
  <c r="O478" i="1"/>
  <c r="O479" i="1"/>
  <c r="O480" i="1"/>
  <c r="O481" i="1"/>
  <c r="O482" i="1"/>
  <c r="O483" i="1"/>
  <c r="U45" i="2"/>
  <c r="O471" i="1"/>
  <c r="O472" i="1"/>
  <c r="O473" i="1"/>
  <c r="O474" i="1"/>
  <c r="O475" i="1"/>
  <c r="R44" i="2"/>
  <c r="O469" i="1"/>
  <c r="O470" i="1"/>
  <c r="U44" i="2"/>
  <c r="O465" i="1"/>
  <c r="O466" i="1"/>
  <c r="O467" i="1"/>
  <c r="O468" i="1"/>
  <c r="R43" i="2"/>
  <c r="O457" i="1"/>
  <c r="O458" i="1"/>
  <c r="O459" i="1"/>
  <c r="O460" i="1"/>
  <c r="O461" i="1"/>
  <c r="O462" i="1"/>
  <c r="O463" i="1"/>
  <c r="O464" i="1"/>
  <c r="U43" i="2"/>
  <c r="O455" i="1"/>
  <c r="O456" i="1"/>
  <c r="R42" i="2"/>
  <c r="O454" i="1"/>
  <c r="I42" i="2"/>
  <c r="O451" i="1"/>
  <c r="O452" i="1"/>
  <c r="O453" i="1"/>
  <c r="C42" i="2"/>
  <c r="O450" i="1"/>
  <c r="R41" i="2"/>
  <c r="O449" i="1"/>
  <c r="I41" i="2"/>
  <c r="O437" i="1"/>
  <c r="O438" i="1"/>
  <c r="O439" i="1"/>
  <c r="O440" i="1"/>
  <c r="O441" i="1"/>
  <c r="O442" i="1"/>
  <c r="O443" i="1"/>
  <c r="O444" i="1"/>
  <c r="O445" i="1"/>
  <c r="O446" i="1"/>
  <c r="O447" i="1"/>
  <c r="O448" i="1"/>
  <c r="C41" i="2"/>
  <c r="O434" i="1"/>
  <c r="O435" i="1"/>
  <c r="O436" i="1"/>
  <c r="R40" i="2"/>
  <c r="O431" i="1"/>
  <c r="O432" i="1"/>
  <c r="O433" i="1"/>
  <c r="C40" i="2"/>
  <c r="O427" i="1"/>
  <c r="O428" i="1"/>
  <c r="O429" i="1"/>
  <c r="O430" i="1"/>
  <c r="R39" i="2"/>
  <c r="O425" i="1"/>
  <c r="O426" i="1"/>
  <c r="R38" i="2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I38" i="2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C38" i="2"/>
  <c r="O370" i="1"/>
  <c r="O371" i="1"/>
  <c r="O372" i="1"/>
  <c r="O373" i="1"/>
  <c r="O374" i="1"/>
  <c r="R37" i="2"/>
  <c r="O367" i="1"/>
  <c r="O368" i="1"/>
  <c r="O369" i="1"/>
  <c r="U37" i="2"/>
  <c r="O359" i="1"/>
  <c r="O360" i="1"/>
  <c r="O361" i="1"/>
  <c r="O362" i="1"/>
  <c r="O363" i="1"/>
  <c r="O364" i="1"/>
  <c r="O365" i="1"/>
  <c r="O366" i="1"/>
  <c r="R36" i="2"/>
  <c r="O350" i="1"/>
  <c r="O351" i="1"/>
  <c r="O352" i="1"/>
  <c r="O353" i="1"/>
  <c r="O354" i="1"/>
  <c r="O355" i="1"/>
  <c r="O356" i="1"/>
  <c r="O357" i="1"/>
  <c r="O358" i="1"/>
  <c r="U35" i="2"/>
  <c r="O346" i="1"/>
  <c r="O347" i="1"/>
  <c r="O348" i="1"/>
  <c r="O349" i="1"/>
  <c r="U34" i="2"/>
  <c r="O345" i="1"/>
  <c r="I33" i="2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C33" i="2"/>
  <c r="O323" i="1"/>
  <c r="R31" i="2"/>
  <c r="O322" i="1"/>
  <c r="R30" i="2"/>
  <c r="O316" i="1"/>
  <c r="O317" i="1"/>
  <c r="O318" i="1"/>
  <c r="O319" i="1"/>
  <c r="O320" i="1"/>
  <c r="O321" i="1"/>
  <c r="R29" i="2"/>
  <c r="O312" i="1"/>
  <c r="O313" i="1"/>
  <c r="O314" i="1"/>
  <c r="O315" i="1"/>
  <c r="U29" i="2"/>
  <c r="O307" i="1"/>
  <c r="O308" i="1"/>
  <c r="O309" i="1"/>
  <c r="O310" i="1"/>
  <c r="O311" i="1"/>
  <c r="C29" i="2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R28" i="2"/>
  <c r="O287" i="1"/>
  <c r="O288" i="1"/>
  <c r="O289" i="1"/>
  <c r="O290" i="1"/>
  <c r="O291" i="1"/>
  <c r="O292" i="1"/>
  <c r="O293" i="1"/>
  <c r="I28" i="2"/>
  <c r="O283" i="1"/>
  <c r="O284" i="1"/>
  <c r="O285" i="1"/>
  <c r="O286" i="1"/>
  <c r="R27" i="2"/>
  <c r="O280" i="1"/>
  <c r="O281" i="1"/>
  <c r="O282" i="1"/>
  <c r="U27" i="2"/>
  <c r="O271" i="1"/>
  <c r="O272" i="1"/>
  <c r="O273" i="1"/>
  <c r="O274" i="1"/>
  <c r="O275" i="1"/>
  <c r="O276" i="1"/>
  <c r="O277" i="1"/>
  <c r="O278" i="1"/>
  <c r="O279" i="1"/>
  <c r="R26" i="2"/>
  <c r="O269" i="1"/>
  <c r="O270" i="1"/>
  <c r="F26" i="2"/>
  <c r="O264" i="1"/>
  <c r="O265" i="1"/>
  <c r="O266" i="1"/>
  <c r="O267" i="1"/>
  <c r="O268" i="1"/>
  <c r="R25" i="2"/>
  <c r="O262" i="1"/>
  <c r="O263" i="1"/>
  <c r="U25" i="2"/>
  <c r="O255" i="1"/>
  <c r="O256" i="1"/>
  <c r="O257" i="1"/>
  <c r="O258" i="1"/>
  <c r="O259" i="1"/>
  <c r="O260" i="1"/>
  <c r="O261" i="1"/>
  <c r="C25" i="2"/>
  <c r="O251" i="1"/>
  <c r="O252" i="1"/>
  <c r="O253" i="1"/>
  <c r="O254" i="1"/>
  <c r="R24" i="2"/>
  <c r="O240" i="1"/>
  <c r="O241" i="1"/>
  <c r="O242" i="1"/>
  <c r="O243" i="1"/>
  <c r="O244" i="1"/>
  <c r="O245" i="1"/>
  <c r="O246" i="1"/>
  <c r="O247" i="1"/>
  <c r="O248" i="1"/>
  <c r="O249" i="1"/>
  <c r="O250" i="1"/>
  <c r="I24" i="2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R23" i="2"/>
  <c r="O210" i="1"/>
  <c r="U23" i="2"/>
  <c r="O207" i="1"/>
  <c r="O208" i="1"/>
  <c r="O209" i="1"/>
  <c r="I23" i="2"/>
  <c r="O202" i="1"/>
  <c r="O203" i="1"/>
  <c r="O204" i="1"/>
  <c r="O205" i="1"/>
  <c r="O206" i="1"/>
  <c r="C23" i="2"/>
  <c r="O196" i="1"/>
  <c r="O197" i="1"/>
  <c r="O198" i="1"/>
  <c r="O199" i="1"/>
  <c r="O200" i="1"/>
  <c r="O201" i="1"/>
  <c r="R22" i="2"/>
  <c r="O195" i="1"/>
  <c r="U22" i="2"/>
  <c r="O183" i="1"/>
  <c r="O184" i="1"/>
  <c r="O185" i="1"/>
  <c r="O186" i="1"/>
  <c r="O187" i="1"/>
  <c r="O188" i="1"/>
  <c r="O189" i="1"/>
  <c r="O190" i="1"/>
  <c r="O191" i="1"/>
  <c r="O192" i="1"/>
  <c r="O193" i="1"/>
  <c r="R20" i="2"/>
  <c r="O180" i="1"/>
  <c r="O181" i="1"/>
  <c r="O182" i="1"/>
  <c r="U20" i="2"/>
  <c r="O177" i="1"/>
  <c r="O178" i="1"/>
  <c r="O179" i="1"/>
  <c r="R19" i="2"/>
  <c r="O176" i="1"/>
  <c r="U19" i="2"/>
  <c r="O174" i="1"/>
  <c r="O175" i="1"/>
  <c r="F19" i="2"/>
  <c r="O169" i="1"/>
  <c r="O170" i="1"/>
  <c r="O171" i="1"/>
  <c r="O172" i="1"/>
  <c r="O173" i="1"/>
  <c r="C19" i="2"/>
  <c r="O164" i="1"/>
  <c r="O165" i="1"/>
  <c r="O166" i="1"/>
  <c r="O167" i="1"/>
  <c r="O168" i="1"/>
  <c r="R18" i="2"/>
  <c r="O163" i="1"/>
  <c r="U17" i="2"/>
  <c r="O160" i="1"/>
  <c r="O161" i="1"/>
  <c r="O162" i="1"/>
  <c r="C17" i="2"/>
  <c r="O157" i="1"/>
  <c r="O158" i="1"/>
  <c r="O159" i="1"/>
  <c r="R16" i="2"/>
  <c r="O155" i="1"/>
  <c r="O156" i="1"/>
  <c r="U16" i="2"/>
  <c r="O143" i="1"/>
  <c r="O144" i="1"/>
  <c r="O145" i="1"/>
  <c r="O146" i="1"/>
  <c r="O147" i="1"/>
  <c r="O148" i="1"/>
  <c r="O149" i="1"/>
  <c r="O150" i="1"/>
  <c r="O151" i="1"/>
  <c r="O152" i="1"/>
  <c r="O153" i="1"/>
  <c r="O154" i="1"/>
  <c r="C16" i="2"/>
  <c r="O135" i="1"/>
  <c r="O136" i="1"/>
  <c r="O137" i="1"/>
  <c r="O138" i="1"/>
  <c r="O139" i="1"/>
  <c r="O140" i="1"/>
  <c r="O141" i="1"/>
  <c r="U15" i="2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C15" i="2"/>
  <c r="O118" i="1"/>
  <c r="R14" i="2"/>
  <c r="O109" i="1"/>
  <c r="O110" i="1"/>
  <c r="O111" i="1"/>
  <c r="O112" i="1"/>
  <c r="O113" i="1"/>
  <c r="O114" i="1"/>
  <c r="O115" i="1"/>
  <c r="O116" i="1"/>
  <c r="O117" i="1"/>
  <c r="I14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O103" i="1"/>
  <c r="O104" i="1"/>
  <c r="O105" i="1"/>
  <c r="O106" i="1"/>
  <c r="O107" i="1"/>
  <c r="R12" i="2"/>
  <c r="O102" i="1"/>
  <c r="U12" i="2"/>
  <c r="O97" i="1"/>
  <c r="O98" i="1"/>
  <c r="O99" i="1"/>
  <c r="O100" i="1"/>
  <c r="O101" i="1"/>
  <c r="R11" i="2"/>
  <c r="O95" i="1"/>
  <c r="O96" i="1"/>
  <c r="U11" i="2"/>
  <c r="O93" i="1"/>
  <c r="R9" i="2"/>
  <c r="O89" i="1"/>
  <c r="O90" i="1"/>
  <c r="O91" i="1"/>
  <c r="O92" i="1"/>
  <c r="R8" i="2"/>
  <c r="O86" i="1"/>
  <c r="O87" i="1"/>
  <c r="O88" i="1"/>
  <c r="U8" i="2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C8" i="2"/>
  <c r="O65" i="1"/>
  <c r="O66" i="1"/>
  <c r="O67" i="1"/>
  <c r="O68" i="1"/>
  <c r="O69" i="1"/>
  <c r="O70" i="1"/>
  <c r="R6" i="2"/>
  <c r="O61" i="1"/>
  <c r="O62" i="1"/>
  <c r="O63" i="1"/>
  <c r="O64" i="1"/>
  <c r="R5" i="2"/>
  <c r="O58" i="1"/>
  <c r="O59" i="1"/>
  <c r="O60" i="1"/>
  <c r="R4" i="2"/>
  <c r="O50" i="1"/>
  <c r="O51" i="1"/>
  <c r="O52" i="1"/>
  <c r="O53" i="1"/>
  <c r="O54" i="1"/>
  <c r="O55" i="1"/>
  <c r="O56" i="1"/>
  <c r="O57" i="1"/>
  <c r="U4" i="2"/>
  <c r="O49" i="1"/>
  <c r="R3" i="2"/>
  <c r="O39" i="1"/>
  <c r="O40" i="1"/>
  <c r="O41" i="1"/>
  <c r="O42" i="1"/>
  <c r="O43" i="1"/>
  <c r="O44" i="1"/>
  <c r="O45" i="1"/>
  <c r="O46" i="1"/>
  <c r="O47" i="1"/>
  <c r="O48" i="1"/>
  <c r="U3" i="2"/>
  <c r="H4" i="2"/>
  <c r="H5" i="2"/>
  <c r="H6" i="2"/>
  <c r="H7" i="2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F3" i="2"/>
  <c r="H3" i="2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O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O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O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O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O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O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O576" i="1"/>
  <c r="N4" i="1"/>
  <c r="B12" i="2"/>
  <c r="B11" i="2"/>
  <c r="B10" i="2"/>
  <c r="B9" i="2"/>
  <c r="B8" i="2"/>
  <c r="B7" i="2"/>
  <c r="B6" i="2"/>
  <c r="B5" i="2"/>
  <c r="B4" i="2"/>
  <c r="B3" i="2"/>
  <c r="W3" i="2"/>
  <c r="T3" i="2"/>
  <c r="Q3" i="2"/>
  <c r="N3" i="2"/>
  <c r="K3" i="2"/>
  <c r="E3" i="2"/>
  <c r="X3" i="2"/>
  <c r="AB3" i="2"/>
  <c r="W4" i="2"/>
  <c r="T4" i="2"/>
  <c r="Q4" i="2"/>
  <c r="N4" i="2"/>
  <c r="K4" i="2"/>
  <c r="E4" i="2"/>
  <c r="X4" i="2"/>
  <c r="AB4" i="2"/>
  <c r="W5" i="2"/>
  <c r="T5" i="2"/>
  <c r="Q5" i="2"/>
  <c r="N5" i="2"/>
  <c r="K5" i="2"/>
  <c r="E5" i="2"/>
  <c r="X5" i="2"/>
  <c r="AB5" i="2"/>
  <c r="W6" i="2"/>
  <c r="T6" i="2"/>
  <c r="Q6" i="2"/>
  <c r="N6" i="2"/>
  <c r="K6" i="2"/>
  <c r="E6" i="2"/>
  <c r="X6" i="2"/>
  <c r="AB6" i="2"/>
  <c r="W7" i="2"/>
  <c r="T7" i="2"/>
  <c r="Q7" i="2"/>
  <c r="N7" i="2"/>
  <c r="K7" i="2"/>
  <c r="E7" i="2"/>
  <c r="X7" i="2"/>
  <c r="AB7" i="2"/>
  <c r="W8" i="2"/>
  <c r="T8" i="2"/>
  <c r="Q8" i="2"/>
  <c r="N8" i="2"/>
  <c r="K8" i="2"/>
  <c r="E8" i="2"/>
  <c r="X8" i="2"/>
  <c r="AB8" i="2"/>
  <c r="W9" i="2"/>
  <c r="T9" i="2"/>
  <c r="Q9" i="2"/>
  <c r="N9" i="2"/>
  <c r="K9" i="2"/>
  <c r="H9" i="2"/>
  <c r="E9" i="2"/>
  <c r="X9" i="2"/>
  <c r="AB9" i="2"/>
  <c r="W10" i="2"/>
  <c r="T10" i="2"/>
  <c r="Q10" i="2"/>
  <c r="N10" i="2"/>
  <c r="K10" i="2"/>
  <c r="H10" i="2"/>
  <c r="E10" i="2"/>
  <c r="X10" i="2"/>
  <c r="AB10" i="2"/>
  <c r="W11" i="2"/>
  <c r="T11" i="2"/>
  <c r="Q11" i="2"/>
  <c r="N11" i="2"/>
  <c r="K11" i="2"/>
  <c r="H11" i="2"/>
  <c r="E11" i="2"/>
  <c r="X11" i="2"/>
  <c r="AB11" i="2"/>
  <c r="W12" i="2"/>
  <c r="T12" i="2"/>
  <c r="Q12" i="2"/>
  <c r="N12" i="2"/>
  <c r="K12" i="2"/>
  <c r="H12" i="2"/>
  <c r="E12" i="2"/>
  <c r="X12" i="2"/>
  <c r="AB12" i="2"/>
  <c r="W13" i="2"/>
  <c r="T13" i="2"/>
  <c r="Q13" i="2"/>
  <c r="N13" i="2"/>
  <c r="K13" i="2"/>
  <c r="H13" i="2"/>
  <c r="E13" i="2"/>
  <c r="X13" i="2"/>
  <c r="AB13" i="2"/>
  <c r="W14" i="2"/>
  <c r="T14" i="2"/>
  <c r="Q14" i="2"/>
  <c r="N14" i="2"/>
  <c r="K14" i="2"/>
  <c r="H14" i="2"/>
  <c r="E14" i="2"/>
  <c r="X14" i="2"/>
  <c r="AB14" i="2"/>
  <c r="W15" i="2"/>
  <c r="T15" i="2"/>
  <c r="Q15" i="2"/>
  <c r="N15" i="2"/>
  <c r="K15" i="2"/>
  <c r="H15" i="2"/>
  <c r="E15" i="2"/>
  <c r="X15" i="2"/>
  <c r="AB15" i="2"/>
  <c r="W16" i="2"/>
  <c r="T16" i="2"/>
  <c r="Q16" i="2"/>
  <c r="N16" i="2"/>
  <c r="K16" i="2"/>
  <c r="H16" i="2"/>
  <c r="E16" i="2"/>
  <c r="X16" i="2"/>
  <c r="AB16" i="2"/>
  <c r="W17" i="2"/>
  <c r="T17" i="2"/>
  <c r="Q17" i="2"/>
  <c r="N17" i="2"/>
  <c r="K17" i="2"/>
  <c r="H17" i="2"/>
  <c r="E17" i="2"/>
  <c r="X17" i="2"/>
  <c r="AB17" i="2"/>
  <c r="W18" i="2"/>
  <c r="T18" i="2"/>
  <c r="Q18" i="2"/>
  <c r="N18" i="2"/>
  <c r="K18" i="2"/>
  <c r="H18" i="2"/>
  <c r="E18" i="2"/>
  <c r="X18" i="2"/>
  <c r="AB18" i="2"/>
  <c r="W19" i="2"/>
  <c r="T19" i="2"/>
  <c r="Q19" i="2"/>
  <c r="N19" i="2"/>
  <c r="K19" i="2"/>
  <c r="H19" i="2"/>
  <c r="E19" i="2"/>
  <c r="X19" i="2"/>
  <c r="AB19" i="2"/>
  <c r="W20" i="2"/>
  <c r="T20" i="2"/>
  <c r="Q20" i="2"/>
  <c r="N20" i="2"/>
  <c r="K20" i="2"/>
  <c r="H20" i="2"/>
  <c r="E20" i="2"/>
  <c r="X20" i="2"/>
  <c r="AB20" i="2"/>
  <c r="W21" i="2"/>
  <c r="T21" i="2"/>
  <c r="Q21" i="2"/>
  <c r="N21" i="2"/>
  <c r="K21" i="2"/>
  <c r="H21" i="2"/>
  <c r="E21" i="2"/>
  <c r="X21" i="2"/>
  <c r="AB21" i="2"/>
  <c r="W22" i="2"/>
  <c r="T22" i="2"/>
  <c r="Q22" i="2"/>
  <c r="N22" i="2"/>
  <c r="K22" i="2"/>
  <c r="H22" i="2"/>
  <c r="E22" i="2"/>
  <c r="X22" i="2"/>
  <c r="AB22" i="2"/>
  <c r="W23" i="2"/>
  <c r="T23" i="2"/>
  <c r="Q23" i="2"/>
  <c r="N23" i="2"/>
  <c r="K23" i="2"/>
  <c r="H23" i="2"/>
  <c r="E23" i="2"/>
  <c r="X23" i="2"/>
  <c r="AB23" i="2"/>
  <c r="W24" i="2"/>
  <c r="T24" i="2"/>
  <c r="Q24" i="2"/>
  <c r="N24" i="2"/>
  <c r="K24" i="2"/>
  <c r="H24" i="2"/>
  <c r="E24" i="2"/>
  <c r="X24" i="2"/>
  <c r="AB24" i="2"/>
  <c r="W25" i="2"/>
  <c r="T25" i="2"/>
  <c r="Q25" i="2"/>
  <c r="N25" i="2"/>
  <c r="K25" i="2"/>
  <c r="H25" i="2"/>
  <c r="E25" i="2"/>
  <c r="X25" i="2"/>
  <c r="AB25" i="2"/>
  <c r="W26" i="2"/>
  <c r="T26" i="2"/>
  <c r="Q26" i="2"/>
  <c r="N26" i="2"/>
  <c r="K26" i="2"/>
  <c r="H26" i="2"/>
  <c r="E26" i="2"/>
  <c r="X26" i="2"/>
  <c r="AB26" i="2"/>
  <c r="W27" i="2"/>
  <c r="T27" i="2"/>
  <c r="Q27" i="2"/>
  <c r="N27" i="2"/>
  <c r="K27" i="2"/>
  <c r="H27" i="2"/>
  <c r="E27" i="2"/>
  <c r="X27" i="2"/>
  <c r="AB27" i="2"/>
  <c r="W28" i="2"/>
  <c r="T28" i="2"/>
  <c r="Q28" i="2"/>
  <c r="N28" i="2"/>
  <c r="K28" i="2"/>
  <c r="H28" i="2"/>
  <c r="E28" i="2"/>
  <c r="X28" i="2"/>
  <c r="AB28" i="2"/>
  <c r="W29" i="2"/>
  <c r="T29" i="2"/>
  <c r="Q29" i="2"/>
  <c r="N29" i="2"/>
  <c r="K29" i="2"/>
  <c r="H29" i="2"/>
  <c r="E29" i="2"/>
  <c r="X29" i="2"/>
  <c r="AB29" i="2"/>
  <c r="W30" i="2"/>
  <c r="T30" i="2"/>
  <c r="Q30" i="2"/>
  <c r="N30" i="2"/>
  <c r="K30" i="2"/>
  <c r="H30" i="2"/>
  <c r="E30" i="2"/>
  <c r="X30" i="2"/>
  <c r="AB30" i="2"/>
  <c r="W31" i="2"/>
  <c r="T31" i="2"/>
  <c r="Q31" i="2"/>
  <c r="N31" i="2"/>
  <c r="K31" i="2"/>
  <c r="H31" i="2"/>
  <c r="E31" i="2"/>
  <c r="X31" i="2"/>
  <c r="AB31" i="2"/>
  <c r="W32" i="2"/>
  <c r="T32" i="2"/>
  <c r="Q32" i="2"/>
  <c r="N32" i="2"/>
  <c r="K32" i="2"/>
  <c r="H32" i="2"/>
  <c r="E32" i="2"/>
  <c r="X32" i="2"/>
  <c r="AB32" i="2"/>
  <c r="W33" i="2"/>
  <c r="T33" i="2"/>
  <c r="Q33" i="2"/>
  <c r="N33" i="2"/>
  <c r="K33" i="2"/>
  <c r="H33" i="2"/>
  <c r="E33" i="2"/>
  <c r="X33" i="2"/>
  <c r="AB33" i="2"/>
  <c r="W34" i="2"/>
  <c r="T34" i="2"/>
  <c r="Q34" i="2"/>
  <c r="N34" i="2"/>
  <c r="K34" i="2"/>
  <c r="H34" i="2"/>
  <c r="E34" i="2"/>
  <c r="X34" i="2"/>
  <c r="AB34" i="2"/>
  <c r="W35" i="2"/>
  <c r="T35" i="2"/>
  <c r="Q35" i="2"/>
  <c r="N35" i="2"/>
  <c r="K35" i="2"/>
  <c r="H35" i="2"/>
  <c r="E35" i="2"/>
  <c r="X35" i="2"/>
  <c r="AB35" i="2"/>
  <c r="W36" i="2"/>
  <c r="T36" i="2"/>
  <c r="Q36" i="2"/>
  <c r="N36" i="2"/>
  <c r="K36" i="2"/>
  <c r="H36" i="2"/>
  <c r="E36" i="2"/>
  <c r="X36" i="2"/>
  <c r="AB36" i="2"/>
  <c r="W37" i="2"/>
  <c r="T37" i="2"/>
  <c r="Q37" i="2"/>
  <c r="N37" i="2"/>
  <c r="K37" i="2"/>
  <c r="H37" i="2"/>
  <c r="E37" i="2"/>
  <c r="X37" i="2"/>
  <c r="AB37" i="2"/>
  <c r="W38" i="2"/>
  <c r="T38" i="2"/>
  <c r="Q38" i="2"/>
  <c r="N38" i="2"/>
  <c r="K38" i="2"/>
  <c r="H38" i="2"/>
  <c r="E38" i="2"/>
  <c r="X38" i="2"/>
  <c r="AB38" i="2"/>
  <c r="W39" i="2"/>
  <c r="T39" i="2"/>
  <c r="Q39" i="2"/>
  <c r="N39" i="2"/>
  <c r="K39" i="2"/>
  <c r="H39" i="2"/>
  <c r="E39" i="2"/>
  <c r="X39" i="2"/>
  <c r="AB39" i="2"/>
  <c r="W40" i="2"/>
  <c r="T40" i="2"/>
  <c r="Q40" i="2"/>
  <c r="N40" i="2"/>
  <c r="K40" i="2"/>
  <c r="H40" i="2"/>
  <c r="E40" i="2"/>
  <c r="X40" i="2"/>
  <c r="AB40" i="2"/>
  <c r="W41" i="2"/>
  <c r="T41" i="2"/>
  <c r="Q41" i="2"/>
  <c r="N41" i="2"/>
  <c r="K41" i="2"/>
  <c r="H41" i="2"/>
  <c r="E41" i="2"/>
  <c r="X41" i="2"/>
  <c r="AB41" i="2"/>
  <c r="W42" i="2"/>
  <c r="T42" i="2"/>
  <c r="Q42" i="2"/>
  <c r="N42" i="2"/>
  <c r="K42" i="2"/>
  <c r="H42" i="2"/>
  <c r="E42" i="2"/>
  <c r="X42" i="2"/>
  <c r="AB42" i="2"/>
  <c r="W43" i="2"/>
  <c r="T43" i="2"/>
  <c r="Q43" i="2"/>
  <c r="N43" i="2"/>
  <c r="K43" i="2"/>
  <c r="E43" i="2"/>
  <c r="X43" i="2"/>
  <c r="AB43" i="2"/>
  <c r="W44" i="2"/>
  <c r="T44" i="2"/>
  <c r="Q44" i="2"/>
  <c r="N44" i="2"/>
  <c r="K44" i="2"/>
  <c r="E44" i="2"/>
  <c r="X44" i="2"/>
  <c r="AB44" i="2"/>
  <c r="W45" i="2"/>
  <c r="T45" i="2"/>
  <c r="Q45" i="2"/>
  <c r="N45" i="2"/>
  <c r="K45" i="2"/>
  <c r="E45" i="2"/>
  <c r="X45" i="2"/>
  <c r="AB45" i="2"/>
  <c r="W46" i="2"/>
  <c r="T46" i="2"/>
  <c r="Q46" i="2"/>
  <c r="N46" i="2"/>
  <c r="K46" i="2"/>
  <c r="H46" i="2"/>
  <c r="E46" i="2"/>
  <c r="X46" i="2"/>
  <c r="AB46" i="2"/>
  <c r="W47" i="2"/>
  <c r="T47" i="2"/>
  <c r="Q47" i="2"/>
  <c r="N47" i="2"/>
  <c r="K47" i="2"/>
  <c r="E47" i="2"/>
  <c r="X47" i="2"/>
  <c r="AB47" i="2"/>
  <c r="W48" i="2"/>
  <c r="T48" i="2"/>
  <c r="Q48" i="2"/>
  <c r="N48" i="2"/>
  <c r="K48" i="2"/>
  <c r="E48" i="2"/>
  <c r="X48" i="2"/>
  <c r="AB48" i="2"/>
  <c r="W49" i="2"/>
  <c r="T49" i="2"/>
  <c r="Q49" i="2"/>
  <c r="N49" i="2"/>
  <c r="K49" i="2"/>
  <c r="E49" i="2"/>
  <c r="X49" i="2"/>
  <c r="AB49" i="2"/>
  <c r="W50" i="2"/>
  <c r="T50" i="2"/>
  <c r="Q50" i="2"/>
  <c r="N50" i="2"/>
  <c r="K50" i="2"/>
  <c r="H50" i="2"/>
  <c r="E50" i="2"/>
  <c r="X50" i="2"/>
  <c r="AB50" i="2"/>
  <c r="W51" i="2"/>
  <c r="T51" i="2"/>
  <c r="Q51" i="2"/>
  <c r="N51" i="2"/>
  <c r="K51" i="2"/>
  <c r="H51" i="2"/>
  <c r="E51" i="2"/>
  <c r="X51" i="2"/>
  <c r="AB51" i="2"/>
  <c r="W52" i="2"/>
  <c r="T52" i="2"/>
  <c r="Q52" i="2"/>
  <c r="N52" i="2"/>
  <c r="K52" i="2"/>
  <c r="E52" i="2"/>
  <c r="X52" i="2"/>
  <c r="AB52" i="2"/>
  <c r="AB53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5" i="2"/>
  <c r="AB55" i="2"/>
  <c r="AF3" i="2"/>
  <c r="AG3" i="2"/>
  <c r="AH3" i="2"/>
  <c r="AF4" i="2"/>
  <c r="AG4" i="2"/>
  <c r="AH4" i="2"/>
  <c r="AF5" i="2"/>
  <c r="AG5" i="2"/>
  <c r="AH5" i="2"/>
  <c r="AF6" i="2"/>
  <c r="AG6" i="2"/>
  <c r="AH6" i="2"/>
  <c r="AF7" i="2"/>
  <c r="AG7" i="2"/>
  <c r="AH7" i="2"/>
  <c r="AF8" i="2"/>
  <c r="AG8" i="2"/>
  <c r="AH8" i="2"/>
  <c r="AF9" i="2"/>
  <c r="AG9" i="2"/>
  <c r="AH9" i="2"/>
  <c r="AF10" i="2"/>
  <c r="AG10" i="2"/>
  <c r="AH10" i="2"/>
  <c r="AF11" i="2"/>
  <c r="AG11" i="2"/>
  <c r="AH11" i="2"/>
  <c r="AF12" i="2"/>
  <c r="AG12" i="2"/>
  <c r="AH12" i="2"/>
  <c r="AF13" i="2"/>
  <c r="AG13" i="2"/>
  <c r="AH13" i="2"/>
  <c r="AF14" i="2"/>
  <c r="AG14" i="2"/>
  <c r="AH14" i="2"/>
  <c r="AF15" i="2"/>
  <c r="AG15" i="2"/>
  <c r="AH15" i="2"/>
  <c r="AF16" i="2"/>
  <c r="AG16" i="2"/>
  <c r="AH16" i="2"/>
  <c r="AF17" i="2"/>
  <c r="AG17" i="2"/>
  <c r="AH17" i="2"/>
  <c r="AF18" i="2"/>
  <c r="AG18" i="2"/>
  <c r="AH18" i="2"/>
  <c r="AF19" i="2"/>
  <c r="AG19" i="2"/>
  <c r="AH19" i="2"/>
  <c r="AF20" i="2"/>
  <c r="AG20" i="2"/>
  <c r="AH20" i="2"/>
  <c r="AF21" i="2"/>
  <c r="AG21" i="2"/>
  <c r="AH21" i="2"/>
  <c r="AF22" i="2"/>
  <c r="AG22" i="2"/>
  <c r="AH22" i="2"/>
  <c r="AF23" i="2"/>
  <c r="AG23" i="2"/>
  <c r="AH23" i="2"/>
  <c r="AF24" i="2"/>
  <c r="AG24" i="2"/>
  <c r="AH24" i="2"/>
  <c r="AF25" i="2"/>
  <c r="AG25" i="2"/>
  <c r="AH25" i="2"/>
  <c r="AF26" i="2"/>
  <c r="AG26" i="2"/>
  <c r="AH26" i="2"/>
  <c r="AF27" i="2"/>
  <c r="AG27" i="2"/>
  <c r="AH27" i="2"/>
  <c r="AF28" i="2"/>
  <c r="AG28" i="2"/>
  <c r="AH28" i="2"/>
  <c r="AF29" i="2"/>
  <c r="AG29" i="2"/>
  <c r="AH29" i="2"/>
  <c r="AF30" i="2"/>
  <c r="AG30" i="2"/>
  <c r="AH30" i="2"/>
  <c r="AF31" i="2"/>
  <c r="AG31" i="2"/>
  <c r="AH31" i="2"/>
  <c r="AF32" i="2"/>
  <c r="AG32" i="2"/>
  <c r="AH32" i="2"/>
  <c r="AF33" i="2"/>
  <c r="AG33" i="2"/>
  <c r="AH33" i="2"/>
  <c r="AF34" i="2"/>
  <c r="AG34" i="2"/>
  <c r="AH34" i="2"/>
  <c r="AF35" i="2"/>
  <c r="AG35" i="2"/>
  <c r="AH35" i="2"/>
  <c r="AF36" i="2"/>
  <c r="AG36" i="2"/>
  <c r="AH36" i="2"/>
  <c r="AF37" i="2"/>
  <c r="AG37" i="2"/>
  <c r="AH37" i="2"/>
  <c r="AF38" i="2"/>
  <c r="AG38" i="2"/>
  <c r="AH38" i="2"/>
  <c r="AF39" i="2"/>
  <c r="AG39" i="2"/>
  <c r="AH39" i="2"/>
  <c r="AF40" i="2"/>
  <c r="AG40" i="2"/>
  <c r="AH40" i="2"/>
  <c r="AF41" i="2"/>
  <c r="AG41" i="2"/>
  <c r="AH41" i="2"/>
  <c r="AF42" i="2"/>
  <c r="AG42" i="2"/>
  <c r="AH42" i="2"/>
  <c r="AF43" i="2"/>
  <c r="AG43" i="2"/>
  <c r="AH43" i="2"/>
  <c r="AF44" i="2"/>
  <c r="AG44" i="2"/>
  <c r="AH44" i="2"/>
  <c r="AF45" i="2"/>
  <c r="AG45" i="2"/>
  <c r="AH45" i="2"/>
  <c r="AF46" i="2"/>
  <c r="AG46" i="2"/>
  <c r="AH46" i="2"/>
  <c r="AF47" i="2"/>
  <c r="AG47" i="2"/>
  <c r="AH47" i="2"/>
  <c r="AF48" i="2"/>
  <c r="AG48" i="2"/>
  <c r="AH48" i="2"/>
  <c r="AF49" i="2"/>
  <c r="AG49" i="2"/>
  <c r="AH49" i="2"/>
  <c r="AF50" i="2"/>
  <c r="AG50" i="2"/>
  <c r="AH50" i="2"/>
  <c r="AF51" i="2"/>
  <c r="AG51" i="2"/>
  <c r="AH51" i="2"/>
  <c r="AF52" i="2"/>
  <c r="AG52" i="2"/>
  <c r="AH52" i="2"/>
  <c r="AH53" i="2"/>
  <c r="AA52" i="2"/>
  <c r="Z52" i="2"/>
  <c r="AA51" i="2"/>
  <c r="Z51" i="2"/>
  <c r="AA50" i="2"/>
  <c r="Z50" i="2"/>
  <c r="AA49" i="2"/>
  <c r="Z49" i="2"/>
  <c r="AA48" i="2"/>
  <c r="Z48" i="2"/>
  <c r="Y48" i="2"/>
  <c r="AA47" i="2"/>
  <c r="Z47" i="2"/>
  <c r="AA46" i="2"/>
  <c r="Z46" i="2"/>
  <c r="AA45" i="2"/>
  <c r="Z45" i="2"/>
  <c r="AA44" i="2"/>
  <c r="Z44" i="2"/>
  <c r="AA43" i="2"/>
  <c r="Z43" i="2"/>
  <c r="Y43" i="2"/>
  <c r="AA42" i="2"/>
  <c r="Z42" i="2"/>
  <c r="AA41" i="2"/>
  <c r="Z41" i="2"/>
  <c r="AA40" i="2"/>
  <c r="Z40" i="2"/>
  <c r="AA39" i="2"/>
  <c r="Z39" i="2"/>
  <c r="AA38" i="2"/>
  <c r="Z38" i="2"/>
  <c r="Y38" i="2"/>
  <c r="AA37" i="2"/>
  <c r="Z37" i="2"/>
  <c r="AA36" i="2"/>
  <c r="Z36" i="2"/>
  <c r="AA35" i="2"/>
  <c r="Z35" i="2"/>
  <c r="AA34" i="2"/>
  <c r="Z34" i="2"/>
  <c r="AA33" i="2"/>
  <c r="Z33" i="2"/>
  <c r="Y33" i="2"/>
  <c r="AA32" i="2"/>
  <c r="Z32" i="2"/>
  <c r="AA31" i="2"/>
  <c r="Z31" i="2"/>
  <c r="AA30" i="2"/>
  <c r="Z30" i="2"/>
  <c r="AA29" i="2"/>
  <c r="Z29" i="2"/>
  <c r="AA28" i="2"/>
  <c r="Z28" i="2"/>
  <c r="Y28" i="2"/>
  <c r="AA27" i="2"/>
  <c r="Z27" i="2"/>
  <c r="AA26" i="2"/>
  <c r="Z26" i="2"/>
  <c r="AA25" i="2"/>
  <c r="Z25" i="2"/>
  <c r="AA24" i="2"/>
  <c r="Z24" i="2"/>
  <c r="AA23" i="2"/>
  <c r="Z23" i="2"/>
  <c r="Y23" i="2"/>
  <c r="AA22" i="2"/>
  <c r="Z22" i="2"/>
  <c r="AA21" i="2"/>
  <c r="Z21" i="2"/>
  <c r="AA20" i="2"/>
  <c r="Z20" i="2"/>
  <c r="AA19" i="2"/>
  <c r="Z19" i="2"/>
  <c r="AA18" i="2"/>
  <c r="Z18" i="2"/>
  <c r="Y18" i="2"/>
  <c r="AA17" i="2"/>
  <c r="Z17" i="2"/>
  <c r="AA16" i="2"/>
  <c r="Z16" i="2"/>
  <c r="AA15" i="2"/>
  <c r="Z15" i="2"/>
  <c r="AA14" i="2"/>
  <c r="Z14" i="2"/>
  <c r="AA13" i="2"/>
  <c r="Z13" i="2"/>
  <c r="Y13" i="2"/>
  <c r="AA12" i="2"/>
  <c r="Z12" i="2"/>
  <c r="AA11" i="2"/>
  <c r="Z11" i="2"/>
  <c r="AA10" i="2"/>
  <c r="Z10" i="2"/>
  <c r="AA9" i="2"/>
  <c r="Z9" i="2"/>
  <c r="AA8" i="2"/>
  <c r="Z8" i="2"/>
  <c r="Y8" i="2"/>
  <c r="AA7" i="2"/>
  <c r="Z7" i="2"/>
  <c r="AA6" i="2"/>
  <c r="Z6" i="2"/>
  <c r="AA5" i="2"/>
  <c r="Z5" i="2"/>
  <c r="AA4" i="2"/>
  <c r="Z4" i="2"/>
  <c r="AA3" i="2"/>
  <c r="Z3" i="2"/>
  <c r="Y3" i="2"/>
  <c r="J366" i="1"/>
  <c r="J365" i="1"/>
  <c r="J364" i="1"/>
  <c r="J363" i="1"/>
  <c r="J362" i="1"/>
  <c r="J361" i="1"/>
  <c r="J360" i="1"/>
  <c r="J359" i="1"/>
  <c r="J374" i="1"/>
  <c r="J373" i="1"/>
  <c r="J372" i="1"/>
  <c r="J371" i="1"/>
  <c r="J370" i="1"/>
  <c r="J426" i="1"/>
  <c r="J425" i="1"/>
  <c r="J430" i="1"/>
  <c r="J429" i="1"/>
  <c r="J428" i="1"/>
  <c r="J427" i="1"/>
  <c r="J436" i="1"/>
  <c r="J435" i="1"/>
  <c r="J434" i="1"/>
  <c r="J450" i="1"/>
  <c r="J456" i="1"/>
  <c r="J455" i="1"/>
  <c r="J163" i="1"/>
  <c r="J159" i="1"/>
  <c r="J158" i="1"/>
  <c r="J156" i="1"/>
  <c r="J157" i="1"/>
  <c r="J155" i="1"/>
  <c r="J141" i="1"/>
  <c r="J140" i="1"/>
  <c r="J138" i="1"/>
  <c r="J142" i="1"/>
  <c r="J137" i="1"/>
  <c r="J136" i="1"/>
  <c r="J135" i="1"/>
  <c r="J118" i="1"/>
  <c r="J516" i="1"/>
  <c r="J515" i="1"/>
  <c r="J517" i="1"/>
  <c r="J523" i="1"/>
  <c r="J522" i="1"/>
  <c r="J521" i="1"/>
  <c r="J520" i="1"/>
  <c r="J519" i="1"/>
  <c r="J518" i="1"/>
  <c r="J563" i="1"/>
  <c r="J562" i="1"/>
  <c r="J561" i="1"/>
  <c r="J574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54" i="1"/>
  <c r="J253" i="1"/>
  <c r="J252" i="1"/>
  <c r="J251" i="1"/>
  <c r="J268" i="1"/>
  <c r="J267" i="1"/>
  <c r="J263" i="1"/>
  <c r="J266" i="1"/>
  <c r="J265" i="1"/>
  <c r="J264" i="1"/>
  <c r="J279" i="1"/>
  <c r="J278" i="1"/>
  <c r="J277" i="1"/>
  <c r="J276" i="1"/>
  <c r="J275" i="1"/>
  <c r="J274" i="1"/>
  <c r="J273" i="1"/>
  <c r="J272" i="1"/>
  <c r="J271" i="1"/>
  <c r="J286" i="1"/>
  <c r="J285" i="1"/>
  <c r="J282" i="1"/>
  <c r="J284" i="1"/>
  <c r="J283" i="1"/>
  <c r="J45" i="1"/>
  <c r="J43" i="1"/>
  <c r="J49" i="1"/>
  <c r="J60" i="1"/>
  <c r="J56" i="1"/>
  <c r="J55" i="1"/>
  <c r="J59" i="1"/>
  <c r="J53" i="1"/>
  <c r="J52" i="1"/>
  <c r="J51" i="1"/>
  <c r="J58" i="1"/>
  <c r="J64" i="1"/>
  <c r="J63" i="1"/>
  <c r="J62" i="1"/>
  <c r="J61" i="1"/>
  <c r="J70" i="1"/>
  <c r="J69" i="1"/>
  <c r="J68" i="1"/>
  <c r="J67" i="1"/>
  <c r="J66" i="1"/>
  <c r="J65" i="1"/>
  <c r="J168" i="1"/>
  <c r="J167" i="1"/>
  <c r="J166" i="1"/>
  <c r="J165" i="1"/>
  <c r="J164" i="1"/>
  <c r="J179" i="1"/>
  <c r="J178" i="1"/>
  <c r="J177" i="1"/>
  <c r="J176" i="1"/>
  <c r="J193" i="1"/>
  <c r="J192" i="1"/>
  <c r="J191" i="1"/>
  <c r="J190" i="1"/>
  <c r="J182" i="1"/>
  <c r="J189" i="1"/>
  <c r="J188" i="1"/>
  <c r="J180" i="1"/>
  <c r="J187" i="1"/>
  <c r="J186" i="1"/>
  <c r="J185" i="1"/>
  <c r="J184" i="1"/>
  <c r="J183" i="1"/>
  <c r="J195" i="1"/>
  <c r="J201" i="1"/>
  <c r="J200" i="1"/>
  <c r="J199" i="1"/>
  <c r="J198" i="1"/>
  <c r="J197" i="1"/>
  <c r="J196" i="1"/>
  <c r="J92" i="1"/>
  <c r="J88" i="1"/>
  <c r="J91" i="1"/>
  <c r="J90" i="1"/>
  <c r="J89" i="1"/>
  <c r="J93" i="1"/>
  <c r="J96" i="1"/>
  <c r="J101" i="1"/>
  <c r="J100" i="1"/>
  <c r="J99" i="1"/>
  <c r="J98" i="1"/>
  <c r="J97" i="1"/>
  <c r="J107" i="1"/>
  <c r="J106" i="1"/>
  <c r="J105" i="1"/>
  <c r="J104" i="1"/>
  <c r="J103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321" i="1"/>
  <c r="J314" i="1"/>
  <c r="J320" i="1"/>
  <c r="J319" i="1"/>
  <c r="J313" i="1"/>
  <c r="J318" i="1"/>
  <c r="J317" i="1"/>
  <c r="J316" i="1"/>
  <c r="J322" i="1"/>
  <c r="J323" i="1"/>
  <c r="J464" i="1"/>
  <c r="J463" i="1"/>
  <c r="J462" i="1"/>
  <c r="J461" i="1"/>
  <c r="J460" i="1"/>
  <c r="J459" i="1"/>
  <c r="J468" i="1"/>
  <c r="J467" i="1"/>
  <c r="J466" i="1"/>
  <c r="J465" i="1"/>
  <c r="J475" i="1"/>
  <c r="J474" i="1"/>
  <c r="J473" i="1"/>
  <c r="J472" i="1"/>
  <c r="J471" i="1"/>
  <c r="J470" i="1"/>
  <c r="J486" i="1"/>
  <c r="J485" i="1"/>
  <c r="J479" i="1"/>
  <c r="J484" i="1"/>
  <c r="J496" i="1"/>
  <c r="J495" i="1"/>
  <c r="J490" i="1"/>
  <c r="J488" i="1"/>
  <c r="J494" i="1"/>
  <c r="J503" i="1"/>
  <c r="J500" i="1"/>
  <c r="J499" i="1"/>
  <c r="J498" i="1"/>
</calcChain>
</file>

<file path=xl/sharedStrings.xml><?xml version="1.0" encoding="utf-8"?>
<sst xmlns="http://schemas.openxmlformats.org/spreadsheetml/2006/main" count="1253" uniqueCount="67">
  <si>
    <t>Plant Measurementss to Calculate Above Ground Biomass</t>
  </si>
  <si>
    <t>See 'Transects' for Sp. Con, O2, pH, and stem counts</t>
  </si>
  <si>
    <t>Date</t>
  </si>
  <si>
    <t>Transect</t>
  </si>
  <si>
    <t>Quadrat</t>
  </si>
  <si>
    <t>Species</t>
  </si>
  <si>
    <t>Stem Ht or Seed Stem Ht (cm)</t>
  </si>
  <si>
    <t>CDB (cm)</t>
  </si>
  <si>
    <t># Seeds or Seed Stems</t>
  </si>
  <si>
    <t>Pistillate (btm) length (cm)</t>
  </si>
  <si>
    <t>Pistillate (btm) width (cm)</t>
  </si>
  <si>
    <t>Leaf Lengths (cm)</t>
  </si>
  <si>
    <t># of leaves (Typha only)</t>
  </si>
  <si>
    <t>Longest Leaf (cm; Typha Only)</t>
  </si>
  <si>
    <t>Notes</t>
  </si>
  <si>
    <t xml:space="preserve">Calculated Volume (if necessary) cm^3 </t>
  </si>
  <si>
    <t>Calculated Biomass (g)</t>
  </si>
  <si>
    <t>data book</t>
  </si>
  <si>
    <t>Data book entry order</t>
  </si>
  <si>
    <t>T. latifolia</t>
  </si>
  <si>
    <t>M-4-S</t>
  </si>
  <si>
    <t>Thatched</t>
  </si>
  <si>
    <t>M-3</t>
  </si>
  <si>
    <t>T. Domingensis</t>
  </si>
  <si>
    <t>S. Acutus</t>
  </si>
  <si>
    <t>S. Californicus</t>
  </si>
  <si>
    <t>C-2</t>
  </si>
  <si>
    <t>THATCHED</t>
  </si>
  <si>
    <t>M-1-W</t>
  </si>
  <si>
    <t>S. Americanus</t>
  </si>
  <si>
    <t>C-1</t>
  </si>
  <si>
    <t>M-2</t>
  </si>
  <si>
    <t>M-5</t>
  </si>
  <si>
    <t>M-1-E</t>
  </si>
  <si>
    <t>M-4-N</t>
  </si>
  <si>
    <t>M-4-C</t>
  </si>
  <si>
    <t xml:space="preserve">                 </t>
  </si>
  <si>
    <t>Sort plant measurements by transect (A-Z), quadrat (low-high), &amp; species (A-Z)</t>
  </si>
  <si>
    <t xml:space="preserve">Transect </t>
  </si>
  <si>
    <t>S. acutus total wt (g)</t>
  </si>
  <si>
    <t>Unmeasured count/measured count?</t>
  </si>
  <si>
    <t>S. acutus total wt inc unmeasured (g/m^2)</t>
  </si>
  <si>
    <t>S. americanus total wt</t>
  </si>
  <si>
    <t>S. americanus total wt inc unmeasured (g/m^2)</t>
  </si>
  <si>
    <t>S. californicus total wt</t>
  </si>
  <si>
    <t>S. californicus total wt inc unmeasured (g/m^2)</t>
  </si>
  <si>
    <t>S. maritimus total wt</t>
  </si>
  <si>
    <t>S. maritimus total wt inc unmeasured (g/m^2)</t>
  </si>
  <si>
    <t>S. taber total wt</t>
  </si>
  <si>
    <t>S. taber total wt inc unmeasured (g/m^2)</t>
  </si>
  <si>
    <t>T. latifolia total wt</t>
  </si>
  <si>
    <t>T. latifolia total wt inc unmeasured (g/m^2)</t>
  </si>
  <si>
    <t>T. domingensis total wt</t>
  </si>
  <si>
    <t>T. domingensis total wt inc unmeasured (g/m^2)</t>
  </si>
  <si>
    <t>Quadrat Total (g/m^2)</t>
  </si>
  <si>
    <t>Transect Average (g/m^2)</t>
  </si>
  <si>
    <t>Acutus + Tab (g/m^2)</t>
  </si>
  <si>
    <t>Dom+Lat (g/m^2)</t>
  </si>
  <si>
    <t>% Acutus/tab</t>
  </si>
  <si>
    <t>% americ</t>
  </si>
  <si>
    <t>% cal</t>
  </si>
  <si>
    <t>%typha</t>
  </si>
  <si>
    <t>Area of site (whole wetland/10) m^2</t>
  </si>
  <si>
    <t>Area of site (AA/# quadrats) m^2</t>
  </si>
  <si>
    <t>Biomass (quadrat total * whole section area/# of quadrats) kg</t>
  </si>
  <si>
    <t>avg %</t>
  </si>
  <si>
    <t>total 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</si>
</sst>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auto="1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3F3F3F"/>
      </left>
      <right style="thin">
        <color auto="1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/>
      <bottom/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auto="1"/>
      </bottom>
      <diagonal/>
    </border>
  </borders>
  <cellStyleXfs count="48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2" borderId="2" applyNumberFormat="0" applyAlignment="0" applyProtection="0"/>
    <xf numFmtId="0" fontId="8" fillId="2" borderId="2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14" fontId="0" fillId="0" borderId="0" xfId="0" applyNumberFormat="1"/>
    <xf numFmtId="0" fontId="0" fillId="0" borderId="0" xfId="0" applyAlignment="1">
      <alignment horizontal="right"/>
    </xf>
    <xf numFmtId="0" fontId="5" fillId="2" borderId="1" xfId="481" applyFill="1" applyAlignment="1">
      <alignment horizontal="center"/>
    </xf>
    <xf numFmtId="0" fontId="6" fillId="2" borderId="2" xfId="482" applyAlignment="1">
      <alignment wrapText="1"/>
    </xf>
    <xf numFmtId="0" fontId="0" fillId="0" borderId="0" xfId="0" applyNumberFormat="1" applyAlignment="1">
      <alignment wrapText="1"/>
    </xf>
    <xf numFmtId="0" fontId="7" fillId="0" borderId="0" xfId="0" applyFont="1" applyAlignment="1">
      <alignment wrapText="1"/>
    </xf>
    <xf numFmtId="0" fontId="8" fillId="2" borderId="0" xfId="483" applyBorder="1" applyAlignment="1">
      <alignment wrapText="1"/>
    </xf>
    <xf numFmtId="0" fontId="6" fillId="2" borderId="3" xfId="482" applyBorder="1"/>
    <xf numFmtId="0" fontId="6" fillId="2" borderId="4" xfId="482" applyBorder="1"/>
    <xf numFmtId="0" fontId="0" fillId="0" borderId="5" xfId="0" applyBorder="1"/>
    <xf numFmtId="0" fontId="0" fillId="0" borderId="6" xfId="0" applyNumberFormat="1" applyBorder="1"/>
    <xf numFmtId="0" fontId="0" fillId="0" borderId="6" xfId="0" applyBorder="1"/>
    <xf numFmtId="0" fontId="6" fillId="2" borderId="7" xfId="482" applyBorder="1"/>
    <xf numFmtId="0" fontId="6" fillId="2" borderId="0" xfId="482" applyBorder="1"/>
    <xf numFmtId="0" fontId="6" fillId="2" borderId="8" xfId="482" applyBorder="1"/>
    <xf numFmtId="0" fontId="6" fillId="2" borderId="2" xfId="482" applyBorder="1"/>
    <xf numFmtId="0" fontId="0" fillId="0" borderId="9" xfId="0" applyBorder="1"/>
    <xf numFmtId="0" fontId="0" fillId="0" borderId="0" xfId="0" applyNumberFormat="1" applyBorder="1"/>
    <xf numFmtId="0" fontId="0" fillId="0" borderId="0" xfId="0" applyBorder="1"/>
    <xf numFmtId="0" fontId="6" fillId="2" borderId="10" xfId="482" applyBorder="1"/>
    <xf numFmtId="0" fontId="6" fillId="2" borderId="11" xfId="482" applyBorder="1"/>
    <xf numFmtId="0" fontId="6" fillId="2" borderId="12" xfId="482" applyBorder="1"/>
    <xf numFmtId="0" fontId="0" fillId="0" borderId="13" xfId="0" applyBorder="1"/>
    <xf numFmtId="0" fontId="0" fillId="0" borderId="14" xfId="0" applyNumberFormat="1" applyBorder="1"/>
    <xf numFmtId="0" fontId="0" fillId="0" borderId="14" xfId="0" applyBorder="1"/>
    <xf numFmtId="0" fontId="6" fillId="2" borderId="15" xfId="482" applyBorder="1"/>
    <xf numFmtId="0" fontId="6" fillId="0" borderId="3" xfId="482" applyFill="1" applyBorder="1"/>
    <xf numFmtId="0" fontId="6" fillId="0" borderId="4" xfId="482" applyFill="1" applyBorder="1"/>
    <xf numFmtId="12" fontId="0" fillId="0" borderId="6" xfId="0" applyNumberFormat="1" applyBorder="1"/>
    <xf numFmtId="164" fontId="0" fillId="0" borderId="6" xfId="0" applyNumberForma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2" borderId="1" xfId="481" applyFill="1" applyAlignment="1">
      <alignment horizontal="center"/>
    </xf>
  </cellXfs>
  <cellStyles count="48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5" builtinId="9" hidden="1"/>
    <cellStyle name="Followed Hyperlink" xfId="487" builtinId="9" hidden="1"/>
    <cellStyle name="Heading 1" xfId="481" builtinId="1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4" builtinId="8" hidden="1"/>
    <cellStyle name="Hyperlink" xfId="486" builtinId="8" hidden="1"/>
    <cellStyle name="Normal" xfId="0" builtinId="0"/>
    <cellStyle name="Output" xfId="482" builtinId="21"/>
    <cellStyle name="Output 2" xfId="483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omass%20allometric%20models%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4">
          <cell r="C4">
            <v>19.263017000000001</v>
          </cell>
          <cell r="D4">
            <v>0.30388419999999999</v>
          </cell>
          <cell r="J4">
            <v>0.9302222</v>
          </cell>
          <cell r="K4">
            <v>17.475608000000001</v>
          </cell>
          <cell r="L4">
            <v>-98.188490000000002</v>
          </cell>
        </row>
        <row r="5">
          <cell r="G5">
            <v>9.3755000000000005E-2</v>
          </cell>
          <cell r="H5">
            <v>-7.0223529999999998</v>
          </cell>
          <cell r="I5">
            <v>-0.30124499999999999</v>
          </cell>
          <cell r="L5">
            <v>33.036983999999997</v>
          </cell>
        </row>
        <row r="6">
          <cell r="C6">
            <v>3.5525088999999999</v>
          </cell>
          <cell r="D6">
            <v>1.5680699999999999E-2</v>
          </cell>
          <cell r="L6">
            <v>-2.2979400000000001</v>
          </cell>
        </row>
        <row r="7">
          <cell r="D7">
            <v>7.0105000000000001E-2</v>
          </cell>
          <cell r="L7">
            <v>-4.5905969999999998</v>
          </cell>
        </row>
        <row r="8">
          <cell r="D8">
            <v>3.8507100000000002E-2</v>
          </cell>
          <cell r="E8">
            <v>3.2200899999999998E-2</v>
          </cell>
        </row>
        <row r="9">
          <cell r="D9">
            <v>2.4493600000000001E-2</v>
          </cell>
          <cell r="E9">
            <v>5.7674000000000003E-2</v>
          </cell>
        </row>
        <row r="10">
          <cell r="C10">
            <v>2.2194433</v>
          </cell>
          <cell r="D10">
            <v>2.90014E-2</v>
          </cell>
          <cell r="F10">
            <v>8.2622600000000004E-2</v>
          </cell>
          <cell r="L10">
            <v>-1.947697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2"/>
  <sheetViews>
    <sheetView workbookViewId="0">
      <selection activeCell="L19" sqref="L19"/>
    </sheetView>
  </sheetViews>
  <sheetFormatPr baseColWidth="10" defaultRowHeight="15" x14ac:dyDescent="0"/>
  <cols>
    <col min="2" max="2" width="10.83203125" style="7"/>
    <col min="4" max="4" width="14.33203125" customWidth="1"/>
    <col min="5" max="5" width="31" customWidth="1"/>
    <col min="6" max="7" width="10.83203125" hidden="1" customWidth="1"/>
    <col min="8" max="8" width="23.83203125" customWidth="1"/>
    <col min="9" max="9" width="13.5" customWidth="1"/>
    <col min="10" max="10" width="21.33203125" customWidth="1"/>
    <col min="11" max="11" width="27.83203125" customWidth="1"/>
    <col min="12" max="12" width="29.1640625" customWidth="1"/>
    <col min="13" max="13" width="28.5" customWidth="1"/>
    <col min="14" max="14" width="15" customWidth="1"/>
  </cols>
  <sheetData>
    <row r="1" spans="1:17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1"/>
      <c r="Q1" s="1"/>
    </row>
    <row r="2" spans="1:17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2"/>
      <c r="Q2" s="2"/>
    </row>
    <row r="3" spans="1:17" ht="45">
      <c r="A3" t="s">
        <v>2</v>
      </c>
      <c r="B3" s="7" t="s">
        <v>3</v>
      </c>
      <c r="C3" t="s">
        <v>4</v>
      </c>
      <c r="D3" s="3" t="s">
        <v>5</v>
      </c>
      <c r="E3" s="4" t="s">
        <v>6</v>
      </c>
      <c r="F3" s="5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</row>
    <row r="4" spans="1:17">
      <c r="A4" s="6">
        <v>41527</v>
      </c>
      <c r="B4" s="7" t="s">
        <v>30</v>
      </c>
      <c r="C4">
        <v>21</v>
      </c>
      <c r="D4" t="s">
        <v>29</v>
      </c>
      <c r="E4">
        <v>193</v>
      </c>
      <c r="F4">
        <v>0.48</v>
      </c>
      <c r="N4" t="str">
        <f t="shared" ref="N4" si="0">IF(OR(D4="S. acutus", D4="S. tabernaemontani", D4="S. californicus"),(1/3)*(3.14159)*((F4/2)^2)*E4,"NA")</f>
        <v>NA</v>
      </c>
      <c r="O4">
        <f>IF(AND(OR(D4="S. acutus",D4="S. californicus",D4="S. tabernaemontani"),G4=0),E4*[1]Sheet1!$D$7+[1]Sheet1!$L$7,IF(AND(OR(D4="S. acutus",D4="S. tabernaemontani"),G4&gt;0),E4*[1]Sheet1!$D$8+N4*[1]Sheet1!$E$8,IF(AND(D4="S. californicus",G4&gt;0),E4*[1]Sheet1!$D$9+N4*[1]Sheet1!$E$9,IF(D4="S. maritimus",F4*[1]Sheet1!$C$10+E4*[1]Sheet1!$D$10+G4*[1]Sheet1!$F$10+[1]Sheet1!$L$10,IF(D4="S. americanus",F4*[1]Sheet1!$C$6+E4*[1]Sheet1!$D$6+[1]Sheet1!$L$6,IF(AND(OR(D4="T. domingensis",D4="T. latifolia"),E4&gt;0),F4*[1]Sheet1!$C$4+E4*[1]Sheet1!$D$4+H4*[1]Sheet1!$J$4+I4*[1]Sheet1!$K$4+[1]Sheet1!$L$4,IF(AND(OR(D4="T. domingensis",D4="T. latifolia"),J4&gt;0),J4*[1]Sheet1!$G$5+K4*[1]Sheet1!$H$5+L4*[1]Sheet1!$I$5+[1]Sheet1!$L$5,0)))))))</f>
        <v>2.4336393719999996</v>
      </c>
    </row>
    <row r="5" spans="1:17">
      <c r="A5" s="6">
        <v>41527</v>
      </c>
      <c r="B5" s="7" t="s">
        <v>30</v>
      </c>
      <c r="C5">
        <v>21</v>
      </c>
      <c r="D5" t="s">
        <v>29</v>
      </c>
      <c r="E5">
        <v>155</v>
      </c>
      <c r="F5">
        <v>0.82</v>
      </c>
      <c r="N5" t="str">
        <f t="shared" ref="N5:N68" si="1">IF(OR(D5="S. acutus", D5="S. tabernaemontani", D5="S. californicus"),(1/3)*(3.14159)*((F5/2)^2)*E5,"NA")</f>
        <v>NA</v>
      </c>
      <c r="O5">
        <f>IF(AND(OR(D5="S. acutus",D5="S. californicus",D5="S. tabernaemontani"),G5=0),E5*[1]Sheet1!$D$7+[1]Sheet1!$L$7,IF(AND(OR(D5="S. acutus",D5="S. tabernaemontani"),G5&gt;0),E5*[1]Sheet1!$D$8+N5*[1]Sheet1!$E$8,IF(AND(D5="S. californicus",G5&gt;0),E5*[1]Sheet1!$D$9+N5*[1]Sheet1!$E$9,IF(D5="S. maritimus",F5*[1]Sheet1!$C$10+E5*[1]Sheet1!$D$10+G5*[1]Sheet1!$F$10+[1]Sheet1!$L$10,IF(D5="S. americanus",F5*[1]Sheet1!$C$6+E5*[1]Sheet1!$D$6+[1]Sheet1!$L$6,IF(AND(OR(D5="T. domingensis",D5="T. latifolia"),E5&gt;0),F5*[1]Sheet1!$C$4+E5*[1]Sheet1!$D$4+H5*[1]Sheet1!$J$4+I5*[1]Sheet1!$K$4+[1]Sheet1!$L$4,IF(AND(OR(D5="T. domingensis",D5="T. latifolia"),J5&gt;0),J5*[1]Sheet1!$G$5+K5*[1]Sheet1!$H$5+L5*[1]Sheet1!$I$5+[1]Sheet1!$L$5,0)))))))</f>
        <v>3.0456257979999992</v>
      </c>
    </row>
    <row r="6" spans="1:17">
      <c r="A6" s="6">
        <v>41527</v>
      </c>
      <c r="B6" s="7" t="s">
        <v>30</v>
      </c>
      <c r="C6">
        <v>21</v>
      </c>
      <c r="D6" t="s">
        <v>29</v>
      </c>
      <c r="E6">
        <v>70</v>
      </c>
      <c r="F6">
        <v>0.7</v>
      </c>
      <c r="N6" t="str">
        <f t="shared" si="1"/>
        <v>NA</v>
      </c>
      <c r="O6">
        <f>IF(AND(OR(D6="S. acutus",D6="S. californicus",D6="S. tabernaemontani"),G6=0),E6*[1]Sheet1!$D$7+[1]Sheet1!$L$7,IF(AND(OR(D6="S. acutus",D6="S. tabernaemontani"),G6&gt;0),E6*[1]Sheet1!$D$8+N6*[1]Sheet1!$E$8,IF(AND(D6="S. californicus",G6&gt;0),E6*[1]Sheet1!$D$9+N6*[1]Sheet1!$E$9,IF(D6="S. maritimus",F6*[1]Sheet1!$C$10+E6*[1]Sheet1!$D$10+G6*[1]Sheet1!$F$10+[1]Sheet1!$L$10,IF(D6="S. americanus",F6*[1]Sheet1!$C$6+E6*[1]Sheet1!$D$6+[1]Sheet1!$L$6,IF(AND(OR(D6="T. domingensis",D6="T. latifolia"),E6&gt;0),F6*[1]Sheet1!$C$4+E6*[1]Sheet1!$D$4+H6*[1]Sheet1!$J$4+I6*[1]Sheet1!$K$4+[1]Sheet1!$L$4,IF(AND(OR(D6="T. domingensis",D6="T. latifolia"),J6&gt;0),J6*[1]Sheet1!$G$5+K6*[1]Sheet1!$H$5+L6*[1]Sheet1!$I$5+[1]Sheet1!$L$5,0)))))))</f>
        <v>1.2864652299999997</v>
      </c>
    </row>
    <row r="7" spans="1:17">
      <c r="A7" s="6">
        <v>41527</v>
      </c>
      <c r="B7" s="7" t="s">
        <v>30</v>
      </c>
      <c r="C7">
        <v>21</v>
      </c>
      <c r="D7" t="s">
        <v>29</v>
      </c>
      <c r="E7">
        <v>143</v>
      </c>
      <c r="F7">
        <v>0.51</v>
      </c>
      <c r="N7" t="str">
        <f t="shared" si="1"/>
        <v>NA</v>
      </c>
      <c r="O7">
        <f>IF(AND(OR(D7="S. acutus",D7="S. californicus",D7="S. tabernaemontani"),G7=0),E7*[1]Sheet1!$D$7+[1]Sheet1!$L$7,IF(AND(OR(D7="S. acutus",D7="S. tabernaemontani"),G7&gt;0),E7*[1]Sheet1!$D$8+N7*[1]Sheet1!$E$8,IF(AND(D7="S. californicus",G7&gt;0),E7*[1]Sheet1!$D$9+N7*[1]Sheet1!$E$9,IF(D7="S. maritimus",F7*[1]Sheet1!$C$10+E7*[1]Sheet1!$D$10+G7*[1]Sheet1!$F$10+[1]Sheet1!$L$10,IF(D7="S. americanus",F7*[1]Sheet1!$C$6+E7*[1]Sheet1!$D$6+[1]Sheet1!$L$6,IF(AND(OR(D7="T. domingensis",D7="T. latifolia"),E7&gt;0),F7*[1]Sheet1!$C$4+E7*[1]Sheet1!$D$4+H7*[1]Sheet1!$J$4+I7*[1]Sheet1!$K$4+[1]Sheet1!$L$4,IF(AND(OR(D7="T. domingensis",D7="T. latifolia"),J7&gt;0),J7*[1]Sheet1!$G$5+K7*[1]Sheet1!$H$5+L7*[1]Sheet1!$I$5+[1]Sheet1!$L$5,0)))))))</f>
        <v>1.7561796389999995</v>
      </c>
    </row>
    <row r="8" spans="1:17">
      <c r="A8" s="6">
        <v>41527</v>
      </c>
      <c r="B8" s="7" t="s">
        <v>30</v>
      </c>
      <c r="C8">
        <v>21</v>
      </c>
      <c r="D8" t="s">
        <v>29</v>
      </c>
      <c r="E8">
        <v>231</v>
      </c>
      <c r="F8">
        <v>0.55000000000000004</v>
      </c>
      <c r="N8" t="str">
        <f t="shared" si="1"/>
        <v>NA</v>
      </c>
      <c r="O8">
        <f>IF(AND(OR(D8="S. acutus",D8="S. californicus",D8="S. tabernaemontani"),G8=0),E8*[1]Sheet1!$D$7+[1]Sheet1!$L$7,IF(AND(OR(D8="S. acutus",D8="S. tabernaemontani"),G8&gt;0),E8*[1]Sheet1!$D$8+N8*[1]Sheet1!$E$8,IF(AND(D8="S. californicus",G8&gt;0),E8*[1]Sheet1!$D$9+N8*[1]Sheet1!$E$9,IF(D8="S. maritimus",F8*[1]Sheet1!$C$10+E8*[1]Sheet1!$D$10+G8*[1]Sheet1!$F$10+[1]Sheet1!$L$10,IF(D8="S. americanus",F8*[1]Sheet1!$C$6+E8*[1]Sheet1!$D$6+[1]Sheet1!$L$6,IF(AND(OR(D8="T. domingensis",D8="T. latifolia"),E8&gt;0),F8*[1]Sheet1!$C$4+E8*[1]Sheet1!$D$4+H8*[1]Sheet1!$J$4+I8*[1]Sheet1!$K$4+[1]Sheet1!$L$4,IF(AND(OR(D8="T. domingensis",D8="T. latifolia"),J8&gt;0),J8*[1]Sheet1!$G$5+K8*[1]Sheet1!$H$5+L8*[1]Sheet1!$I$5+[1]Sheet1!$L$5,0)))))))</f>
        <v>3.2781815949999999</v>
      </c>
    </row>
    <row r="9" spans="1:17">
      <c r="A9" s="6">
        <v>41527</v>
      </c>
      <c r="B9" s="7" t="s">
        <v>30</v>
      </c>
      <c r="C9">
        <v>21</v>
      </c>
      <c r="D9" t="s">
        <v>29</v>
      </c>
      <c r="E9">
        <v>273</v>
      </c>
      <c r="F9">
        <v>0.53</v>
      </c>
      <c r="N9" t="str">
        <f t="shared" si="1"/>
        <v>NA</v>
      </c>
      <c r="O9">
        <f>IF(AND(OR(D9="S. acutus",D9="S. californicus",D9="S. tabernaemontani"),G9=0),E9*[1]Sheet1!$D$7+[1]Sheet1!$L$7,IF(AND(OR(D9="S. acutus",D9="S. tabernaemontani"),G9&gt;0),E9*[1]Sheet1!$D$8+N9*[1]Sheet1!$E$8,IF(AND(D9="S. californicus",G9&gt;0),E9*[1]Sheet1!$D$9+N9*[1]Sheet1!$E$9,IF(D9="S. maritimus",F9*[1]Sheet1!$C$10+E9*[1]Sheet1!$D$10+G9*[1]Sheet1!$F$10+[1]Sheet1!$L$10,IF(D9="S. americanus",F9*[1]Sheet1!$C$6+E9*[1]Sheet1!$D$6+[1]Sheet1!$L$6,IF(AND(OR(D9="T. domingensis",D9="T. latifolia"),E9&gt;0),F9*[1]Sheet1!$C$4+E9*[1]Sheet1!$D$4+H9*[1]Sheet1!$J$4+I9*[1]Sheet1!$K$4+[1]Sheet1!$L$4,IF(AND(OR(D9="T. domingensis",D9="T. latifolia"),J9&gt;0),J9*[1]Sheet1!$G$5+K9*[1]Sheet1!$H$5+L9*[1]Sheet1!$I$5+[1]Sheet1!$L$5,0)))))))</f>
        <v>3.8657208169999993</v>
      </c>
    </row>
    <row r="10" spans="1:17">
      <c r="A10" s="6">
        <v>41527</v>
      </c>
      <c r="B10" s="7" t="s">
        <v>30</v>
      </c>
      <c r="C10">
        <v>21</v>
      </c>
      <c r="D10" t="s">
        <v>29</v>
      </c>
      <c r="E10">
        <v>221</v>
      </c>
      <c r="F10">
        <v>0.64</v>
      </c>
      <c r="N10" t="str">
        <f t="shared" si="1"/>
        <v>NA</v>
      </c>
      <c r="O10">
        <f>IF(AND(OR(D10="S. acutus",D10="S. californicus",D10="S. tabernaemontani"),G10=0),E10*[1]Sheet1!$D$7+[1]Sheet1!$L$7,IF(AND(OR(D10="S. acutus",D10="S. tabernaemontani"),G10&gt;0),E10*[1]Sheet1!$D$8+N10*[1]Sheet1!$E$8,IF(AND(D10="S. californicus",G10&gt;0),E10*[1]Sheet1!$D$9+N10*[1]Sheet1!$E$9,IF(D10="S. maritimus",F10*[1]Sheet1!$C$10+E10*[1]Sheet1!$D$10+G10*[1]Sheet1!$F$10+[1]Sheet1!$L$10,IF(D10="S. americanus",F10*[1]Sheet1!$C$6+E10*[1]Sheet1!$D$6+[1]Sheet1!$L$6,IF(AND(OR(D10="T. domingensis",D10="T. latifolia"),E10&gt;0),F10*[1]Sheet1!$C$4+E10*[1]Sheet1!$D$4+H10*[1]Sheet1!$J$4+I10*[1]Sheet1!$K$4+[1]Sheet1!$L$4,IF(AND(OR(D10="T. domingensis",D10="T. latifolia"),J10&gt;0),J10*[1]Sheet1!$G$5+K10*[1]Sheet1!$H$5+L10*[1]Sheet1!$I$5+[1]Sheet1!$L$5,0)))))))</f>
        <v>3.441100396</v>
      </c>
    </row>
    <row r="11" spans="1:17">
      <c r="A11" s="6">
        <v>41527</v>
      </c>
      <c r="B11" s="7" t="s">
        <v>30</v>
      </c>
      <c r="C11">
        <v>21</v>
      </c>
      <c r="D11" t="s">
        <v>29</v>
      </c>
      <c r="E11">
        <v>185</v>
      </c>
      <c r="F11">
        <v>0.45</v>
      </c>
      <c r="N11" t="str">
        <f t="shared" si="1"/>
        <v>NA</v>
      </c>
      <c r="O11">
        <f>IF(AND(OR(D11="S. acutus",D11="S. californicus",D11="S. tabernaemontani"),G11=0),E11*[1]Sheet1!$D$7+[1]Sheet1!$L$7,IF(AND(OR(D11="S. acutus",D11="S. tabernaemontani"),G11&gt;0),E11*[1]Sheet1!$D$8+N11*[1]Sheet1!$E$8,IF(AND(D11="S. californicus",G11&gt;0),E11*[1]Sheet1!$D$9+N11*[1]Sheet1!$E$9,IF(D11="S. maritimus",F11*[1]Sheet1!$C$10+E11*[1]Sheet1!$D$10+G11*[1]Sheet1!$F$10+[1]Sheet1!$L$10,IF(D11="S. americanus",F11*[1]Sheet1!$C$6+E11*[1]Sheet1!$D$6+[1]Sheet1!$L$6,IF(AND(OR(D11="T. domingensis",D11="T. latifolia"),E11&gt;0),F11*[1]Sheet1!$C$4+E11*[1]Sheet1!$D$4+H11*[1]Sheet1!$J$4+I11*[1]Sheet1!$K$4+[1]Sheet1!$L$4,IF(AND(OR(D11="T. domingensis",D11="T. latifolia"),J11&gt;0),J11*[1]Sheet1!$G$5+K11*[1]Sheet1!$H$5+L11*[1]Sheet1!$I$5+[1]Sheet1!$L$5,0)))))))</f>
        <v>2.2016185049999994</v>
      </c>
    </row>
    <row r="12" spans="1:17">
      <c r="A12" s="6">
        <v>41527</v>
      </c>
      <c r="B12" s="7" t="s">
        <v>30</v>
      </c>
      <c r="C12">
        <v>21</v>
      </c>
      <c r="D12" t="s">
        <v>29</v>
      </c>
      <c r="E12">
        <v>262</v>
      </c>
      <c r="F12">
        <v>0.55000000000000004</v>
      </c>
      <c r="N12" t="str">
        <f t="shared" si="1"/>
        <v>NA</v>
      </c>
      <c r="O12">
        <f>IF(AND(OR(D12="S. acutus",D12="S. californicus",D12="S. tabernaemontani"),G12=0),E12*[1]Sheet1!$D$7+[1]Sheet1!$L$7,IF(AND(OR(D12="S. acutus",D12="S. tabernaemontani"),G12&gt;0),E12*[1]Sheet1!$D$8+N12*[1]Sheet1!$E$8,IF(AND(D12="S. californicus",G12&gt;0),E12*[1]Sheet1!$D$9+N12*[1]Sheet1!$E$9,IF(D12="S. maritimus",F12*[1]Sheet1!$C$10+E12*[1]Sheet1!$D$10+G12*[1]Sheet1!$F$10+[1]Sheet1!$L$10,IF(D12="S. americanus",F12*[1]Sheet1!$C$6+E12*[1]Sheet1!$D$6+[1]Sheet1!$L$6,IF(AND(OR(D12="T. domingensis",D12="T. latifolia"),E12&gt;0),F12*[1]Sheet1!$C$4+E12*[1]Sheet1!$D$4+H12*[1]Sheet1!$J$4+I12*[1]Sheet1!$K$4+[1]Sheet1!$L$4,IF(AND(OR(D12="T. domingensis",D12="T. latifolia"),J12&gt;0),J12*[1]Sheet1!$G$5+K12*[1]Sheet1!$H$5+L12*[1]Sheet1!$I$5+[1]Sheet1!$L$5,0)))))))</f>
        <v>3.7642832949999998</v>
      </c>
    </row>
    <row r="13" spans="1:17">
      <c r="A13" s="6">
        <v>41527</v>
      </c>
      <c r="B13" s="7" t="s">
        <v>30</v>
      </c>
      <c r="C13">
        <v>21</v>
      </c>
      <c r="D13" t="s">
        <v>29</v>
      </c>
      <c r="E13">
        <v>200</v>
      </c>
      <c r="F13">
        <v>0.49</v>
      </c>
      <c r="N13" t="str">
        <f t="shared" si="1"/>
        <v>NA</v>
      </c>
      <c r="O13">
        <f>IF(AND(OR(D13="S. acutus",D13="S. californicus",D13="S. tabernaemontani"),G13=0),E13*[1]Sheet1!$D$7+[1]Sheet1!$L$7,IF(AND(OR(D13="S. acutus",D13="S. tabernaemontani"),G13&gt;0),E13*[1]Sheet1!$D$8+N13*[1]Sheet1!$E$8,IF(AND(D13="S. californicus",G13&gt;0),E13*[1]Sheet1!$D$9+N13*[1]Sheet1!$E$9,IF(D13="S. maritimus",F13*[1]Sheet1!$C$10+E13*[1]Sheet1!$D$10+G13*[1]Sheet1!$F$10+[1]Sheet1!$L$10,IF(D13="S. americanus",F13*[1]Sheet1!$C$6+E13*[1]Sheet1!$D$6+[1]Sheet1!$L$6,IF(AND(OR(D13="T. domingensis",D13="T. latifolia"),E13&gt;0),F13*[1]Sheet1!$C$4+E13*[1]Sheet1!$D$4+H13*[1]Sheet1!$J$4+I13*[1]Sheet1!$K$4+[1]Sheet1!$L$4,IF(AND(OR(D13="T. domingensis",D13="T. latifolia"),J13&gt;0),J13*[1]Sheet1!$G$5+K13*[1]Sheet1!$H$5+L13*[1]Sheet1!$I$5+[1]Sheet1!$L$5,0)))))))</f>
        <v>2.5789293609999997</v>
      </c>
    </row>
    <row r="14" spans="1:17">
      <c r="A14" s="6">
        <v>41527</v>
      </c>
      <c r="B14" s="7" t="s">
        <v>30</v>
      </c>
      <c r="C14">
        <v>21</v>
      </c>
      <c r="D14" t="s">
        <v>29</v>
      </c>
      <c r="E14">
        <v>139</v>
      </c>
      <c r="F14">
        <v>0.7</v>
      </c>
      <c r="N14" t="str">
        <f t="shared" si="1"/>
        <v>NA</v>
      </c>
      <c r="O14">
        <f>IF(AND(OR(D14="S. acutus",D14="S. californicus",D14="S. tabernaemontani"),G14=0),E14*[1]Sheet1!$D$7+[1]Sheet1!$L$7,IF(AND(OR(D14="S. acutus",D14="S. tabernaemontani"),G14&gt;0),E14*[1]Sheet1!$D$8+N14*[1]Sheet1!$E$8,IF(AND(D14="S. californicus",G14&gt;0),E14*[1]Sheet1!$D$9+N14*[1]Sheet1!$E$9,IF(D14="S. maritimus",F14*[1]Sheet1!$C$10+E14*[1]Sheet1!$D$10+G14*[1]Sheet1!$F$10+[1]Sheet1!$L$10,IF(D14="S. americanus",F14*[1]Sheet1!$C$6+E14*[1]Sheet1!$D$6+[1]Sheet1!$L$6,IF(AND(OR(D14="T. domingensis",D14="T. latifolia"),E14&gt;0),F14*[1]Sheet1!$C$4+E14*[1]Sheet1!$D$4+H14*[1]Sheet1!$J$4+I14*[1]Sheet1!$K$4+[1]Sheet1!$L$4,IF(AND(OR(D14="T. domingensis",D14="T. latifolia"),J14&gt;0),J14*[1]Sheet1!$G$5+K14*[1]Sheet1!$H$5+L14*[1]Sheet1!$I$5+[1]Sheet1!$L$5,0)))))))</f>
        <v>2.3684335299999995</v>
      </c>
    </row>
    <row r="15" spans="1:17">
      <c r="A15" s="6">
        <v>41527</v>
      </c>
      <c r="B15" s="7" t="s">
        <v>30</v>
      </c>
      <c r="C15">
        <v>21</v>
      </c>
      <c r="D15" t="s">
        <v>29</v>
      </c>
      <c r="E15">
        <v>297</v>
      </c>
      <c r="F15">
        <v>0.69</v>
      </c>
      <c r="N15" t="str">
        <f t="shared" si="1"/>
        <v>NA</v>
      </c>
      <c r="O15">
        <f>IF(AND(OR(D15="S. acutus",D15="S. californicus",D15="S. tabernaemontani"),G15=0),E15*[1]Sheet1!$D$7+[1]Sheet1!$L$7,IF(AND(OR(D15="S. acutus",D15="S. tabernaemontani"),G15&gt;0),E15*[1]Sheet1!$D$8+N15*[1]Sheet1!$E$8,IF(AND(D15="S. californicus",G15&gt;0),E15*[1]Sheet1!$D$9+N15*[1]Sheet1!$E$9,IF(D15="S. maritimus",F15*[1]Sheet1!$C$10+E15*[1]Sheet1!$D$10+G15*[1]Sheet1!$F$10+[1]Sheet1!$L$10,IF(D15="S. americanus",F15*[1]Sheet1!$C$6+E15*[1]Sheet1!$D$6+[1]Sheet1!$L$6,IF(AND(OR(D15="T. domingensis",D15="T. latifolia"),E15&gt;0),F15*[1]Sheet1!$C$4+E15*[1]Sheet1!$D$4+H15*[1]Sheet1!$J$4+I15*[1]Sheet1!$K$4+[1]Sheet1!$L$4,IF(AND(OR(D15="T. domingensis",D15="T. latifolia"),J15&gt;0),J15*[1]Sheet1!$G$5+K15*[1]Sheet1!$H$5+L15*[1]Sheet1!$I$5+[1]Sheet1!$L$5,0)))))))</f>
        <v>4.8104590409999979</v>
      </c>
    </row>
    <row r="16" spans="1:17">
      <c r="A16" s="6">
        <v>41527</v>
      </c>
      <c r="B16" s="7" t="s">
        <v>30</v>
      </c>
      <c r="C16">
        <v>21</v>
      </c>
      <c r="D16" t="s">
        <v>29</v>
      </c>
      <c r="E16">
        <v>143</v>
      </c>
      <c r="F16">
        <v>0.36</v>
      </c>
      <c r="N16" t="str">
        <f t="shared" si="1"/>
        <v>NA</v>
      </c>
      <c r="O16">
        <f>IF(AND(OR(D16="S. acutus",D16="S. californicus",D16="S. tabernaemontani"),G16=0),E16*[1]Sheet1!$D$7+[1]Sheet1!$L$7,IF(AND(OR(D16="S. acutus",D16="S. tabernaemontani"),G16&gt;0),E16*[1]Sheet1!$D$8+N16*[1]Sheet1!$E$8,IF(AND(D16="S. californicus",G16&gt;0),E16*[1]Sheet1!$D$9+N16*[1]Sheet1!$E$9,IF(D16="S. maritimus",F16*[1]Sheet1!$C$10+E16*[1]Sheet1!$D$10+G16*[1]Sheet1!$F$10+[1]Sheet1!$L$10,IF(D16="S. americanus",F16*[1]Sheet1!$C$6+E16*[1]Sheet1!$D$6+[1]Sheet1!$L$6,IF(AND(OR(D16="T. domingensis",D16="T. latifolia"),E16&gt;0),F16*[1]Sheet1!$C$4+E16*[1]Sheet1!$D$4+H16*[1]Sheet1!$J$4+I16*[1]Sheet1!$K$4+[1]Sheet1!$L$4,IF(AND(OR(D16="T. domingensis",D16="T. latifolia"),J16&gt;0),J16*[1]Sheet1!$G$5+K16*[1]Sheet1!$H$5+L16*[1]Sheet1!$I$5+[1]Sheet1!$L$5,0)))))))</f>
        <v>1.2233033039999994</v>
      </c>
    </row>
    <row r="17" spans="1:15">
      <c r="A17" s="6">
        <v>41527</v>
      </c>
      <c r="B17" s="7" t="s">
        <v>30</v>
      </c>
      <c r="C17">
        <v>21</v>
      </c>
      <c r="D17" t="s">
        <v>29</v>
      </c>
      <c r="E17">
        <v>220</v>
      </c>
      <c r="F17">
        <v>0.47</v>
      </c>
      <c r="N17" t="str">
        <f t="shared" si="1"/>
        <v>NA</v>
      </c>
      <c r="O17">
        <f>IF(AND(OR(D17="S. acutus",D17="S. californicus",D17="S. tabernaemontani"),G17=0),E17*[1]Sheet1!$D$7+[1]Sheet1!$L$7,IF(AND(OR(D17="S. acutus",D17="S. tabernaemontani"),G17&gt;0),E17*[1]Sheet1!$D$8+N17*[1]Sheet1!$E$8,IF(AND(D17="S. californicus",G17&gt;0),E17*[1]Sheet1!$D$9+N17*[1]Sheet1!$E$9,IF(D17="S. maritimus",F17*[1]Sheet1!$C$10+E17*[1]Sheet1!$D$10+G17*[1]Sheet1!$F$10+[1]Sheet1!$L$10,IF(D17="S. americanus",F17*[1]Sheet1!$C$6+E17*[1]Sheet1!$D$6+[1]Sheet1!$L$6,IF(AND(OR(D17="T. domingensis",D17="T. latifolia"),E17&gt;0),F17*[1]Sheet1!$C$4+E17*[1]Sheet1!$D$4+H17*[1]Sheet1!$J$4+I17*[1]Sheet1!$K$4+[1]Sheet1!$L$4,IF(AND(OR(D17="T. domingensis",D17="T. latifolia"),J17&gt;0),J17*[1]Sheet1!$G$5+K17*[1]Sheet1!$H$5+L17*[1]Sheet1!$I$5+[1]Sheet1!$L$5,0)))))))</f>
        <v>2.821493182999999</v>
      </c>
    </row>
    <row r="18" spans="1:15">
      <c r="A18" s="6">
        <v>41527</v>
      </c>
      <c r="B18" s="7" t="s">
        <v>30</v>
      </c>
      <c r="C18">
        <v>21</v>
      </c>
      <c r="D18" t="s">
        <v>29</v>
      </c>
      <c r="E18">
        <v>198</v>
      </c>
      <c r="F18">
        <v>0.48</v>
      </c>
      <c r="N18" t="str">
        <f t="shared" si="1"/>
        <v>NA</v>
      </c>
      <c r="O18">
        <f>IF(AND(OR(D18="S. acutus",D18="S. californicus",D18="S. tabernaemontani"),G18=0),E18*[1]Sheet1!$D$7+[1]Sheet1!$L$7,IF(AND(OR(D18="S. acutus",D18="S. tabernaemontani"),G18&gt;0),E18*[1]Sheet1!$D$8+N18*[1]Sheet1!$E$8,IF(AND(D18="S. californicus",G18&gt;0),E18*[1]Sheet1!$D$9+N18*[1]Sheet1!$E$9,IF(D18="S. maritimus",F18*[1]Sheet1!$C$10+E18*[1]Sheet1!$D$10+G18*[1]Sheet1!$F$10+[1]Sheet1!$L$10,IF(D18="S. americanus",F18*[1]Sheet1!$C$6+E18*[1]Sheet1!$D$6+[1]Sheet1!$L$6,IF(AND(OR(D18="T. domingensis",D18="T. latifolia"),E18&gt;0),F18*[1]Sheet1!$C$4+E18*[1]Sheet1!$D$4+H18*[1]Sheet1!$J$4+I18*[1]Sheet1!$K$4+[1]Sheet1!$L$4,IF(AND(OR(D18="T. domingensis",D18="T. latifolia"),J18&gt;0),J18*[1]Sheet1!$G$5+K18*[1]Sheet1!$H$5+L18*[1]Sheet1!$I$5+[1]Sheet1!$L$5,0)))))))</f>
        <v>2.5120428719999999</v>
      </c>
    </row>
    <row r="19" spans="1:15">
      <c r="A19" s="6">
        <v>41527</v>
      </c>
      <c r="B19" s="7" t="s">
        <v>30</v>
      </c>
      <c r="C19">
        <v>21</v>
      </c>
      <c r="D19" t="s">
        <v>29</v>
      </c>
      <c r="E19">
        <v>228</v>
      </c>
      <c r="F19">
        <v>0.4</v>
      </c>
      <c r="N19" t="str">
        <f t="shared" si="1"/>
        <v>NA</v>
      </c>
      <c r="O19">
        <f>IF(AND(OR(D19="S. acutus",D19="S. californicus",D19="S. tabernaemontani"),G19=0),E19*[1]Sheet1!$D$7+[1]Sheet1!$L$7,IF(AND(OR(D19="S. acutus",D19="S. tabernaemontani"),G19&gt;0),E19*[1]Sheet1!$D$8+N19*[1]Sheet1!$E$8,IF(AND(D19="S. californicus",G19&gt;0),E19*[1]Sheet1!$D$9+N19*[1]Sheet1!$E$9,IF(D19="S. maritimus",F19*[1]Sheet1!$C$10+E19*[1]Sheet1!$D$10+G19*[1]Sheet1!$F$10+[1]Sheet1!$L$10,IF(D19="S. americanus",F19*[1]Sheet1!$C$6+E19*[1]Sheet1!$D$6+[1]Sheet1!$L$6,IF(AND(OR(D19="T. domingensis",D19="T. latifolia"),E19&gt;0),F19*[1]Sheet1!$C$4+E19*[1]Sheet1!$D$4+H19*[1]Sheet1!$J$4+I19*[1]Sheet1!$K$4+[1]Sheet1!$L$4,IF(AND(OR(D19="T. domingensis",D19="T. latifolia"),J19&gt;0),J19*[1]Sheet1!$G$5+K19*[1]Sheet1!$H$5+L19*[1]Sheet1!$I$5+[1]Sheet1!$L$5,0)))))))</f>
        <v>2.6982631600000002</v>
      </c>
    </row>
    <row r="20" spans="1:15">
      <c r="A20" s="6">
        <v>41527</v>
      </c>
      <c r="B20" s="7" t="s">
        <v>30</v>
      </c>
      <c r="C20">
        <v>21</v>
      </c>
      <c r="D20" t="s">
        <v>29</v>
      </c>
      <c r="E20">
        <v>151</v>
      </c>
      <c r="F20">
        <v>0.43</v>
      </c>
      <c r="N20" t="str">
        <f t="shared" si="1"/>
        <v>NA</v>
      </c>
      <c r="O20">
        <f>IF(AND(OR(D20="S. acutus",D20="S. californicus",D20="S. tabernaemontani"),G20=0),E20*[1]Sheet1!$D$7+[1]Sheet1!$L$7,IF(AND(OR(D20="S. acutus",D20="S. tabernaemontani"),G20&gt;0),E20*[1]Sheet1!$D$8+N20*[1]Sheet1!$E$8,IF(AND(D20="S. californicus",G20&gt;0),E20*[1]Sheet1!$D$9+N20*[1]Sheet1!$E$9,IF(D20="S. maritimus",F20*[1]Sheet1!$C$10+E20*[1]Sheet1!$D$10+G20*[1]Sheet1!$F$10+[1]Sheet1!$L$10,IF(D20="S. americanus",F20*[1]Sheet1!$C$6+E20*[1]Sheet1!$D$6+[1]Sheet1!$L$6,IF(AND(OR(D20="T. domingensis",D20="T. latifolia"),E20&gt;0),F20*[1]Sheet1!$C$4+E20*[1]Sheet1!$D$4+H20*[1]Sheet1!$J$4+I20*[1]Sheet1!$K$4+[1]Sheet1!$L$4,IF(AND(OR(D20="T. domingensis",D20="T. latifolia"),J20&gt;0),J20*[1]Sheet1!$G$5+K20*[1]Sheet1!$H$5+L20*[1]Sheet1!$I$5+[1]Sheet1!$L$5,0)))))))</f>
        <v>1.5974245269999998</v>
      </c>
    </row>
    <row r="21" spans="1:15">
      <c r="A21" s="6">
        <v>41527</v>
      </c>
      <c r="B21" s="7" t="s">
        <v>30</v>
      </c>
      <c r="C21">
        <v>21</v>
      </c>
      <c r="D21" t="s">
        <v>29</v>
      </c>
      <c r="E21">
        <v>133</v>
      </c>
      <c r="F21">
        <v>0.67</v>
      </c>
      <c r="N21" t="str">
        <f t="shared" si="1"/>
        <v>NA</v>
      </c>
      <c r="O21">
        <f>IF(AND(OR(D21="S. acutus",D21="S. californicus",D21="S. tabernaemontani"),G21=0),E21*[1]Sheet1!$D$7+[1]Sheet1!$L$7,IF(AND(OR(D21="S. acutus",D21="S. tabernaemontani"),G21&gt;0),E21*[1]Sheet1!$D$8+N21*[1]Sheet1!$E$8,IF(AND(D21="S. californicus",G21&gt;0),E21*[1]Sheet1!$D$9+N21*[1]Sheet1!$E$9,IF(D21="S. maritimus",F21*[1]Sheet1!$C$10+E21*[1]Sheet1!$D$10+G21*[1]Sheet1!$F$10+[1]Sheet1!$L$10,IF(D21="S. americanus",F21*[1]Sheet1!$C$6+E21*[1]Sheet1!$D$6+[1]Sheet1!$L$6,IF(AND(OR(D21="T. domingensis",D21="T. latifolia"),E21&gt;0),F21*[1]Sheet1!$C$4+E21*[1]Sheet1!$D$4+H21*[1]Sheet1!$J$4+I21*[1]Sheet1!$K$4+[1]Sheet1!$L$4,IF(AND(OR(D21="T. domingensis",D21="T. latifolia"),J21&gt;0),J21*[1]Sheet1!$G$5+K21*[1]Sheet1!$H$5+L21*[1]Sheet1!$I$5+[1]Sheet1!$L$5,0)))))))</f>
        <v>2.167774063</v>
      </c>
    </row>
    <row r="22" spans="1:15">
      <c r="A22" s="6">
        <v>41527</v>
      </c>
      <c r="B22" s="7" t="s">
        <v>30</v>
      </c>
      <c r="C22">
        <v>21</v>
      </c>
      <c r="D22" t="s">
        <v>29</v>
      </c>
      <c r="E22">
        <v>217</v>
      </c>
      <c r="F22">
        <v>0.4</v>
      </c>
      <c r="N22" t="str">
        <f t="shared" si="1"/>
        <v>NA</v>
      </c>
      <c r="O22">
        <f>IF(AND(OR(D22="S. acutus",D22="S. californicus",D22="S. tabernaemontani"),G22=0),E22*[1]Sheet1!$D$7+[1]Sheet1!$L$7,IF(AND(OR(D22="S. acutus",D22="S. tabernaemontani"),G22&gt;0),E22*[1]Sheet1!$D$8+N22*[1]Sheet1!$E$8,IF(AND(D22="S. californicus",G22&gt;0),E22*[1]Sheet1!$D$9+N22*[1]Sheet1!$E$9,IF(D22="S. maritimus",F22*[1]Sheet1!$C$10+E22*[1]Sheet1!$D$10+G22*[1]Sheet1!$F$10+[1]Sheet1!$L$10,IF(D22="S. americanus",F22*[1]Sheet1!$C$6+E22*[1]Sheet1!$D$6+[1]Sheet1!$L$6,IF(AND(OR(D22="T. domingensis",D22="T. latifolia"),E22&gt;0),F22*[1]Sheet1!$C$4+E22*[1]Sheet1!$D$4+H22*[1]Sheet1!$J$4+I22*[1]Sheet1!$K$4+[1]Sheet1!$L$4,IF(AND(OR(D22="T. domingensis",D22="T. latifolia"),J22&gt;0),J22*[1]Sheet1!$G$5+K22*[1]Sheet1!$H$5+L22*[1]Sheet1!$I$5+[1]Sheet1!$L$5,0)))))))</f>
        <v>2.5257754599999998</v>
      </c>
    </row>
    <row r="23" spans="1:15">
      <c r="A23" s="6">
        <v>41527</v>
      </c>
      <c r="B23" s="7" t="s">
        <v>30</v>
      </c>
      <c r="C23">
        <v>21</v>
      </c>
      <c r="D23" t="s">
        <v>29</v>
      </c>
      <c r="E23">
        <v>281</v>
      </c>
      <c r="F23">
        <v>0.83</v>
      </c>
      <c r="N23" t="str">
        <f t="shared" si="1"/>
        <v>NA</v>
      </c>
      <c r="O23">
        <f>IF(AND(OR(D23="S. acutus",D23="S. californicus",D23="S. tabernaemontani"),G23=0),E23*[1]Sheet1!$D$7+[1]Sheet1!$L$7,IF(AND(OR(D23="S. acutus",D23="S. tabernaemontani"),G23&gt;0),E23*[1]Sheet1!$D$8+N23*[1]Sheet1!$E$8,IF(AND(D23="S. californicus",G23&gt;0),E23*[1]Sheet1!$D$9+N23*[1]Sheet1!$E$9,IF(D23="S. maritimus",F23*[1]Sheet1!$C$10+E23*[1]Sheet1!$D$10+G23*[1]Sheet1!$F$10+[1]Sheet1!$L$10,IF(D23="S. americanus",F23*[1]Sheet1!$C$6+E23*[1]Sheet1!$D$6+[1]Sheet1!$L$6,IF(AND(OR(D23="T. domingensis",D23="T. latifolia"),E23&gt;0),F23*[1]Sheet1!$C$4+E23*[1]Sheet1!$D$4+H23*[1]Sheet1!$J$4+I23*[1]Sheet1!$K$4+[1]Sheet1!$L$4,IF(AND(OR(D23="T. domingensis",D23="T. latifolia"),J23&gt;0),J23*[1]Sheet1!$G$5+K23*[1]Sheet1!$H$5+L23*[1]Sheet1!$I$5+[1]Sheet1!$L$5,0)))))))</f>
        <v>5.0569190869999989</v>
      </c>
    </row>
    <row r="24" spans="1:15">
      <c r="A24" s="6">
        <v>41527</v>
      </c>
      <c r="B24" s="7" t="s">
        <v>30</v>
      </c>
      <c r="C24">
        <v>21</v>
      </c>
      <c r="D24" t="s">
        <v>29</v>
      </c>
      <c r="E24">
        <v>171</v>
      </c>
      <c r="F24">
        <v>0.5</v>
      </c>
      <c r="N24" t="str">
        <f t="shared" si="1"/>
        <v>NA</v>
      </c>
      <c r="O24">
        <f>IF(AND(OR(D24="S. acutus",D24="S. californicus",D24="S. tabernaemontani"),G24=0),E24*[1]Sheet1!$D$7+[1]Sheet1!$L$7,IF(AND(OR(D24="S. acutus",D24="S. tabernaemontani"),G24&gt;0),E24*[1]Sheet1!$D$8+N24*[1]Sheet1!$E$8,IF(AND(D24="S. californicus",G24&gt;0),E24*[1]Sheet1!$D$9+N24*[1]Sheet1!$E$9,IF(D24="S. maritimus",F24*[1]Sheet1!$C$10+E24*[1]Sheet1!$D$10+G24*[1]Sheet1!$F$10+[1]Sheet1!$L$10,IF(D24="S. americanus",F24*[1]Sheet1!$C$6+E24*[1]Sheet1!$D$6+[1]Sheet1!$L$6,IF(AND(OR(D24="T. domingensis",D24="T. latifolia"),E24&gt;0),F24*[1]Sheet1!$C$4+E24*[1]Sheet1!$D$4+H24*[1]Sheet1!$J$4+I24*[1]Sheet1!$K$4+[1]Sheet1!$L$4,IF(AND(OR(D24="T. domingensis",D24="T. latifolia"),J24&gt;0),J24*[1]Sheet1!$G$5+K24*[1]Sheet1!$H$5+L24*[1]Sheet1!$I$5+[1]Sheet1!$L$5,0)))))))</f>
        <v>2.1597141499999997</v>
      </c>
    </row>
    <row r="25" spans="1:15">
      <c r="A25" s="6">
        <v>41527</v>
      </c>
      <c r="B25" s="7" t="s">
        <v>30</v>
      </c>
      <c r="C25">
        <v>21</v>
      </c>
      <c r="D25" t="s">
        <v>29</v>
      </c>
      <c r="E25">
        <v>223</v>
      </c>
      <c r="F25">
        <v>0.64</v>
      </c>
      <c r="N25" t="str">
        <f t="shared" si="1"/>
        <v>NA</v>
      </c>
      <c r="O25">
        <f>IF(AND(OR(D25="S. acutus",D25="S. californicus",D25="S. tabernaemontani"),G25=0),E25*[1]Sheet1!$D$7+[1]Sheet1!$L$7,IF(AND(OR(D25="S. acutus",D25="S. tabernaemontani"),G25&gt;0),E25*[1]Sheet1!$D$8+N25*[1]Sheet1!$E$8,IF(AND(D25="S. californicus",G25&gt;0),E25*[1]Sheet1!$D$9+N25*[1]Sheet1!$E$9,IF(D25="S. maritimus",F25*[1]Sheet1!$C$10+E25*[1]Sheet1!$D$10+G25*[1]Sheet1!$F$10+[1]Sheet1!$L$10,IF(D25="S. americanus",F25*[1]Sheet1!$C$6+E25*[1]Sheet1!$D$6+[1]Sheet1!$L$6,IF(AND(OR(D25="T. domingensis",D25="T. latifolia"),E25&gt;0),F25*[1]Sheet1!$C$4+E25*[1]Sheet1!$D$4+H25*[1]Sheet1!$J$4+I25*[1]Sheet1!$K$4+[1]Sheet1!$L$4,IF(AND(OR(D25="T. domingensis",D25="T. latifolia"),J25&gt;0),J25*[1]Sheet1!$G$5+K25*[1]Sheet1!$H$5+L25*[1]Sheet1!$I$5+[1]Sheet1!$L$5,0)))))))</f>
        <v>3.4724617959999997</v>
      </c>
    </row>
    <row r="26" spans="1:15">
      <c r="A26" s="6">
        <v>41527</v>
      </c>
      <c r="B26" s="7" t="s">
        <v>30</v>
      </c>
      <c r="C26">
        <v>21</v>
      </c>
      <c r="D26" t="s">
        <v>29</v>
      </c>
      <c r="E26">
        <v>247</v>
      </c>
      <c r="F26">
        <v>0.53</v>
      </c>
      <c r="N26" t="str">
        <f t="shared" si="1"/>
        <v>NA</v>
      </c>
      <c r="O26">
        <f>IF(AND(OR(D26="S. acutus",D26="S. californicus",D26="S. tabernaemontani"),G26=0),E26*[1]Sheet1!$D$7+[1]Sheet1!$L$7,IF(AND(OR(D26="S. acutus",D26="S. tabernaemontani"),G26&gt;0),E26*[1]Sheet1!$D$8+N26*[1]Sheet1!$E$8,IF(AND(D26="S. californicus",G26&gt;0),E26*[1]Sheet1!$D$9+N26*[1]Sheet1!$E$9,IF(D26="S. maritimus",F26*[1]Sheet1!$C$10+E26*[1]Sheet1!$D$10+G26*[1]Sheet1!$F$10+[1]Sheet1!$L$10,IF(D26="S. americanus",F26*[1]Sheet1!$C$6+E26*[1]Sheet1!$D$6+[1]Sheet1!$L$6,IF(AND(OR(D26="T. domingensis",D26="T. latifolia"),E26&gt;0),F26*[1]Sheet1!$C$4+E26*[1]Sheet1!$D$4+H26*[1]Sheet1!$J$4+I26*[1]Sheet1!$K$4+[1]Sheet1!$L$4,IF(AND(OR(D26="T. domingensis",D26="T. latifolia"),J26&gt;0),J26*[1]Sheet1!$G$5+K26*[1]Sheet1!$H$5+L26*[1]Sheet1!$I$5+[1]Sheet1!$L$5,0)))))))</f>
        <v>3.4580226169999997</v>
      </c>
    </row>
    <row r="27" spans="1:15">
      <c r="A27" s="6">
        <v>41527</v>
      </c>
      <c r="B27" s="7" t="s">
        <v>30</v>
      </c>
      <c r="C27">
        <v>21</v>
      </c>
      <c r="D27" t="s">
        <v>29</v>
      </c>
      <c r="E27">
        <v>178</v>
      </c>
      <c r="F27">
        <v>0.49</v>
      </c>
      <c r="N27" t="str">
        <f t="shared" si="1"/>
        <v>NA</v>
      </c>
      <c r="O27">
        <f>IF(AND(OR(D27="S. acutus",D27="S. californicus",D27="S. tabernaemontani"),G27=0),E27*[1]Sheet1!$D$7+[1]Sheet1!$L$7,IF(AND(OR(D27="S. acutus",D27="S. tabernaemontani"),G27&gt;0),E27*[1]Sheet1!$D$8+N27*[1]Sheet1!$E$8,IF(AND(D27="S. californicus",G27&gt;0),E27*[1]Sheet1!$D$9+N27*[1]Sheet1!$E$9,IF(D27="S. maritimus",F27*[1]Sheet1!$C$10+E27*[1]Sheet1!$D$10+G27*[1]Sheet1!$F$10+[1]Sheet1!$L$10,IF(D27="S. americanus",F27*[1]Sheet1!$C$6+E27*[1]Sheet1!$D$6+[1]Sheet1!$L$6,IF(AND(OR(D27="T. domingensis",D27="T. latifolia"),E27&gt;0),F27*[1]Sheet1!$C$4+E27*[1]Sheet1!$D$4+H27*[1]Sheet1!$J$4+I27*[1]Sheet1!$K$4+[1]Sheet1!$L$4,IF(AND(OR(D27="T. domingensis",D27="T. latifolia"),J27&gt;0),J27*[1]Sheet1!$G$5+K27*[1]Sheet1!$H$5+L27*[1]Sheet1!$I$5+[1]Sheet1!$L$5,0)))))))</f>
        <v>2.2339539609999997</v>
      </c>
    </row>
    <row r="28" spans="1:15">
      <c r="A28" s="6">
        <v>41527</v>
      </c>
      <c r="B28" s="7" t="s">
        <v>30</v>
      </c>
      <c r="C28">
        <v>21</v>
      </c>
      <c r="D28" t="s">
        <v>29</v>
      </c>
      <c r="E28">
        <v>199</v>
      </c>
      <c r="F28">
        <v>0.56999999999999995</v>
      </c>
      <c r="N28" t="str">
        <f t="shared" si="1"/>
        <v>NA</v>
      </c>
      <c r="O28">
        <f>IF(AND(OR(D28="S. acutus",D28="S. californicus",D28="S. tabernaemontani"),G28=0),E28*[1]Sheet1!$D$7+[1]Sheet1!$L$7,IF(AND(OR(D28="S. acutus",D28="S. tabernaemontani"),G28&gt;0),E28*[1]Sheet1!$D$8+N28*[1]Sheet1!$E$8,IF(AND(D28="S. californicus",G28&gt;0),E28*[1]Sheet1!$D$9+N28*[1]Sheet1!$E$9,IF(D28="S. maritimus",F28*[1]Sheet1!$C$10+E28*[1]Sheet1!$D$10+G28*[1]Sheet1!$F$10+[1]Sheet1!$L$10,IF(D28="S. americanus",F28*[1]Sheet1!$C$6+E28*[1]Sheet1!$D$6+[1]Sheet1!$L$6,IF(AND(OR(D28="T. domingensis",D28="T. latifolia"),E28&gt;0),F28*[1]Sheet1!$C$4+E28*[1]Sheet1!$D$4+H28*[1]Sheet1!$J$4+I28*[1]Sheet1!$K$4+[1]Sheet1!$L$4,IF(AND(OR(D28="T. domingensis",D28="T. latifolia"),J28&gt;0),J28*[1]Sheet1!$G$5+K28*[1]Sheet1!$H$5+L28*[1]Sheet1!$I$5+[1]Sheet1!$L$5,0)))))))</f>
        <v>2.8474493729999995</v>
      </c>
    </row>
    <row r="29" spans="1:15">
      <c r="A29" s="6">
        <v>41527</v>
      </c>
      <c r="B29" s="7" t="s">
        <v>30</v>
      </c>
      <c r="C29">
        <v>21</v>
      </c>
      <c r="D29" t="s">
        <v>29</v>
      </c>
      <c r="E29">
        <v>243</v>
      </c>
      <c r="F29">
        <v>0.6</v>
      </c>
      <c r="N29" t="str">
        <f t="shared" si="1"/>
        <v>NA</v>
      </c>
      <c r="O29">
        <f>IF(AND(OR(D29="S. acutus",D29="S. californicus",D29="S. tabernaemontani"),G29=0),E29*[1]Sheet1!$D$7+[1]Sheet1!$L$7,IF(AND(OR(D29="S. acutus",D29="S. tabernaemontani"),G29&gt;0),E29*[1]Sheet1!$D$8+N29*[1]Sheet1!$E$8,IF(AND(D29="S. californicus",G29&gt;0),E29*[1]Sheet1!$D$9+N29*[1]Sheet1!$E$9,IF(D29="S. maritimus",F29*[1]Sheet1!$C$10+E29*[1]Sheet1!$D$10+G29*[1]Sheet1!$F$10+[1]Sheet1!$L$10,IF(D29="S. americanus",F29*[1]Sheet1!$C$6+E29*[1]Sheet1!$D$6+[1]Sheet1!$L$6,IF(AND(OR(D29="T. domingensis",D29="T. latifolia"),E29&gt;0),F29*[1]Sheet1!$C$4+E29*[1]Sheet1!$D$4+H29*[1]Sheet1!$J$4+I29*[1]Sheet1!$K$4+[1]Sheet1!$L$4,IF(AND(OR(D29="T. domingensis",D29="T. latifolia"),J29&gt;0),J29*[1]Sheet1!$G$5+K29*[1]Sheet1!$H$5+L29*[1]Sheet1!$I$5+[1]Sheet1!$L$5,0)))))))</f>
        <v>3.6439754399999997</v>
      </c>
    </row>
    <row r="30" spans="1:15">
      <c r="A30" s="6">
        <v>41527</v>
      </c>
      <c r="B30" s="7" t="s">
        <v>30</v>
      </c>
      <c r="C30">
        <v>21</v>
      </c>
      <c r="D30" t="s">
        <v>29</v>
      </c>
      <c r="E30">
        <v>231</v>
      </c>
      <c r="F30">
        <v>0.5</v>
      </c>
      <c r="N30" t="str">
        <f t="shared" si="1"/>
        <v>NA</v>
      </c>
      <c r="O30">
        <f>IF(AND(OR(D30="S. acutus",D30="S. californicus",D30="S. tabernaemontani"),G30=0),E30*[1]Sheet1!$D$7+[1]Sheet1!$L$7,IF(AND(OR(D30="S. acutus",D30="S. tabernaemontani"),G30&gt;0),E30*[1]Sheet1!$D$8+N30*[1]Sheet1!$E$8,IF(AND(D30="S. californicus",G30&gt;0),E30*[1]Sheet1!$D$9+N30*[1]Sheet1!$E$9,IF(D30="S. maritimus",F30*[1]Sheet1!$C$10+E30*[1]Sheet1!$D$10+G30*[1]Sheet1!$F$10+[1]Sheet1!$L$10,IF(D30="S. americanus",F30*[1]Sheet1!$C$6+E30*[1]Sheet1!$D$6+[1]Sheet1!$L$6,IF(AND(OR(D30="T. domingensis",D30="T. latifolia"),E30&gt;0),F30*[1]Sheet1!$C$4+E30*[1]Sheet1!$D$4+H30*[1]Sheet1!$J$4+I30*[1]Sheet1!$K$4+[1]Sheet1!$L$4,IF(AND(OR(D30="T. domingensis",D30="T. latifolia"),J30&gt;0),J30*[1]Sheet1!$G$5+K30*[1]Sheet1!$H$5+L30*[1]Sheet1!$I$5+[1]Sheet1!$L$5,0)))))))</f>
        <v>3.1005561499999996</v>
      </c>
    </row>
    <row r="31" spans="1:15">
      <c r="A31" s="6">
        <v>41527</v>
      </c>
      <c r="B31" s="7" t="s">
        <v>30</v>
      </c>
      <c r="C31">
        <v>21</v>
      </c>
      <c r="D31" t="s">
        <v>29</v>
      </c>
      <c r="E31">
        <v>189</v>
      </c>
      <c r="F31">
        <v>0.38</v>
      </c>
      <c r="N31" t="str">
        <f t="shared" si="1"/>
        <v>NA</v>
      </c>
      <c r="O31">
        <f>IF(AND(OR(D31="S. acutus",D31="S. californicus",D31="S. tabernaemontani"),G31=0),E31*[1]Sheet1!$D$7+[1]Sheet1!$L$7,IF(AND(OR(D31="S. acutus",D31="S. tabernaemontani"),G31&gt;0),E31*[1]Sheet1!$D$8+N31*[1]Sheet1!$E$8,IF(AND(D31="S. californicus",G31&gt;0),E31*[1]Sheet1!$D$9+N31*[1]Sheet1!$E$9,IF(D31="S. maritimus",F31*[1]Sheet1!$C$10+E31*[1]Sheet1!$D$10+G31*[1]Sheet1!$F$10+[1]Sheet1!$L$10,IF(D31="S. americanus",F31*[1]Sheet1!$C$6+E31*[1]Sheet1!$D$6+[1]Sheet1!$L$6,IF(AND(OR(D31="T. domingensis",D31="T. latifolia"),E31&gt;0),F31*[1]Sheet1!$C$4+E31*[1]Sheet1!$D$4+H31*[1]Sheet1!$J$4+I31*[1]Sheet1!$K$4+[1]Sheet1!$L$4,IF(AND(OR(D31="T. domingensis",D31="T. latifolia"),J31&gt;0),J31*[1]Sheet1!$G$5+K31*[1]Sheet1!$H$5+L31*[1]Sheet1!$I$5+[1]Sheet1!$L$5,0)))))))</f>
        <v>2.0156656819999994</v>
      </c>
    </row>
    <row r="32" spans="1:15">
      <c r="A32" s="6">
        <v>41527</v>
      </c>
      <c r="B32" s="7" t="s">
        <v>30</v>
      </c>
      <c r="C32">
        <v>21</v>
      </c>
      <c r="D32" t="s">
        <v>29</v>
      </c>
      <c r="E32">
        <v>285</v>
      </c>
      <c r="F32">
        <v>0.55000000000000004</v>
      </c>
      <c r="N32" t="str">
        <f t="shared" si="1"/>
        <v>NA</v>
      </c>
      <c r="O32">
        <f>IF(AND(OR(D32="S. acutus",D32="S. californicus",D32="S. tabernaemontani"),G32=0),E32*[1]Sheet1!$D$7+[1]Sheet1!$L$7,IF(AND(OR(D32="S. acutus",D32="S. tabernaemontani"),G32&gt;0),E32*[1]Sheet1!$D$8+N32*[1]Sheet1!$E$8,IF(AND(D32="S. californicus",G32&gt;0),E32*[1]Sheet1!$D$9+N32*[1]Sheet1!$E$9,IF(D32="S. maritimus",F32*[1]Sheet1!$C$10+E32*[1]Sheet1!$D$10+G32*[1]Sheet1!$F$10+[1]Sheet1!$L$10,IF(D32="S. americanus",F32*[1]Sheet1!$C$6+E32*[1]Sheet1!$D$6+[1]Sheet1!$L$6,IF(AND(OR(D32="T. domingensis",D32="T. latifolia"),E32&gt;0),F32*[1]Sheet1!$C$4+E32*[1]Sheet1!$D$4+H32*[1]Sheet1!$J$4+I32*[1]Sheet1!$K$4+[1]Sheet1!$L$4,IF(AND(OR(D32="T. domingensis",D32="T. latifolia"),J32&gt;0),J32*[1]Sheet1!$G$5+K32*[1]Sheet1!$H$5+L32*[1]Sheet1!$I$5+[1]Sheet1!$L$5,0)))))))</f>
        <v>4.1249393950000002</v>
      </c>
    </row>
    <row r="33" spans="1:15">
      <c r="A33" s="6">
        <v>41527</v>
      </c>
      <c r="B33" s="7" t="s">
        <v>30</v>
      </c>
      <c r="C33">
        <v>21</v>
      </c>
      <c r="D33" t="s">
        <v>29</v>
      </c>
      <c r="E33">
        <v>199</v>
      </c>
      <c r="F33">
        <v>0.52</v>
      </c>
      <c r="N33" t="str">
        <f t="shared" si="1"/>
        <v>NA</v>
      </c>
      <c r="O33">
        <f>IF(AND(OR(D33="S. acutus",D33="S. californicus",D33="S. tabernaemontani"),G33=0),E33*[1]Sheet1!$D$7+[1]Sheet1!$L$7,IF(AND(OR(D33="S. acutus",D33="S. tabernaemontani"),G33&gt;0),E33*[1]Sheet1!$D$8+N33*[1]Sheet1!$E$8,IF(AND(D33="S. californicus",G33&gt;0),E33*[1]Sheet1!$D$9+N33*[1]Sheet1!$E$9,IF(D33="S. maritimus",F33*[1]Sheet1!$C$10+E33*[1]Sheet1!$D$10+G33*[1]Sheet1!$F$10+[1]Sheet1!$L$10,IF(D33="S. americanus",F33*[1]Sheet1!$C$6+E33*[1]Sheet1!$D$6+[1]Sheet1!$L$6,IF(AND(OR(D33="T. domingensis",D33="T. latifolia"),E33&gt;0),F33*[1]Sheet1!$C$4+E33*[1]Sheet1!$D$4+H33*[1]Sheet1!$J$4+I33*[1]Sheet1!$K$4+[1]Sheet1!$L$4,IF(AND(OR(D33="T. domingensis",D33="T. latifolia"),J33&gt;0),J33*[1]Sheet1!$G$5+K33*[1]Sheet1!$H$5+L33*[1]Sheet1!$I$5+[1]Sheet1!$L$5,0)))))))</f>
        <v>2.669823928</v>
      </c>
    </row>
    <row r="34" spans="1:15">
      <c r="A34" s="6">
        <v>41527</v>
      </c>
      <c r="B34" s="7" t="s">
        <v>30</v>
      </c>
      <c r="C34">
        <v>21</v>
      </c>
      <c r="D34" t="s">
        <v>29</v>
      </c>
      <c r="E34">
        <v>346</v>
      </c>
      <c r="F34">
        <v>0.65</v>
      </c>
      <c r="N34" t="str">
        <f t="shared" si="1"/>
        <v>NA</v>
      </c>
      <c r="O34">
        <f>IF(AND(OR(D34="S. acutus",D34="S. californicus",D34="S. tabernaemontani"),G34=0),E34*[1]Sheet1!$D$7+[1]Sheet1!$L$7,IF(AND(OR(D34="S. acutus",D34="S. tabernaemontani"),G34&gt;0),E34*[1]Sheet1!$D$8+N34*[1]Sheet1!$E$8,IF(AND(D34="S. californicus",G34&gt;0),E34*[1]Sheet1!$D$9+N34*[1]Sheet1!$E$9,IF(D34="S. maritimus",F34*[1]Sheet1!$C$10+E34*[1]Sheet1!$D$10+G34*[1]Sheet1!$F$10+[1]Sheet1!$L$10,IF(D34="S. americanus",F34*[1]Sheet1!$C$6+E34*[1]Sheet1!$D$6+[1]Sheet1!$L$6,IF(AND(OR(D34="T. domingensis",D34="T. latifolia"),E34&gt;0),F34*[1]Sheet1!$C$4+E34*[1]Sheet1!$D$4+H34*[1]Sheet1!$J$4+I34*[1]Sheet1!$K$4+[1]Sheet1!$L$4,IF(AND(OR(D34="T. domingensis",D34="T. latifolia"),J34&gt;0),J34*[1]Sheet1!$G$5+K34*[1]Sheet1!$H$5+L34*[1]Sheet1!$I$5+[1]Sheet1!$L$5,0)))))))</f>
        <v>5.4367129849999998</v>
      </c>
    </row>
    <row r="35" spans="1:15">
      <c r="A35" s="6">
        <v>41527</v>
      </c>
      <c r="B35" s="7" t="s">
        <v>30</v>
      </c>
      <c r="C35">
        <v>21</v>
      </c>
      <c r="D35" t="s">
        <v>29</v>
      </c>
      <c r="E35">
        <v>147</v>
      </c>
      <c r="F35">
        <v>0.56999999999999995</v>
      </c>
      <c r="N35" t="str">
        <f t="shared" si="1"/>
        <v>NA</v>
      </c>
      <c r="O35">
        <f>IF(AND(OR(D35="S. acutus",D35="S. californicus",D35="S. tabernaemontani"),G35=0),E35*[1]Sheet1!$D$7+[1]Sheet1!$L$7,IF(AND(OR(D35="S. acutus",D35="S. tabernaemontani"),G35&gt;0),E35*[1]Sheet1!$D$8+N35*[1]Sheet1!$E$8,IF(AND(D35="S. californicus",G35&gt;0),E35*[1]Sheet1!$D$9+N35*[1]Sheet1!$E$9,IF(D35="S. maritimus",F35*[1]Sheet1!$C$10+E35*[1]Sheet1!$D$10+G35*[1]Sheet1!$F$10+[1]Sheet1!$L$10,IF(D35="S. americanus",F35*[1]Sheet1!$C$6+E35*[1]Sheet1!$D$6+[1]Sheet1!$L$6,IF(AND(OR(D35="T. domingensis",D35="T. latifolia"),E35&gt;0),F35*[1]Sheet1!$C$4+E35*[1]Sheet1!$D$4+H35*[1]Sheet1!$J$4+I35*[1]Sheet1!$K$4+[1]Sheet1!$L$4,IF(AND(OR(D35="T. domingensis",D35="T. latifolia"),J35&gt;0),J35*[1]Sheet1!$G$5+K35*[1]Sheet1!$H$5+L35*[1]Sheet1!$I$5+[1]Sheet1!$L$5,0)))))))</f>
        <v>2.0320529729999994</v>
      </c>
    </row>
    <row r="36" spans="1:15">
      <c r="A36" s="6">
        <v>41527</v>
      </c>
      <c r="B36" s="7" t="s">
        <v>30</v>
      </c>
      <c r="C36">
        <v>21</v>
      </c>
      <c r="D36" t="s">
        <v>29</v>
      </c>
      <c r="E36">
        <v>242</v>
      </c>
      <c r="F36">
        <v>0.4</v>
      </c>
      <c r="N36" t="str">
        <f t="shared" si="1"/>
        <v>NA</v>
      </c>
      <c r="O36">
        <f>IF(AND(OR(D36="S. acutus",D36="S. californicus",D36="S. tabernaemontani"),G36=0),E36*[1]Sheet1!$D$7+[1]Sheet1!$L$7,IF(AND(OR(D36="S. acutus",D36="S. tabernaemontani"),G36&gt;0),E36*[1]Sheet1!$D$8+N36*[1]Sheet1!$E$8,IF(AND(D36="S. californicus",G36&gt;0),E36*[1]Sheet1!$D$9+N36*[1]Sheet1!$E$9,IF(D36="S. maritimus",F36*[1]Sheet1!$C$10+E36*[1]Sheet1!$D$10+G36*[1]Sheet1!$F$10+[1]Sheet1!$L$10,IF(D36="S. americanus",F36*[1]Sheet1!$C$6+E36*[1]Sheet1!$D$6+[1]Sheet1!$L$6,IF(AND(OR(D36="T. domingensis",D36="T. latifolia"),E36&gt;0),F36*[1]Sheet1!$C$4+E36*[1]Sheet1!$D$4+H36*[1]Sheet1!$J$4+I36*[1]Sheet1!$K$4+[1]Sheet1!$L$4,IF(AND(OR(D36="T. domingensis",D36="T. latifolia"),J36&gt;0),J36*[1]Sheet1!$G$5+K36*[1]Sheet1!$H$5+L36*[1]Sheet1!$I$5+[1]Sheet1!$L$5,0)))))))</f>
        <v>2.9177929599999994</v>
      </c>
    </row>
    <row r="37" spans="1:15">
      <c r="A37" s="6">
        <v>41527</v>
      </c>
      <c r="B37" s="7" t="s">
        <v>30</v>
      </c>
      <c r="C37">
        <v>21</v>
      </c>
      <c r="D37" t="s">
        <v>29</v>
      </c>
      <c r="E37">
        <v>174</v>
      </c>
      <c r="F37">
        <v>0.49</v>
      </c>
      <c r="N37" t="str">
        <f t="shared" si="1"/>
        <v>NA</v>
      </c>
      <c r="O37">
        <f>IF(AND(OR(D37="S. acutus",D37="S. californicus",D37="S. tabernaemontani"),G37=0),E37*[1]Sheet1!$D$7+[1]Sheet1!$L$7,IF(AND(OR(D37="S. acutus",D37="S. tabernaemontani"),G37&gt;0),E37*[1]Sheet1!$D$8+N37*[1]Sheet1!$E$8,IF(AND(D37="S. californicus",G37&gt;0),E37*[1]Sheet1!$D$9+N37*[1]Sheet1!$E$9,IF(D37="S. maritimus",F37*[1]Sheet1!$C$10+E37*[1]Sheet1!$D$10+G37*[1]Sheet1!$F$10+[1]Sheet1!$L$10,IF(D37="S. americanus",F37*[1]Sheet1!$C$6+E37*[1]Sheet1!$D$6+[1]Sheet1!$L$6,IF(AND(OR(D37="T. domingensis",D37="T. latifolia"),E37&gt;0),F37*[1]Sheet1!$C$4+E37*[1]Sheet1!$D$4+H37*[1]Sheet1!$J$4+I37*[1]Sheet1!$K$4+[1]Sheet1!$L$4,IF(AND(OR(D37="T. domingensis",D37="T. latifolia"),J37&gt;0),J37*[1]Sheet1!$G$5+K37*[1]Sheet1!$H$5+L37*[1]Sheet1!$I$5+[1]Sheet1!$L$5,0)))))))</f>
        <v>2.1712311609999992</v>
      </c>
    </row>
    <row r="38" spans="1:15">
      <c r="A38" s="6">
        <v>41527</v>
      </c>
      <c r="B38" s="7" t="s">
        <v>30</v>
      </c>
      <c r="C38">
        <v>21</v>
      </c>
      <c r="D38" t="s">
        <v>29</v>
      </c>
      <c r="E38">
        <v>175</v>
      </c>
      <c r="F38">
        <v>0.36</v>
      </c>
      <c r="N38" t="str">
        <f t="shared" si="1"/>
        <v>NA</v>
      </c>
      <c r="O38">
        <f>IF(AND(OR(D38="S. acutus",D38="S. californicus",D38="S. tabernaemontani"),G38=0),E38*[1]Sheet1!$D$7+[1]Sheet1!$L$7,IF(AND(OR(D38="S. acutus",D38="S. tabernaemontani"),G38&gt;0),E38*[1]Sheet1!$D$8+N38*[1]Sheet1!$E$8,IF(AND(D38="S. californicus",G38&gt;0),E38*[1]Sheet1!$D$9+N38*[1]Sheet1!$E$9,IF(D38="S. maritimus",F38*[1]Sheet1!$C$10+E38*[1]Sheet1!$D$10+G38*[1]Sheet1!$F$10+[1]Sheet1!$L$10,IF(D38="S. americanus",F38*[1]Sheet1!$C$6+E38*[1]Sheet1!$D$6+[1]Sheet1!$L$6,IF(AND(OR(D38="T. domingensis",D38="T. latifolia"),E38&gt;0),F38*[1]Sheet1!$C$4+E38*[1]Sheet1!$D$4+H38*[1]Sheet1!$J$4+I38*[1]Sheet1!$K$4+[1]Sheet1!$L$4,IF(AND(OR(D38="T. domingensis",D38="T. latifolia"),J38&gt;0),J38*[1]Sheet1!$G$5+K38*[1]Sheet1!$H$5+L38*[1]Sheet1!$I$5+[1]Sheet1!$L$5,0)))))))</f>
        <v>1.7250857039999992</v>
      </c>
    </row>
    <row r="39" spans="1:15">
      <c r="A39" s="6">
        <v>41527</v>
      </c>
      <c r="B39" s="7" t="s">
        <v>30</v>
      </c>
      <c r="C39">
        <v>21</v>
      </c>
      <c r="D39" t="s">
        <v>23</v>
      </c>
      <c r="E39">
        <v>321</v>
      </c>
      <c r="F39">
        <v>2.5099999999999998</v>
      </c>
      <c r="H39">
        <v>26</v>
      </c>
      <c r="I39">
        <v>2.25</v>
      </c>
      <c r="N39" t="str">
        <f t="shared" si="1"/>
        <v>NA</v>
      </c>
      <c r="O39">
        <f>IF(AND(OR(D39="S. acutus",D39="S. californicus",D39="S. tabernaemontani"),G39=0),E39*[1]Sheet1!$D$7+[1]Sheet1!$L$7,IF(AND(OR(D39="S. acutus",D39="S. tabernaemontani"),G39&gt;0),E39*[1]Sheet1!$D$8+N39*[1]Sheet1!$E$8,IF(AND(D39="S. californicus",G39&gt;0),E39*[1]Sheet1!$D$9+N39*[1]Sheet1!$E$9,IF(D39="S. maritimus",F39*[1]Sheet1!$C$10+E39*[1]Sheet1!$D$10+G39*[1]Sheet1!$F$10+[1]Sheet1!$L$10,IF(D39="S. americanus",F39*[1]Sheet1!$C$6+E39*[1]Sheet1!$D$6+[1]Sheet1!$L$6,IF(AND(OR(D39="T. domingensis",D39="T. latifolia"),E39&gt;0),F39*[1]Sheet1!$C$4+E39*[1]Sheet1!$D$4+H39*[1]Sheet1!$J$4+I39*[1]Sheet1!$K$4+[1]Sheet1!$L$4,IF(AND(OR(D39="T. domingensis",D39="T. latifolia"),J39&gt;0),J39*[1]Sheet1!$G$5+K39*[1]Sheet1!$H$5+L39*[1]Sheet1!$I$5+[1]Sheet1!$L$5,0)))))))</f>
        <v>111.21440607</v>
      </c>
    </row>
    <row r="40" spans="1:15">
      <c r="A40" s="6">
        <v>41527</v>
      </c>
      <c r="B40" s="7" t="s">
        <v>30</v>
      </c>
      <c r="C40">
        <v>21</v>
      </c>
      <c r="D40" t="s">
        <v>23</v>
      </c>
      <c r="E40">
        <v>298</v>
      </c>
      <c r="F40">
        <v>2.2000000000000002</v>
      </c>
      <c r="H40">
        <v>26</v>
      </c>
      <c r="I40">
        <v>2</v>
      </c>
      <c r="N40" t="str">
        <f t="shared" si="1"/>
        <v>NA</v>
      </c>
      <c r="O40">
        <f>IF(AND(OR(D40="S. acutus",D40="S. californicus",D40="S. tabernaemontani"),G40=0),E40*[1]Sheet1!$D$7+[1]Sheet1!$L$7,IF(AND(OR(D40="S. acutus",D40="S. tabernaemontani"),G40&gt;0),E40*[1]Sheet1!$D$8+N40*[1]Sheet1!$E$8,IF(AND(D40="S. californicus",G40&gt;0),E40*[1]Sheet1!$D$9+N40*[1]Sheet1!$E$9,IF(D40="S. maritimus",F40*[1]Sheet1!$C$10+E40*[1]Sheet1!$D$10+G40*[1]Sheet1!$F$10+[1]Sheet1!$L$10,IF(D40="S. americanus",F40*[1]Sheet1!$C$6+E40*[1]Sheet1!$D$6+[1]Sheet1!$L$6,IF(AND(OR(D40="T. domingensis",D40="T. latifolia"),E40&gt;0),F40*[1]Sheet1!$C$4+E40*[1]Sheet1!$D$4+H40*[1]Sheet1!$J$4+I40*[1]Sheet1!$K$4+[1]Sheet1!$L$4,IF(AND(OR(D40="T. domingensis",D40="T. latifolia"),J40&gt;0),J40*[1]Sheet1!$G$5+K40*[1]Sheet1!$H$5+L40*[1]Sheet1!$I$5+[1]Sheet1!$L$5,0)))))))</f>
        <v>93.884632199999999</v>
      </c>
    </row>
    <row r="41" spans="1:15">
      <c r="A41" s="6">
        <v>41527</v>
      </c>
      <c r="B41" s="7" t="s">
        <v>30</v>
      </c>
      <c r="C41">
        <v>21</v>
      </c>
      <c r="D41" t="s">
        <v>23</v>
      </c>
      <c r="E41">
        <v>305</v>
      </c>
      <c r="F41">
        <v>1.92</v>
      </c>
      <c r="H41">
        <v>21</v>
      </c>
      <c r="I41">
        <v>2.25</v>
      </c>
      <c r="N41" t="str">
        <f t="shared" si="1"/>
        <v>NA</v>
      </c>
      <c r="O41">
        <f>IF(AND(OR(D41="S. acutus",D41="S. californicus",D41="S. tabernaemontani"),G41=0),E41*[1]Sheet1!$D$7+[1]Sheet1!$L$7,IF(AND(OR(D41="S. acutus",D41="S. tabernaemontani"),G41&gt;0),E41*[1]Sheet1!$D$8+N41*[1]Sheet1!$E$8,IF(AND(D41="S. californicus",G41&gt;0),E41*[1]Sheet1!$D$9+N41*[1]Sheet1!$E$9,IF(D41="S. maritimus",F41*[1]Sheet1!$C$10+E41*[1]Sheet1!$D$10+G41*[1]Sheet1!$F$10+[1]Sheet1!$L$10,IF(D41="S. americanus",F41*[1]Sheet1!$C$6+E41*[1]Sheet1!$D$6+[1]Sheet1!$L$6,IF(AND(OR(D41="T. domingensis",D41="T. latifolia"),E41&gt;0),F41*[1]Sheet1!$C$4+E41*[1]Sheet1!$D$4+H41*[1]Sheet1!$J$4+I41*[1]Sheet1!$K$4+[1]Sheet1!$L$4,IF(AND(OR(D41="T. domingensis",D41="T. latifolia"),J41&gt;0),J41*[1]Sheet1!$G$5+K41*[1]Sheet1!$H$5+L41*[1]Sheet1!$I$5+[1]Sheet1!$L$5,0)))))))</f>
        <v>90.335967839999995</v>
      </c>
    </row>
    <row r="42" spans="1:15">
      <c r="A42" s="6">
        <v>41527</v>
      </c>
      <c r="B42" s="7" t="s">
        <v>30</v>
      </c>
      <c r="C42">
        <v>21</v>
      </c>
      <c r="D42" t="s">
        <v>23</v>
      </c>
      <c r="E42">
        <v>310</v>
      </c>
      <c r="F42">
        <v>2.15</v>
      </c>
      <c r="H42">
        <v>21</v>
      </c>
      <c r="I42">
        <v>2</v>
      </c>
      <c r="N42" t="str">
        <f t="shared" si="1"/>
        <v>NA</v>
      </c>
      <c r="O42">
        <f>IF(AND(OR(D42="S. acutus",D42="S. californicus",D42="S. tabernaemontani"),G42=0),E42*[1]Sheet1!$D$7+[1]Sheet1!$L$7,IF(AND(OR(D42="S. acutus",D42="S. tabernaemontani"),G42&gt;0),E42*[1]Sheet1!$D$8+N42*[1]Sheet1!$E$8,IF(AND(D42="S. californicus",G42&gt;0),E42*[1]Sheet1!$D$9+N42*[1]Sheet1!$E$9,IF(D42="S. maritimus",F42*[1]Sheet1!$C$10+E42*[1]Sheet1!$D$10+G42*[1]Sheet1!$F$10+[1]Sheet1!$L$10,IF(D42="S. americanus",F42*[1]Sheet1!$C$6+E42*[1]Sheet1!$D$6+[1]Sheet1!$L$6,IF(AND(OR(D42="T. domingensis",D42="T. latifolia"),E42&gt;0),F42*[1]Sheet1!$C$4+E42*[1]Sheet1!$D$4+H42*[1]Sheet1!$J$4+I42*[1]Sheet1!$K$4+[1]Sheet1!$L$4,IF(AND(OR(D42="T. domingensis",D42="T. latifolia"),J42&gt;0),J42*[1]Sheet1!$G$5+K42*[1]Sheet1!$H$5+L42*[1]Sheet1!$I$5+[1]Sheet1!$L$5,0)))))))</f>
        <v>91.916980749999993</v>
      </c>
    </row>
    <row r="43" spans="1:15">
      <c r="A43" s="6">
        <v>41527</v>
      </c>
      <c r="B43" s="7" t="s">
        <v>30</v>
      </c>
      <c r="C43">
        <v>21</v>
      </c>
      <c r="D43" t="s">
        <v>23</v>
      </c>
      <c r="F43">
        <v>1.75</v>
      </c>
      <c r="J43">
        <f>268+311+325</f>
        <v>904</v>
      </c>
      <c r="K43">
        <v>3</v>
      </c>
      <c r="L43">
        <v>325</v>
      </c>
      <c r="N43" t="str">
        <f t="shared" si="1"/>
        <v>NA</v>
      </c>
      <c r="O43">
        <f>IF(AND(OR(D43="S. acutus",D43="S. californicus",D43="S. tabernaemontani"),G43=0),E43*[1]Sheet1!$D$7+[1]Sheet1!$L$7,IF(AND(OR(D43="S. acutus",D43="S. tabernaemontani"),G43&gt;0),E43*[1]Sheet1!$D$8+N43*[1]Sheet1!$E$8,IF(AND(D43="S. californicus",G43&gt;0),E43*[1]Sheet1!$D$9+N43*[1]Sheet1!$E$9,IF(D43="S. maritimus",F43*[1]Sheet1!$C$10+E43*[1]Sheet1!$D$10+G43*[1]Sheet1!$F$10+[1]Sheet1!$L$10,IF(D43="S. americanus",F43*[1]Sheet1!$C$6+E43*[1]Sheet1!$D$6+[1]Sheet1!$L$6,IF(AND(OR(D43="T. domingensis",D43="T. latifolia"),E43&gt;0),F43*[1]Sheet1!$C$4+E43*[1]Sheet1!$D$4+H43*[1]Sheet1!$J$4+I43*[1]Sheet1!$K$4+[1]Sheet1!$L$4,IF(AND(OR(D43="T. domingensis",D43="T. latifolia"),J43&gt;0),J43*[1]Sheet1!$G$5+K43*[1]Sheet1!$H$5+L43*[1]Sheet1!$I$5+[1]Sheet1!$L$5,0)))))))</f>
        <v>-1.18018</v>
      </c>
    </row>
    <row r="44" spans="1:15">
      <c r="A44" s="6">
        <v>41527</v>
      </c>
      <c r="B44" s="7" t="s">
        <v>30</v>
      </c>
      <c r="C44">
        <v>21</v>
      </c>
      <c r="D44" t="s">
        <v>23</v>
      </c>
      <c r="E44">
        <v>278</v>
      </c>
      <c r="F44">
        <v>1.04</v>
      </c>
      <c r="H44">
        <v>25</v>
      </c>
      <c r="I44">
        <v>2.5</v>
      </c>
      <c r="N44" t="str">
        <f t="shared" si="1"/>
        <v>NA</v>
      </c>
      <c r="O44">
        <f>IF(AND(OR(D44="S. acutus",D44="S. californicus",D44="S. tabernaemontani"),G44=0),E44*[1]Sheet1!$D$7+[1]Sheet1!$L$7,IF(AND(OR(D44="S. acutus",D44="S. tabernaemontani"),G44&gt;0),E44*[1]Sheet1!$D$8+N44*[1]Sheet1!$E$8,IF(AND(D44="S. californicus",G44&gt;0),E44*[1]Sheet1!$D$9+N44*[1]Sheet1!$E$9,IF(D44="S. maritimus",F44*[1]Sheet1!$C$10+E44*[1]Sheet1!$D$10+G44*[1]Sheet1!$F$10+[1]Sheet1!$L$10,IF(D44="S. americanus",F44*[1]Sheet1!$C$6+E44*[1]Sheet1!$D$6+[1]Sheet1!$L$6,IF(AND(OR(D44="T. domingensis",D44="T. latifolia"),E44&gt;0),F44*[1]Sheet1!$C$4+E44*[1]Sheet1!$D$4+H44*[1]Sheet1!$J$4+I44*[1]Sheet1!$K$4+[1]Sheet1!$L$4,IF(AND(OR(D44="T. domingensis",D44="T. latifolia"),J44&gt;0),J44*[1]Sheet1!$G$5+K44*[1]Sheet1!$H$5+L44*[1]Sheet1!$I$5+[1]Sheet1!$L$5,0)))))))</f>
        <v>73.269430279999995</v>
      </c>
    </row>
    <row r="45" spans="1:15">
      <c r="A45" s="6">
        <v>41527</v>
      </c>
      <c r="B45" s="7" t="s">
        <v>30</v>
      </c>
      <c r="C45">
        <v>21</v>
      </c>
      <c r="D45" t="s">
        <v>23</v>
      </c>
      <c r="F45">
        <v>1.18</v>
      </c>
      <c r="J45">
        <f>182+208+213</f>
        <v>603</v>
      </c>
      <c r="K45">
        <v>3</v>
      </c>
      <c r="L45">
        <v>213</v>
      </c>
      <c r="N45" t="str">
        <f t="shared" si="1"/>
        <v>NA</v>
      </c>
      <c r="O45">
        <f>IF(AND(OR(D45="S. acutus",D45="S. californicus",D45="S. tabernaemontani"),G45=0),E45*[1]Sheet1!$D$7+[1]Sheet1!$L$7,IF(AND(OR(D45="S. acutus",D45="S. tabernaemontani"),G45&gt;0),E45*[1]Sheet1!$D$8+N45*[1]Sheet1!$E$8,IF(AND(D45="S. californicus",G45&gt;0),E45*[1]Sheet1!$D$9+N45*[1]Sheet1!$E$9,IF(D45="S. maritimus",F45*[1]Sheet1!$C$10+E45*[1]Sheet1!$D$10+G45*[1]Sheet1!$F$10+[1]Sheet1!$L$10,IF(D45="S. americanus",F45*[1]Sheet1!$C$6+E45*[1]Sheet1!$D$6+[1]Sheet1!$L$6,IF(AND(OR(D45="T. domingensis",D45="T. latifolia"),E45&gt;0),F45*[1]Sheet1!$C$4+E45*[1]Sheet1!$D$4+H45*[1]Sheet1!$J$4+I45*[1]Sheet1!$K$4+[1]Sheet1!$L$4,IF(AND(OR(D45="T. domingensis",D45="T. latifolia"),J45&gt;0),J45*[1]Sheet1!$G$5+K45*[1]Sheet1!$H$5+L45*[1]Sheet1!$I$5+[1]Sheet1!$L$5,0)))))))</f>
        <v>4.3390050000000073</v>
      </c>
    </row>
    <row r="46" spans="1:15">
      <c r="A46" s="6">
        <v>41527</v>
      </c>
      <c r="B46" s="7" t="s">
        <v>30</v>
      </c>
      <c r="C46">
        <v>21</v>
      </c>
      <c r="D46" t="s">
        <v>23</v>
      </c>
      <c r="E46">
        <v>319</v>
      </c>
      <c r="F46">
        <v>2.09</v>
      </c>
      <c r="H46">
        <v>26</v>
      </c>
      <c r="I46">
        <v>2</v>
      </c>
      <c r="N46" t="str">
        <f t="shared" si="1"/>
        <v>NA</v>
      </c>
      <c r="O46">
        <f>IF(AND(OR(D46="S. acutus",D46="S. californicus",D46="S. tabernaemontani"),G46=0),E46*[1]Sheet1!$D$7+[1]Sheet1!$L$7,IF(AND(OR(D46="S. acutus",D46="S. tabernaemontani"),G46&gt;0),E46*[1]Sheet1!$D$8+N46*[1]Sheet1!$E$8,IF(AND(D46="S. californicus",G46&gt;0),E46*[1]Sheet1!$D$9+N46*[1]Sheet1!$E$9,IF(D46="S. maritimus",F46*[1]Sheet1!$C$10+E46*[1]Sheet1!$D$10+G46*[1]Sheet1!$F$10+[1]Sheet1!$L$10,IF(D46="S. americanus",F46*[1]Sheet1!$C$6+E46*[1]Sheet1!$D$6+[1]Sheet1!$L$6,IF(AND(OR(D46="T. domingensis",D46="T. latifolia"),E46&gt;0),F46*[1]Sheet1!$C$4+E46*[1]Sheet1!$D$4+H46*[1]Sheet1!$J$4+I46*[1]Sheet1!$K$4+[1]Sheet1!$L$4,IF(AND(OR(D46="T. domingensis",D46="T. latifolia"),J46&gt;0),J46*[1]Sheet1!$G$5+K46*[1]Sheet1!$H$5+L46*[1]Sheet1!$I$5+[1]Sheet1!$L$5,0)))))))</f>
        <v>98.147268529999963</v>
      </c>
    </row>
    <row r="47" spans="1:15">
      <c r="A47" s="6">
        <v>41527</v>
      </c>
      <c r="B47" s="7" t="s">
        <v>30</v>
      </c>
      <c r="C47">
        <v>21</v>
      </c>
      <c r="D47" t="s">
        <v>23</v>
      </c>
      <c r="E47">
        <v>299</v>
      </c>
      <c r="F47">
        <v>1.8</v>
      </c>
      <c r="H47">
        <v>18</v>
      </c>
      <c r="I47">
        <v>2.5</v>
      </c>
      <c r="N47" t="str">
        <f t="shared" si="1"/>
        <v>NA</v>
      </c>
      <c r="O47">
        <f>IF(AND(OR(D47="S. acutus",D47="S. californicus",D47="S. tabernaemontani"),G47=0),E47*[1]Sheet1!$D$7+[1]Sheet1!$L$7,IF(AND(OR(D47="S. acutus",D47="S. tabernaemontani"),G47&gt;0),E47*[1]Sheet1!$D$8+N47*[1]Sheet1!$E$8,IF(AND(D47="S. californicus",G47&gt;0),E47*[1]Sheet1!$D$9+N47*[1]Sheet1!$E$9,IF(D47="S. maritimus",F47*[1]Sheet1!$C$10+E47*[1]Sheet1!$D$10+G47*[1]Sheet1!$F$10+[1]Sheet1!$L$10,IF(D47="S. americanus",F47*[1]Sheet1!$C$6+E47*[1]Sheet1!$D$6+[1]Sheet1!$L$6,IF(AND(OR(D47="T. domingensis",D47="T. latifolia"),E47&gt;0),F47*[1]Sheet1!$C$4+E47*[1]Sheet1!$D$4+H47*[1]Sheet1!$J$4+I47*[1]Sheet1!$K$4+[1]Sheet1!$L$4,IF(AND(OR(D47="T. domingensis",D47="T. latifolia"),J47&gt;0),J47*[1]Sheet1!$G$5+K47*[1]Sheet1!$H$5+L47*[1]Sheet1!$I$5+[1]Sheet1!$L$5,0)))))))</f>
        <v>87.779336000000001</v>
      </c>
    </row>
    <row r="48" spans="1:15">
      <c r="A48" s="6">
        <v>41527</v>
      </c>
      <c r="B48" s="7" t="s">
        <v>30</v>
      </c>
      <c r="C48">
        <v>21</v>
      </c>
      <c r="D48" t="s">
        <v>23</v>
      </c>
      <c r="E48">
        <v>273</v>
      </c>
      <c r="F48">
        <v>2.12</v>
      </c>
      <c r="H48">
        <v>20</v>
      </c>
      <c r="I48">
        <v>2</v>
      </c>
      <c r="N48" t="str">
        <f t="shared" si="1"/>
        <v>NA</v>
      </c>
      <c r="O48">
        <f>IF(AND(OR(D48="S. acutus",D48="S. californicus",D48="S. tabernaemontani"),G48=0),E48*[1]Sheet1!$D$7+[1]Sheet1!$L$7,IF(AND(OR(D48="S. acutus",D48="S. tabernaemontani"),G48&gt;0),E48*[1]Sheet1!$D$8+N48*[1]Sheet1!$E$8,IF(AND(D48="S. californicus",G48&gt;0),E48*[1]Sheet1!$D$9+N48*[1]Sheet1!$E$9,IF(D48="S. maritimus",F48*[1]Sheet1!$C$10+E48*[1]Sheet1!$D$10+G48*[1]Sheet1!$F$10+[1]Sheet1!$L$10,IF(D48="S. americanus",F48*[1]Sheet1!$C$6+E48*[1]Sheet1!$D$6+[1]Sheet1!$L$6,IF(AND(OR(D48="T. domingensis",D48="T. latifolia"),E48&gt;0),F48*[1]Sheet1!$C$4+E48*[1]Sheet1!$D$4+H48*[1]Sheet1!$J$4+I48*[1]Sheet1!$K$4+[1]Sheet1!$L$4,IF(AND(OR(D48="T. domingensis",D48="T. latifolia"),J48&gt;0),J48*[1]Sheet1!$G$5+K48*[1]Sheet1!$H$5+L48*[1]Sheet1!$I$5+[1]Sheet1!$L$5,0)))))))</f>
        <v>79.165152639999974</v>
      </c>
    </row>
    <row r="49" spans="1:15">
      <c r="A49" s="6">
        <v>41527</v>
      </c>
      <c r="B49" s="7" t="s">
        <v>30</v>
      </c>
      <c r="C49">
        <v>21</v>
      </c>
      <c r="D49" t="s">
        <v>19</v>
      </c>
      <c r="F49">
        <v>1.37</v>
      </c>
      <c r="J49">
        <f>211+214+233+237</f>
        <v>895</v>
      </c>
      <c r="K49">
        <v>4</v>
      </c>
      <c r="L49">
        <v>237</v>
      </c>
      <c r="N49" t="str">
        <f t="shared" si="1"/>
        <v>NA</v>
      </c>
      <c r="O49">
        <f>IF(AND(OR(D49="S. acutus",D49="S. californicus",D49="S. tabernaemontani"),G49=0),E49*[1]Sheet1!$D$7+[1]Sheet1!$L$7,IF(AND(OR(D49="S. acutus",D49="S. tabernaemontani"),G49&gt;0),E49*[1]Sheet1!$D$8+N49*[1]Sheet1!$E$8,IF(AND(D49="S. californicus",G49&gt;0),E49*[1]Sheet1!$D$9+N49*[1]Sheet1!$E$9,IF(D49="S. maritimus",F49*[1]Sheet1!$C$10+E49*[1]Sheet1!$D$10+G49*[1]Sheet1!$F$10+[1]Sheet1!$L$10,IF(D49="S. americanus",F49*[1]Sheet1!$C$6+E49*[1]Sheet1!$D$6+[1]Sheet1!$L$6,IF(AND(OR(D49="T. domingensis",D49="T. latifolia"),E49&gt;0),F49*[1]Sheet1!$C$4+E49*[1]Sheet1!$D$4+H49*[1]Sheet1!$J$4+I49*[1]Sheet1!$K$4+[1]Sheet1!$L$4,IF(AND(OR(D49="T. domingensis",D49="T. latifolia"),J49&gt;0),J49*[1]Sheet1!$G$5+K49*[1]Sheet1!$H$5+L49*[1]Sheet1!$I$5+[1]Sheet1!$L$5,0)))))))</f>
        <v>17.463231999999998</v>
      </c>
    </row>
    <row r="50" spans="1:15">
      <c r="A50" s="6">
        <v>41527</v>
      </c>
      <c r="B50" s="7" t="s">
        <v>30</v>
      </c>
      <c r="C50">
        <v>30</v>
      </c>
      <c r="D50" t="s">
        <v>23</v>
      </c>
      <c r="E50">
        <v>322</v>
      </c>
      <c r="F50">
        <v>2.5299999999999998</v>
      </c>
      <c r="H50">
        <v>26</v>
      </c>
      <c r="I50">
        <v>2.5</v>
      </c>
      <c r="N50" t="str">
        <f t="shared" si="1"/>
        <v>NA</v>
      </c>
      <c r="O50">
        <f>IF(AND(OR(D50="S. acutus",D50="S. californicus",D50="S. tabernaemontani"),G50=0),E50*[1]Sheet1!$D$7+[1]Sheet1!$L$7,IF(AND(OR(D50="S. acutus",D50="S. tabernaemontani"),G50&gt;0),E50*[1]Sheet1!$D$8+N50*[1]Sheet1!$E$8,IF(AND(D50="S. californicus",G50&gt;0),E50*[1]Sheet1!$D$9+N50*[1]Sheet1!$E$9,IF(D50="S. maritimus",F50*[1]Sheet1!$C$10+E50*[1]Sheet1!$D$10+G50*[1]Sheet1!$F$10+[1]Sheet1!$L$10,IF(D50="S. americanus",F50*[1]Sheet1!$C$6+E50*[1]Sheet1!$D$6+[1]Sheet1!$L$6,IF(AND(OR(D50="T. domingensis",D50="T. latifolia"),E50&gt;0),F50*[1]Sheet1!$C$4+E50*[1]Sheet1!$D$4+H50*[1]Sheet1!$J$4+I50*[1]Sheet1!$K$4+[1]Sheet1!$L$4,IF(AND(OR(D50="T. domingensis",D50="T. latifolia"),J50&gt;0),J50*[1]Sheet1!$G$5+K50*[1]Sheet1!$H$5+L50*[1]Sheet1!$I$5+[1]Sheet1!$L$5,0)))))))</f>
        <v>116.27245260999999</v>
      </c>
    </row>
    <row r="51" spans="1:15">
      <c r="A51" s="6">
        <v>41527</v>
      </c>
      <c r="B51" s="7" t="s">
        <v>30</v>
      </c>
      <c r="C51">
        <v>30</v>
      </c>
      <c r="D51" t="s">
        <v>23</v>
      </c>
      <c r="F51">
        <v>1.64</v>
      </c>
      <c r="J51">
        <f>269+315+325+337</f>
        <v>1246</v>
      </c>
      <c r="K51">
        <v>4</v>
      </c>
      <c r="L51">
        <v>337</v>
      </c>
      <c r="N51" t="str">
        <f t="shared" si="1"/>
        <v>NA</v>
      </c>
      <c r="O51">
        <f>IF(AND(OR(D51="S. acutus",D51="S. californicus",D51="S. tabernaemontani"),G51=0),E51*[1]Sheet1!$D$7+[1]Sheet1!$L$7,IF(AND(OR(D51="S. acutus",D51="S. tabernaemontani"),G51&gt;0),E51*[1]Sheet1!$D$8+N51*[1]Sheet1!$E$8,IF(AND(D51="S. californicus",G51&gt;0),E51*[1]Sheet1!$D$9+N51*[1]Sheet1!$E$9,IF(D51="S. maritimus",F51*[1]Sheet1!$C$10+E51*[1]Sheet1!$D$10+G51*[1]Sheet1!$F$10+[1]Sheet1!$L$10,IF(D51="S. americanus",F51*[1]Sheet1!$C$6+E51*[1]Sheet1!$D$6+[1]Sheet1!$L$6,IF(AND(OR(D51="T. domingensis",D51="T. latifolia"),E51&gt;0),F51*[1]Sheet1!$C$4+E51*[1]Sheet1!$D$4+H51*[1]Sheet1!$J$4+I51*[1]Sheet1!$K$4+[1]Sheet1!$L$4,IF(AND(OR(D51="T. domingensis",D51="T. latifolia"),J51&gt;0),J51*[1]Sheet1!$G$5+K51*[1]Sheet1!$H$5+L51*[1]Sheet1!$I$5+[1]Sheet1!$L$5,0)))))))</f>
        <v>20.246737000000003</v>
      </c>
    </row>
    <row r="52" spans="1:15">
      <c r="A52" s="6">
        <v>41527</v>
      </c>
      <c r="B52" s="7" t="s">
        <v>30</v>
      </c>
      <c r="C52">
        <v>30</v>
      </c>
      <c r="D52" t="s">
        <v>23</v>
      </c>
      <c r="F52">
        <v>1.82</v>
      </c>
      <c r="J52">
        <f>285+313+367</f>
        <v>965</v>
      </c>
      <c r="K52">
        <v>3</v>
      </c>
      <c r="L52">
        <v>367</v>
      </c>
      <c r="N52" t="str">
        <f t="shared" si="1"/>
        <v>NA</v>
      </c>
      <c r="O52">
        <f>IF(AND(OR(D52="S. acutus",D52="S. californicus",D52="S. tabernaemontani"),G52=0),E52*[1]Sheet1!$D$7+[1]Sheet1!$L$7,IF(AND(OR(D52="S. acutus",D52="S. tabernaemontani"),G52&gt;0),E52*[1]Sheet1!$D$8+N52*[1]Sheet1!$E$8,IF(AND(D52="S. californicus",G52&gt;0),E52*[1]Sheet1!$D$9+N52*[1]Sheet1!$E$9,IF(D52="S. maritimus",F52*[1]Sheet1!$C$10+E52*[1]Sheet1!$D$10+G52*[1]Sheet1!$F$10+[1]Sheet1!$L$10,IF(D52="S. americanus",F52*[1]Sheet1!$C$6+E52*[1]Sheet1!$D$6+[1]Sheet1!$L$6,IF(AND(OR(D52="T. domingensis",D52="T. latifolia"),E52&gt;0),F52*[1]Sheet1!$C$4+E52*[1]Sheet1!$D$4+H52*[1]Sheet1!$J$4+I52*[1]Sheet1!$K$4+[1]Sheet1!$L$4,IF(AND(OR(D52="T. domingensis",D52="T. latifolia"),J52&gt;0),J52*[1]Sheet1!$G$5+K52*[1]Sheet1!$H$5+L52*[1]Sheet1!$I$5+[1]Sheet1!$L$5,0)))))))</f>
        <v>-8.1134149999999821</v>
      </c>
    </row>
    <row r="53" spans="1:15">
      <c r="A53" s="6">
        <v>41527</v>
      </c>
      <c r="B53" s="7" t="s">
        <v>30</v>
      </c>
      <c r="C53">
        <v>30</v>
      </c>
      <c r="D53" t="s">
        <v>23</v>
      </c>
      <c r="F53">
        <v>1.5</v>
      </c>
      <c r="J53">
        <f>282+341+371+383</f>
        <v>1377</v>
      </c>
      <c r="K53">
        <v>4</v>
      </c>
      <c r="L53">
        <v>383</v>
      </c>
      <c r="N53" t="str">
        <f t="shared" si="1"/>
        <v>NA</v>
      </c>
      <c r="O53">
        <f>IF(AND(OR(D53="S. acutus",D53="S. californicus",D53="S. tabernaemontani"),G53=0),E53*[1]Sheet1!$D$7+[1]Sheet1!$L$7,IF(AND(OR(D53="S. acutus",D53="S. tabernaemontani"),G53&gt;0),E53*[1]Sheet1!$D$8+N53*[1]Sheet1!$E$8,IF(AND(D53="S. californicus",G53&gt;0),E53*[1]Sheet1!$D$9+N53*[1]Sheet1!$E$9,IF(D53="S. maritimus",F53*[1]Sheet1!$C$10+E53*[1]Sheet1!$D$10+G53*[1]Sheet1!$F$10+[1]Sheet1!$L$10,IF(D53="S. americanus",F53*[1]Sheet1!$C$6+E53*[1]Sheet1!$D$6+[1]Sheet1!$L$6,IF(AND(OR(D53="T. domingensis",D53="T. latifolia"),E53&gt;0),F53*[1]Sheet1!$C$4+E53*[1]Sheet1!$D$4+H53*[1]Sheet1!$J$4+I53*[1]Sheet1!$K$4+[1]Sheet1!$L$4,IF(AND(OR(D53="T. domingensis",D53="T. latifolia"),J53&gt;0),J53*[1]Sheet1!$G$5+K53*[1]Sheet1!$H$5+L53*[1]Sheet1!$I$5+[1]Sheet1!$L$5,0)))))))</f>
        <v>18.671372000000012</v>
      </c>
    </row>
    <row r="54" spans="1:15">
      <c r="A54" s="6">
        <v>41527</v>
      </c>
      <c r="B54" s="7" t="s">
        <v>30</v>
      </c>
      <c r="C54">
        <v>30</v>
      </c>
      <c r="D54" t="s">
        <v>23</v>
      </c>
      <c r="E54">
        <v>346</v>
      </c>
      <c r="F54">
        <v>2.68</v>
      </c>
      <c r="H54">
        <v>29</v>
      </c>
      <c r="I54">
        <v>2.75</v>
      </c>
      <c r="N54" t="str">
        <f t="shared" si="1"/>
        <v>NA</v>
      </c>
      <c r="O54">
        <f>IF(AND(OR(D54="S. acutus",D54="S. californicus",D54="S. tabernaemontani"),G54=0),E54*[1]Sheet1!$D$7+[1]Sheet1!$L$7,IF(AND(OR(D54="S. acutus",D54="S. tabernaemontani"),G54&gt;0),E54*[1]Sheet1!$D$8+N54*[1]Sheet1!$E$8,IF(AND(D54="S. californicus",G54&gt;0),E54*[1]Sheet1!$D$9+N54*[1]Sheet1!$E$9,IF(D54="S. maritimus",F54*[1]Sheet1!$C$10+E54*[1]Sheet1!$D$10+G54*[1]Sheet1!$F$10+[1]Sheet1!$L$10,IF(D54="S. americanus",F54*[1]Sheet1!$C$6+E54*[1]Sheet1!$D$6+[1]Sheet1!$L$6,IF(AND(OR(D54="T. domingensis",D54="T. latifolia"),E54&gt;0),F54*[1]Sheet1!$C$4+E54*[1]Sheet1!$D$4+H54*[1]Sheet1!$J$4+I54*[1]Sheet1!$K$4+[1]Sheet1!$L$4,IF(AND(OR(D54="T. domingensis",D54="T. latifolia"),J54&gt;0),J54*[1]Sheet1!$G$5+K54*[1]Sheet1!$H$5+L54*[1]Sheet1!$I$5+[1]Sheet1!$L$5,0)))))))</f>
        <v>133.61469455999998</v>
      </c>
    </row>
    <row r="55" spans="1:15">
      <c r="A55" s="6">
        <v>41527</v>
      </c>
      <c r="B55" s="7" t="s">
        <v>30</v>
      </c>
      <c r="C55">
        <v>30</v>
      </c>
      <c r="D55" t="s">
        <v>23</v>
      </c>
      <c r="F55">
        <v>1.1599999999999999</v>
      </c>
      <c r="J55">
        <f>255+310+335</f>
        <v>900</v>
      </c>
      <c r="K55">
        <v>3</v>
      </c>
      <c r="L55">
        <v>335</v>
      </c>
      <c r="N55" t="str">
        <f t="shared" si="1"/>
        <v>NA</v>
      </c>
      <c r="O55">
        <f>IF(AND(OR(D55="S. acutus",D55="S. californicus",D55="S. tabernaemontani"),G55=0),E55*[1]Sheet1!$D$7+[1]Sheet1!$L$7,IF(AND(OR(D55="S. acutus",D55="S. tabernaemontani"),G55&gt;0),E55*[1]Sheet1!$D$8+N55*[1]Sheet1!$E$8,IF(AND(D55="S. californicus",G55&gt;0),E55*[1]Sheet1!$D$9+N55*[1]Sheet1!$E$9,IF(D55="S. maritimus",F55*[1]Sheet1!$C$10+E55*[1]Sheet1!$D$10+G55*[1]Sheet1!$F$10+[1]Sheet1!$L$10,IF(D55="S. americanus",F55*[1]Sheet1!$C$6+E55*[1]Sheet1!$D$6+[1]Sheet1!$L$6,IF(AND(OR(D55="T. domingensis",D55="T. latifolia"),E55&gt;0),F55*[1]Sheet1!$C$4+E55*[1]Sheet1!$D$4+H55*[1]Sheet1!$J$4+I55*[1]Sheet1!$K$4+[1]Sheet1!$L$4,IF(AND(OR(D55="T. domingensis",D55="T. latifolia"),J55&gt;0),J55*[1]Sheet1!$G$5+K55*[1]Sheet1!$H$5+L55*[1]Sheet1!$I$5+[1]Sheet1!$L$5,0)))))))</f>
        <v>-4.5676499999999933</v>
      </c>
    </row>
    <row r="56" spans="1:15">
      <c r="A56" s="6">
        <v>41527</v>
      </c>
      <c r="B56" s="7" t="s">
        <v>30</v>
      </c>
      <c r="C56">
        <v>30</v>
      </c>
      <c r="D56" t="s">
        <v>23</v>
      </c>
      <c r="F56">
        <v>2.06</v>
      </c>
      <c r="J56">
        <f>257+318+350+363+364</f>
        <v>1652</v>
      </c>
      <c r="K56">
        <v>5</v>
      </c>
      <c r="L56">
        <v>364</v>
      </c>
      <c r="N56" t="str">
        <f t="shared" si="1"/>
        <v>NA</v>
      </c>
      <c r="O56">
        <f>IF(AND(OR(D56="S. acutus",D56="S. californicus",D56="S. tabernaemontani"),G56=0),E56*[1]Sheet1!$D$7+[1]Sheet1!$L$7,IF(AND(OR(D56="S. acutus",D56="S. tabernaemontani"),G56&gt;0),E56*[1]Sheet1!$D$8+N56*[1]Sheet1!$E$8,IF(AND(D56="S. californicus",G56&gt;0),E56*[1]Sheet1!$D$9+N56*[1]Sheet1!$E$9,IF(D56="S. maritimus",F56*[1]Sheet1!$C$10+E56*[1]Sheet1!$D$10+G56*[1]Sheet1!$F$10+[1]Sheet1!$L$10,IF(D56="S. americanus",F56*[1]Sheet1!$C$6+E56*[1]Sheet1!$D$6+[1]Sheet1!$L$6,IF(AND(OR(D56="T. domingensis",D56="T. latifolia"),E56&gt;0),F56*[1]Sheet1!$C$4+E56*[1]Sheet1!$D$4+H56*[1]Sheet1!$J$4+I56*[1]Sheet1!$K$4+[1]Sheet1!$L$4,IF(AND(OR(D56="T. domingensis",D56="T. latifolia"),J56&gt;0),J56*[1]Sheet1!$G$5+K56*[1]Sheet1!$H$5+L56*[1]Sheet1!$I$5+[1]Sheet1!$L$5,0)))))))</f>
        <v>43.155299000000021</v>
      </c>
    </row>
    <row r="57" spans="1:15">
      <c r="A57" s="6">
        <v>41527</v>
      </c>
      <c r="B57" s="7" t="s">
        <v>30</v>
      </c>
      <c r="C57">
        <v>30</v>
      </c>
      <c r="D57" t="s">
        <v>23</v>
      </c>
      <c r="E57">
        <v>361</v>
      </c>
      <c r="F57">
        <v>2.95</v>
      </c>
      <c r="H57">
        <v>26.5</v>
      </c>
      <c r="I57">
        <v>2.5</v>
      </c>
      <c r="N57" t="str">
        <f t="shared" si="1"/>
        <v>NA</v>
      </c>
      <c r="O57">
        <f>IF(AND(OR(D57="S. acutus",D57="S. californicus",D57="S. tabernaemontani"),G57=0),E57*[1]Sheet1!$D$7+[1]Sheet1!$L$7,IF(AND(OR(D57="S. acutus",D57="S. tabernaemontani"),G57&gt;0),E57*[1]Sheet1!$D$8+N57*[1]Sheet1!$E$8,IF(AND(D57="S. californicus",G57&gt;0),E57*[1]Sheet1!$D$9+N57*[1]Sheet1!$E$9,IF(D57="S. maritimus",F57*[1]Sheet1!$C$10+E57*[1]Sheet1!$D$10+G57*[1]Sheet1!$F$10+[1]Sheet1!$L$10,IF(D57="S. americanus",F57*[1]Sheet1!$C$6+E57*[1]Sheet1!$D$6+[1]Sheet1!$L$6,IF(AND(OR(D57="T. domingensis",D57="T. latifolia"),E57&gt;0),F57*[1]Sheet1!$C$4+E57*[1]Sheet1!$D$4+H57*[1]Sheet1!$J$4+I57*[1]Sheet1!$K$4+[1]Sheet1!$L$4,IF(AND(OR(D57="T. domingensis",D57="T. latifolia"),J57&gt;0),J57*[1]Sheet1!$G$5+K57*[1]Sheet1!$H$5+L57*[1]Sheet1!$I$5+[1]Sheet1!$L$5,0)))))))</f>
        <v>136.67951464999999</v>
      </c>
    </row>
    <row r="58" spans="1:15">
      <c r="A58" s="6">
        <v>41527</v>
      </c>
      <c r="B58" s="7" t="s">
        <v>30</v>
      </c>
      <c r="C58">
        <v>30</v>
      </c>
      <c r="D58" t="s">
        <v>19</v>
      </c>
      <c r="F58">
        <v>4.8600000000000003</v>
      </c>
      <c r="J58">
        <f>266+244+263+296+284</f>
        <v>1353</v>
      </c>
      <c r="K58">
        <v>5</v>
      </c>
      <c r="L58">
        <v>296</v>
      </c>
      <c r="N58" t="str">
        <f t="shared" si="1"/>
        <v>NA</v>
      </c>
      <c r="O58">
        <f>IF(AND(OR(D58="S. acutus",D58="S. californicus",D58="S. tabernaemontani"),G58=0),E58*[1]Sheet1!$D$7+[1]Sheet1!$L$7,IF(AND(OR(D58="S. acutus",D58="S. tabernaemontani"),G58&gt;0),E58*[1]Sheet1!$D$8+N58*[1]Sheet1!$E$8,IF(AND(D58="S. californicus",G58&gt;0),E58*[1]Sheet1!$D$9+N58*[1]Sheet1!$E$9,IF(D58="S. maritimus",F58*[1]Sheet1!$C$10+E58*[1]Sheet1!$D$10+G58*[1]Sheet1!$F$10+[1]Sheet1!$L$10,IF(D58="S. americanus",F58*[1]Sheet1!$C$6+E58*[1]Sheet1!$D$6+[1]Sheet1!$L$6,IF(AND(OR(D58="T. domingensis",D58="T. latifolia"),E58&gt;0),F58*[1]Sheet1!$C$4+E58*[1]Sheet1!$D$4+H58*[1]Sheet1!$J$4+I58*[1]Sheet1!$K$4+[1]Sheet1!$L$4,IF(AND(OR(D58="T. domingensis",D58="T. latifolia"),J58&gt;0),J58*[1]Sheet1!$G$5+K58*[1]Sheet1!$H$5+L58*[1]Sheet1!$I$5+[1]Sheet1!$L$5,0)))))))</f>
        <v>35.607214000000006</v>
      </c>
    </row>
    <row r="59" spans="1:15">
      <c r="A59" s="6">
        <v>41527</v>
      </c>
      <c r="B59" s="7" t="s">
        <v>30</v>
      </c>
      <c r="C59">
        <v>30</v>
      </c>
      <c r="D59" t="s">
        <v>19</v>
      </c>
      <c r="F59">
        <v>4.6500000000000004</v>
      </c>
      <c r="J59">
        <f>233+236+254+289+387+355+390</f>
        <v>2144</v>
      </c>
      <c r="K59">
        <v>7</v>
      </c>
      <c r="L59">
        <v>390</v>
      </c>
      <c r="N59" t="str">
        <f t="shared" si="1"/>
        <v>NA</v>
      </c>
      <c r="O59">
        <f>IF(AND(OR(D59="S. acutus",D59="S. californicus",D59="S. tabernaemontani"),G59=0),E59*[1]Sheet1!$D$7+[1]Sheet1!$L$7,IF(AND(OR(D59="S. acutus",D59="S. tabernaemontani"),G59&gt;0),E59*[1]Sheet1!$D$8+N59*[1]Sheet1!$E$8,IF(AND(D59="S. californicus",G59&gt;0),E59*[1]Sheet1!$D$9+N59*[1]Sheet1!$E$9,IF(D59="S. maritimus",F59*[1]Sheet1!$C$10+E59*[1]Sheet1!$D$10+G59*[1]Sheet1!$F$10+[1]Sheet1!$L$10,IF(D59="S. americanus",F59*[1]Sheet1!$C$6+E59*[1]Sheet1!$D$6+[1]Sheet1!$L$6,IF(AND(OR(D59="T. domingensis",D59="T. latifolia"),E59&gt;0),F59*[1]Sheet1!$C$4+E59*[1]Sheet1!$D$4+H59*[1]Sheet1!$J$4+I59*[1]Sheet1!$K$4+[1]Sheet1!$L$4,IF(AND(OR(D59="T. domingensis",D59="T. latifolia"),J59&gt;0),J59*[1]Sheet1!$G$5+K59*[1]Sheet1!$H$5+L59*[1]Sheet1!$I$5+[1]Sheet1!$L$5,0)))))))</f>
        <v>67.405683000000039</v>
      </c>
    </row>
    <row r="60" spans="1:15">
      <c r="A60" s="6">
        <v>41527</v>
      </c>
      <c r="B60" s="7" t="s">
        <v>30</v>
      </c>
      <c r="C60">
        <v>30</v>
      </c>
      <c r="D60" t="s">
        <v>19</v>
      </c>
      <c r="F60">
        <v>3.58</v>
      </c>
      <c r="J60">
        <f>252+284+327+359+380+343</f>
        <v>1945</v>
      </c>
      <c r="K60">
        <v>6</v>
      </c>
      <c r="L60">
        <v>380</v>
      </c>
      <c r="N60" t="str">
        <f t="shared" si="1"/>
        <v>NA</v>
      </c>
      <c r="O60">
        <f>IF(AND(OR(D60="S. acutus",D60="S. californicus",D60="S. tabernaemontani"),G60=0),E60*[1]Sheet1!$D$7+[1]Sheet1!$L$7,IF(AND(OR(D60="S. acutus",D60="S. tabernaemontani"),G60&gt;0),E60*[1]Sheet1!$D$8+N60*[1]Sheet1!$E$8,IF(AND(D60="S. californicus",G60&gt;0),E60*[1]Sheet1!$D$9+N60*[1]Sheet1!$E$9,IF(D60="S. maritimus",F60*[1]Sheet1!$C$10+E60*[1]Sheet1!$D$10+G60*[1]Sheet1!$F$10+[1]Sheet1!$L$10,IF(D60="S. americanus",F60*[1]Sheet1!$C$6+E60*[1]Sheet1!$D$6+[1]Sheet1!$L$6,IF(AND(OR(D60="T. domingensis",D60="T. latifolia"),E60&gt;0),F60*[1]Sheet1!$C$4+E60*[1]Sheet1!$D$4+H60*[1]Sheet1!$J$4+I60*[1]Sheet1!$K$4+[1]Sheet1!$L$4,IF(AND(OR(D60="T. domingensis",D60="T. latifolia"),J60&gt;0),J60*[1]Sheet1!$G$5+K60*[1]Sheet1!$H$5+L60*[1]Sheet1!$I$5+[1]Sheet1!$L$5,0)))))))</f>
        <v>58.783241000000011</v>
      </c>
    </row>
    <row r="61" spans="1:15">
      <c r="A61" s="6">
        <v>41527</v>
      </c>
      <c r="B61" s="7" t="s">
        <v>30</v>
      </c>
      <c r="C61">
        <v>38</v>
      </c>
      <c r="D61" t="s">
        <v>19</v>
      </c>
      <c r="F61">
        <v>2.4900000000000002</v>
      </c>
      <c r="J61">
        <f>67+68+117+117+137</f>
        <v>506</v>
      </c>
      <c r="K61">
        <v>5</v>
      </c>
      <c r="L61">
        <v>137</v>
      </c>
      <c r="N61" t="str">
        <f t="shared" si="1"/>
        <v>NA</v>
      </c>
      <c r="O61">
        <f>IF(AND(OR(D61="S. acutus",D61="S. californicus",D61="S. tabernaemontani"),G61=0),E61*[1]Sheet1!$D$7+[1]Sheet1!$L$7,IF(AND(OR(D61="S. acutus",D61="S. tabernaemontani"),G61&gt;0),E61*[1]Sheet1!$D$8+N61*[1]Sheet1!$E$8,IF(AND(D61="S. californicus",G61&gt;0),E61*[1]Sheet1!$D$9+N61*[1]Sheet1!$E$9,IF(D61="S. maritimus",F61*[1]Sheet1!$C$10+E61*[1]Sheet1!$D$10+G61*[1]Sheet1!$F$10+[1]Sheet1!$L$10,IF(D61="S. americanus",F61*[1]Sheet1!$C$6+E61*[1]Sheet1!$D$6+[1]Sheet1!$L$6,IF(AND(OR(D61="T. domingensis",D61="T. latifolia"),E61&gt;0),F61*[1]Sheet1!$C$4+E61*[1]Sheet1!$D$4+H61*[1]Sheet1!$J$4+I61*[1]Sheet1!$K$4+[1]Sheet1!$L$4,IF(AND(OR(D61="T. domingensis",D61="T. latifolia"),J61&gt;0),J61*[1]Sheet1!$G$5+K61*[1]Sheet1!$H$5+L61*[1]Sheet1!$I$5+[1]Sheet1!$L$5,0)))))))</f>
        <v>4.0946840000000009</v>
      </c>
    </row>
    <row r="62" spans="1:15">
      <c r="A62" s="6">
        <v>41527</v>
      </c>
      <c r="B62" s="7" t="s">
        <v>30</v>
      </c>
      <c r="C62">
        <v>38</v>
      </c>
      <c r="D62" t="s">
        <v>19</v>
      </c>
      <c r="F62">
        <v>2.2400000000000002</v>
      </c>
      <c r="J62">
        <f>80+84+113+119+141+159</f>
        <v>696</v>
      </c>
      <c r="K62">
        <v>6</v>
      </c>
      <c r="L62">
        <v>159</v>
      </c>
      <c r="N62" t="str">
        <f t="shared" si="1"/>
        <v>NA</v>
      </c>
      <c r="O62">
        <f>IF(AND(OR(D62="S. acutus",D62="S. californicus",D62="S. tabernaemontani"),G62=0),E62*[1]Sheet1!$D$7+[1]Sheet1!$L$7,IF(AND(OR(D62="S. acutus",D62="S. tabernaemontani"),G62&gt;0),E62*[1]Sheet1!$D$8+N62*[1]Sheet1!$E$8,IF(AND(D62="S. californicus",G62&gt;0),E62*[1]Sheet1!$D$9+N62*[1]Sheet1!$E$9,IF(D62="S. maritimus",F62*[1]Sheet1!$C$10+E62*[1]Sheet1!$D$10+G62*[1]Sheet1!$F$10+[1]Sheet1!$L$10,IF(D62="S. americanus",F62*[1]Sheet1!$C$6+E62*[1]Sheet1!$D$6+[1]Sheet1!$L$6,IF(AND(OR(D62="T. domingensis",D62="T. latifolia"),E62&gt;0),F62*[1]Sheet1!$C$4+E62*[1]Sheet1!$D$4+H62*[1]Sheet1!$J$4+I62*[1]Sheet1!$K$4+[1]Sheet1!$L$4,IF(AND(OR(D62="T. domingensis",D62="T. latifolia"),J62&gt;0),J62*[1]Sheet1!$G$5+K62*[1]Sheet1!$H$5+L62*[1]Sheet1!$I$5+[1]Sheet1!$L$5,0)))))))</f>
        <v>8.2583910000000103</v>
      </c>
    </row>
    <row r="63" spans="1:15">
      <c r="A63" s="6">
        <v>41527</v>
      </c>
      <c r="B63" s="7" t="s">
        <v>30</v>
      </c>
      <c r="C63">
        <v>38</v>
      </c>
      <c r="D63" t="s">
        <v>19</v>
      </c>
      <c r="F63">
        <v>1.52</v>
      </c>
      <c r="J63">
        <f>59+106+115+136</f>
        <v>416</v>
      </c>
      <c r="K63">
        <v>4</v>
      </c>
      <c r="L63">
        <v>136</v>
      </c>
      <c r="N63" t="str">
        <f t="shared" si="1"/>
        <v>NA</v>
      </c>
      <c r="O63">
        <f>IF(AND(OR(D63="S. acutus",D63="S. californicus",D63="S. tabernaemontani"),G63=0),E63*[1]Sheet1!$D$7+[1]Sheet1!$L$7,IF(AND(OR(D63="S. acutus",D63="S. tabernaemontani"),G63&gt;0),E63*[1]Sheet1!$D$8+N63*[1]Sheet1!$E$8,IF(AND(D63="S. californicus",G63&gt;0),E63*[1]Sheet1!$D$9+N63*[1]Sheet1!$E$9,IF(D63="S. maritimus",F63*[1]Sheet1!$C$10+E63*[1]Sheet1!$D$10+G63*[1]Sheet1!$F$10+[1]Sheet1!$L$10,IF(D63="S. americanus",F63*[1]Sheet1!$C$6+E63*[1]Sheet1!$D$6+[1]Sheet1!$L$6,IF(AND(OR(D63="T. domingensis",D63="T. latifolia"),E63&gt;0),F63*[1]Sheet1!$C$4+E63*[1]Sheet1!$D$4+H63*[1]Sheet1!$J$4+I63*[1]Sheet1!$K$4+[1]Sheet1!$L$4,IF(AND(OR(D63="T. domingensis",D63="T. latifolia"),J63&gt;0),J63*[1]Sheet1!$G$5+K63*[1]Sheet1!$H$5+L63*[1]Sheet1!$I$5+[1]Sheet1!$L$5,0)))))))</f>
        <v>2.9803320000000006</v>
      </c>
    </row>
    <row r="64" spans="1:15">
      <c r="A64" s="6">
        <v>41527</v>
      </c>
      <c r="B64" s="7" t="s">
        <v>30</v>
      </c>
      <c r="C64">
        <v>38</v>
      </c>
      <c r="D64" t="s">
        <v>19</v>
      </c>
      <c r="F64">
        <v>0.62</v>
      </c>
      <c r="J64">
        <f>31+44+52</f>
        <v>127</v>
      </c>
      <c r="K64">
        <v>3</v>
      </c>
      <c r="L64">
        <v>52</v>
      </c>
      <c r="N64" t="str">
        <f t="shared" si="1"/>
        <v>NA</v>
      </c>
      <c r="O64">
        <f>IF(AND(OR(D64="S. acutus",D64="S. californicus",D64="S. tabernaemontani"),G64=0),E64*[1]Sheet1!$D$7+[1]Sheet1!$L$7,IF(AND(OR(D64="S. acutus",D64="S. tabernaemontani"),G64&gt;0),E64*[1]Sheet1!$D$8+N64*[1]Sheet1!$E$8,IF(AND(D64="S. californicus",G64&gt;0),E64*[1]Sheet1!$D$9+N64*[1]Sheet1!$E$9,IF(D64="S. maritimus",F64*[1]Sheet1!$C$10+E64*[1]Sheet1!$D$10+G64*[1]Sheet1!$F$10+[1]Sheet1!$L$10,IF(D64="S. americanus",F64*[1]Sheet1!$C$6+E64*[1]Sheet1!$D$6+[1]Sheet1!$L$6,IF(AND(OR(D64="T. domingensis",D64="T. latifolia"),E64&gt;0),F64*[1]Sheet1!$C$4+E64*[1]Sheet1!$D$4+H64*[1]Sheet1!$J$4+I64*[1]Sheet1!$K$4+[1]Sheet1!$L$4,IF(AND(OR(D64="T. domingensis",D64="T. latifolia"),J64&gt;0),J64*[1]Sheet1!$G$5+K64*[1]Sheet1!$H$5+L64*[1]Sheet1!$I$5+[1]Sheet1!$L$5,0)))))))</f>
        <v>8.2120699999999971</v>
      </c>
    </row>
    <row r="65" spans="1:15">
      <c r="A65" s="6">
        <v>41527</v>
      </c>
      <c r="B65" s="7" t="s">
        <v>30</v>
      </c>
      <c r="C65">
        <v>42</v>
      </c>
      <c r="D65" t="s">
        <v>19</v>
      </c>
      <c r="F65">
        <v>7.05</v>
      </c>
      <c r="J65">
        <f>74+113+156+161+212+265+224+298+312</f>
        <v>1815</v>
      </c>
      <c r="K65">
        <v>9</v>
      </c>
      <c r="L65">
        <v>312</v>
      </c>
      <c r="N65" t="str">
        <f t="shared" si="1"/>
        <v>NA</v>
      </c>
      <c r="O65">
        <f>IF(AND(OR(D65="S. acutus",D65="S. californicus",D65="S. tabernaemontani"),G65=0),E65*[1]Sheet1!$D$7+[1]Sheet1!$L$7,IF(AND(OR(D65="S. acutus",D65="S. tabernaemontani"),G65&gt;0),E65*[1]Sheet1!$D$8+N65*[1]Sheet1!$E$8,IF(AND(D65="S. californicus",G65&gt;0),E65*[1]Sheet1!$D$9+N65*[1]Sheet1!$E$9,IF(D65="S. maritimus",F65*[1]Sheet1!$C$10+E65*[1]Sheet1!$D$10+G65*[1]Sheet1!$F$10+[1]Sheet1!$L$10,IF(D65="S. americanus",F65*[1]Sheet1!$C$6+E65*[1]Sheet1!$D$6+[1]Sheet1!$L$6,IF(AND(OR(D65="T. domingensis",D65="T. latifolia"),E65&gt;0),F65*[1]Sheet1!$C$4+E65*[1]Sheet1!$D$4+H65*[1]Sheet1!$J$4+I65*[1]Sheet1!$K$4+[1]Sheet1!$L$4,IF(AND(OR(D65="T. domingensis",D65="T. latifolia"),J65&gt;0),J65*[1]Sheet1!$G$5+K65*[1]Sheet1!$H$5+L65*[1]Sheet1!$I$5+[1]Sheet1!$L$5,0)))))))</f>
        <v>46.012691999999994</v>
      </c>
    </row>
    <row r="66" spans="1:15">
      <c r="A66" s="6">
        <v>41527</v>
      </c>
      <c r="B66" s="7" t="s">
        <v>30</v>
      </c>
      <c r="C66">
        <v>42</v>
      </c>
      <c r="D66" t="s">
        <v>19</v>
      </c>
      <c r="F66">
        <v>1.51</v>
      </c>
      <c r="J66">
        <f>75+180+113+128+162+164</f>
        <v>822</v>
      </c>
      <c r="K66">
        <v>6</v>
      </c>
      <c r="L66">
        <v>164</v>
      </c>
      <c r="N66" t="str">
        <f t="shared" si="1"/>
        <v>NA</v>
      </c>
      <c r="O66">
        <f>IF(AND(OR(D66="S. acutus",D66="S. californicus",D66="S. tabernaemontani"),G66=0),E66*[1]Sheet1!$D$7+[1]Sheet1!$L$7,IF(AND(OR(D66="S. acutus",D66="S. tabernaemontani"),G66&gt;0),E66*[1]Sheet1!$D$8+N66*[1]Sheet1!$E$8,IF(AND(D66="S. californicus",G66&gt;0),E66*[1]Sheet1!$D$9+N66*[1]Sheet1!$E$9,IF(D66="S. maritimus",F66*[1]Sheet1!$C$10+E66*[1]Sheet1!$D$10+G66*[1]Sheet1!$F$10+[1]Sheet1!$L$10,IF(D66="S. americanus",F66*[1]Sheet1!$C$6+E66*[1]Sheet1!$D$6+[1]Sheet1!$L$6,IF(AND(OR(D66="T. domingensis",D66="T. latifolia"),E66&gt;0),F66*[1]Sheet1!$C$4+E66*[1]Sheet1!$D$4+H66*[1]Sheet1!$J$4+I66*[1]Sheet1!$K$4+[1]Sheet1!$L$4,IF(AND(OR(D66="T. domingensis",D66="T. latifolia"),J66&gt;0),J66*[1]Sheet1!$G$5+K66*[1]Sheet1!$H$5+L66*[1]Sheet1!$I$5+[1]Sheet1!$L$5,0)))))))</f>
        <v>18.565295999999996</v>
      </c>
    </row>
    <row r="67" spans="1:15">
      <c r="A67" s="6">
        <v>41527</v>
      </c>
      <c r="B67" s="7" t="s">
        <v>30</v>
      </c>
      <c r="C67">
        <v>42</v>
      </c>
      <c r="D67" t="s">
        <v>19</v>
      </c>
      <c r="F67">
        <v>1.07</v>
      </c>
      <c r="J67">
        <f>35+42+59+61</f>
        <v>197</v>
      </c>
      <c r="K67">
        <v>4</v>
      </c>
      <c r="L67">
        <v>61</v>
      </c>
      <c r="N67" t="str">
        <f t="shared" si="1"/>
        <v>NA</v>
      </c>
      <c r="O67">
        <f>IF(AND(OR(D67="S. acutus",D67="S. californicus",D67="S. tabernaemontani"),G67=0),E67*[1]Sheet1!$D$7+[1]Sheet1!$L$7,IF(AND(OR(D67="S. acutus",D67="S. tabernaemontani"),G67&gt;0),E67*[1]Sheet1!$D$8+N67*[1]Sheet1!$E$8,IF(AND(D67="S. californicus",G67&gt;0),E67*[1]Sheet1!$D$9+N67*[1]Sheet1!$E$9,IF(D67="S. maritimus",F67*[1]Sheet1!$C$10+E67*[1]Sheet1!$D$10+G67*[1]Sheet1!$F$10+[1]Sheet1!$L$10,IF(D67="S. americanus",F67*[1]Sheet1!$C$6+E67*[1]Sheet1!$D$6+[1]Sheet1!$L$6,IF(AND(OR(D67="T. domingensis",D67="T. latifolia"),E67&gt;0),F67*[1]Sheet1!$C$4+E67*[1]Sheet1!$D$4+H67*[1]Sheet1!$J$4+I67*[1]Sheet1!$K$4+[1]Sheet1!$L$4,IF(AND(OR(D67="T. domingensis",D67="T. latifolia"),J67&gt;0),J67*[1]Sheet1!$G$5+K67*[1]Sheet1!$H$5+L67*[1]Sheet1!$I$5+[1]Sheet1!$L$5,0)))))))</f>
        <v>5.0413619999999995</v>
      </c>
    </row>
    <row r="68" spans="1:15">
      <c r="A68" s="6">
        <v>41527</v>
      </c>
      <c r="B68" s="7" t="s">
        <v>30</v>
      </c>
      <c r="C68">
        <v>42</v>
      </c>
      <c r="D68" t="s">
        <v>19</v>
      </c>
      <c r="F68">
        <v>0.42</v>
      </c>
      <c r="J68">
        <f>26+29</f>
        <v>55</v>
      </c>
      <c r="K68">
        <v>2</v>
      </c>
      <c r="L68">
        <v>29</v>
      </c>
      <c r="N68" t="str">
        <f t="shared" si="1"/>
        <v>NA</v>
      </c>
      <c r="O68">
        <f>IF(AND(OR(D68="S. acutus",D68="S. californicus",D68="S. tabernaemontani"),G68=0),E68*[1]Sheet1!$D$7+[1]Sheet1!$L$7,IF(AND(OR(D68="S. acutus",D68="S. tabernaemontani"),G68&gt;0),E68*[1]Sheet1!$D$8+N68*[1]Sheet1!$E$8,IF(AND(D68="S. californicus",G68&gt;0),E68*[1]Sheet1!$D$9+N68*[1]Sheet1!$E$9,IF(D68="S. maritimus",F68*[1]Sheet1!$C$10+E68*[1]Sheet1!$D$10+G68*[1]Sheet1!$F$10+[1]Sheet1!$L$10,IF(D68="S. americanus",F68*[1]Sheet1!$C$6+E68*[1]Sheet1!$D$6+[1]Sheet1!$L$6,IF(AND(OR(D68="T. domingensis",D68="T. latifolia"),E68&gt;0),F68*[1]Sheet1!$C$4+E68*[1]Sheet1!$D$4+H68*[1]Sheet1!$J$4+I68*[1]Sheet1!$K$4+[1]Sheet1!$L$4,IF(AND(OR(D68="T. domingensis",D68="T. latifolia"),J68&gt;0),J68*[1]Sheet1!$G$5+K68*[1]Sheet1!$H$5+L68*[1]Sheet1!$I$5+[1]Sheet1!$L$5,0)))))))</f>
        <v>15.412697999999999</v>
      </c>
    </row>
    <row r="69" spans="1:15">
      <c r="A69" s="6">
        <v>41527</v>
      </c>
      <c r="B69" s="7" t="s">
        <v>30</v>
      </c>
      <c r="C69">
        <v>42</v>
      </c>
      <c r="D69" t="s">
        <v>19</v>
      </c>
      <c r="F69">
        <v>4.9000000000000004</v>
      </c>
      <c r="J69">
        <f>140+172+234+347</f>
        <v>893</v>
      </c>
      <c r="K69">
        <v>4</v>
      </c>
      <c r="L69">
        <v>347</v>
      </c>
      <c r="N69" t="str">
        <f t="shared" ref="N69:N132" si="2">IF(OR(D69="S. acutus", D69="S. tabernaemontani", D69="S. californicus"),(1/3)*(3.14159)*((F69/2)^2)*E69,"NA")</f>
        <v>NA</v>
      </c>
      <c r="O69">
        <f>IF(AND(OR(D69="S. acutus",D69="S. californicus",D69="S. tabernaemontani"),G69=0),E69*[1]Sheet1!$D$7+[1]Sheet1!$L$7,IF(AND(OR(D69="S. acutus",D69="S. tabernaemontani"),G69&gt;0),E69*[1]Sheet1!$D$8+N69*[1]Sheet1!$E$8,IF(AND(D69="S. californicus",G69&gt;0),E69*[1]Sheet1!$D$9+N69*[1]Sheet1!$E$9,IF(D69="S. maritimus",F69*[1]Sheet1!$C$10+E69*[1]Sheet1!$D$10+G69*[1]Sheet1!$F$10+[1]Sheet1!$L$10,IF(D69="S. americanus",F69*[1]Sheet1!$C$6+E69*[1]Sheet1!$D$6+[1]Sheet1!$L$6,IF(AND(OR(D69="T. domingensis",D69="T. latifolia"),E69&gt;0),F69*[1]Sheet1!$C$4+E69*[1]Sheet1!$D$4+H69*[1]Sheet1!$J$4+I69*[1]Sheet1!$K$4+[1]Sheet1!$L$4,IF(AND(OR(D69="T. domingensis",D69="T. latifolia"),J69&gt;0),J69*[1]Sheet1!$G$5+K69*[1]Sheet1!$H$5+L69*[1]Sheet1!$I$5+[1]Sheet1!$L$5,0)))))))</f>
        <v>-15.86122799999999</v>
      </c>
    </row>
    <row r="70" spans="1:15">
      <c r="A70" s="6">
        <v>41527</v>
      </c>
      <c r="B70" s="7" t="s">
        <v>30</v>
      </c>
      <c r="C70">
        <v>42</v>
      </c>
      <c r="D70" t="s">
        <v>19</v>
      </c>
      <c r="F70">
        <v>1.81</v>
      </c>
      <c r="J70">
        <f>51+60+61+68+88+208+243+88</f>
        <v>867</v>
      </c>
      <c r="K70">
        <v>8</v>
      </c>
      <c r="L70">
        <v>243</v>
      </c>
      <c r="N70" t="str">
        <f t="shared" si="2"/>
        <v>NA</v>
      </c>
      <c r="O70">
        <f>IF(AND(OR(D70="S. acutus",D70="S. californicus",D70="S. tabernaemontani"),G70=0),E70*[1]Sheet1!$D$7+[1]Sheet1!$L$7,IF(AND(OR(D70="S. acutus",D70="S. tabernaemontani"),G70&gt;0),E70*[1]Sheet1!$D$8+N70*[1]Sheet1!$E$8,IF(AND(D70="S. californicus",G70&gt;0),E70*[1]Sheet1!$D$9+N70*[1]Sheet1!$E$9,IF(D70="S. maritimus",F70*[1]Sheet1!$C$10+E70*[1]Sheet1!$D$10+G70*[1]Sheet1!$F$10+[1]Sheet1!$L$10,IF(D70="S. americanus",F70*[1]Sheet1!$C$6+E70*[1]Sheet1!$D$6+[1]Sheet1!$L$6,IF(AND(OR(D70="T. domingensis",D70="T. latifolia"),E70&gt;0),F70*[1]Sheet1!$C$4+E70*[1]Sheet1!$D$4+H70*[1]Sheet1!$J$4+I70*[1]Sheet1!$K$4+[1]Sheet1!$L$4,IF(AND(OR(D70="T. domingensis",D70="T. latifolia"),J70&gt;0),J70*[1]Sheet1!$G$5+K70*[1]Sheet1!$H$5+L70*[1]Sheet1!$I$5+[1]Sheet1!$L$5,0)))))))</f>
        <v>-15.058790000000002</v>
      </c>
    </row>
    <row r="71" spans="1:15">
      <c r="A71" s="6">
        <v>41527</v>
      </c>
      <c r="B71" s="7" t="s">
        <v>30</v>
      </c>
      <c r="C71">
        <v>49</v>
      </c>
      <c r="M71" t="s">
        <v>27</v>
      </c>
      <c r="N71" t="str">
        <f t="shared" si="2"/>
        <v>NA</v>
      </c>
      <c r="O71">
        <f>IF(AND(OR(D71="S. acutus",D71="S. californicus",D71="S. tabernaemontani"),G71=0),E71*[1]Sheet1!$D$7+[1]Sheet1!$L$7,IF(AND(OR(D71="S. acutus",D71="S. tabernaemontani"),G71&gt;0),E71*[1]Sheet1!$D$8+N71*[1]Sheet1!$E$8,IF(AND(D71="S. californicus",G71&gt;0),E71*[1]Sheet1!$D$9+N71*[1]Sheet1!$E$9,IF(D71="S. maritimus",F71*[1]Sheet1!$C$10+E71*[1]Sheet1!$D$10+G71*[1]Sheet1!$F$10+[1]Sheet1!$L$10,IF(D71="S. americanus",F71*[1]Sheet1!$C$6+E71*[1]Sheet1!$D$6+[1]Sheet1!$L$6,IF(AND(OR(D71="T. domingensis",D71="T. latifolia"),E71&gt;0),F71*[1]Sheet1!$C$4+E71*[1]Sheet1!$D$4+H71*[1]Sheet1!$J$4+I71*[1]Sheet1!$K$4+[1]Sheet1!$L$4,IF(AND(OR(D71="T. domingensis",D71="T. latifolia"),J71&gt;0),J71*[1]Sheet1!$G$5+K71*[1]Sheet1!$H$5+L71*[1]Sheet1!$I$5+[1]Sheet1!$L$5,0)))))))</f>
        <v>0</v>
      </c>
    </row>
    <row r="72" spans="1:15">
      <c r="A72" s="6">
        <v>41523</v>
      </c>
      <c r="B72" s="7" t="s">
        <v>26</v>
      </c>
      <c r="C72">
        <v>11</v>
      </c>
      <c r="D72" t="s">
        <v>24</v>
      </c>
      <c r="E72">
        <v>169</v>
      </c>
      <c r="F72">
        <v>1.01</v>
      </c>
      <c r="N72">
        <f t="shared" si="2"/>
        <v>45.133364755916666</v>
      </c>
      <c r="O72">
        <f>IF(AND(OR(D72="S. acutus",D72="S. californicus",D72="S. tabernaemontani"),G72=0),E72*[1]Sheet1!$D$7+[1]Sheet1!$L$7,IF(AND(OR(D72="S. acutus",D72="S. tabernaemontani"),G72&gt;0),E72*[1]Sheet1!$D$8+N72*[1]Sheet1!$E$8,IF(AND(D72="S. californicus",G72&gt;0),E72*[1]Sheet1!$D$9+N72*[1]Sheet1!$E$9,IF(D72="S. maritimus",F72*[1]Sheet1!$C$10+E72*[1]Sheet1!$D$10+G72*[1]Sheet1!$F$10+[1]Sheet1!$L$10,IF(D72="S. americanus",F72*[1]Sheet1!$C$6+E72*[1]Sheet1!$D$6+[1]Sheet1!$L$6,IF(AND(OR(D72="T. domingensis",D72="T. latifolia"),E72&gt;0),F72*[1]Sheet1!$C$4+E72*[1]Sheet1!$D$4+H72*[1]Sheet1!$J$4+I72*[1]Sheet1!$K$4+[1]Sheet1!$L$4,IF(AND(OR(D72="T. domingensis",D72="T. latifolia"),J72&gt;0),J72*[1]Sheet1!$G$5+K72*[1]Sheet1!$H$5+L72*[1]Sheet1!$I$5+[1]Sheet1!$L$5,0)))))))</f>
        <v>7.2571479999999999</v>
      </c>
    </row>
    <row r="73" spans="1:15">
      <c r="A73" s="6">
        <v>41523</v>
      </c>
      <c r="B73" s="7" t="s">
        <v>26</v>
      </c>
      <c r="C73">
        <v>11</v>
      </c>
      <c r="D73" t="s">
        <v>24</v>
      </c>
      <c r="E73">
        <v>197</v>
      </c>
      <c r="F73">
        <v>0.88</v>
      </c>
      <c r="N73">
        <f t="shared" si="2"/>
        <v>39.939243109333326</v>
      </c>
      <c r="O73">
        <f>IF(AND(OR(D73="S. acutus",D73="S. californicus",D73="S. tabernaemontani"),G73=0),E73*[1]Sheet1!$D$7+[1]Sheet1!$L$7,IF(AND(OR(D73="S. acutus",D73="S. tabernaemontani"),G73&gt;0),E73*[1]Sheet1!$D$8+N73*[1]Sheet1!$E$8,IF(AND(D73="S. californicus",G73&gt;0),E73*[1]Sheet1!$D$9+N73*[1]Sheet1!$E$9,IF(D73="S. maritimus",F73*[1]Sheet1!$C$10+E73*[1]Sheet1!$D$10+G73*[1]Sheet1!$F$10+[1]Sheet1!$L$10,IF(D73="S. americanus",F73*[1]Sheet1!$C$6+E73*[1]Sheet1!$D$6+[1]Sheet1!$L$6,IF(AND(OR(D73="T. domingensis",D73="T. latifolia"),E73&gt;0),F73*[1]Sheet1!$C$4+E73*[1]Sheet1!$D$4+H73*[1]Sheet1!$J$4+I73*[1]Sheet1!$K$4+[1]Sheet1!$L$4,IF(AND(OR(D73="T. domingensis",D73="T. latifolia"),J73&gt;0),J73*[1]Sheet1!$G$5+K73*[1]Sheet1!$H$5+L73*[1]Sheet1!$I$5+[1]Sheet1!$L$5,0)))))))</f>
        <v>9.2200880000000005</v>
      </c>
    </row>
    <row r="74" spans="1:15">
      <c r="A74" s="6">
        <v>41523</v>
      </c>
      <c r="B74" s="7" t="s">
        <v>26</v>
      </c>
      <c r="C74">
        <v>11</v>
      </c>
      <c r="D74" t="s">
        <v>24</v>
      </c>
      <c r="E74">
        <v>132</v>
      </c>
      <c r="F74">
        <v>0.72</v>
      </c>
      <c r="N74">
        <f t="shared" si="2"/>
        <v>17.914602815999995</v>
      </c>
      <c r="O74">
        <f>IF(AND(OR(D74="S. acutus",D74="S. californicus",D74="S. tabernaemontani"),G74=0),E74*[1]Sheet1!$D$7+[1]Sheet1!$L$7,IF(AND(OR(D74="S. acutus",D74="S. tabernaemontani"),G74&gt;0),E74*[1]Sheet1!$D$8+N74*[1]Sheet1!$E$8,IF(AND(D74="S. californicus",G74&gt;0),E74*[1]Sheet1!$D$9+N74*[1]Sheet1!$E$9,IF(D74="S. maritimus",F74*[1]Sheet1!$C$10+E74*[1]Sheet1!$D$10+G74*[1]Sheet1!$F$10+[1]Sheet1!$L$10,IF(D74="S. americanus",F74*[1]Sheet1!$C$6+E74*[1]Sheet1!$D$6+[1]Sheet1!$L$6,IF(AND(OR(D74="T. domingensis",D74="T. latifolia"),E74&gt;0),F74*[1]Sheet1!$C$4+E74*[1]Sheet1!$D$4+H74*[1]Sheet1!$J$4+I74*[1]Sheet1!$K$4+[1]Sheet1!$L$4,IF(AND(OR(D74="T. domingensis",D74="T. latifolia"),J74&gt;0),J74*[1]Sheet1!$G$5+K74*[1]Sheet1!$H$5+L74*[1]Sheet1!$I$5+[1]Sheet1!$L$5,0)))))))</f>
        <v>4.6632629999999997</v>
      </c>
    </row>
    <row r="75" spans="1:15">
      <c r="A75" s="6">
        <v>41523</v>
      </c>
      <c r="B75" s="7" t="s">
        <v>26</v>
      </c>
      <c r="C75">
        <v>11</v>
      </c>
      <c r="D75" t="s">
        <v>24</v>
      </c>
      <c r="E75">
        <v>205</v>
      </c>
      <c r="F75">
        <v>1.22</v>
      </c>
      <c r="N75">
        <f t="shared" si="2"/>
        <v>79.880685331666655</v>
      </c>
      <c r="O75">
        <f>IF(AND(OR(D75="S. acutus",D75="S. californicus",D75="S. tabernaemontani"),G75=0),E75*[1]Sheet1!$D$7+[1]Sheet1!$L$7,IF(AND(OR(D75="S. acutus",D75="S. tabernaemontani"),G75&gt;0),E75*[1]Sheet1!$D$8+N75*[1]Sheet1!$E$8,IF(AND(D75="S. californicus",G75&gt;0),E75*[1]Sheet1!$D$9+N75*[1]Sheet1!$E$9,IF(D75="S. maritimus",F75*[1]Sheet1!$C$10+E75*[1]Sheet1!$D$10+G75*[1]Sheet1!$F$10+[1]Sheet1!$L$10,IF(D75="S. americanus",F75*[1]Sheet1!$C$6+E75*[1]Sheet1!$D$6+[1]Sheet1!$L$6,IF(AND(OR(D75="T. domingensis",D75="T. latifolia"),E75&gt;0),F75*[1]Sheet1!$C$4+E75*[1]Sheet1!$D$4+H75*[1]Sheet1!$J$4+I75*[1]Sheet1!$K$4+[1]Sheet1!$L$4,IF(AND(OR(D75="T. domingensis",D75="T. latifolia"),J75&gt;0),J75*[1]Sheet1!$G$5+K75*[1]Sheet1!$H$5+L75*[1]Sheet1!$I$5+[1]Sheet1!$L$5,0)))))))</f>
        <v>9.7809279999999994</v>
      </c>
    </row>
    <row r="76" spans="1:15">
      <c r="A76" s="6">
        <v>41523</v>
      </c>
      <c r="B76" s="7" t="s">
        <v>26</v>
      </c>
      <c r="C76">
        <v>11</v>
      </c>
      <c r="D76" t="s">
        <v>24</v>
      </c>
      <c r="E76">
        <v>254</v>
      </c>
      <c r="F76">
        <v>1.36</v>
      </c>
      <c r="N76">
        <f t="shared" si="2"/>
        <v>122.99282962133334</v>
      </c>
      <c r="O76">
        <f>IF(AND(OR(D76="S. acutus",D76="S. californicus",D76="S. tabernaemontani"),G76=0),E76*[1]Sheet1!$D$7+[1]Sheet1!$L$7,IF(AND(OR(D76="S. acutus",D76="S. tabernaemontani"),G76&gt;0),E76*[1]Sheet1!$D$8+N76*[1]Sheet1!$E$8,IF(AND(D76="S. californicus",G76&gt;0),E76*[1]Sheet1!$D$9+N76*[1]Sheet1!$E$9,IF(D76="S. maritimus",F76*[1]Sheet1!$C$10+E76*[1]Sheet1!$D$10+G76*[1]Sheet1!$F$10+[1]Sheet1!$L$10,IF(D76="S. americanus",F76*[1]Sheet1!$C$6+E76*[1]Sheet1!$D$6+[1]Sheet1!$L$6,IF(AND(OR(D76="T. domingensis",D76="T. latifolia"),E76&gt;0),F76*[1]Sheet1!$C$4+E76*[1]Sheet1!$D$4+H76*[1]Sheet1!$J$4+I76*[1]Sheet1!$K$4+[1]Sheet1!$L$4,IF(AND(OR(D76="T. domingensis",D76="T. latifolia"),J76&gt;0),J76*[1]Sheet1!$G$5+K76*[1]Sheet1!$H$5+L76*[1]Sheet1!$I$5+[1]Sheet1!$L$5,0)))))))</f>
        <v>13.216073000000002</v>
      </c>
    </row>
    <row r="77" spans="1:15">
      <c r="A77" s="6">
        <v>41523</v>
      </c>
      <c r="B77" s="7" t="s">
        <v>26</v>
      </c>
      <c r="C77">
        <v>11</v>
      </c>
      <c r="D77" t="s">
        <v>24</v>
      </c>
      <c r="E77">
        <v>201</v>
      </c>
      <c r="F77">
        <v>1.28</v>
      </c>
      <c r="N77">
        <f t="shared" si="2"/>
        <v>86.215282688000002</v>
      </c>
      <c r="O77">
        <f>IF(AND(OR(D77="S. acutus",D77="S. californicus",D77="S. tabernaemontani"),G77=0),E77*[1]Sheet1!$D$7+[1]Sheet1!$L$7,IF(AND(OR(D77="S. acutus",D77="S. tabernaemontani"),G77&gt;0),E77*[1]Sheet1!$D$8+N77*[1]Sheet1!$E$8,IF(AND(D77="S. californicus",G77&gt;0),E77*[1]Sheet1!$D$9+N77*[1]Sheet1!$E$9,IF(D77="S. maritimus",F77*[1]Sheet1!$C$10+E77*[1]Sheet1!$D$10+G77*[1]Sheet1!$F$10+[1]Sheet1!$L$10,IF(D77="S. americanus",F77*[1]Sheet1!$C$6+E77*[1]Sheet1!$D$6+[1]Sheet1!$L$6,IF(AND(OR(D77="T. domingensis",D77="T. latifolia"),E77&gt;0),F77*[1]Sheet1!$C$4+E77*[1]Sheet1!$D$4+H77*[1]Sheet1!$J$4+I77*[1]Sheet1!$K$4+[1]Sheet1!$L$4,IF(AND(OR(D77="T. domingensis",D77="T. latifolia"),J77&gt;0),J77*[1]Sheet1!$G$5+K77*[1]Sheet1!$H$5+L77*[1]Sheet1!$I$5+[1]Sheet1!$L$5,0)))))))</f>
        <v>9.500508</v>
      </c>
    </row>
    <row r="78" spans="1:15">
      <c r="A78" s="6">
        <v>41523</v>
      </c>
      <c r="B78" s="7" t="s">
        <v>26</v>
      </c>
      <c r="C78">
        <v>11</v>
      </c>
      <c r="D78" t="s">
        <v>24</v>
      </c>
      <c r="E78">
        <v>200</v>
      </c>
      <c r="F78">
        <v>0.93</v>
      </c>
      <c r="N78">
        <f t="shared" si="2"/>
        <v>45.286019850000002</v>
      </c>
      <c r="O78">
        <f>IF(AND(OR(D78="S. acutus",D78="S. californicus",D78="S. tabernaemontani"),G78=0),E78*[1]Sheet1!$D$7+[1]Sheet1!$L$7,IF(AND(OR(D78="S. acutus",D78="S. tabernaemontani"),G78&gt;0),E78*[1]Sheet1!$D$8+N78*[1]Sheet1!$E$8,IF(AND(D78="S. californicus",G78&gt;0),E78*[1]Sheet1!$D$9+N78*[1]Sheet1!$E$9,IF(D78="S. maritimus",F78*[1]Sheet1!$C$10+E78*[1]Sheet1!$D$10+G78*[1]Sheet1!$F$10+[1]Sheet1!$L$10,IF(D78="S. americanus",F78*[1]Sheet1!$C$6+E78*[1]Sheet1!$D$6+[1]Sheet1!$L$6,IF(AND(OR(D78="T. domingensis",D78="T. latifolia"),E78&gt;0),F78*[1]Sheet1!$C$4+E78*[1]Sheet1!$D$4+H78*[1]Sheet1!$J$4+I78*[1]Sheet1!$K$4+[1]Sheet1!$L$4,IF(AND(OR(D78="T. domingensis",D78="T. latifolia"),J78&gt;0),J78*[1]Sheet1!$G$5+K78*[1]Sheet1!$H$5+L78*[1]Sheet1!$I$5+[1]Sheet1!$L$5,0)))))))</f>
        <v>9.4304030000000019</v>
      </c>
    </row>
    <row r="79" spans="1:15">
      <c r="A79" s="6">
        <v>41523</v>
      </c>
      <c r="B79" s="7" t="s">
        <v>26</v>
      </c>
      <c r="C79">
        <v>11</v>
      </c>
      <c r="D79" t="s">
        <v>24</v>
      </c>
      <c r="E79">
        <v>216</v>
      </c>
      <c r="F79">
        <v>0.9</v>
      </c>
      <c r="N79">
        <f t="shared" si="2"/>
        <v>45.804382199999999</v>
      </c>
      <c r="O79">
        <f>IF(AND(OR(D79="S. acutus",D79="S. californicus",D79="S. tabernaemontani"),G79=0),E79*[1]Sheet1!$D$7+[1]Sheet1!$L$7,IF(AND(OR(D79="S. acutus",D79="S. tabernaemontani"),G79&gt;0),E79*[1]Sheet1!$D$8+N79*[1]Sheet1!$E$8,IF(AND(D79="S. californicus",G79&gt;0),E79*[1]Sheet1!$D$9+N79*[1]Sheet1!$E$9,IF(D79="S. maritimus",F79*[1]Sheet1!$C$10+E79*[1]Sheet1!$D$10+G79*[1]Sheet1!$F$10+[1]Sheet1!$L$10,IF(D79="S. americanus",F79*[1]Sheet1!$C$6+E79*[1]Sheet1!$D$6+[1]Sheet1!$L$6,IF(AND(OR(D79="T. domingensis",D79="T. latifolia"),E79&gt;0),F79*[1]Sheet1!$C$4+E79*[1]Sheet1!$D$4+H79*[1]Sheet1!$J$4+I79*[1]Sheet1!$K$4+[1]Sheet1!$L$4,IF(AND(OR(D79="T. domingensis",D79="T. latifolia"),J79&gt;0),J79*[1]Sheet1!$G$5+K79*[1]Sheet1!$H$5+L79*[1]Sheet1!$I$5+[1]Sheet1!$L$5,0)))))))</f>
        <v>10.552083</v>
      </c>
    </row>
    <row r="80" spans="1:15">
      <c r="A80" s="6">
        <v>41523</v>
      </c>
      <c r="B80" s="7" t="s">
        <v>26</v>
      </c>
      <c r="C80">
        <v>11</v>
      </c>
      <c r="D80" t="s">
        <v>24</v>
      </c>
      <c r="E80">
        <v>194</v>
      </c>
      <c r="F80">
        <v>1</v>
      </c>
      <c r="N80">
        <f t="shared" si="2"/>
        <v>50.78903833333333</v>
      </c>
      <c r="O80">
        <f>IF(AND(OR(D80="S. acutus",D80="S. californicus",D80="S. tabernaemontani"),G80=0),E80*[1]Sheet1!$D$7+[1]Sheet1!$L$7,IF(AND(OR(D80="S. acutus",D80="S. tabernaemontani"),G80&gt;0),E80*[1]Sheet1!$D$8+N80*[1]Sheet1!$E$8,IF(AND(D80="S. californicus",G80&gt;0),E80*[1]Sheet1!$D$9+N80*[1]Sheet1!$E$9,IF(D80="S. maritimus",F80*[1]Sheet1!$C$10+E80*[1]Sheet1!$D$10+G80*[1]Sheet1!$F$10+[1]Sheet1!$L$10,IF(D80="S. americanus",F80*[1]Sheet1!$C$6+E80*[1]Sheet1!$D$6+[1]Sheet1!$L$6,IF(AND(OR(D80="T. domingensis",D80="T. latifolia"),E80&gt;0),F80*[1]Sheet1!$C$4+E80*[1]Sheet1!$D$4+H80*[1]Sheet1!$J$4+I80*[1]Sheet1!$K$4+[1]Sheet1!$L$4,IF(AND(OR(D80="T. domingensis",D80="T. latifolia"),J80&gt;0),J80*[1]Sheet1!$G$5+K80*[1]Sheet1!$H$5+L80*[1]Sheet1!$I$5+[1]Sheet1!$L$5,0)))))))</f>
        <v>9.0097729999999991</v>
      </c>
    </row>
    <row r="81" spans="1:15">
      <c r="A81" s="6">
        <v>41523</v>
      </c>
      <c r="B81" s="7" t="s">
        <v>26</v>
      </c>
      <c r="C81">
        <v>11</v>
      </c>
      <c r="D81" t="s">
        <v>24</v>
      </c>
      <c r="E81">
        <v>196</v>
      </c>
      <c r="F81">
        <v>0.92</v>
      </c>
      <c r="N81">
        <f t="shared" si="2"/>
        <v>43.431015674666668</v>
      </c>
      <c r="O81">
        <f>IF(AND(OR(D81="S. acutus",D81="S. californicus",D81="S. tabernaemontani"),G81=0),E81*[1]Sheet1!$D$7+[1]Sheet1!$L$7,IF(AND(OR(D81="S. acutus",D81="S. tabernaemontani"),G81&gt;0),E81*[1]Sheet1!$D$8+N81*[1]Sheet1!$E$8,IF(AND(D81="S. californicus",G81&gt;0),E81*[1]Sheet1!$D$9+N81*[1]Sheet1!$E$9,IF(D81="S. maritimus",F81*[1]Sheet1!$C$10+E81*[1]Sheet1!$D$10+G81*[1]Sheet1!$F$10+[1]Sheet1!$L$10,IF(D81="S. americanus",F81*[1]Sheet1!$C$6+E81*[1]Sheet1!$D$6+[1]Sheet1!$L$6,IF(AND(OR(D81="T. domingensis",D81="T. latifolia"),E81&gt;0),F81*[1]Sheet1!$C$4+E81*[1]Sheet1!$D$4+H81*[1]Sheet1!$J$4+I81*[1]Sheet1!$K$4+[1]Sheet1!$L$4,IF(AND(OR(D81="T. domingensis",D81="T. latifolia"),J81&gt;0),J81*[1]Sheet1!$G$5+K81*[1]Sheet1!$H$5+L81*[1]Sheet1!$I$5+[1]Sheet1!$L$5,0)))))))</f>
        <v>9.1499829999999989</v>
      </c>
    </row>
    <row r="82" spans="1:15">
      <c r="A82" s="6">
        <v>41523</v>
      </c>
      <c r="B82" s="7" t="s">
        <v>26</v>
      </c>
      <c r="C82">
        <v>11</v>
      </c>
      <c r="D82" t="s">
        <v>24</v>
      </c>
      <c r="E82">
        <v>105</v>
      </c>
      <c r="F82">
        <v>0.72</v>
      </c>
      <c r="N82">
        <f t="shared" si="2"/>
        <v>14.250252239999996</v>
      </c>
      <c r="O82">
        <f>IF(AND(OR(D82="S. acutus",D82="S. californicus",D82="S. tabernaemontani"),G82=0),E82*[1]Sheet1!$D$7+[1]Sheet1!$L$7,IF(AND(OR(D82="S. acutus",D82="S. tabernaemontani"),G82&gt;0),E82*[1]Sheet1!$D$8+N82*[1]Sheet1!$E$8,IF(AND(D82="S. californicus",G82&gt;0),E82*[1]Sheet1!$D$9+N82*[1]Sheet1!$E$9,IF(D82="S. maritimus",F82*[1]Sheet1!$C$10+E82*[1]Sheet1!$D$10+G82*[1]Sheet1!$F$10+[1]Sheet1!$L$10,IF(D82="S. americanus",F82*[1]Sheet1!$C$6+E82*[1]Sheet1!$D$6+[1]Sheet1!$L$6,IF(AND(OR(D82="T. domingensis",D82="T. latifolia"),E82&gt;0),F82*[1]Sheet1!$C$4+E82*[1]Sheet1!$D$4+H82*[1]Sheet1!$J$4+I82*[1]Sheet1!$K$4+[1]Sheet1!$L$4,IF(AND(OR(D82="T. domingensis",D82="T. latifolia"),J82&gt;0),J82*[1]Sheet1!$G$5+K82*[1]Sheet1!$H$5+L82*[1]Sheet1!$I$5+[1]Sheet1!$L$5,0)))))))</f>
        <v>2.7704279999999999</v>
      </c>
    </row>
    <row r="83" spans="1:15">
      <c r="A83" s="6">
        <v>41523</v>
      </c>
      <c r="B83" s="7" t="s">
        <v>26</v>
      </c>
      <c r="C83">
        <v>11</v>
      </c>
      <c r="D83" t="s">
        <v>24</v>
      </c>
      <c r="E83">
        <v>247</v>
      </c>
      <c r="F83">
        <v>1.73</v>
      </c>
      <c r="N83">
        <f t="shared" si="2"/>
        <v>193.53406530141666</v>
      </c>
      <c r="O83">
        <f>IF(AND(OR(D83="S. acutus",D83="S. californicus",D83="S. tabernaemontani"),G83=0),E83*[1]Sheet1!$D$7+[1]Sheet1!$L$7,IF(AND(OR(D83="S. acutus",D83="S. tabernaemontani"),G83&gt;0),E83*[1]Sheet1!$D$8+N83*[1]Sheet1!$E$8,IF(AND(D83="S. californicus",G83&gt;0),E83*[1]Sheet1!$D$9+N83*[1]Sheet1!$E$9,IF(D83="S. maritimus",F83*[1]Sheet1!$C$10+E83*[1]Sheet1!$D$10+G83*[1]Sheet1!$F$10+[1]Sheet1!$L$10,IF(D83="S. americanus",F83*[1]Sheet1!$C$6+E83*[1]Sheet1!$D$6+[1]Sheet1!$L$6,IF(AND(OR(D83="T. domingensis",D83="T. latifolia"),E83&gt;0),F83*[1]Sheet1!$C$4+E83*[1]Sheet1!$D$4+H83*[1]Sheet1!$J$4+I83*[1]Sheet1!$K$4+[1]Sheet1!$L$4,IF(AND(OR(D83="T. domingensis",D83="T. latifolia"),J83&gt;0),J83*[1]Sheet1!$G$5+K83*[1]Sheet1!$H$5+L83*[1]Sheet1!$I$5+[1]Sheet1!$L$5,0)))))))</f>
        <v>12.725338000000001</v>
      </c>
    </row>
    <row r="84" spans="1:15">
      <c r="A84" s="6">
        <v>41523</v>
      </c>
      <c r="B84" s="7" t="s">
        <v>26</v>
      </c>
      <c r="C84">
        <v>11</v>
      </c>
      <c r="D84" t="s">
        <v>24</v>
      </c>
      <c r="E84">
        <v>131</v>
      </c>
      <c r="F84">
        <v>0.8</v>
      </c>
      <c r="N84">
        <f t="shared" si="2"/>
        <v>21.949242133333335</v>
      </c>
      <c r="O84">
        <f>IF(AND(OR(D84="S. acutus",D84="S. californicus",D84="S. tabernaemontani"),G84=0),E84*[1]Sheet1!$D$7+[1]Sheet1!$L$7,IF(AND(OR(D84="S. acutus",D84="S. tabernaemontani"),G84&gt;0),E84*[1]Sheet1!$D$8+N84*[1]Sheet1!$E$8,IF(AND(D84="S. californicus",G84&gt;0),E84*[1]Sheet1!$D$9+N84*[1]Sheet1!$E$9,IF(D84="S. maritimus",F84*[1]Sheet1!$C$10+E84*[1]Sheet1!$D$10+G84*[1]Sheet1!$F$10+[1]Sheet1!$L$10,IF(D84="S. americanus",F84*[1]Sheet1!$C$6+E84*[1]Sheet1!$D$6+[1]Sheet1!$L$6,IF(AND(OR(D84="T. domingensis",D84="T. latifolia"),E84&gt;0),F84*[1]Sheet1!$C$4+E84*[1]Sheet1!$D$4+H84*[1]Sheet1!$J$4+I84*[1]Sheet1!$K$4+[1]Sheet1!$L$4,IF(AND(OR(D84="T. domingensis",D84="T. latifolia"),J84&gt;0),J84*[1]Sheet1!$G$5+K84*[1]Sheet1!$H$5+L84*[1]Sheet1!$I$5+[1]Sheet1!$L$5,0)))))))</f>
        <v>4.5931579999999999</v>
      </c>
    </row>
    <row r="85" spans="1:15">
      <c r="A85" s="6">
        <v>41523</v>
      </c>
      <c r="B85" s="7" t="s">
        <v>26</v>
      </c>
      <c r="C85">
        <v>11</v>
      </c>
      <c r="D85" t="s">
        <v>24</v>
      </c>
      <c r="E85">
        <v>56</v>
      </c>
      <c r="F85">
        <v>0.64</v>
      </c>
      <c r="N85">
        <f t="shared" si="2"/>
        <v>6.0050445653333338</v>
      </c>
      <c r="O85">
        <f>IF(AND(OR(D85="S. acutus",D85="S. californicus",D85="S. tabernaemontani"),G85=0),E85*[1]Sheet1!$D$7+[1]Sheet1!$L$7,IF(AND(OR(D85="S. acutus",D85="S. tabernaemontani"),G85&gt;0),E85*[1]Sheet1!$D$8+N85*[1]Sheet1!$E$8,IF(AND(D85="S. californicus",G85&gt;0),E85*[1]Sheet1!$D$9+N85*[1]Sheet1!$E$9,IF(D85="S. maritimus",F85*[1]Sheet1!$C$10+E85*[1]Sheet1!$D$10+G85*[1]Sheet1!$F$10+[1]Sheet1!$L$10,IF(D85="S. americanus",F85*[1]Sheet1!$C$6+E85*[1]Sheet1!$D$6+[1]Sheet1!$L$6,IF(AND(OR(D85="T. domingensis",D85="T. latifolia"),E85&gt;0),F85*[1]Sheet1!$C$4+E85*[1]Sheet1!$D$4+H85*[1]Sheet1!$J$4+I85*[1]Sheet1!$K$4+[1]Sheet1!$L$4,IF(AND(OR(D85="T. domingensis",D85="T. latifolia"),J85&gt;0),J85*[1]Sheet1!$G$5+K85*[1]Sheet1!$H$5+L85*[1]Sheet1!$I$5+[1]Sheet1!$L$5,0)))))))</f>
        <v>-0.66471699999999956</v>
      </c>
    </row>
    <row r="86" spans="1:15">
      <c r="A86" s="6">
        <v>41523</v>
      </c>
      <c r="B86" s="7" t="s">
        <v>26</v>
      </c>
      <c r="C86">
        <v>11</v>
      </c>
      <c r="D86" t="s">
        <v>23</v>
      </c>
      <c r="E86">
        <v>225</v>
      </c>
      <c r="F86">
        <v>1.4</v>
      </c>
      <c r="H86">
        <v>15</v>
      </c>
      <c r="I86">
        <v>2</v>
      </c>
      <c r="N86" t="str">
        <f t="shared" si="2"/>
        <v>NA</v>
      </c>
      <c r="O86">
        <f>IF(AND(OR(D86="S. acutus",D86="S. californicus",D86="S. tabernaemontani"),G86=0),E86*[1]Sheet1!$D$7+[1]Sheet1!$L$7,IF(AND(OR(D86="S. acutus",D86="S. tabernaemontani"),G86&gt;0),E86*[1]Sheet1!$D$8+N86*[1]Sheet1!$E$8,IF(AND(D86="S. californicus",G86&gt;0),E86*[1]Sheet1!$D$9+N86*[1]Sheet1!$E$9,IF(D86="S. maritimus",F86*[1]Sheet1!$C$10+E86*[1]Sheet1!$D$10+G86*[1]Sheet1!$F$10+[1]Sheet1!$L$10,IF(D86="S. americanus",F86*[1]Sheet1!$C$6+E86*[1]Sheet1!$D$6+[1]Sheet1!$L$6,IF(AND(OR(D86="T. domingensis",D86="T. latifolia"),E86&gt;0),F86*[1]Sheet1!$C$4+E86*[1]Sheet1!$D$4+H86*[1]Sheet1!$J$4+I86*[1]Sheet1!$K$4+[1]Sheet1!$L$4,IF(AND(OR(D86="T. domingensis",D86="T. latifolia"),J86&gt;0),J86*[1]Sheet1!$G$5+K86*[1]Sheet1!$H$5+L86*[1]Sheet1!$I$5+[1]Sheet1!$L$5,0)))))))</f>
        <v>46.058227799999997</v>
      </c>
    </row>
    <row r="87" spans="1:15">
      <c r="A87" s="6">
        <v>41523</v>
      </c>
      <c r="B87" s="7" t="s">
        <v>26</v>
      </c>
      <c r="C87">
        <v>11</v>
      </c>
      <c r="D87" t="s">
        <v>23</v>
      </c>
      <c r="E87">
        <v>222</v>
      </c>
      <c r="F87">
        <v>2.87</v>
      </c>
      <c r="H87">
        <v>19</v>
      </c>
      <c r="I87">
        <v>18</v>
      </c>
      <c r="N87" t="str">
        <f t="shared" si="2"/>
        <v>NA</v>
      </c>
      <c r="O87">
        <f>IF(AND(OR(D87="S. acutus",D87="S. californicus",D87="S. tabernaemontani"),G87=0),E87*[1]Sheet1!$D$7+[1]Sheet1!$L$7,IF(AND(OR(D87="S. acutus",D87="S. tabernaemontani"),G87&gt;0),E87*[1]Sheet1!$D$8+N87*[1]Sheet1!$E$8,IF(AND(D87="S. californicus",G87&gt;0),E87*[1]Sheet1!$D$9+N87*[1]Sheet1!$E$9,IF(D87="S. maritimus",F87*[1]Sheet1!$C$10+E87*[1]Sheet1!$D$10+G87*[1]Sheet1!$F$10+[1]Sheet1!$L$10,IF(D87="S. americanus",F87*[1]Sheet1!$C$6+E87*[1]Sheet1!$D$6+[1]Sheet1!$L$6,IF(AND(OR(D87="T. domingensis",D87="T. latifolia"),E87&gt;0),F87*[1]Sheet1!$C$4+E87*[1]Sheet1!$D$4+H87*[1]Sheet1!$J$4+I87*[1]Sheet1!$K$4+[1]Sheet1!$L$4,IF(AND(OR(D87="T. domingensis",D87="T. latifolia"),J87&gt;0),J87*[1]Sheet1!$G$5+K87*[1]Sheet1!$H$5+L87*[1]Sheet1!$I$5+[1]Sheet1!$L$5,0)))))))</f>
        <v>356.79382699000001</v>
      </c>
    </row>
    <row r="88" spans="1:15">
      <c r="A88" s="6">
        <v>41523</v>
      </c>
      <c r="B88" s="7" t="s">
        <v>26</v>
      </c>
      <c r="C88">
        <v>11</v>
      </c>
      <c r="D88" t="s">
        <v>23</v>
      </c>
      <c r="F88">
        <v>0.86</v>
      </c>
      <c r="J88">
        <f>159+187</f>
        <v>346</v>
      </c>
      <c r="K88">
        <v>2</v>
      </c>
      <c r="L88">
        <v>187</v>
      </c>
      <c r="N88" t="str">
        <f t="shared" si="2"/>
        <v>NA</v>
      </c>
      <c r="O88">
        <f>IF(AND(OR(D88="S. acutus",D88="S. californicus",D88="S. tabernaemontani"),G88=0),E88*[1]Sheet1!$D$7+[1]Sheet1!$L$7,IF(AND(OR(D88="S. acutus",D88="S. tabernaemontani"),G88&gt;0),E88*[1]Sheet1!$D$8+N88*[1]Sheet1!$E$8,IF(AND(D88="S. californicus",G88&gt;0),E88*[1]Sheet1!$D$9+N88*[1]Sheet1!$E$9,IF(D88="S. maritimus",F88*[1]Sheet1!$C$10+E88*[1]Sheet1!$D$10+G88*[1]Sheet1!$F$10+[1]Sheet1!$L$10,IF(D88="S. americanus",F88*[1]Sheet1!$C$6+E88*[1]Sheet1!$D$6+[1]Sheet1!$L$6,IF(AND(OR(D88="T. domingensis",D88="T. latifolia"),E88&gt;0),F88*[1]Sheet1!$C$4+E88*[1]Sheet1!$D$4+H88*[1]Sheet1!$J$4+I88*[1]Sheet1!$K$4+[1]Sheet1!$L$4,IF(AND(OR(D88="T. domingensis",D88="T. latifolia"),J88&gt;0),J88*[1]Sheet1!$G$5+K88*[1]Sheet1!$H$5+L88*[1]Sheet1!$I$5+[1]Sheet1!$L$5,0)))))))</f>
        <v>-4.9013069999999956</v>
      </c>
    </row>
    <row r="89" spans="1:15">
      <c r="A89" s="6">
        <v>41523</v>
      </c>
      <c r="B89" s="7" t="s">
        <v>26</v>
      </c>
      <c r="C89">
        <v>11</v>
      </c>
      <c r="D89" t="s">
        <v>19</v>
      </c>
      <c r="F89">
        <v>4.7</v>
      </c>
      <c r="J89">
        <f>196+162+218+256+262+276+279+246</f>
        <v>1895</v>
      </c>
      <c r="K89">
        <v>8</v>
      </c>
      <c r="L89">
        <v>279</v>
      </c>
      <c r="N89" t="str">
        <f t="shared" si="2"/>
        <v>NA</v>
      </c>
      <c r="O89">
        <f>IF(AND(OR(D89="S. acutus",D89="S. californicus",D89="S. tabernaemontani"),G89=0),E89*[1]Sheet1!$D$7+[1]Sheet1!$L$7,IF(AND(OR(D89="S. acutus",D89="S. tabernaemontani"),G89&gt;0),E89*[1]Sheet1!$D$8+N89*[1]Sheet1!$E$8,IF(AND(D89="S. californicus",G89&gt;0),E89*[1]Sheet1!$D$9+N89*[1]Sheet1!$E$9,IF(D89="S. maritimus",F89*[1]Sheet1!$C$10+E89*[1]Sheet1!$D$10+G89*[1]Sheet1!$F$10+[1]Sheet1!$L$10,IF(D89="S. americanus",F89*[1]Sheet1!$C$6+E89*[1]Sheet1!$D$6+[1]Sheet1!$L$6,IF(AND(OR(D89="T. domingensis",D89="T. latifolia"),E89&gt;0),F89*[1]Sheet1!$C$4+E89*[1]Sheet1!$D$4+H89*[1]Sheet1!$J$4+I89*[1]Sheet1!$K$4+[1]Sheet1!$L$4,IF(AND(OR(D89="T. domingensis",D89="T. latifolia"),J89&gt;0),J89*[1]Sheet1!$G$5+K89*[1]Sheet1!$H$5+L89*[1]Sheet1!$I$5+[1]Sheet1!$L$5,0)))))))</f>
        <v>70.476530000000025</v>
      </c>
    </row>
    <row r="90" spans="1:15">
      <c r="A90" s="6">
        <v>41523</v>
      </c>
      <c r="B90" s="7" t="s">
        <v>26</v>
      </c>
      <c r="C90">
        <v>11</v>
      </c>
      <c r="D90" t="s">
        <v>19</v>
      </c>
      <c r="F90">
        <v>2.08</v>
      </c>
      <c r="J90">
        <f>176+197+201+247</f>
        <v>821</v>
      </c>
      <c r="K90">
        <v>4</v>
      </c>
      <c r="L90">
        <v>247</v>
      </c>
      <c r="N90" t="str">
        <f t="shared" si="2"/>
        <v>NA</v>
      </c>
      <c r="O90">
        <f>IF(AND(OR(D90="S. acutus",D90="S. californicus",D90="S. tabernaemontani"),G90=0),E90*[1]Sheet1!$D$7+[1]Sheet1!$L$7,IF(AND(OR(D90="S. acutus",D90="S. tabernaemontani"),G90&gt;0),E90*[1]Sheet1!$D$8+N90*[1]Sheet1!$E$8,IF(AND(D90="S. californicus",G90&gt;0),E90*[1]Sheet1!$D$9+N90*[1]Sheet1!$E$9,IF(D90="S. maritimus",F90*[1]Sheet1!$C$10+E90*[1]Sheet1!$D$10+G90*[1]Sheet1!$F$10+[1]Sheet1!$L$10,IF(D90="S. americanus",F90*[1]Sheet1!$C$6+E90*[1]Sheet1!$D$6+[1]Sheet1!$L$6,IF(AND(OR(D90="T. domingensis",D90="T. latifolia"),E90&gt;0),F90*[1]Sheet1!$C$4+E90*[1]Sheet1!$D$4+H90*[1]Sheet1!$J$4+I90*[1]Sheet1!$K$4+[1]Sheet1!$L$4,IF(AND(OR(D90="T. domingensis",D90="T. latifolia"),J90&gt;0),J90*[1]Sheet1!$G$5+K90*[1]Sheet1!$H$5+L90*[1]Sheet1!$I$5+[1]Sheet1!$L$5,0)))))))</f>
        <v>7.5129120000000214</v>
      </c>
    </row>
    <row r="91" spans="1:15">
      <c r="A91" s="6">
        <v>41523</v>
      </c>
      <c r="B91" s="7" t="s">
        <v>26</v>
      </c>
      <c r="C91">
        <v>11</v>
      </c>
      <c r="D91" t="s">
        <v>19</v>
      </c>
      <c r="F91">
        <v>0.83</v>
      </c>
      <c r="J91">
        <f>63+136+190+192</f>
        <v>581</v>
      </c>
      <c r="K91">
        <v>4</v>
      </c>
      <c r="L91">
        <v>192</v>
      </c>
      <c r="N91" t="str">
        <f t="shared" si="2"/>
        <v>NA</v>
      </c>
      <c r="O91">
        <f>IF(AND(OR(D91="S. acutus",D91="S. californicus",D91="S. tabernaemontani"),G91=0),E91*[1]Sheet1!$D$7+[1]Sheet1!$L$7,IF(AND(OR(D91="S. acutus",D91="S. tabernaemontani"),G91&gt;0),E91*[1]Sheet1!$D$8+N91*[1]Sheet1!$E$8,IF(AND(D91="S. californicus",G91&gt;0),E91*[1]Sheet1!$D$9+N91*[1]Sheet1!$E$9,IF(D91="S. maritimus",F91*[1]Sheet1!$C$10+E91*[1]Sheet1!$D$10+G91*[1]Sheet1!$F$10+[1]Sheet1!$L$10,IF(D91="S. americanus",F91*[1]Sheet1!$C$6+E91*[1]Sheet1!$D$6+[1]Sheet1!$L$6,IF(AND(OR(D91="T. domingensis",D91="T. latifolia"),E91&gt;0),F91*[1]Sheet1!$C$4+E91*[1]Sheet1!$D$4+H91*[1]Sheet1!$J$4+I91*[1]Sheet1!$K$4+[1]Sheet1!$L$4,IF(AND(OR(D91="T. domingensis",D91="T. latifolia"),J91&gt;0),J91*[1]Sheet1!$G$5+K91*[1]Sheet1!$H$5+L91*[1]Sheet1!$I$5+[1]Sheet1!$L$5,0)))))))</f>
        <v>1.5801870000000058</v>
      </c>
    </row>
    <row r="92" spans="1:15">
      <c r="A92" s="6">
        <v>41523</v>
      </c>
      <c r="B92" s="7" t="s">
        <v>26</v>
      </c>
      <c r="C92">
        <v>11</v>
      </c>
      <c r="D92" t="s">
        <v>19</v>
      </c>
      <c r="F92">
        <v>3.72</v>
      </c>
      <c r="J92">
        <f>187+203+212+238+252+253+260</f>
        <v>1605</v>
      </c>
      <c r="K92">
        <v>7</v>
      </c>
      <c r="L92">
        <v>260</v>
      </c>
      <c r="N92" t="str">
        <f t="shared" si="2"/>
        <v>NA</v>
      </c>
      <c r="O92">
        <f>IF(AND(OR(D92="S. acutus",D92="S. californicus",D92="S. tabernaemontani"),G92=0),E92*[1]Sheet1!$D$7+[1]Sheet1!$L$7,IF(AND(OR(D92="S. acutus",D92="S. tabernaemontani"),G92&gt;0),E92*[1]Sheet1!$D$8+N92*[1]Sheet1!$E$8,IF(AND(D92="S. californicus",G92&gt;0),E92*[1]Sheet1!$D$9+N92*[1]Sheet1!$E$9,IF(D92="S. maritimus",F92*[1]Sheet1!$C$10+E92*[1]Sheet1!$D$10+G92*[1]Sheet1!$F$10+[1]Sheet1!$L$10,IF(D92="S. americanus",F92*[1]Sheet1!$C$6+E92*[1]Sheet1!$D$6+[1]Sheet1!$L$6,IF(AND(OR(D92="T. domingensis",D92="T. latifolia"),E92&gt;0),F92*[1]Sheet1!$C$4+E92*[1]Sheet1!$D$4+H92*[1]Sheet1!$J$4+I92*[1]Sheet1!$K$4+[1]Sheet1!$L$4,IF(AND(OR(D92="T. domingensis",D92="T. latifolia"),J92&gt;0),J92*[1]Sheet1!$G$5+K92*[1]Sheet1!$H$5+L92*[1]Sheet1!$I$5+[1]Sheet1!$L$5,0)))))))</f>
        <v>56.033588000000002</v>
      </c>
    </row>
    <row r="93" spans="1:15">
      <c r="A93" s="6">
        <v>41523</v>
      </c>
      <c r="B93" s="7" t="s">
        <v>26</v>
      </c>
      <c r="C93">
        <v>30</v>
      </c>
      <c r="D93" t="s">
        <v>19</v>
      </c>
      <c r="F93">
        <v>2.14</v>
      </c>
      <c r="J93">
        <f>134+168+192+165</f>
        <v>659</v>
      </c>
      <c r="K93">
        <v>4</v>
      </c>
      <c r="L93">
        <v>168</v>
      </c>
      <c r="N93" t="str">
        <f t="shared" si="2"/>
        <v>NA</v>
      </c>
      <c r="O93">
        <f>IF(AND(OR(D93="S. acutus",D93="S. californicus",D93="S. tabernaemontani"),G93=0),E93*[1]Sheet1!$D$7+[1]Sheet1!$L$7,IF(AND(OR(D93="S. acutus",D93="S. tabernaemontani"),G93&gt;0),E93*[1]Sheet1!$D$8+N93*[1]Sheet1!$E$8,IF(AND(D93="S. californicus",G93&gt;0),E93*[1]Sheet1!$D$9+N93*[1]Sheet1!$E$9,IF(D93="S. maritimus",F93*[1]Sheet1!$C$10+E93*[1]Sheet1!$D$10+G93*[1]Sheet1!$F$10+[1]Sheet1!$L$10,IF(D93="S. americanus",F93*[1]Sheet1!$C$6+E93*[1]Sheet1!$D$6+[1]Sheet1!$L$6,IF(AND(OR(D93="T. domingensis",D93="T. latifolia"),E93&gt;0),F93*[1]Sheet1!$C$4+E93*[1]Sheet1!$D$4+H93*[1]Sheet1!$J$4+I93*[1]Sheet1!$K$4+[1]Sheet1!$L$4,IF(AND(OR(D93="T. domingensis",D93="T. latifolia"),J93&gt;0),J93*[1]Sheet1!$G$5+K93*[1]Sheet1!$H$5+L93*[1]Sheet1!$I$5+[1]Sheet1!$L$5,0)))))))</f>
        <v>16.122957</v>
      </c>
    </row>
    <row r="94" spans="1:15">
      <c r="A94" s="6">
        <v>41523</v>
      </c>
      <c r="B94" s="7" t="s">
        <v>26</v>
      </c>
      <c r="C94">
        <v>42</v>
      </c>
      <c r="M94" t="s">
        <v>27</v>
      </c>
      <c r="N94" t="str">
        <f t="shared" si="2"/>
        <v>NA</v>
      </c>
      <c r="O94">
        <f>IF(AND(OR(D94="S. acutus",D94="S. californicus",D94="S. tabernaemontani"),G94=0),E94*[1]Sheet1!$D$7+[1]Sheet1!$L$7,IF(AND(OR(D94="S. acutus",D94="S. tabernaemontani"),G94&gt;0),E94*[1]Sheet1!$D$8+N94*[1]Sheet1!$E$8,IF(AND(D94="S. californicus",G94&gt;0),E94*[1]Sheet1!$D$9+N94*[1]Sheet1!$E$9,IF(D94="S. maritimus",F94*[1]Sheet1!$C$10+E94*[1]Sheet1!$D$10+G94*[1]Sheet1!$F$10+[1]Sheet1!$L$10,IF(D94="S. americanus",F94*[1]Sheet1!$C$6+E94*[1]Sheet1!$D$6+[1]Sheet1!$L$6,IF(AND(OR(D94="T. domingensis",D94="T. latifolia"),E94&gt;0),F94*[1]Sheet1!$C$4+E94*[1]Sheet1!$D$4+H94*[1]Sheet1!$J$4+I94*[1]Sheet1!$K$4+[1]Sheet1!$L$4,IF(AND(OR(D94="T. domingensis",D94="T. latifolia"),J94&gt;0),J94*[1]Sheet1!$G$5+K94*[1]Sheet1!$H$5+L94*[1]Sheet1!$I$5+[1]Sheet1!$L$5,0)))))))</f>
        <v>0</v>
      </c>
    </row>
    <row r="95" spans="1:15">
      <c r="A95" s="6">
        <v>41523</v>
      </c>
      <c r="B95" s="7" t="s">
        <v>26</v>
      </c>
      <c r="C95">
        <v>48</v>
      </c>
      <c r="D95" t="s">
        <v>23</v>
      </c>
      <c r="E95">
        <v>268</v>
      </c>
      <c r="F95">
        <v>3.31</v>
      </c>
      <c r="H95">
        <v>35</v>
      </c>
      <c r="I95">
        <v>2</v>
      </c>
      <c r="N95" t="str">
        <f t="shared" si="2"/>
        <v>NA</v>
      </c>
      <c r="O95">
        <f>IF(AND(OR(D95="S. acutus",D95="S. californicus",D95="S. tabernaemontani"),G95=0),E95*[1]Sheet1!$D$7+[1]Sheet1!$L$7,IF(AND(OR(D95="S. acutus",D95="S. tabernaemontani"),G95&gt;0),E95*[1]Sheet1!$D$8+N95*[1]Sheet1!$E$8,IF(AND(D95="S. californicus",G95&gt;0),E95*[1]Sheet1!$D$9+N95*[1]Sheet1!$E$9,IF(D95="S. maritimus",F95*[1]Sheet1!$C$10+E95*[1]Sheet1!$D$10+G95*[1]Sheet1!$F$10+[1]Sheet1!$L$10,IF(D95="S. americanus",F95*[1]Sheet1!$C$6+E95*[1]Sheet1!$D$6+[1]Sheet1!$L$6,IF(AND(OR(D95="T. domingensis",D95="T. latifolia"),E95&gt;0),F95*[1]Sheet1!$C$4+E95*[1]Sheet1!$D$4+H95*[1]Sheet1!$J$4+I95*[1]Sheet1!$K$4+[1]Sheet1!$L$4,IF(AND(OR(D95="T. domingensis",D95="T. latifolia"),J95&gt;0),J95*[1]Sheet1!$G$5+K95*[1]Sheet1!$H$5+L95*[1]Sheet1!$I$5+[1]Sheet1!$L$5,0)))))))</f>
        <v>114.52205486999998</v>
      </c>
    </row>
    <row r="96" spans="1:15">
      <c r="A96" s="6">
        <v>41523</v>
      </c>
      <c r="B96" s="7" t="s">
        <v>26</v>
      </c>
      <c r="C96">
        <v>48</v>
      </c>
      <c r="D96" t="s">
        <v>23</v>
      </c>
      <c r="F96">
        <v>3.52</v>
      </c>
      <c r="J96">
        <f>133+136+260+304+326+340</f>
        <v>1499</v>
      </c>
      <c r="K96">
        <v>6</v>
      </c>
      <c r="L96">
        <v>340</v>
      </c>
      <c r="N96" t="str">
        <f t="shared" si="2"/>
        <v>NA</v>
      </c>
      <c r="O96">
        <f>IF(AND(OR(D96="S. acutus",D96="S. californicus",D96="S. tabernaemontani"),G96=0),E96*[1]Sheet1!$D$7+[1]Sheet1!$L$7,IF(AND(OR(D96="S. acutus",D96="S. tabernaemontani"),G96&gt;0),E96*[1]Sheet1!$D$8+N96*[1]Sheet1!$E$8,IF(AND(D96="S. californicus",G96&gt;0),E96*[1]Sheet1!$D$9+N96*[1]Sheet1!$E$9,IF(D96="S. maritimus",F96*[1]Sheet1!$C$10+E96*[1]Sheet1!$D$10+G96*[1]Sheet1!$F$10+[1]Sheet1!$L$10,IF(D96="S. americanus",F96*[1]Sheet1!$C$6+E96*[1]Sheet1!$D$6+[1]Sheet1!$L$6,IF(AND(OR(D96="T. domingensis",D96="T. latifolia"),E96&gt;0),F96*[1]Sheet1!$C$4+E96*[1]Sheet1!$D$4+H96*[1]Sheet1!$J$4+I96*[1]Sheet1!$K$4+[1]Sheet1!$L$4,IF(AND(OR(D96="T. domingensis",D96="T. latifolia"),J96&gt;0),J96*[1]Sheet1!$G$5+K96*[1]Sheet1!$H$5+L96*[1]Sheet1!$I$5+[1]Sheet1!$L$5,0)))))))</f>
        <v>29.018311000000004</v>
      </c>
    </row>
    <row r="97" spans="1:15">
      <c r="A97" s="6">
        <v>41523</v>
      </c>
      <c r="B97" s="7" t="s">
        <v>26</v>
      </c>
      <c r="C97">
        <v>48</v>
      </c>
      <c r="D97" t="s">
        <v>19</v>
      </c>
      <c r="F97">
        <v>1.97</v>
      </c>
      <c r="J97">
        <f>56+94+108+135+150+165</f>
        <v>708</v>
      </c>
      <c r="K97">
        <v>6</v>
      </c>
      <c r="L97">
        <v>165</v>
      </c>
      <c r="N97" t="str">
        <f t="shared" si="2"/>
        <v>NA</v>
      </c>
      <c r="O97">
        <f>IF(AND(OR(D97="S. acutus",D97="S. californicus",D97="S. tabernaemontani"),G97=0),E97*[1]Sheet1!$D$7+[1]Sheet1!$L$7,IF(AND(OR(D97="S. acutus",D97="S. tabernaemontani"),G97&gt;0),E97*[1]Sheet1!$D$8+N97*[1]Sheet1!$E$8,IF(AND(D97="S. californicus",G97&gt;0),E97*[1]Sheet1!$D$9+N97*[1]Sheet1!$E$9,IF(D97="S. maritimus",F97*[1]Sheet1!$C$10+E97*[1]Sheet1!$D$10+G97*[1]Sheet1!$F$10+[1]Sheet1!$L$10,IF(D97="S. americanus",F97*[1]Sheet1!$C$6+E97*[1]Sheet1!$D$6+[1]Sheet1!$L$6,IF(AND(OR(D97="T. domingensis",D97="T. latifolia"),E97&gt;0),F97*[1]Sheet1!$C$4+E97*[1]Sheet1!$D$4+H97*[1]Sheet1!$J$4+I97*[1]Sheet1!$K$4+[1]Sheet1!$L$4,IF(AND(OR(D97="T. domingensis",D97="T. latifolia"),J97&gt;0),J97*[1]Sheet1!$G$5+K97*[1]Sheet1!$H$5+L97*[1]Sheet1!$I$5+[1]Sheet1!$L$5,0)))))))</f>
        <v>7.5759809999999987</v>
      </c>
    </row>
    <row r="98" spans="1:15">
      <c r="A98" s="6">
        <v>41523</v>
      </c>
      <c r="B98" s="7" t="s">
        <v>26</v>
      </c>
      <c r="C98">
        <v>48</v>
      </c>
      <c r="D98" t="s">
        <v>19</v>
      </c>
      <c r="F98">
        <v>1.77</v>
      </c>
      <c r="J98">
        <f>53+93+100+127+130+160</f>
        <v>663</v>
      </c>
      <c r="K98">
        <v>6</v>
      </c>
      <c r="L98">
        <v>160</v>
      </c>
      <c r="N98" t="str">
        <f t="shared" si="2"/>
        <v>NA</v>
      </c>
      <c r="O98">
        <f>IF(AND(OR(D98="S. acutus",D98="S. californicus",D98="S. tabernaemontani"),G98=0),E98*[1]Sheet1!$D$7+[1]Sheet1!$L$7,IF(AND(OR(D98="S. acutus",D98="S. tabernaemontani"),G98&gt;0),E98*[1]Sheet1!$D$8+N98*[1]Sheet1!$E$8,IF(AND(D98="S. californicus",G98&gt;0),E98*[1]Sheet1!$D$9+N98*[1]Sheet1!$E$9,IF(D98="S. maritimus",F98*[1]Sheet1!$C$10+E98*[1]Sheet1!$D$10+G98*[1]Sheet1!$F$10+[1]Sheet1!$L$10,IF(D98="S. americanus",F98*[1]Sheet1!$C$6+E98*[1]Sheet1!$D$6+[1]Sheet1!$L$6,IF(AND(OR(D98="T. domingensis",D98="T. latifolia"),E98&gt;0),F98*[1]Sheet1!$C$4+E98*[1]Sheet1!$D$4+H98*[1]Sheet1!$J$4+I98*[1]Sheet1!$K$4+[1]Sheet1!$L$4,IF(AND(OR(D98="T. domingensis",D98="T. latifolia"),J98&gt;0),J98*[1]Sheet1!$G$5+K98*[1]Sheet1!$H$5+L98*[1]Sheet1!$I$5+[1]Sheet1!$L$5,0)))))))</f>
        <v>4.863230999999999</v>
      </c>
    </row>
    <row r="99" spans="1:15">
      <c r="A99" s="6">
        <v>41523</v>
      </c>
      <c r="B99" s="7" t="s">
        <v>26</v>
      </c>
      <c r="C99">
        <v>48</v>
      </c>
      <c r="D99" t="s">
        <v>19</v>
      </c>
      <c r="F99">
        <v>2.4300000000000002</v>
      </c>
      <c r="J99">
        <f>78+92+121+172+173+208</f>
        <v>844</v>
      </c>
      <c r="K99">
        <v>6</v>
      </c>
      <c r="L99">
        <v>208</v>
      </c>
      <c r="N99" t="str">
        <f t="shared" si="2"/>
        <v>NA</v>
      </c>
      <c r="O99">
        <f>IF(AND(OR(D99="S. acutus",D99="S. californicus",D99="S. tabernaemontani"),G99=0),E99*[1]Sheet1!$D$7+[1]Sheet1!$L$7,IF(AND(OR(D99="S. acutus",D99="S. tabernaemontani"),G99&gt;0),E99*[1]Sheet1!$D$8+N99*[1]Sheet1!$E$8,IF(AND(D99="S. californicus",G99&gt;0),E99*[1]Sheet1!$D$9+N99*[1]Sheet1!$E$9,IF(D99="S. maritimus",F99*[1]Sheet1!$C$10+E99*[1]Sheet1!$D$10+G99*[1]Sheet1!$F$10+[1]Sheet1!$L$10,IF(D99="S. americanus",F99*[1]Sheet1!$C$6+E99*[1]Sheet1!$D$6+[1]Sheet1!$L$6,IF(AND(OR(D99="T. domingensis",D99="T. latifolia"),E99&gt;0),F99*[1]Sheet1!$C$4+E99*[1]Sheet1!$D$4+H99*[1]Sheet1!$J$4+I99*[1]Sheet1!$K$4+[1]Sheet1!$L$4,IF(AND(OR(D99="T. domingensis",D99="T. latifolia"),J99&gt;0),J99*[1]Sheet1!$G$5+K99*[1]Sheet1!$H$5+L99*[1]Sheet1!$I$5+[1]Sheet1!$L$5,0)))))))</f>
        <v>7.3731260000000063</v>
      </c>
    </row>
    <row r="100" spans="1:15">
      <c r="A100" s="6">
        <v>41523</v>
      </c>
      <c r="B100" s="7" t="s">
        <v>26</v>
      </c>
      <c r="C100">
        <v>48</v>
      </c>
      <c r="D100" t="s">
        <v>19</v>
      </c>
      <c r="F100">
        <v>2.38</v>
      </c>
      <c r="J100">
        <f>270+348</f>
        <v>618</v>
      </c>
      <c r="K100">
        <v>2</v>
      </c>
      <c r="L100">
        <v>348</v>
      </c>
      <c r="N100" t="str">
        <f t="shared" si="2"/>
        <v>NA</v>
      </c>
      <c r="O100">
        <f>IF(AND(OR(D100="S. acutus",D100="S. californicus",D100="S. tabernaemontani"),G100=0),E100*[1]Sheet1!$D$7+[1]Sheet1!$L$7,IF(AND(OR(D100="S. acutus",D100="S. tabernaemontani"),G100&gt;0),E100*[1]Sheet1!$D$8+N100*[1]Sheet1!$E$8,IF(AND(D100="S. californicus",G100&gt;0),E100*[1]Sheet1!$D$9+N100*[1]Sheet1!$E$9,IF(D100="S. maritimus",F100*[1]Sheet1!$C$10+E100*[1]Sheet1!$D$10+G100*[1]Sheet1!$F$10+[1]Sheet1!$L$10,IF(D100="S. americanus",F100*[1]Sheet1!$C$6+E100*[1]Sheet1!$D$6+[1]Sheet1!$L$6,IF(AND(OR(D100="T. domingensis",D100="T. latifolia"),E100&gt;0),F100*[1]Sheet1!$C$4+E100*[1]Sheet1!$D$4+H100*[1]Sheet1!$J$4+I100*[1]Sheet1!$K$4+[1]Sheet1!$L$4,IF(AND(OR(D100="T. domingensis",D100="T. latifolia"),J100&gt;0),J100*[1]Sheet1!$G$5+K100*[1]Sheet1!$H$5+L100*[1]Sheet1!$I$5+[1]Sheet1!$L$5,0)))))))</f>
        <v>-27.900391999999997</v>
      </c>
    </row>
    <row r="101" spans="1:15">
      <c r="A101" s="6">
        <v>41523</v>
      </c>
      <c r="B101" s="7" t="s">
        <v>26</v>
      </c>
      <c r="C101">
        <v>48</v>
      </c>
      <c r="D101" t="s">
        <v>19</v>
      </c>
      <c r="F101">
        <v>2.1</v>
      </c>
      <c r="J101">
        <f>231+255+267+282</f>
        <v>1035</v>
      </c>
      <c r="K101">
        <v>4</v>
      </c>
      <c r="L101">
        <v>282</v>
      </c>
      <c r="N101" t="str">
        <f t="shared" si="2"/>
        <v>NA</v>
      </c>
      <c r="O101">
        <f>IF(AND(OR(D101="S. acutus",D101="S. californicus",D101="S. tabernaemontani"),G101=0),E101*[1]Sheet1!$D$7+[1]Sheet1!$L$7,IF(AND(OR(D101="S. acutus",D101="S. tabernaemontani"),G101&gt;0),E101*[1]Sheet1!$D$8+N101*[1]Sheet1!$E$8,IF(AND(D101="S. californicus",G101&gt;0),E101*[1]Sheet1!$D$9+N101*[1]Sheet1!$E$9,IF(D101="S. maritimus",F101*[1]Sheet1!$C$10+E101*[1]Sheet1!$D$10+G101*[1]Sheet1!$F$10+[1]Sheet1!$L$10,IF(D101="S. americanus",F101*[1]Sheet1!$C$6+E101*[1]Sheet1!$D$6+[1]Sheet1!$L$6,IF(AND(OR(D101="T. domingensis",D101="T. latifolia"),E101&gt;0),F101*[1]Sheet1!$C$4+E101*[1]Sheet1!$D$4+H101*[1]Sheet1!$J$4+I101*[1]Sheet1!$K$4+[1]Sheet1!$L$4,IF(AND(OR(D101="T. domingensis",D101="T. latifolia"),J101&gt;0),J101*[1]Sheet1!$G$5+K101*[1]Sheet1!$H$5+L101*[1]Sheet1!$I$5+[1]Sheet1!$L$5,0)))))))</f>
        <v>17.032907000000016</v>
      </c>
    </row>
    <row r="102" spans="1:15">
      <c r="A102" s="6">
        <v>41523</v>
      </c>
      <c r="B102" s="7" t="s">
        <v>26</v>
      </c>
      <c r="C102">
        <v>53</v>
      </c>
      <c r="D102" t="s">
        <v>23</v>
      </c>
      <c r="E102">
        <v>328</v>
      </c>
      <c r="F102">
        <v>3.97</v>
      </c>
      <c r="H102">
        <v>49</v>
      </c>
      <c r="I102">
        <v>3</v>
      </c>
      <c r="N102" t="str">
        <f t="shared" si="2"/>
        <v>NA</v>
      </c>
      <c r="O102">
        <f>IF(AND(OR(D102="S. acutus",D102="S. californicus",D102="S. tabernaemontani"),G102=0),E102*[1]Sheet1!$D$7+[1]Sheet1!$L$7,IF(AND(OR(D102="S. acutus",D102="S. tabernaemontani"),G102&gt;0),E102*[1]Sheet1!$D$8+N102*[1]Sheet1!$E$8,IF(AND(D102="S. californicus",G102&gt;0),E102*[1]Sheet1!$D$9+N102*[1]Sheet1!$E$9,IF(D102="S. maritimus",F102*[1]Sheet1!$C$10+E102*[1]Sheet1!$D$10+G102*[1]Sheet1!$F$10+[1]Sheet1!$L$10,IF(D102="S. americanus",F102*[1]Sheet1!$C$6+E102*[1]Sheet1!$D$6+[1]Sheet1!$L$6,IF(AND(OR(D102="T. domingensis",D102="T. latifolia"),E102&gt;0),F102*[1]Sheet1!$C$4+E102*[1]Sheet1!$D$4+H102*[1]Sheet1!$J$4+I102*[1]Sheet1!$K$4+[1]Sheet1!$L$4,IF(AND(OR(D102="T. domingensis",D102="T. latifolia"),J102&gt;0),J102*[1]Sheet1!$G$5+K102*[1]Sheet1!$H$5+L102*[1]Sheet1!$I$5+[1]Sheet1!$L$5,0)))))))</f>
        <v>175.96741688999998</v>
      </c>
    </row>
    <row r="103" spans="1:15">
      <c r="A103" s="6">
        <v>41523</v>
      </c>
      <c r="B103" s="7" t="s">
        <v>26</v>
      </c>
      <c r="C103">
        <v>53</v>
      </c>
      <c r="D103" t="s">
        <v>19</v>
      </c>
      <c r="F103">
        <v>2.65</v>
      </c>
      <c r="J103">
        <f>281+290+283+296</f>
        <v>1150</v>
      </c>
      <c r="K103">
        <v>4</v>
      </c>
      <c r="L103">
        <v>296</v>
      </c>
      <c r="N103" t="str">
        <f t="shared" si="2"/>
        <v>NA</v>
      </c>
      <c r="O103">
        <f>IF(AND(OR(D103="S. acutus",D103="S. californicus",D103="S. tabernaemontani"),G103=0),E103*[1]Sheet1!$D$7+[1]Sheet1!$L$7,IF(AND(OR(D103="S. acutus",D103="S. tabernaemontani"),G103&gt;0),E103*[1]Sheet1!$D$8+N103*[1]Sheet1!$E$8,IF(AND(D103="S. californicus",G103&gt;0),E103*[1]Sheet1!$D$9+N103*[1]Sheet1!$E$9,IF(D103="S. maritimus",F103*[1]Sheet1!$C$10+E103*[1]Sheet1!$D$10+G103*[1]Sheet1!$F$10+[1]Sheet1!$L$10,IF(D103="S. americanus",F103*[1]Sheet1!$C$6+E103*[1]Sheet1!$D$6+[1]Sheet1!$L$6,IF(AND(OR(D103="T. domingensis",D103="T. latifolia"),E103&gt;0),F103*[1]Sheet1!$C$4+E103*[1]Sheet1!$D$4+H103*[1]Sheet1!$J$4+I103*[1]Sheet1!$K$4+[1]Sheet1!$L$4,IF(AND(OR(D103="T. domingensis",D103="T. latifolia"),J103&gt;0),J103*[1]Sheet1!$G$5+K103*[1]Sheet1!$H$5+L103*[1]Sheet1!$I$5+[1]Sheet1!$L$5,0)))))))</f>
        <v>23.597302000000006</v>
      </c>
    </row>
    <row r="104" spans="1:15">
      <c r="A104" s="6">
        <v>41523</v>
      </c>
      <c r="B104" s="7" t="s">
        <v>26</v>
      </c>
      <c r="C104">
        <v>53</v>
      </c>
      <c r="D104" t="s">
        <v>19</v>
      </c>
      <c r="F104">
        <v>3.51</v>
      </c>
      <c r="J104">
        <f>117+166+223+258+262+293+301</f>
        <v>1620</v>
      </c>
      <c r="K104">
        <v>7</v>
      </c>
      <c r="L104">
        <v>301</v>
      </c>
      <c r="N104" t="str">
        <f t="shared" si="2"/>
        <v>NA</v>
      </c>
      <c r="O104">
        <f>IF(AND(OR(D104="S. acutus",D104="S. californicus",D104="S. tabernaemontani"),G104=0),E104*[1]Sheet1!$D$7+[1]Sheet1!$L$7,IF(AND(OR(D104="S. acutus",D104="S. tabernaemontani"),G104&gt;0),E104*[1]Sheet1!$D$8+N104*[1]Sheet1!$E$8,IF(AND(D104="S. californicus",G104&gt;0),E104*[1]Sheet1!$D$9+N104*[1]Sheet1!$E$9,IF(D104="S. maritimus",F104*[1]Sheet1!$C$10+E104*[1]Sheet1!$D$10+G104*[1]Sheet1!$F$10+[1]Sheet1!$L$10,IF(D104="S. americanus",F104*[1]Sheet1!$C$6+E104*[1]Sheet1!$D$6+[1]Sheet1!$L$6,IF(AND(OR(D104="T. domingensis",D104="T. latifolia"),E104&gt;0),F104*[1]Sheet1!$C$4+E104*[1]Sheet1!$D$4+H104*[1]Sheet1!$J$4+I104*[1]Sheet1!$K$4+[1]Sheet1!$L$4,IF(AND(OR(D104="T. domingensis",D104="T. latifolia"),J104&gt;0),J104*[1]Sheet1!$G$5+K104*[1]Sheet1!$H$5+L104*[1]Sheet1!$I$5+[1]Sheet1!$L$5,0)))))))</f>
        <v>45.088868000000012</v>
      </c>
    </row>
    <row r="105" spans="1:15">
      <c r="A105" s="6">
        <v>41523</v>
      </c>
      <c r="B105" s="7" t="s">
        <v>26</v>
      </c>
      <c r="C105">
        <v>53</v>
      </c>
      <c r="D105" t="s">
        <v>19</v>
      </c>
      <c r="F105">
        <v>3.08</v>
      </c>
      <c r="J105">
        <f>263+267+226+229+317+329+343</f>
        <v>1974</v>
      </c>
      <c r="K105">
        <v>7</v>
      </c>
      <c r="L105">
        <v>343</v>
      </c>
      <c r="N105" t="str">
        <f t="shared" si="2"/>
        <v>NA</v>
      </c>
      <c r="O105">
        <f>IF(AND(OR(D105="S. acutus",D105="S. californicus",D105="S. tabernaemontani"),G105=0),E105*[1]Sheet1!$D$7+[1]Sheet1!$L$7,IF(AND(OR(D105="S. acutus",D105="S. tabernaemontani"),G105&gt;0),E105*[1]Sheet1!$D$8+N105*[1]Sheet1!$E$8,IF(AND(D105="S. californicus",G105&gt;0),E105*[1]Sheet1!$D$9+N105*[1]Sheet1!$E$9,IF(D105="S. maritimus",F105*[1]Sheet1!$C$10+E105*[1]Sheet1!$D$10+G105*[1]Sheet1!$F$10+[1]Sheet1!$L$10,IF(D105="S. americanus",F105*[1]Sheet1!$C$6+E105*[1]Sheet1!$D$6+[1]Sheet1!$L$6,IF(AND(OR(D105="T. domingensis",D105="T. latifolia"),E105&gt;0),F105*[1]Sheet1!$C$4+E105*[1]Sheet1!$D$4+H105*[1]Sheet1!$J$4+I105*[1]Sheet1!$K$4+[1]Sheet1!$L$4,IF(AND(OR(D105="T. domingensis",D105="T. latifolia"),J105&gt;0),J105*[1]Sheet1!$G$5+K105*[1]Sheet1!$H$5+L105*[1]Sheet1!$I$5+[1]Sheet1!$L$5,0)))))))</f>
        <v>65.625848000000019</v>
      </c>
    </row>
    <row r="106" spans="1:15">
      <c r="A106" s="6">
        <v>41523</v>
      </c>
      <c r="B106" s="7" t="s">
        <v>26</v>
      </c>
      <c r="C106">
        <v>53</v>
      </c>
      <c r="D106" t="s">
        <v>19</v>
      </c>
      <c r="F106">
        <v>2.67</v>
      </c>
      <c r="J106">
        <f>285+323</f>
        <v>608</v>
      </c>
      <c r="K106">
        <v>2</v>
      </c>
      <c r="L106">
        <v>323</v>
      </c>
      <c r="N106" t="str">
        <f t="shared" si="2"/>
        <v>NA</v>
      </c>
      <c r="O106">
        <f>IF(AND(OR(D106="S. acutus",D106="S. californicus",D106="S. tabernaemontani"),G106=0),E106*[1]Sheet1!$D$7+[1]Sheet1!$L$7,IF(AND(OR(D106="S. acutus",D106="S. tabernaemontani"),G106&gt;0),E106*[1]Sheet1!$D$8+N106*[1]Sheet1!$E$8,IF(AND(D106="S. californicus",G106&gt;0),E106*[1]Sheet1!$D$9+N106*[1]Sheet1!$E$9,IF(D106="S. maritimus",F106*[1]Sheet1!$C$10+E106*[1]Sheet1!$D$10+G106*[1]Sheet1!$F$10+[1]Sheet1!$L$10,IF(D106="S. americanus",F106*[1]Sheet1!$C$6+E106*[1]Sheet1!$D$6+[1]Sheet1!$L$6,IF(AND(OR(D106="T. domingensis",D106="T. latifolia"),E106&gt;0),F106*[1]Sheet1!$C$4+E106*[1]Sheet1!$D$4+H106*[1]Sheet1!$J$4+I106*[1]Sheet1!$K$4+[1]Sheet1!$L$4,IF(AND(OR(D106="T. domingensis",D106="T. latifolia"),J106&gt;0),J106*[1]Sheet1!$G$5+K106*[1]Sheet1!$H$5+L106*[1]Sheet1!$I$5+[1]Sheet1!$L$5,0)))))))</f>
        <v>-21.306816999999988</v>
      </c>
    </row>
    <row r="107" spans="1:15">
      <c r="A107" s="6">
        <v>41523</v>
      </c>
      <c r="B107" s="7" t="s">
        <v>26</v>
      </c>
      <c r="C107">
        <v>53</v>
      </c>
      <c r="D107" t="s">
        <v>19</v>
      </c>
      <c r="F107">
        <v>2.5</v>
      </c>
      <c r="J107">
        <f>161+163+206+241+271+275+314+315+351</f>
        <v>2297</v>
      </c>
      <c r="K107">
        <v>9</v>
      </c>
      <c r="L107">
        <v>351</v>
      </c>
      <c r="N107" t="str">
        <f t="shared" si="2"/>
        <v>NA</v>
      </c>
      <c r="O107">
        <f>IF(AND(OR(D107="S. acutus",D107="S. californicus",D107="S. tabernaemontani"),G107=0),E107*[1]Sheet1!$D$7+[1]Sheet1!$L$7,IF(AND(OR(D107="S. acutus",D107="S. tabernaemontani"),G107&gt;0),E107*[1]Sheet1!$D$8+N107*[1]Sheet1!$E$8,IF(AND(D107="S. californicus",G107&gt;0),E107*[1]Sheet1!$D$9+N107*[1]Sheet1!$E$9,IF(D107="S. maritimus",F107*[1]Sheet1!$C$10+E107*[1]Sheet1!$D$10+G107*[1]Sheet1!$F$10+[1]Sheet1!$L$10,IF(D107="S. americanus",F107*[1]Sheet1!$C$6+E107*[1]Sheet1!$D$6+[1]Sheet1!$L$6,IF(AND(OR(D107="T. domingensis",D107="T. latifolia"),E107&gt;0),F107*[1]Sheet1!$C$4+E107*[1]Sheet1!$D$4+H107*[1]Sheet1!$J$4+I107*[1]Sheet1!$K$4+[1]Sheet1!$L$4,IF(AND(OR(D107="T. domingensis",D107="T. latifolia"),J107&gt;0),J107*[1]Sheet1!$G$5+K107*[1]Sheet1!$H$5+L107*[1]Sheet1!$I$5+[1]Sheet1!$L$5,0)))))))</f>
        <v>79.454047000000031</v>
      </c>
    </row>
    <row r="108" spans="1:15">
      <c r="A108" s="6">
        <v>41521</v>
      </c>
      <c r="B108" s="7" t="s">
        <v>33</v>
      </c>
      <c r="C108">
        <v>4</v>
      </c>
      <c r="M108" t="s">
        <v>27</v>
      </c>
      <c r="N108" t="str">
        <f t="shared" si="2"/>
        <v>NA</v>
      </c>
      <c r="O108">
        <f>IF(AND(OR(D108="S. acutus",D108="S. californicus",D108="S. tabernaemontani"),G108=0),E108*[1]Sheet1!$D$7+[1]Sheet1!$L$7,IF(AND(OR(D108="S. acutus",D108="S. tabernaemontani"),G108&gt;0),E108*[1]Sheet1!$D$8+N108*[1]Sheet1!$E$8,IF(AND(D108="S. californicus",G108&gt;0),E108*[1]Sheet1!$D$9+N108*[1]Sheet1!$E$9,IF(D108="S. maritimus",F108*[1]Sheet1!$C$10+E108*[1]Sheet1!$D$10+G108*[1]Sheet1!$F$10+[1]Sheet1!$L$10,IF(D108="S. americanus",F108*[1]Sheet1!$C$6+E108*[1]Sheet1!$D$6+[1]Sheet1!$L$6,IF(AND(OR(D108="T. domingensis",D108="T. latifolia"),E108&gt;0),F108*[1]Sheet1!$C$4+E108*[1]Sheet1!$D$4+H108*[1]Sheet1!$J$4+I108*[1]Sheet1!$K$4+[1]Sheet1!$L$4,IF(AND(OR(D108="T. domingensis",D108="T. latifolia"),J108&gt;0),J108*[1]Sheet1!$G$5+K108*[1]Sheet1!$H$5+L108*[1]Sheet1!$I$5+[1]Sheet1!$L$5,0)))))))</f>
        <v>0</v>
      </c>
    </row>
    <row r="109" spans="1:15">
      <c r="A109" s="6">
        <v>41521</v>
      </c>
      <c r="B109" s="7" t="s">
        <v>33</v>
      </c>
      <c r="C109">
        <v>9</v>
      </c>
      <c r="D109" t="s">
        <v>25</v>
      </c>
      <c r="E109">
        <v>168</v>
      </c>
      <c r="F109">
        <v>1.59</v>
      </c>
      <c r="N109">
        <f t="shared" si="2"/>
        <v>111.191551506</v>
      </c>
      <c r="O109">
        <f>IF(AND(OR(D109="S. acutus",D109="S. californicus",D109="S. tabernaemontani"),G109=0),E109*[1]Sheet1!$D$7+[1]Sheet1!$L$7,IF(AND(OR(D109="S. acutus",D109="S. tabernaemontani"),G109&gt;0),E109*[1]Sheet1!$D$8+N109*[1]Sheet1!$E$8,IF(AND(D109="S. californicus",G109&gt;0),E109*[1]Sheet1!$D$9+N109*[1]Sheet1!$E$9,IF(D109="S. maritimus",F109*[1]Sheet1!$C$10+E109*[1]Sheet1!$D$10+G109*[1]Sheet1!$F$10+[1]Sheet1!$L$10,IF(D109="S. americanus",F109*[1]Sheet1!$C$6+E109*[1]Sheet1!$D$6+[1]Sheet1!$L$6,IF(AND(OR(D109="T. domingensis",D109="T. latifolia"),E109&gt;0),F109*[1]Sheet1!$C$4+E109*[1]Sheet1!$D$4+H109*[1]Sheet1!$J$4+I109*[1]Sheet1!$K$4+[1]Sheet1!$L$4,IF(AND(OR(D109="T. domingensis",D109="T. latifolia"),J109&gt;0),J109*[1]Sheet1!$G$5+K109*[1]Sheet1!$H$5+L109*[1]Sheet1!$I$5+[1]Sheet1!$L$5,0)))))))</f>
        <v>7.1870430000000001</v>
      </c>
    </row>
    <row r="110" spans="1:15">
      <c r="A110" s="6">
        <v>41521</v>
      </c>
      <c r="B110" s="7" t="s">
        <v>33</v>
      </c>
      <c r="C110">
        <v>9</v>
      </c>
      <c r="D110" t="s">
        <v>25</v>
      </c>
      <c r="E110">
        <v>268</v>
      </c>
      <c r="F110">
        <v>1</v>
      </c>
      <c r="G110">
        <v>5</v>
      </c>
      <c r="N110">
        <f t="shared" si="2"/>
        <v>70.162176666666653</v>
      </c>
      <c r="O110">
        <f>IF(AND(OR(D110="S. acutus",D110="S. californicus",D110="S. tabernaemontani"),G110=0),E110*[1]Sheet1!$D$7+[1]Sheet1!$L$7,IF(AND(OR(D110="S. acutus",D110="S. tabernaemontani"),G110&gt;0),E110*[1]Sheet1!$D$8+N110*[1]Sheet1!$E$8,IF(AND(D110="S. californicus",G110&gt;0),E110*[1]Sheet1!$D$9+N110*[1]Sheet1!$E$9,IF(D110="S. maritimus",F110*[1]Sheet1!$C$10+E110*[1]Sheet1!$D$10+G110*[1]Sheet1!$F$10+[1]Sheet1!$L$10,IF(D110="S. americanus",F110*[1]Sheet1!$C$6+E110*[1]Sheet1!$D$6+[1]Sheet1!$L$6,IF(AND(OR(D110="T. domingensis",D110="T. latifolia"),E110&gt;0),F110*[1]Sheet1!$C$4+E110*[1]Sheet1!$D$4+H110*[1]Sheet1!$J$4+I110*[1]Sheet1!$K$4+[1]Sheet1!$L$4,IF(AND(OR(D110="T. domingensis",D110="T. latifolia"),J110&gt;0),J110*[1]Sheet1!$G$5+K110*[1]Sheet1!$H$5+L110*[1]Sheet1!$I$5+[1]Sheet1!$L$5,0)))))))</f>
        <v>10.610818177073334</v>
      </c>
    </row>
    <row r="111" spans="1:15">
      <c r="A111" s="6">
        <v>41521</v>
      </c>
      <c r="B111" s="7" t="s">
        <v>33</v>
      </c>
      <c r="C111">
        <v>9</v>
      </c>
      <c r="D111" t="s">
        <v>25</v>
      </c>
      <c r="E111">
        <v>137</v>
      </c>
      <c r="F111">
        <v>1.35</v>
      </c>
      <c r="N111">
        <f t="shared" si="2"/>
        <v>65.36667043125</v>
      </c>
      <c r="O111">
        <f>IF(AND(OR(D111="S. acutus",D111="S. californicus",D111="S. tabernaemontani"),G111=0),E111*[1]Sheet1!$D$7+[1]Sheet1!$L$7,IF(AND(OR(D111="S. acutus",D111="S. tabernaemontani"),G111&gt;0),E111*[1]Sheet1!$D$8+N111*[1]Sheet1!$E$8,IF(AND(D111="S. californicus",G111&gt;0),E111*[1]Sheet1!$D$9+N111*[1]Sheet1!$E$9,IF(D111="S. maritimus",F111*[1]Sheet1!$C$10+E111*[1]Sheet1!$D$10+G111*[1]Sheet1!$F$10+[1]Sheet1!$L$10,IF(D111="S. americanus",F111*[1]Sheet1!$C$6+E111*[1]Sheet1!$D$6+[1]Sheet1!$L$6,IF(AND(OR(D111="T. domingensis",D111="T. latifolia"),E111&gt;0),F111*[1]Sheet1!$C$4+E111*[1]Sheet1!$D$4+H111*[1]Sheet1!$J$4+I111*[1]Sheet1!$K$4+[1]Sheet1!$L$4,IF(AND(OR(D111="T. domingensis",D111="T. latifolia"),J111&gt;0),J111*[1]Sheet1!$G$5+K111*[1]Sheet1!$H$5+L111*[1]Sheet1!$I$5+[1]Sheet1!$L$5,0)))))))</f>
        <v>5.0137880000000008</v>
      </c>
    </row>
    <row r="112" spans="1:15">
      <c r="A112" s="6">
        <v>41521</v>
      </c>
      <c r="B112" s="7" t="s">
        <v>33</v>
      </c>
      <c r="C112">
        <v>9</v>
      </c>
      <c r="D112" t="s">
        <v>25</v>
      </c>
      <c r="E112">
        <v>118</v>
      </c>
      <c r="F112">
        <v>1.1499999999999999</v>
      </c>
      <c r="N112">
        <f t="shared" si="2"/>
        <v>40.855068954166654</v>
      </c>
      <c r="O112">
        <f>IF(AND(OR(D112="S. acutus",D112="S. californicus",D112="S. tabernaemontani"),G112=0),E112*[1]Sheet1!$D$7+[1]Sheet1!$L$7,IF(AND(OR(D112="S. acutus",D112="S. tabernaemontani"),G112&gt;0),E112*[1]Sheet1!$D$8+N112*[1]Sheet1!$E$8,IF(AND(D112="S. californicus",G112&gt;0),E112*[1]Sheet1!$D$9+N112*[1]Sheet1!$E$9,IF(D112="S. maritimus",F112*[1]Sheet1!$C$10+E112*[1]Sheet1!$D$10+G112*[1]Sheet1!$F$10+[1]Sheet1!$L$10,IF(D112="S. americanus",F112*[1]Sheet1!$C$6+E112*[1]Sheet1!$D$6+[1]Sheet1!$L$6,IF(AND(OR(D112="T. domingensis",D112="T. latifolia"),E112&gt;0),F112*[1]Sheet1!$C$4+E112*[1]Sheet1!$D$4+H112*[1]Sheet1!$J$4+I112*[1]Sheet1!$K$4+[1]Sheet1!$L$4,IF(AND(OR(D112="T. domingensis",D112="T. latifolia"),J112&gt;0),J112*[1]Sheet1!$G$5+K112*[1]Sheet1!$H$5+L112*[1]Sheet1!$I$5+[1]Sheet1!$L$5,0)))))))</f>
        <v>3.6817929999999999</v>
      </c>
    </row>
    <row r="113" spans="1:15">
      <c r="A113" s="6">
        <v>41521</v>
      </c>
      <c r="B113" s="7" t="s">
        <v>33</v>
      </c>
      <c r="C113">
        <v>9</v>
      </c>
      <c r="D113" t="s">
        <v>25</v>
      </c>
      <c r="E113">
        <v>200</v>
      </c>
      <c r="F113">
        <v>1.1000000000000001</v>
      </c>
      <c r="N113">
        <f t="shared" si="2"/>
        <v>63.355398333333333</v>
      </c>
      <c r="O113">
        <f>IF(AND(OR(D113="S. acutus",D113="S. californicus",D113="S. tabernaemontani"),G113=0),E113*[1]Sheet1!$D$7+[1]Sheet1!$L$7,IF(AND(OR(D113="S. acutus",D113="S. tabernaemontani"),G113&gt;0),E113*[1]Sheet1!$D$8+N113*[1]Sheet1!$E$8,IF(AND(D113="S. californicus",G113&gt;0),E113*[1]Sheet1!$D$9+N113*[1]Sheet1!$E$9,IF(D113="S. maritimus",F113*[1]Sheet1!$C$10+E113*[1]Sheet1!$D$10+G113*[1]Sheet1!$F$10+[1]Sheet1!$L$10,IF(D113="S. americanus",F113*[1]Sheet1!$C$6+E113*[1]Sheet1!$D$6+[1]Sheet1!$L$6,IF(AND(OR(D113="T. domingensis",D113="T. latifolia"),E113&gt;0),F113*[1]Sheet1!$C$4+E113*[1]Sheet1!$D$4+H113*[1]Sheet1!$J$4+I113*[1]Sheet1!$K$4+[1]Sheet1!$L$4,IF(AND(OR(D113="T. domingensis",D113="T. latifolia"),J113&gt;0),J113*[1]Sheet1!$G$5+K113*[1]Sheet1!$H$5+L113*[1]Sheet1!$I$5+[1]Sheet1!$L$5,0)))))))</f>
        <v>9.4304030000000019</v>
      </c>
    </row>
    <row r="114" spans="1:15">
      <c r="A114" s="6">
        <v>41521</v>
      </c>
      <c r="B114" s="7" t="s">
        <v>33</v>
      </c>
      <c r="C114">
        <v>9</v>
      </c>
      <c r="D114" t="s">
        <v>25</v>
      </c>
      <c r="E114">
        <v>138</v>
      </c>
      <c r="F114">
        <v>0.59</v>
      </c>
      <c r="N114">
        <f t="shared" si="2"/>
        <v>12.576256008499998</v>
      </c>
      <c r="O114">
        <f>IF(AND(OR(D114="S. acutus",D114="S. californicus",D114="S. tabernaemontani"),G114=0),E114*[1]Sheet1!$D$7+[1]Sheet1!$L$7,IF(AND(OR(D114="S. acutus",D114="S. tabernaemontani"),G114&gt;0),E114*[1]Sheet1!$D$8+N114*[1]Sheet1!$E$8,IF(AND(D114="S. californicus",G114&gt;0),E114*[1]Sheet1!$D$9+N114*[1]Sheet1!$E$9,IF(D114="S. maritimus",F114*[1]Sheet1!$C$10+E114*[1]Sheet1!$D$10+G114*[1]Sheet1!$F$10+[1]Sheet1!$L$10,IF(D114="S. americanus",F114*[1]Sheet1!$C$6+E114*[1]Sheet1!$D$6+[1]Sheet1!$L$6,IF(AND(OR(D114="T. domingensis",D114="T. latifolia"),E114&gt;0),F114*[1]Sheet1!$C$4+E114*[1]Sheet1!$D$4+H114*[1]Sheet1!$J$4+I114*[1]Sheet1!$K$4+[1]Sheet1!$L$4,IF(AND(OR(D114="T. domingensis",D114="T. latifolia"),J114&gt;0),J114*[1]Sheet1!$G$5+K114*[1]Sheet1!$H$5+L114*[1]Sheet1!$I$5+[1]Sheet1!$L$5,0)))))))</f>
        <v>5.0838930000000007</v>
      </c>
    </row>
    <row r="115" spans="1:15">
      <c r="A115" s="6">
        <v>41521</v>
      </c>
      <c r="B115" s="7" t="s">
        <v>33</v>
      </c>
      <c r="C115">
        <v>9</v>
      </c>
      <c r="D115" t="s">
        <v>25</v>
      </c>
      <c r="E115">
        <v>239</v>
      </c>
      <c r="F115">
        <v>1.26</v>
      </c>
      <c r="G115">
        <v>8</v>
      </c>
      <c r="N115">
        <f t="shared" si="2"/>
        <v>99.336133322999999</v>
      </c>
      <c r="O115">
        <f>IF(AND(OR(D115="S. acutus",D115="S. californicus",D115="S. tabernaemontani"),G115=0),E115*[1]Sheet1!$D$7+[1]Sheet1!$L$7,IF(AND(OR(D115="S. acutus",D115="S. tabernaemontani"),G115&gt;0),E115*[1]Sheet1!$D$8+N115*[1]Sheet1!$E$8,IF(AND(D115="S. californicus",G115&gt;0),E115*[1]Sheet1!$D$9+N115*[1]Sheet1!$E$9,IF(D115="S. maritimus",F115*[1]Sheet1!$C$10+E115*[1]Sheet1!$D$10+G115*[1]Sheet1!$F$10+[1]Sheet1!$L$10,IF(D115="S. americanus",F115*[1]Sheet1!$C$6+E115*[1]Sheet1!$D$6+[1]Sheet1!$L$6,IF(AND(OR(D115="T. domingensis",D115="T. latifolia"),E115&gt;0),F115*[1]Sheet1!$C$4+E115*[1]Sheet1!$D$4+H115*[1]Sheet1!$J$4+I115*[1]Sheet1!$K$4+[1]Sheet1!$L$4,IF(AND(OR(D115="T. domingensis",D115="T. latifolia"),J115&gt;0),J115*[1]Sheet1!$G$5+K115*[1]Sheet1!$H$5+L115*[1]Sheet1!$I$5+[1]Sheet1!$L$5,0)))))))</f>
        <v>11.583082553270703</v>
      </c>
    </row>
    <row r="116" spans="1:15">
      <c r="A116" s="6">
        <v>41521</v>
      </c>
      <c r="B116" s="7" t="s">
        <v>33</v>
      </c>
      <c r="C116">
        <v>9</v>
      </c>
      <c r="D116" t="s">
        <v>25</v>
      </c>
      <c r="E116">
        <v>260</v>
      </c>
      <c r="F116">
        <v>1.76</v>
      </c>
      <c r="G116">
        <v>4</v>
      </c>
      <c r="N116">
        <f t="shared" si="2"/>
        <v>210.84676565333331</v>
      </c>
      <c r="O116">
        <f>IF(AND(OR(D116="S. acutus",D116="S. californicus",D116="S. tabernaemontani"),G116=0),E116*[1]Sheet1!$D$7+[1]Sheet1!$L$7,IF(AND(OR(D116="S. acutus",D116="S. tabernaemontani"),G116&gt;0),E116*[1]Sheet1!$D$8+N116*[1]Sheet1!$E$8,IF(AND(D116="S. californicus",G116&gt;0),E116*[1]Sheet1!$D$9+N116*[1]Sheet1!$E$9,IF(D116="S. maritimus",F116*[1]Sheet1!$C$10+E116*[1]Sheet1!$D$10+G116*[1]Sheet1!$F$10+[1]Sheet1!$L$10,IF(D116="S. americanus",F116*[1]Sheet1!$C$6+E116*[1]Sheet1!$D$6+[1]Sheet1!$L$6,IF(AND(OR(D116="T. domingensis",D116="T. latifolia"),E116&gt;0),F116*[1]Sheet1!$C$4+E116*[1]Sheet1!$D$4+H116*[1]Sheet1!$J$4+I116*[1]Sheet1!$K$4+[1]Sheet1!$L$4,IF(AND(OR(D116="T. domingensis",D116="T. latifolia"),J116&gt;0),J116*[1]Sheet1!$G$5+K116*[1]Sheet1!$H$5+L116*[1]Sheet1!$I$5+[1]Sheet1!$L$5,0)))))))</f>
        <v>18.528712362290346</v>
      </c>
    </row>
    <row r="117" spans="1:15">
      <c r="A117" s="6">
        <v>41521</v>
      </c>
      <c r="B117" s="7" t="s">
        <v>33</v>
      </c>
      <c r="C117">
        <v>9</v>
      </c>
      <c r="D117" t="s">
        <v>25</v>
      </c>
      <c r="E117">
        <v>219</v>
      </c>
      <c r="F117">
        <v>1.27</v>
      </c>
      <c r="N117">
        <f t="shared" si="2"/>
        <v>92.474036825749991</v>
      </c>
      <c r="O117">
        <f>IF(AND(OR(D117="S. acutus",D117="S. californicus",D117="S. tabernaemontani"),G117=0),E117*[1]Sheet1!$D$7+[1]Sheet1!$L$7,IF(AND(OR(D117="S. acutus",D117="S. tabernaemontani"),G117&gt;0),E117*[1]Sheet1!$D$8+N117*[1]Sheet1!$E$8,IF(AND(D117="S. californicus",G117&gt;0),E117*[1]Sheet1!$D$9+N117*[1]Sheet1!$E$9,IF(D117="S. maritimus",F117*[1]Sheet1!$C$10+E117*[1]Sheet1!$D$10+G117*[1]Sheet1!$F$10+[1]Sheet1!$L$10,IF(D117="S. americanus",F117*[1]Sheet1!$C$6+E117*[1]Sheet1!$D$6+[1]Sheet1!$L$6,IF(AND(OR(D117="T. domingensis",D117="T. latifolia"),E117&gt;0),F117*[1]Sheet1!$C$4+E117*[1]Sheet1!$D$4+H117*[1]Sheet1!$J$4+I117*[1]Sheet1!$K$4+[1]Sheet1!$L$4,IF(AND(OR(D117="T. domingensis",D117="T. latifolia"),J117&gt;0),J117*[1]Sheet1!$G$5+K117*[1]Sheet1!$H$5+L117*[1]Sheet1!$I$5+[1]Sheet1!$L$5,0)))))))</f>
        <v>10.762398000000001</v>
      </c>
    </row>
    <row r="118" spans="1:15">
      <c r="A118" s="6">
        <v>41521</v>
      </c>
      <c r="B118" s="7" t="s">
        <v>33</v>
      </c>
      <c r="C118">
        <v>9</v>
      </c>
      <c r="D118" t="s">
        <v>19</v>
      </c>
      <c r="F118">
        <v>2.5099999999999998</v>
      </c>
      <c r="J118">
        <f>142+134+183+191+211+232</f>
        <v>1093</v>
      </c>
      <c r="K118">
        <v>6</v>
      </c>
      <c r="L118">
        <v>232</v>
      </c>
      <c r="N118" t="str">
        <f t="shared" si="2"/>
        <v>NA</v>
      </c>
      <c r="O118">
        <f>IF(AND(OR(D118="S. acutus",D118="S. californicus",D118="S. tabernaemontani"),G118=0),E118*[1]Sheet1!$D$7+[1]Sheet1!$L$7,IF(AND(OR(D118="S. acutus",D118="S. tabernaemontani"),G118&gt;0),E118*[1]Sheet1!$D$8+N118*[1]Sheet1!$E$8,IF(AND(D118="S. californicus",G118&gt;0),E118*[1]Sheet1!$D$9+N118*[1]Sheet1!$E$9,IF(D118="S. maritimus",F118*[1]Sheet1!$C$10+E118*[1]Sheet1!$D$10+G118*[1]Sheet1!$F$10+[1]Sheet1!$L$10,IF(D118="S. americanus",F118*[1]Sheet1!$C$6+E118*[1]Sheet1!$D$6+[1]Sheet1!$L$6,IF(AND(OR(D118="T. domingensis",D118="T. latifolia"),E118&gt;0),F118*[1]Sheet1!$C$4+E118*[1]Sheet1!$D$4+H118*[1]Sheet1!$J$4+I118*[1]Sheet1!$K$4+[1]Sheet1!$L$4,IF(AND(OR(D118="T. domingensis",D118="T. latifolia"),J118&gt;0),J118*[1]Sheet1!$G$5+K118*[1]Sheet1!$H$5+L118*[1]Sheet1!$I$5+[1]Sheet1!$L$5,0)))))))</f>
        <v>23.488240999999995</v>
      </c>
    </row>
    <row r="119" spans="1:15">
      <c r="A119" s="6">
        <v>41521</v>
      </c>
      <c r="B119" s="7" t="s">
        <v>33</v>
      </c>
      <c r="C119">
        <v>22</v>
      </c>
      <c r="D119" t="s">
        <v>24</v>
      </c>
      <c r="E119">
        <v>310</v>
      </c>
      <c r="F119">
        <v>1.54</v>
      </c>
      <c r="N119">
        <f t="shared" si="2"/>
        <v>192.47370013666662</v>
      </c>
      <c r="O119">
        <f>IF(AND(OR(D119="S. acutus",D119="S. californicus",D119="S. tabernaemontani"),G119=0),E119*[1]Sheet1!$D$7+[1]Sheet1!$L$7,IF(AND(OR(D119="S. acutus",D119="S. tabernaemontani"),G119&gt;0),E119*[1]Sheet1!$D$8+N119*[1]Sheet1!$E$8,IF(AND(D119="S. californicus",G119&gt;0),E119*[1]Sheet1!$D$9+N119*[1]Sheet1!$E$9,IF(D119="S. maritimus",F119*[1]Sheet1!$C$10+E119*[1]Sheet1!$D$10+G119*[1]Sheet1!$F$10+[1]Sheet1!$L$10,IF(D119="S. americanus",F119*[1]Sheet1!$C$6+E119*[1]Sheet1!$D$6+[1]Sheet1!$L$6,IF(AND(OR(D119="T. domingensis",D119="T. latifolia"),E119&gt;0),F119*[1]Sheet1!$C$4+E119*[1]Sheet1!$D$4+H119*[1]Sheet1!$J$4+I119*[1]Sheet1!$K$4+[1]Sheet1!$L$4,IF(AND(OR(D119="T. domingensis",D119="T. latifolia"),J119&gt;0),J119*[1]Sheet1!$G$5+K119*[1]Sheet1!$H$5+L119*[1]Sheet1!$I$5+[1]Sheet1!$L$5,0)))))))</f>
        <v>17.141953000000001</v>
      </c>
    </row>
    <row r="120" spans="1:15">
      <c r="A120" s="6">
        <v>41521</v>
      </c>
      <c r="B120" s="7" t="s">
        <v>33</v>
      </c>
      <c r="C120">
        <v>22</v>
      </c>
      <c r="D120" t="s">
        <v>24</v>
      </c>
      <c r="E120">
        <v>259</v>
      </c>
      <c r="F120">
        <v>1.47</v>
      </c>
      <c r="N120">
        <f t="shared" si="2"/>
        <v>146.52195118574997</v>
      </c>
      <c r="O120">
        <f>IF(AND(OR(D120="S. acutus",D120="S. californicus",D120="S. tabernaemontani"),G120=0),E120*[1]Sheet1!$D$7+[1]Sheet1!$L$7,IF(AND(OR(D120="S. acutus",D120="S. tabernaemontani"),G120&gt;0),E120*[1]Sheet1!$D$8+N120*[1]Sheet1!$E$8,IF(AND(D120="S. californicus",G120&gt;0),E120*[1]Sheet1!$D$9+N120*[1]Sheet1!$E$9,IF(D120="S. maritimus",F120*[1]Sheet1!$C$10+E120*[1]Sheet1!$D$10+G120*[1]Sheet1!$F$10+[1]Sheet1!$L$10,IF(D120="S. americanus",F120*[1]Sheet1!$C$6+E120*[1]Sheet1!$D$6+[1]Sheet1!$L$6,IF(AND(OR(D120="T. domingensis",D120="T. latifolia"),E120&gt;0),F120*[1]Sheet1!$C$4+E120*[1]Sheet1!$D$4+H120*[1]Sheet1!$J$4+I120*[1]Sheet1!$K$4+[1]Sheet1!$L$4,IF(AND(OR(D120="T. domingensis",D120="T. latifolia"),J120&gt;0),J120*[1]Sheet1!$G$5+K120*[1]Sheet1!$H$5+L120*[1]Sheet1!$I$5+[1]Sheet1!$L$5,0)))))))</f>
        <v>13.566598000000003</v>
      </c>
    </row>
    <row r="121" spans="1:15">
      <c r="A121" s="6">
        <v>41521</v>
      </c>
      <c r="B121" s="7" t="s">
        <v>33</v>
      </c>
      <c r="C121">
        <v>22</v>
      </c>
      <c r="D121" t="s">
        <v>24</v>
      </c>
      <c r="E121">
        <v>373</v>
      </c>
      <c r="F121">
        <v>1.37</v>
      </c>
      <c r="N121">
        <f t="shared" si="2"/>
        <v>183.28132925691668</v>
      </c>
      <c r="O121">
        <f>IF(AND(OR(D121="S. acutus",D121="S. californicus",D121="S. tabernaemontani"),G121=0),E121*[1]Sheet1!$D$7+[1]Sheet1!$L$7,IF(AND(OR(D121="S. acutus",D121="S. tabernaemontani"),G121&gt;0),E121*[1]Sheet1!$D$8+N121*[1]Sheet1!$E$8,IF(AND(D121="S. californicus",G121&gt;0),E121*[1]Sheet1!$D$9+N121*[1]Sheet1!$E$9,IF(D121="S. maritimus",F121*[1]Sheet1!$C$10+E121*[1]Sheet1!$D$10+G121*[1]Sheet1!$F$10+[1]Sheet1!$L$10,IF(D121="S. americanus",F121*[1]Sheet1!$C$6+E121*[1]Sheet1!$D$6+[1]Sheet1!$L$6,IF(AND(OR(D121="T. domingensis",D121="T. latifolia"),E121&gt;0),F121*[1]Sheet1!$C$4+E121*[1]Sheet1!$D$4+H121*[1]Sheet1!$J$4+I121*[1]Sheet1!$K$4+[1]Sheet1!$L$4,IF(AND(OR(D121="T. domingensis",D121="T. latifolia"),J121&gt;0),J121*[1]Sheet1!$G$5+K121*[1]Sheet1!$H$5+L121*[1]Sheet1!$I$5+[1]Sheet1!$L$5,0)))))))</f>
        <v>21.558568000000001</v>
      </c>
    </row>
    <row r="122" spans="1:15">
      <c r="A122" s="6">
        <v>41521</v>
      </c>
      <c r="B122" s="7" t="s">
        <v>33</v>
      </c>
      <c r="C122">
        <v>22</v>
      </c>
      <c r="D122" t="s">
        <v>24</v>
      </c>
      <c r="E122">
        <v>365</v>
      </c>
      <c r="F122">
        <v>1.77</v>
      </c>
      <c r="N122">
        <f t="shared" si="2"/>
        <v>299.36957237625001</v>
      </c>
      <c r="O122">
        <f>IF(AND(OR(D122="S. acutus",D122="S. californicus",D122="S. tabernaemontani"),G122=0),E122*[1]Sheet1!$D$7+[1]Sheet1!$L$7,IF(AND(OR(D122="S. acutus",D122="S. tabernaemontani"),G122&gt;0),E122*[1]Sheet1!$D$8+N122*[1]Sheet1!$E$8,IF(AND(D122="S. californicus",G122&gt;0),E122*[1]Sheet1!$D$9+N122*[1]Sheet1!$E$9,IF(D122="S. maritimus",F122*[1]Sheet1!$C$10+E122*[1]Sheet1!$D$10+G122*[1]Sheet1!$F$10+[1]Sheet1!$L$10,IF(D122="S. americanus",F122*[1]Sheet1!$C$6+E122*[1]Sheet1!$D$6+[1]Sheet1!$L$6,IF(AND(OR(D122="T. domingensis",D122="T. latifolia"),E122&gt;0),F122*[1]Sheet1!$C$4+E122*[1]Sheet1!$D$4+H122*[1]Sheet1!$J$4+I122*[1]Sheet1!$K$4+[1]Sheet1!$L$4,IF(AND(OR(D122="T. domingensis",D122="T. latifolia"),J122&gt;0),J122*[1]Sheet1!$G$5+K122*[1]Sheet1!$H$5+L122*[1]Sheet1!$I$5+[1]Sheet1!$L$5,0)))))))</f>
        <v>20.997728000000002</v>
      </c>
    </row>
    <row r="123" spans="1:15">
      <c r="A123" s="6">
        <v>41521</v>
      </c>
      <c r="B123" s="7" t="s">
        <v>33</v>
      </c>
      <c r="C123">
        <v>22</v>
      </c>
      <c r="D123" t="s">
        <v>24</v>
      </c>
      <c r="E123">
        <v>196</v>
      </c>
      <c r="F123">
        <v>1.91</v>
      </c>
      <c r="N123">
        <f t="shared" si="2"/>
        <v>187.19362982366664</v>
      </c>
      <c r="O123">
        <f>IF(AND(OR(D123="S. acutus",D123="S. californicus",D123="S. tabernaemontani"),G123=0),E123*[1]Sheet1!$D$7+[1]Sheet1!$L$7,IF(AND(OR(D123="S. acutus",D123="S. tabernaemontani"),G123&gt;0),E123*[1]Sheet1!$D$8+N123*[1]Sheet1!$E$8,IF(AND(D123="S. californicus",G123&gt;0),E123*[1]Sheet1!$D$9+N123*[1]Sheet1!$E$9,IF(D123="S. maritimus",F123*[1]Sheet1!$C$10+E123*[1]Sheet1!$D$10+G123*[1]Sheet1!$F$10+[1]Sheet1!$L$10,IF(D123="S. americanus",F123*[1]Sheet1!$C$6+E123*[1]Sheet1!$D$6+[1]Sheet1!$L$6,IF(AND(OR(D123="T. domingensis",D123="T. latifolia"),E123&gt;0),F123*[1]Sheet1!$C$4+E123*[1]Sheet1!$D$4+H123*[1]Sheet1!$J$4+I123*[1]Sheet1!$K$4+[1]Sheet1!$L$4,IF(AND(OR(D123="T. domingensis",D123="T. latifolia"),J123&gt;0),J123*[1]Sheet1!$G$5+K123*[1]Sheet1!$H$5+L123*[1]Sheet1!$I$5+[1]Sheet1!$L$5,0)))))))</f>
        <v>9.1499829999999989</v>
      </c>
    </row>
    <row r="124" spans="1:15">
      <c r="A124" s="6">
        <v>41521</v>
      </c>
      <c r="B124" s="7" t="s">
        <v>33</v>
      </c>
      <c r="C124">
        <v>22</v>
      </c>
      <c r="D124" t="s">
        <v>24</v>
      </c>
      <c r="E124">
        <v>289</v>
      </c>
      <c r="F124">
        <v>1.96</v>
      </c>
      <c r="N124">
        <f t="shared" si="2"/>
        <v>290.65529913466662</v>
      </c>
      <c r="O124">
        <f>IF(AND(OR(D124="S. acutus",D124="S. californicus",D124="S. tabernaemontani"),G124=0),E124*[1]Sheet1!$D$7+[1]Sheet1!$L$7,IF(AND(OR(D124="S. acutus",D124="S. tabernaemontani"),G124&gt;0),E124*[1]Sheet1!$D$8+N124*[1]Sheet1!$E$8,IF(AND(D124="S. californicus",G124&gt;0),E124*[1]Sheet1!$D$9+N124*[1]Sheet1!$E$9,IF(D124="S. maritimus",F124*[1]Sheet1!$C$10+E124*[1]Sheet1!$D$10+G124*[1]Sheet1!$F$10+[1]Sheet1!$L$10,IF(D124="S. americanus",F124*[1]Sheet1!$C$6+E124*[1]Sheet1!$D$6+[1]Sheet1!$L$6,IF(AND(OR(D124="T. domingensis",D124="T. latifolia"),E124&gt;0),F124*[1]Sheet1!$C$4+E124*[1]Sheet1!$D$4+H124*[1]Sheet1!$J$4+I124*[1]Sheet1!$K$4+[1]Sheet1!$L$4,IF(AND(OR(D124="T. domingensis",D124="T. latifolia"),J124&gt;0),J124*[1]Sheet1!$G$5+K124*[1]Sheet1!$H$5+L124*[1]Sheet1!$I$5+[1]Sheet1!$L$5,0)))))))</f>
        <v>15.669748000000002</v>
      </c>
    </row>
    <row r="125" spans="1:15">
      <c r="A125" s="6">
        <v>41521</v>
      </c>
      <c r="B125" s="7" t="s">
        <v>33</v>
      </c>
      <c r="C125">
        <v>22</v>
      </c>
      <c r="D125" t="s">
        <v>24</v>
      </c>
      <c r="E125">
        <v>307</v>
      </c>
      <c r="F125">
        <v>1.8</v>
      </c>
      <c r="N125">
        <f t="shared" si="2"/>
        <v>260.4063951</v>
      </c>
      <c r="O125">
        <f>IF(AND(OR(D125="S. acutus",D125="S. californicus",D125="S. tabernaemontani"),G125=0),E125*[1]Sheet1!$D$7+[1]Sheet1!$L$7,IF(AND(OR(D125="S. acutus",D125="S. tabernaemontani"),G125&gt;0),E125*[1]Sheet1!$D$8+N125*[1]Sheet1!$E$8,IF(AND(D125="S. californicus",G125&gt;0),E125*[1]Sheet1!$D$9+N125*[1]Sheet1!$E$9,IF(D125="S. maritimus",F125*[1]Sheet1!$C$10+E125*[1]Sheet1!$D$10+G125*[1]Sheet1!$F$10+[1]Sheet1!$L$10,IF(D125="S. americanus",F125*[1]Sheet1!$C$6+E125*[1]Sheet1!$D$6+[1]Sheet1!$L$6,IF(AND(OR(D125="T. domingensis",D125="T. latifolia"),E125&gt;0),F125*[1]Sheet1!$C$4+E125*[1]Sheet1!$D$4+H125*[1]Sheet1!$J$4+I125*[1]Sheet1!$K$4+[1]Sheet1!$L$4,IF(AND(OR(D125="T. domingensis",D125="T. latifolia"),J125&gt;0),J125*[1]Sheet1!$G$5+K125*[1]Sheet1!$H$5+L125*[1]Sheet1!$I$5+[1]Sheet1!$L$5,0)))))))</f>
        <v>16.931638</v>
      </c>
    </row>
    <row r="126" spans="1:15">
      <c r="A126" s="6">
        <v>41521</v>
      </c>
      <c r="B126" s="7" t="s">
        <v>33</v>
      </c>
      <c r="C126">
        <v>22</v>
      </c>
      <c r="D126" t="s">
        <v>24</v>
      </c>
      <c r="E126">
        <v>249</v>
      </c>
      <c r="F126">
        <v>1.64</v>
      </c>
      <c r="N126">
        <f t="shared" si="2"/>
        <v>175.32962462799995</v>
      </c>
      <c r="O126">
        <f>IF(AND(OR(D126="S. acutus",D126="S. californicus",D126="S. tabernaemontani"),G126=0),E126*[1]Sheet1!$D$7+[1]Sheet1!$L$7,IF(AND(OR(D126="S. acutus",D126="S. tabernaemontani"),G126&gt;0),E126*[1]Sheet1!$D$8+N126*[1]Sheet1!$E$8,IF(AND(D126="S. californicus",G126&gt;0),E126*[1]Sheet1!$D$9+N126*[1]Sheet1!$E$9,IF(D126="S. maritimus",F126*[1]Sheet1!$C$10+E126*[1]Sheet1!$D$10+G126*[1]Sheet1!$F$10+[1]Sheet1!$L$10,IF(D126="S. americanus",F126*[1]Sheet1!$C$6+E126*[1]Sheet1!$D$6+[1]Sheet1!$L$6,IF(AND(OR(D126="T. domingensis",D126="T. latifolia"),E126&gt;0),F126*[1]Sheet1!$C$4+E126*[1]Sheet1!$D$4+H126*[1]Sheet1!$J$4+I126*[1]Sheet1!$K$4+[1]Sheet1!$L$4,IF(AND(OR(D126="T. domingensis",D126="T. latifolia"),J126&gt;0),J126*[1]Sheet1!$G$5+K126*[1]Sheet1!$H$5+L126*[1]Sheet1!$I$5+[1]Sheet1!$L$5,0)))))))</f>
        <v>12.865548</v>
      </c>
    </row>
    <row r="127" spans="1:15">
      <c r="A127" s="6">
        <v>41521</v>
      </c>
      <c r="B127" s="7" t="s">
        <v>33</v>
      </c>
      <c r="C127">
        <v>22</v>
      </c>
      <c r="D127" t="s">
        <v>24</v>
      </c>
      <c r="E127">
        <v>234</v>
      </c>
      <c r="F127">
        <v>1.67</v>
      </c>
      <c r="N127">
        <f t="shared" si="2"/>
        <v>170.85081684449997</v>
      </c>
      <c r="O127">
        <f>IF(AND(OR(D127="S. acutus",D127="S. californicus",D127="S. tabernaemontani"),G127=0),E127*[1]Sheet1!$D$7+[1]Sheet1!$L$7,IF(AND(OR(D127="S. acutus",D127="S. tabernaemontani"),G127&gt;0),E127*[1]Sheet1!$D$8+N127*[1]Sheet1!$E$8,IF(AND(D127="S. californicus",G127&gt;0),E127*[1]Sheet1!$D$9+N127*[1]Sheet1!$E$9,IF(D127="S. maritimus",F127*[1]Sheet1!$C$10+E127*[1]Sheet1!$D$10+G127*[1]Sheet1!$F$10+[1]Sheet1!$L$10,IF(D127="S. americanus",F127*[1]Sheet1!$C$6+E127*[1]Sheet1!$D$6+[1]Sheet1!$L$6,IF(AND(OR(D127="T. domingensis",D127="T. latifolia"),E127&gt;0),F127*[1]Sheet1!$C$4+E127*[1]Sheet1!$D$4+H127*[1]Sheet1!$J$4+I127*[1]Sheet1!$K$4+[1]Sheet1!$L$4,IF(AND(OR(D127="T. domingensis",D127="T. latifolia"),J127&gt;0),J127*[1]Sheet1!$G$5+K127*[1]Sheet1!$H$5+L127*[1]Sheet1!$I$5+[1]Sheet1!$L$5,0)))))))</f>
        <v>11.813973000000001</v>
      </c>
    </row>
    <row r="128" spans="1:15">
      <c r="A128" s="6">
        <v>41521</v>
      </c>
      <c r="B128" s="7" t="s">
        <v>33</v>
      </c>
      <c r="C128">
        <v>22</v>
      </c>
      <c r="D128" t="s">
        <v>24</v>
      </c>
      <c r="E128">
        <v>227</v>
      </c>
      <c r="F128">
        <v>1.64</v>
      </c>
      <c r="N128">
        <f t="shared" si="2"/>
        <v>159.83865377733329</v>
      </c>
      <c r="O128">
        <f>IF(AND(OR(D128="S. acutus",D128="S. californicus",D128="S. tabernaemontani"),G128=0),E128*[1]Sheet1!$D$7+[1]Sheet1!$L$7,IF(AND(OR(D128="S. acutus",D128="S. tabernaemontani"),G128&gt;0),E128*[1]Sheet1!$D$8+N128*[1]Sheet1!$E$8,IF(AND(D128="S. californicus",G128&gt;0),E128*[1]Sheet1!$D$9+N128*[1]Sheet1!$E$9,IF(D128="S. maritimus",F128*[1]Sheet1!$C$10+E128*[1]Sheet1!$D$10+G128*[1]Sheet1!$F$10+[1]Sheet1!$L$10,IF(D128="S. americanus",F128*[1]Sheet1!$C$6+E128*[1]Sheet1!$D$6+[1]Sheet1!$L$6,IF(AND(OR(D128="T. domingensis",D128="T. latifolia"),E128&gt;0),F128*[1]Sheet1!$C$4+E128*[1]Sheet1!$D$4+H128*[1]Sheet1!$J$4+I128*[1]Sheet1!$K$4+[1]Sheet1!$L$4,IF(AND(OR(D128="T. domingensis",D128="T. latifolia"),J128&gt;0),J128*[1]Sheet1!$G$5+K128*[1]Sheet1!$H$5+L128*[1]Sheet1!$I$5+[1]Sheet1!$L$5,0)))))))</f>
        <v>11.323238</v>
      </c>
    </row>
    <row r="129" spans="1:15">
      <c r="A129" s="6">
        <v>41521</v>
      </c>
      <c r="B129" s="7" t="s">
        <v>33</v>
      </c>
      <c r="C129">
        <v>22</v>
      </c>
      <c r="D129" t="s">
        <v>24</v>
      </c>
      <c r="E129">
        <v>166</v>
      </c>
      <c r="F129">
        <v>1.18</v>
      </c>
      <c r="N129">
        <f t="shared" si="2"/>
        <v>60.511840504666658</v>
      </c>
      <c r="O129">
        <f>IF(AND(OR(D129="S. acutus",D129="S. californicus",D129="S. tabernaemontani"),G129=0),E129*[1]Sheet1!$D$7+[1]Sheet1!$L$7,IF(AND(OR(D129="S. acutus",D129="S. tabernaemontani"),G129&gt;0),E129*[1]Sheet1!$D$8+N129*[1]Sheet1!$E$8,IF(AND(D129="S. californicus",G129&gt;0),E129*[1]Sheet1!$D$9+N129*[1]Sheet1!$E$9,IF(D129="S. maritimus",F129*[1]Sheet1!$C$10+E129*[1]Sheet1!$D$10+G129*[1]Sheet1!$F$10+[1]Sheet1!$L$10,IF(D129="S. americanus",F129*[1]Sheet1!$C$6+E129*[1]Sheet1!$D$6+[1]Sheet1!$L$6,IF(AND(OR(D129="T. domingensis",D129="T. latifolia"),E129&gt;0),F129*[1]Sheet1!$C$4+E129*[1]Sheet1!$D$4+H129*[1]Sheet1!$J$4+I129*[1]Sheet1!$K$4+[1]Sheet1!$L$4,IF(AND(OR(D129="T. domingensis",D129="T. latifolia"),J129&gt;0),J129*[1]Sheet1!$G$5+K129*[1]Sheet1!$H$5+L129*[1]Sheet1!$I$5+[1]Sheet1!$L$5,0)))))))</f>
        <v>7.0468330000000003</v>
      </c>
    </row>
    <row r="130" spans="1:15">
      <c r="A130" s="6">
        <v>41521</v>
      </c>
      <c r="B130" s="7" t="s">
        <v>33</v>
      </c>
      <c r="C130">
        <v>22</v>
      </c>
      <c r="D130" t="s">
        <v>24</v>
      </c>
      <c r="E130">
        <v>257</v>
      </c>
      <c r="F130">
        <v>1.8</v>
      </c>
      <c r="N130">
        <f t="shared" si="2"/>
        <v>217.9949301</v>
      </c>
      <c r="O130">
        <f>IF(AND(OR(D130="S. acutus",D130="S. californicus",D130="S. tabernaemontani"),G130=0),E130*[1]Sheet1!$D$7+[1]Sheet1!$L$7,IF(AND(OR(D130="S. acutus",D130="S. tabernaemontani"),G130&gt;0),E130*[1]Sheet1!$D$8+N130*[1]Sheet1!$E$8,IF(AND(D130="S. californicus",G130&gt;0),E130*[1]Sheet1!$D$9+N130*[1]Sheet1!$E$9,IF(D130="S. maritimus",F130*[1]Sheet1!$C$10+E130*[1]Sheet1!$D$10+G130*[1]Sheet1!$F$10+[1]Sheet1!$L$10,IF(D130="S. americanus",F130*[1]Sheet1!$C$6+E130*[1]Sheet1!$D$6+[1]Sheet1!$L$6,IF(AND(OR(D130="T. domingensis",D130="T. latifolia"),E130&gt;0),F130*[1]Sheet1!$C$4+E130*[1]Sheet1!$D$4+H130*[1]Sheet1!$J$4+I130*[1]Sheet1!$K$4+[1]Sheet1!$L$4,IF(AND(OR(D130="T. domingensis",D130="T. latifolia"),J130&gt;0),J130*[1]Sheet1!$G$5+K130*[1]Sheet1!$H$5+L130*[1]Sheet1!$I$5+[1]Sheet1!$L$5,0)))))))</f>
        <v>13.426388000000003</v>
      </c>
    </row>
    <row r="131" spans="1:15">
      <c r="A131" s="6">
        <v>41521</v>
      </c>
      <c r="B131" s="7" t="s">
        <v>33</v>
      </c>
      <c r="C131">
        <v>22</v>
      </c>
      <c r="D131" t="s">
        <v>24</v>
      </c>
      <c r="E131">
        <v>217</v>
      </c>
      <c r="F131">
        <v>1.98</v>
      </c>
      <c r="N131">
        <f t="shared" si="2"/>
        <v>222.71956730099998</v>
      </c>
      <c r="O131">
        <f>IF(AND(OR(D131="S. acutus",D131="S. californicus",D131="S. tabernaemontani"),G131=0),E131*[1]Sheet1!$D$7+[1]Sheet1!$L$7,IF(AND(OR(D131="S. acutus",D131="S. tabernaemontani"),G131&gt;0),E131*[1]Sheet1!$D$8+N131*[1]Sheet1!$E$8,IF(AND(D131="S. californicus",G131&gt;0),E131*[1]Sheet1!$D$9+N131*[1]Sheet1!$E$9,IF(D131="S. maritimus",F131*[1]Sheet1!$C$10+E131*[1]Sheet1!$D$10+G131*[1]Sheet1!$F$10+[1]Sheet1!$L$10,IF(D131="S. americanus",F131*[1]Sheet1!$C$6+E131*[1]Sheet1!$D$6+[1]Sheet1!$L$6,IF(AND(OR(D131="T. domingensis",D131="T. latifolia"),E131&gt;0),F131*[1]Sheet1!$C$4+E131*[1]Sheet1!$D$4+H131*[1]Sheet1!$J$4+I131*[1]Sheet1!$K$4+[1]Sheet1!$L$4,IF(AND(OR(D131="T. domingensis",D131="T. latifolia"),J131&gt;0),J131*[1]Sheet1!$G$5+K131*[1]Sheet1!$H$5+L131*[1]Sheet1!$I$5+[1]Sheet1!$L$5,0)))))))</f>
        <v>10.622188000000001</v>
      </c>
    </row>
    <row r="132" spans="1:15">
      <c r="A132" s="6">
        <v>41521</v>
      </c>
      <c r="B132" s="7" t="s">
        <v>33</v>
      </c>
      <c r="C132">
        <v>22</v>
      </c>
      <c r="D132" t="s">
        <v>24</v>
      </c>
      <c r="E132">
        <v>178</v>
      </c>
      <c r="F132">
        <v>1.72</v>
      </c>
      <c r="N132">
        <f t="shared" si="2"/>
        <v>137.86218453066664</v>
      </c>
      <c r="O132">
        <f>IF(AND(OR(D132="S. acutus",D132="S. californicus",D132="S. tabernaemontani"),G132=0),E132*[1]Sheet1!$D$7+[1]Sheet1!$L$7,IF(AND(OR(D132="S. acutus",D132="S. tabernaemontani"),G132&gt;0),E132*[1]Sheet1!$D$8+N132*[1]Sheet1!$E$8,IF(AND(D132="S. californicus",G132&gt;0),E132*[1]Sheet1!$D$9+N132*[1]Sheet1!$E$9,IF(D132="S. maritimus",F132*[1]Sheet1!$C$10+E132*[1]Sheet1!$D$10+G132*[1]Sheet1!$F$10+[1]Sheet1!$L$10,IF(D132="S. americanus",F132*[1]Sheet1!$C$6+E132*[1]Sheet1!$D$6+[1]Sheet1!$L$6,IF(AND(OR(D132="T. domingensis",D132="T. latifolia"),E132&gt;0),F132*[1]Sheet1!$C$4+E132*[1]Sheet1!$D$4+H132*[1]Sheet1!$J$4+I132*[1]Sheet1!$K$4+[1]Sheet1!$L$4,IF(AND(OR(D132="T. domingensis",D132="T. latifolia"),J132&gt;0),J132*[1]Sheet1!$G$5+K132*[1]Sheet1!$H$5+L132*[1]Sheet1!$I$5+[1]Sheet1!$L$5,0)))))))</f>
        <v>7.8880930000000005</v>
      </c>
    </row>
    <row r="133" spans="1:15">
      <c r="A133" s="6">
        <v>41521</v>
      </c>
      <c r="B133" s="7" t="s">
        <v>33</v>
      </c>
      <c r="C133">
        <v>22</v>
      </c>
      <c r="D133" t="s">
        <v>24</v>
      </c>
      <c r="E133">
        <v>341</v>
      </c>
      <c r="F133">
        <v>1.82</v>
      </c>
      <c r="N133">
        <f t="shared" ref="N133:N196" si="3">IF(OR(D133="S. acutus", D133="S. tabernaemontani", D133="S. californicus"),(1/3)*(3.14159)*((F133/2)^2)*E133,"NA")</f>
        <v>295.70959384633329</v>
      </c>
      <c r="O133">
        <f>IF(AND(OR(D133="S. acutus",D133="S. californicus",D133="S. tabernaemontani"),G133=0),E133*[1]Sheet1!$D$7+[1]Sheet1!$L$7,IF(AND(OR(D133="S. acutus",D133="S. tabernaemontani"),G133&gt;0),E133*[1]Sheet1!$D$8+N133*[1]Sheet1!$E$8,IF(AND(D133="S. californicus",G133&gt;0),E133*[1]Sheet1!$D$9+N133*[1]Sheet1!$E$9,IF(D133="S. maritimus",F133*[1]Sheet1!$C$10+E133*[1]Sheet1!$D$10+G133*[1]Sheet1!$F$10+[1]Sheet1!$L$10,IF(D133="S. americanus",F133*[1]Sheet1!$C$6+E133*[1]Sheet1!$D$6+[1]Sheet1!$L$6,IF(AND(OR(D133="T. domingensis",D133="T. latifolia"),E133&gt;0),F133*[1]Sheet1!$C$4+E133*[1]Sheet1!$D$4+H133*[1]Sheet1!$J$4+I133*[1]Sheet1!$K$4+[1]Sheet1!$L$4,IF(AND(OR(D133="T. domingensis",D133="T. latifolia"),J133&gt;0),J133*[1]Sheet1!$G$5+K133*[1]Sheet1!$H$5+L133*[1]Sheet1!$I$5+[1]Sheet1!$L$5,0)))))))</f>
        <v>19.315208000000002</v>
      </c>
    </row>
    <row r="134" spans="1:15">
      <c r="A134" s="6">
        <v>41521</v>
      </c>
      <c r="B134" s="7" t="s">
        <v>33</v>
      </c>
      <c r="C134">
        <v>22</v>
      </c>
      <c r="D134" t="s">
        <v>24</v>
      </c>
      <c r="E134">
        <v>263</v>
      </c>
      <c r="F134">
        <v>1.65</v>
      </c>
      <c r="N134">
        <f t="shared" si="3"/>
        <v>187.45278481874996</v>
      </c>
      <c r="O134">
        <f>IF(AND(OR(D134="S. acutus",D134="S. californicus",D134="S. tabernaemontani"),G134=0),E134*[1]Sheet1!$D$7+[1]Sheet1!$L$7,IF(AND(OR(D134="S. acutus",D134="S. tabernaemontani"),G134&gt;0),E134*[1]Sheet1!$D$8+N134*[1]Sheet1!$E$8,IF(AND(D134="S. californicus",G134&gt;0),E134*[1]Sheet1!$D$9+N134*[1]Sheet1!$E$9,IF(D134="S. maritimus",F134*[1]Sheet1!$C$10+E134*[1]Sheet1!$D$10+G134*[1]Sheet1!$F$10+[1]Sheet1!$L$10,IF(D134="S. americanus",F134*[1]Sheet1!$C$6+E134*[1]Sheet1!$D$6+[1]Sheet1!$L$6,IF(AND(OR(D134="T. domingensis",D134="T. latifolia"),E134&gt;0),F134*[1]Sheet1!$C$4+E134*[1]Sheet1!$D$4+H134*[1]Sheet1!$J$4+I134*[1]Sheet1!$K$4+[1]Sheet1!$L$4,IF(AND(OR(D134="T. domingensis",D134="T. latifolia"),J134&gt;0),J134*[1]Sheet1!$G$5+K134*[1]Sheet1!$H$5+L134*[1]Sheet1!$I$5+[1]Sheet1!$L$5,0)))))))</f>
        <v>13.847018000000002</v>
      </c>
    </row>
    <row r="135" spans="1:15">
      <c r="A135" s="6">
        <v>41521</v>
      </c>
      <c r="B135" s="7" t="s">
        <v>33</v>
      </c>
      <c r="C135">
        <v>22</v>
      </c>
      <c r="D135" t="s">
        <v>23</v>
      </c>
      <c r="F135">
        <v>3</v>
      </c>
      <c r="J135">
        <f>179+212+225+244+257</f>
        <v>1117</v>
      </c>
      <c r="K135">
        <v>5</v>
      </c>
      <c r="L135">
        <v>257</v>
      </c>
      <c r="N135" t="str">
        <f t="shared" si="3"/>
        <v>NA</v>
      </c>
      <c r="O135">
        <f>IF(AND(OR(D135="S. acutus",D135="S. californicus",D135="S. tabernaemontani"),G135=0),E135*[1]Sheet1!$D$7+[1]Sheet1!$L$7,IF(AND(OR(D135="S. acutus",D135="S. tabernaemontani"),G135&gt;0),E135*[1]Sheet1!$D$8+N135*[1]Sheet1!$E$8,IF(AND(D135="S. californicus",G135&gt;0),E135*[1]Sheet1!$D$9+N135*[1]Sheet1!$E$9,IF(D135="S. maritimus",F135*[1]Sheet1!$C$10+E135*[1]Sheet1!$D$10+G135*[1]Sheet1!$F$10+[1]Sheet1!$L$10,IF(D135="S. americanus",F135*[1]Sheet1!$C$6+E135*[1]Sheet1!$D$6+[1]Sheet1!$L$6,IF(AND(OR(D135="T. domingensis",D135="T. latifolia"),E135&gt;0),F135*[1]Sheet1!$C$4+E135*[1]Sheet1!$D$4+H135*[1]Sheet1!$J$4+I135*[1]Sheet1!$K$4+[1]Sheet1!$L$4,IF(AND(OR(D135="T. domingensis",D135="T. latifolia"),J135&gt;0),J135*[1]Sheet1!$G$5+K135*[1]Sheet1!$H$5+L135*[1]Sheet1!$I$5+[1]Sheet1!$L$5,0)))))))</f>
        <v>25.229589000000011</v>
      </c>
    </row>
    <row r="136" spans="1:15">
      <c r="A136" s="6">
        <v>41521</v>
      </c>
      <c r="B136" s="7" t="s">
        <v>33</v>
      </c>
      <c r="C136">
        <v>22</v>
      </c>
      <c r="D136" t="s">
        <v>23</v>
      </c>
      <c r="F136">
        <v>6</v>
      </c>
      <c r="J136">
        <f>258+221+230+236+240+253</f>
        <v>1438</v>
      </c>
      <c r="K136">
        <v>6</v>
      </c>
      <c r="L136">
        <v>253</v>
      </c>
      <c r="N136" t="str">
        <f t="shared" si="3"/>
        <v>NA</v>
      </c>
      <c r="O136">
        <f>IF(AND(OR(D136="S. acutus",D136="S. californicus",D136="S. tabernaemontani"),G136=0),E136*[1]Sheet1!$D$7+[1]Sheet1!$L$7,IF(AND(OR(D136="S. acutus",D136="S. tabernaemontani"),G136&gt;0),E136*[1]Sheet1!$D$8+N136*[1]Sheet1!$E$8,IF(AND(D136="S. californicus",G136&gt;0),E136*[1]Sheet1!$D$9+N136*[1]Sheet1!$E$9,IF(D136="S. maritimus",F136*[1]Sheet1!$C$10+E136*[1]Sheet1!$D$10+G136*[1]Sheet1!$F$10+[1]Sheet1!$L$10,IF(D136="S. americanus",F136*[1]Sheet1!$C$6+E136*[1]Sheet1!$D$6+[1]Sheet1!$L$6,IF(AND(OR(D136="T. domingensis",D136="T. latifolia"),E136&gt;0),F136*[1]Sheet1!$C$4+E136*[1]Sheet1!$D$4+H136*[1]Sheet1!$J$4+I136*[1]Sheet1!$K$4+[1]Sheet1!$L$4,IF(AND(OR(D136="T. domingensis",D136="T. latifolia"),J136&gt;0),J136*[1]Sheet1!$G$5+K136*[1]Sheet1!$H$5+L136*[1]Sheet1!$I$5+[1]Sheet1!$L$5,0)))))))</f>
        <v>49.507571000000006</v>
      </c>
    </row>
    <row r="137" spans="1:15">
      <c r="A137" s="6">
        <v>41521</v>
      </c>
      <c r="B137" s="7" t="s">
        <v>33</v>
      </c>
      <c r="C137">
        <v>22</v>
      </c>
      <c r="D137" t="s">
        <v>23</v>
      </c>
      <c r="F137">
        <v>5.15</v>
      </c>
      <c r="J137">
        <f>269+297+296+346+346+344+345+308</f>
        <v>2551</v>
      </c>
      <c r="K137">
        <v>8</v>
      </c>
      <c r="L137">
        <v>346</v>
      </c>
      <c r="N137" t="str">
        <f t="shared" si="3"/>
        <v>NA</v>
      </c>
      <c r="O137">
        <f>IF(AND(OR(D137="S. acutus",D137="S. californicus",D137="S. tabernaemontani"),G137=0),E137*[1]Sheet1!$D$7+[1]Sheet1!$L$7,IF(AND(OR(D137="S. acutus",D137="S. tabernaemontani"),G137&gt;0),E137*[1]Sheet1!$D$8+N137*[1]Sheet1!$E$8,IF(AND(D137="S. californicus",G137&gt;0),E137*[1]Sheet1!$D$9+N137*[1]Sheet1!$E$9,IF(D137="S. maritimus",F137*[1]Sheet1!$C$10+E137*[1]Sheet1!$D$10+G137*[1]Sheet1!$F$10+[1]Sheet1!$L$10,IF(D137="S. americanus",F137*[1]Sheet1!$C$6+E137*[1]Sheet1!$D$6+[1]Sheet1!$L$6,IF(AND(OR(D137="T. domingensis",D137="T. latifolia"),E137&gt;0),F137*[1]Sheet1!$C$4+E137*[1]Sheet1!$D$4+H137*[1]Sheet1!$J$4+I137*[1]Sheet1!$K$4+[1]Sheet1!$L$4,IF(AND(OR(D137="T. domingensis",D137="T. latifolia"),J137&gt;0),J137*[1]Sheet1!$G$5+K137*[1]Sheet1!$H$5+L137*[1]Sheet1!$I$5+[1]Sheet1!$L$5,0)))))))</f>
        <v>111.79639500000005</v>
      </c>
    </row>
    <row r="138" spans="1:15">
      <c r="A138" s="6">
        <v>41521</v>
      </c>
      <c r="B138" s="7" t="s">
        <v>33</v>
      </c>
      <c r="C138">
        <v>22</v>
      </c>
      <c r="D138" t="s">
        <v>23</v>
      </c>
      <c r="F138">
        <v>2.65</v>
      </c>
      <c r="J138">
        <f>232+299+311+347+360</f>
        <v>1549</v>
      </c>
      <c r="K138">
        <v>5</v>
      </c>
      <c r="L138">
        <v>360</v>
      </c>
      <c r="N138" t="str">
        <f t="shared" si="3"/>
        <v>NA</v>
      </c>
      <c r="O138">
        <f>IF(AND(OR(D138="S. acutus",D138="S. californicus",D138="S. tabernaemontani"),G138=0),E138*[1]Sheet1!$D$7+[1]Sheet1!$L$7,IF(AND(OR(D138="S. acutus",D138="S. tabernaemontani"),G138&gt;0),E138*[1]Sheet1!$D$8+N138*[1]Sheet1!$E$8,IF(AND(D138="S. californicus",G138&gt;0),E138*[1]Sheet1!$D$9+N138*[1]Sheet1!$E$9,IF(D138="S. maritimus",F138*[1]Sheet1!$C$10+E138*[1]Sheet1!$D$10+G138*[1]Sheet1!$F$10+[1]Sheet1!$L$10,IF(D138="S. americanus",F138*[1]Sheet1!$C$6+E138*[1]Sheet1!$D$6+[1]Sheet1!$L$6,IF(AND(OR(D138="T. domingensis",D138="T. latifolia"),E138&gt;0),F138*[1]Sheet1!$C$4+E138*[1]Sheet1!$D$4+H138*[1]Sheet1!$J$4+I138*[1]Sheet1!$K$4+[1]Sheet1!$L$4,IF(AND(OR(D138="T. domingensis",D138="T. latifolia"),J138&gt;0),J138*[1]Sheet1!$G$5+K138*[1]Sheet1!$H$5+L138*[1]Sheet1!$I$5+[1]Sheet1!$L$5,0)))))))</f>
        <v>34.703514000000006</v>
      </c>
    </row>
    <row r="139" spans="1:15">
      <c r="A139" s="6">
        <v>41521</v>
      </c>
      <c r="B139" s="7" t="s">
        <v>33</v>
      </c>
      <c r="C139">
        <v>22</v>
      </c>
      <c r="D139" t="s">
        <v>23</v>
      </c>
      <c r="F139">
        <v>1.87</v>
      </c>
      <c r="J139">
        <v>75</v>
      </c>
      <c r="K139">
        <v>1</v>
      </c>
      <c r="L139">
        <v>75</v>
      </c>
      <c r="N139" t="str">
        <f t="shared" si="3"/>
        <v>NA</v>
      </c>
      <c r="O139">
        <f>IF(AND(OR(D139="S. acutus",D139="S. californicus",D139="S. tabernaemontani"),G139=0),E139*[1]Sheet1!$D$7+[1]Sheet1!$L$7,IF(AND(OR(D139="S. acutus",D139="S. tabernaemontani"),G139&gt;0),E139*[1]Sheet1!$D$8+N139*[1]Sheet1!$E$8,IF(AND(D139="S. californicus",G139&gt;0),E139*[1]Sheet1!$D$9+N139*[1]Sheet1!$E$9,IF(D139="S. maritimus",F139*[1]Sheet1!$C$10+E139*[1]Sheet1!$D$10+G139*[1]Sheet1!$F$10+[1]Sheet1!$L$10,IF(D139="S. americanus",F139*[1]Sheet1!$C$6+E139*[1]Sheet1!$D$6+[1]Sheet1!$L$6,IF(AND(OR(D139="T. domingensis",D139="T. latifolia"),E139&gt;0),F139*[1]Sheet1!$C$4+E139*[1]Sheet1!$D$4+H139*[1]Sheet1!$J$4+I139*[1]Sheet1!$K$4+[1]Sheet1!$L$4,IF(AND(OR(D139="T. domingensis",D139="T. latifolia"),J139&gt;0),J139*[1]Sheet1!$G$5+K139*[1]Sheet1!$H$5+L139*[1]Sheet1!$I$5+[1]Sheet1!$L$5,0)))))))</f>
        <v>10.452880999999998</v>
      </c>
    </row>
    <row r="140" spans="1:15">
      <c r="A140" s="6">
        <v>41521</v>
      </c>
      <c r="B140" s="7" t="s">
        <v>33</v>
      </c>
      <c r="C140">
        <v>22</v>
      </c>
      <c r="D140" t="s">
        <v>23</v>
      </c>
      <c r="F140">
        <v>3.28</v>
      </c>
      <c r="J140">
        <f>210+247+316+328</f>
        <v>1101</v>
      </c>
      <c r="K140">
        <v>4</v>
      </c>
      <c r="L140">
        <v>328</v>
      </c>
      <c r="N140" t="str">
        <f t="shared" si="3"/>
        <v>NA</v>
      </c>
      <c r="O140">
        <f>IF(AND(OR(D140="S. acutus",D140="S. californicus",D140="S. tabernaemontani"),G140=0),E140*[1]Sheet1!$D$7+[1]Sheet1!$L$7,IF(AND(OR(D140="S. acutus",D140="S. tabernaemontani"),G140&gt;0),E140*[1]Sheet1!$D$8+N140*[1]Sheet1!$E$8,IF(AND(D140="S. californicus",G140&gt;0),E140*[1]Sheet1!$D$9+N140*[1]Sheet1!$E$9,IF(D140="S. maritimus",F140*[1]Sheet1!$C$10+E140*[1]Sheet1!$D$10+G140*[1]Sheet1!$F$10+[1]Sheet1!$L$10,IF(D140="S. americanus",F140*[1]Sheet1!$C$6+E140*[1]Sheet1!$D$6+[1]Sheet1!$L$6,IF(AND(OR(D140="T. domingensis",D140="T. latifolia"),E140&gt;0),F140*[1]Sheet1!$C$4+E140*[1]Sheet1!$D$4+H140*[1]Sheet1!$J$4+I140*[1]Sheet1!$K$4+[1]Sheet1!$L$4,IF(AND(OR(D140="T. domingensis",D140="T. latifolia"),J140&gt;0),J140*[1]Sheet1!$G$5+K140*[1]Sheet1!$H$5+L140*[1]Sheet1!$I$5+[1]Sheet1!$L$5,0)))))))</f>
        <v>9.3634670000000071</v>
      </c>
    </row>
    <row r="141" spans="1:15">
      <c r="A141" s="6">
        <v>41521</v>
      </c>
      <c r="B141" s="7" t="s">
        <v>33</v>
      </c>
      <c r="C141">
        <v>22</v>
      </c>
      <c r="D141" t="s">
        <v>23</v>
      </c>
      <c r="F141">
        <v>2.91</v>
      </c>
      <c r="J141">
        <f>260+305+331+349+351+380</f>
        <v>1976</v>
      </c>
      <c r="K141">
        <v>6</v>
      </c>
      <c r="L141">
        <v>380</v>
      </c>
      <c r="N141" t="str">
        <f t="shared" si="3"/>
        <v>NA</v>
      </c>
      <c r="O141">
        <f>IF(AND(OR(D141="S. acutus",D141="S. californicus",D141="S. tabernaemontani"),G141=0),E141*[1]Sheet1!$D$7+[1]Sheet1!$L$7,IF(AND(OR(D141="S. acutus",D141="S. tabernaemontani"),G141&gt;0),E141*[1]Sheet1!$D$8+N141*[1]Sheet1!$E$8,IF(AND(D141="S. californicus",G141&gt;0),E141*[1]Sheet1!$D$9+N141*[1]Sheet1!$E$9,IF(D141="S. maritimus",F141*[1]Sheet1!$C$10+E141*[1]Sheet1!$D$10+G141*[1]Sheet1!$F$10+[1]Sheet1!$L$10,IF(D141="S. americanus",F141*[1]Sheet1!$C$6+E141*[1]Sheet1!$D$6+[1]Sheet1!$L$6,IF(AND(OR(D141="T. domingensis",D141="T. latifolia"),E141&gt;0),F141*[1]Sheet1!$C$4+E141*[1]Sheet1!$D$4+H141*[1]Sheet1!$J$4+I141*[1]Sheet1!$K$4+[1]Sheet1!$L$4,IF(AND(OR(D141="T. domingensis",D141="T. latifolia"),J141&gt;0),J141*[1]Sheet1!$G$5+K141*[1]Sheet1!$H$5+L141*[1]Sheet1!$I$5+[1]Sheet1!$L$5,0)))))))</f>
        <v>61.689646000000018</v>
      </c>
    </row>
    <row r="142" spans="1:15">
      <c r="A142" s="6">
        <v>41521</v>
      </c>
      <c r="B142" s="7" t="s">
        <v>33</v>
      </c>
      <c r="C142">
        <v>22</v>
      </c>
      <c r="D142" t="s">
        <v>19</v>
      </c>
      <c r="F142">
        <v>6.33</v>
      </c>
      <c r="J142">
        <f>255+281+309+317+335+335+350</f>
        <v>2182</v>
      </c>
      <c r="K142">
        <v>7</v>
      </c>
      <c r="L142">
        <v>350</v>
      </c>
      <c r="N142" t="str">
        <f t="shared" si="3"/>
        <v>NA</v>
      </c>
      <c r="O142">
        <f>IF(AND(OR(D142="S. acutus",D142="S. californicus",D142="S. tabernaemontani"),G142=0),E142*[1]Sheet1!$D$7+[1]Sheet1!$L$7,IF(AND(OR(D142="S. acutus",D142="S. tabernaemontani"),G142&gt;0),E142*[1]Sheet1!$D$8+N142*[1]Sheet1!$E$8,IF(AND(D142="S. californicus",G142&gt;0),E142*[1]Sheet1!$D$9+N142*[1]Sheet1!$E$9,IF(D142="S. maritimus",F142*[1]Sheet1!$C$10+E142*[1]Sheet1!$D$10+G142*[1]Sheet1!$F$10+[1]Sheet1!$L$10,IF(D142="S. americanus",F142*[1]Sheet1!$C$6+E142*[1]Sheet1!$D$6+[1]Sheet1!$L$6,IF(AND(OR(D142="T. domingensis",D142="T. latifolia"),E142&gt;0),F142*[1]Sheet1!$C$4+E142*[1]Sheet1!$D$4+H142*[1]Sheet1!$J$4+I142*[1]Sheet1!$K$4+[1]Sheet1!$L$4,IF(AND(OR(D142="T. domingensis",D142="T. latifolia"),J142&gt;0),J142*[1]Sheet1!$G$5+K142*[1]Sheet1!$H$5+L142*[1]Sheet1!$I$5+[1]Sheet1!$L$5,0)))))))</f>
        <v>83.018173000000019</v>
      </c>
    </row>
    <row r="143" spans="1:15">
      <c r="A143" s="6">
        <v>41521</v>
      </c>
      <c r="B143" s="7" t="s">
        <v>33</v>
      </c>
      <c r="C143">
        <v>31</v>
      </c>
      <c r="D143" t="s">
        <v>24</v>
      </c>
      <c r="E143">
        <v>293</v>
      </c>
      <c r="F143">
        <v>2.13</v>
      </c>
      <c r="G143">
        <v>8</v>
      </c>
      <c r="N143">
        <f t="shared" si="3"/>
        <v>348.0126953002499</v>
      </c>
      <c r="O143">
        <f>IF(AND(OR(D143="S. acutus",D143="S. californicus",D143="S. tabernaemontani"),G143=0),E143*[1]Sheet1!$D$7+[1]Sheet1!$L$7,IF(AND(OR(D143="S. acutus",D143="S. tabernaemontani"),G143&gt;0),E143*[1]Sheet1!$D$8+N143*[1]Sheet1!$E$8,IF(AND(D143="S. californicus",G143&gt;0),E143*[1]Sheet1!$D$9+N143*[1]Sheet1!$E$9,IF(D143="S. maritimus",F143*[1]Sheet1!$C$10+E143*[1]Sheet1!$D$10+G143*[1]Sheet1!$F$10+[1]Sheet1!$L$10,IF(D143="S. americanus",F143*[1]Sheet1!$C$6+E143*[1]Sheet1!$D$6+[1]Sheet1!$L$6,IF(AND(OR(D143="T. domingensis",D143="T. latifolia"),E143&gt;0),F143*[1]Sheet1!$C$4+E143*[1]Sheet1!$D$4+H143*[1]Sheet1!$J$4+I143*[1]Sheet1!$K$4+[1]Sheet1!$L$4,IF(AND(OR(D143="T. domingensis",D143="T. latifolia"),J143&gt;0),J143*[1]Sheet1!$G$5+K143*[1]Sheet1!$H$5+L143*[1]Sheet1!$I$5+[1]Sheet1!$L$5,0)))))))</f>
        <v>22.48890230009382</v>
      </c>
    </row>
    <row r="144" spans="1:15">
      <c r="A144" s="6">
        <v>41521</v>
      </c>
      <c r="B144" s="7" t="s">
        <v>33</v>
      </c>
      <c r="C144">
        <v>31</v>
      </c>
      <c r="D144" t="s">
        <v>24</v>
      </c>
      <c r="E144">
        <v>341</v>
      </c>
      <c r="F144">
        <v>1.39</v>
      </c>
      <c r="G144">
        <v>10</v>
      </c>
      <c r="N144">
        <f t="shared" si="3"/>
        <v>172.48535994158328</v>
      </c>
      <c r="O144">
        <f>IF(AND(OR(D144="S. acutus",D144="S. californicus",D144="S. tabernaemontani"),G144=0),E144*[1]Sheet1!$D$7+[1]Sheet1!$L$7,IF(AND(OR(D144="S. acutus",D144="S. tabernaemontani"),G144&gt;0),E144*[1]Sheet1!$D$8+N144*[1]Sheet1!$E$8,IF(AND(D144="S. californicus",G144&gt;0),E144*[1]Sheet1!$D$9+N144*[1]Sheet1!$E$9,IF(D144="S. maritimus",F144*[1]Sheet1!$C$10+E144*[1]Sheet1!$D$10+G144*[1]Sheet1!$F$10+[1]Sheet1!$L$10,IF(D144="S. americanus",F144*[1]Sheet1!$C$6+E144*[1]Sheet1!$D$6+[1]Sheet1!$L$6,IF(AND(OR(D144="T. domingensis",D144="T. latifolia"),E144&gt;0),F144*[1]Sheet1!$C$4+E144*[1]Sheet1!$D$4+H144*[1]Sheet1!$J$4+I144*[1]Sheet1!$K$4+[1]Sheet1!$L$4,IF(AND(OR(D144="T. domingensis",D144="T. latifolia"),J144&gt;0),J144*[1]Sheet1!$G$5+K144*[1]Sheet1!$H$5+L144*[1]Sheet1!$I$5+[1]Sheet1!$L$5,0)))))))</f>
        <v>18.685104926942927</v>
      </c>
    </row>
    <row r="145" spans="1:15">
      <c r="A145" s="6">
        <v>41521</v>
      </c>
      <c r="B145" s="7" t="s">
        <v>33</v>
      </c>
      <c r="C145">
        <v>31</v>
      </c>
      <c r="D145" t="s">
        <v>24</v>
      </c>
      <c r="E145">
        <v>303</v>
      </c>
      <c r="F145">
        <v>1.4</v>
      </c>
      <c r="N145">
        <f t="shared" si="3"/>
        <v>155.47728909999998</v>
      </c>
      <c r="O145">
        <f>IF(AND(OR(D145="S. acutus",D145="S. californicus",D145="S. tabernaemontani"),G145=0),E145*[1]Sheet1!$D$7+[1]Sheet1!$L$7,IF(AND(OR(D145="S. acutus",D145="S. tabernaemontani"),G145&gt;0),E145*[1]Sheet1!$D$8+N145*[1]Sheet1!$E$8,IF(AND(D145="S. californicus",G145&gt;0),E145*[1]Sheet1!$D$9+N145*[1]Sheet1!$E$9,IF(D145="S. maritimus",F145*[1]Sheet1!$C$10+E145*[1]Sheet1!$D$10+G145*[1]Sheet1!$F$10+[1]Sheet1!$L$10,IF(D145="S. americanus",F145*[1]Sheet1!$C$6+E145*[1]Sheet1!$D$6+[1]Sheet1!$L$6,IF(AND(OR(D145="T. domingensis",D145="T. latifolia"),E145&gt;0),F145*[1]Sheet1!$C$4+E145*[1]Sheet1!$D$4+H145*[1]Sheet1!$J$4+I145*[1]Sheet1!$K$4+[1]Sheet1!$L$4,IF(AND(OR(D145="T. domingensis",D145="T. latifolia"),J145&gt;0),J145*[1]Sheet1!$G$5+K145*[1]Sheet1!$H$5+L145*[1]Sheet1!$I$5+[1]Sheet1!$L$5,0)))))))</f>
        <v>16.651218</v>
      </c>
    </row>
    <row r="146" spans="1:15">
      <c r="A146" s="6">
        <v>41521</v>
      </c>
      <c r="B146" s="7" t="s">
        <v>33</v>
      </c>
      <c r="C146">
        <v>31</v>
      </c>
      <c r="D146" t="s">
        <v>24</v>
      </c>
      <c r="E146">
        <v>270</v>
      </c>
      <c r="F146">
        <v>1.39</v>
      </c>
      <c r="N146">
        <f t="shared" si="3"/>
        <v>136.57198587749997</v>
      </c>
      <c r="O146">
        <f>IF(AND(OR(D146="S. acutus",D146="S. californicus",D146="S. tabernaemontani"),G146=0),E146*[1]Sheet1!$D$7+[1]Sheet1!$L$7,IF(AND(OR(D146="S. acutus",D146="S. tabernaemontani"),G146&gt;0),E146*[1]Sheet1!$D$8+N146*[1]Sheet1!$E$8,IF(AND(D146="S. californicus",G146&gt;0),E146*[1]Sheet1!$D$9+N146*[1]Sheet1!$E$9,IF(D146="S. maritimus",F146*[1]Sheet1!$C$10+E146*[1]Sheet1!$D$10+G146*[1]Sheet1!$F$10+[1]Sheet1!$L$10,IF(D146="S. americanus",F146*[1]Sheet1!$C$6+E146*[1]Sheet1!$D$6+[1]Sheet1!$L$6,IF(AND(OR(D146="T. domingensis",D146="T. latifolia"),E146&gt;0),F146*[1]Sheet1!$C$4+E146*[1]Sheet1!$D$4+H146*[1]Sheet1!$J$4+I146*[1]Sheet1!$K$4+[1]Sheet1!$L$4,IF(AND(OR(D146="T. domingensis",D146="T. latifolia"),J146&gt;0),J146*[1]Sheet1!$G$5+K146*[1]Sheet1!$H$5+L146*[1]Sheet1!$I$5+[1]Sheet1!$L$5,0)))))))</f>
        <v>14.337753000000003</v>
      </c>
    </row>
    <row r="147" spans="1:15">
      <c r="A147" s="6">
        <v>41521</v>
      </c>
      <c r="B147" s="7" t="s">
        <v>33</v>
      </c>
      <c r="C147">
        <v>31</v>
      </c>
      <c r="D147" t="s">
        <v>24</v>
      </c>
      <c r="E147">
        <v>300</v>
      </c>
      <c r="F147">
        <v>1.55</v>
      </c>
      <c r="N147">
        <f t="shared" si="3"/>
        <v>188.691749375</v>
      </c>
      <c r="O147">
        <f>IF(AND(OR(D147="S. acutus",D147="S. californicus",D147="S. tabernaemontani"),G147=0),E147*[1]Sheet1!$D$7+[1]Sheet1!$L$7,IF(AND(OR(D147="S. acutus",D147="S. tabernaemontani"),G147&gt;0),E147*[1]Sheet1!$D$8+N147*[1]Sheet1!$E$8,IF(AND(D147="S. californicus",G147&gt;0),E147*[1]Sheet1!$D$9+N147*[1]Sheet1!$E$9,IF(D147="S. maritimus",F147*[1]Sheet1!$C$10+E147*[1]Sheet1!$D$10+G147*[1]Sheet1!$F$10+[1]Sheet1!$L$10,IF(D147="S. americanus",F147*[1]Sheet1!$C$6+E147*[1]Sheet1!$D$6+[1]Sheet1!$L$6,IF(AND(OR(D147="T. domingensis",D147="T. latifolia"),E147&gt;0),F147*[1]Sheet1!$C$4+E147*[1]Sheet1!$D$4+H147*[1]Sheet1!$J$4+I147*[1]Sheet1!$K$4+[1]Sheet1!$L$4,IF(AND(OR(D147="T. domingensis",D147="T. latifolia"),J147&gt;0),J147*[1]Sheet1!$G$5+K147*[1]Sheet1!$H$5+L147*[1]Sheet1!$I$5+[1]Sheet1!$L$5,0)))))))</f>
        <v>16.440903000000002</v>
      </c>
    </row>
    <row r="148" spans="1:15">
      <c r="A148" s="6">
        <v>41521</v>
      </c>
      <c r="B148" s="7" t="s">
        <v>33</v>
      </c>
      <c r="C148">
        <v>31</v>
      </c>
      <c r="D148" t="s">
        <v>24</v>
      </c>
      <c r="E148">
        <v>281</v>
      </c>
      <c r="F148">
        <v>1.79</v>
      </c>
      <c r="N148">
        <f t="shared" si="3"/>
        <v>235.71142948658328</v>
      </c>
      <c r="O148">
        <f>IF(AND(OR(D148="S. acutus",D148="S. californicus",D148="S. tabernaemontani"),G148=0),E148*[1]Sheet1!$D$7+[1]Sheet1!$L$7,IF(AND(OR(D148="S. acutus",D148="S. tabernaemontani"),G148&gt;0),E148*[1]Sheet1!$D$8+N148*[1]Sheet1!$E$8,IF(AND(D148="S. californicus",G148&gt;0),E148*[1]Sheet1!$D$9+N148*[1]Sheet1!$E$9,IF(D148="S. maritimus",F148*[1]Sheet1!$C$10+E148*[1]Sheet1!$D$10+G148*[1]Sheet1!$F$10+[1]Sheet1!$L$10,IF(D148="S. americanus",F148*[1]Sheet1!$C$6+E148*[1]Sheet1!$D$6+[1]Sheet1!$L$6,IF(AND(OR(D148="T. domingensis",D148="T. latifolia"),E148&gt;0),F148*[1]Sheet1!$C$4+E148*[1]Sheet1!$D$4+H148*[1]Sheet1!$J$4+I148*[1]Sheet1!$K$4+[1]Sheet1!$L$4,IF(AND(OR(D148="T. domingensis",D148="T. latifolia"),J148&gt;0),J148*[1]Sheet1!$G$5+K148*[1]Sheet1!$H$5+L148*[1]Sheet1!$I$5+[1]Sheet1!$L$5,0)))))))</f>
        <v>15.108908</v>
      </c>
    </row>
    <row r="149" spans="1:15">
      <c r="A149" s="6">
        <v>41521</v>
      </c>
      <c r="B149" s="7" t="s">
        <v>33</v>
      </c>
      <c r="C149">
        <v>31</v>
      </c>
      <c r="D149" t="s">
        <v>24</v>
      </c>
      <c r="E149">
        <v>350</v>
      </c>
      <c r="F149">
        <v>2.52</v>
      </c>
      <c r="G149">
        <v>5</v>
      </c>
      <c r="N149">
        <f t="shared" si="3"/>
        <v>581.88529979999998</v>
      </c>
      <c r="O149">
        <f>IF(AND(OR(D149="S. acutus",D149="S. californicus",D149="S. tabernaemontani"),G149=0),E149*[1]Sheet1!$D$7+[1]Sheet1!$L$7,IF(AND(OR(D149="S. acutus",D149="S. tabernaemontani"),G149&gt;0),E149*[1]Sheet1!$D$8+N149*[1]Sheet1!$E$8,IF(AND(D149="S. californicus",G149&gt;0),E149*[1]Sheet1!$D$9+N149*[1]Sheet1!$E$9,IF(D149="S. maritimus",F149*[1]Sheet1!$C$10+E149*[1]Sheet1!$D$10+G149*[1]Sheet1!$F$10+[1]Sheet1!$L$10,IF(D149="S. americanus",F149*[1]Sheet1!$C$6+E149*[1]Sheet1!$D$6+[1]Sheet1!$L$6,IF(AND(OR(D149="T. domingensis",D149="T. latifolia"),E149&gt;0),F149*[1]Sheet1!$C$4+E149*[1]Sheet1!$D$4+H149*[1]Sheet1!$J$4+I149*[1]Sheet1!$K$4+[1]Sheet1!$L$4,IF(AND(OR(D149="T. domingensis",D149="T. latifolia"),J149&gt;0),J149*[1]Sheet1!$G$5+K149*[1]Sheet1!$H$5+L149*[1]Sheet1!$I$5+[1]Sheet1!$L$5,0)))))))</f>
        <v>32.214715350329818</v>
      </c>
    </row>
    <row r="150" spans="1:15">
      <c r="A150" s="6">
        <v>41521</v>
      </c>
      <c r="B150" s="7" t="s">
        <v>33</v>
      </c>
      <c r="C150">
        <v>31</v>
      </c>
      <c r="D150" t="s">
        <v>24</v>
      </c>
      <c r="E150">
        <v>329</v>
      </c>
      <c r="F150">
        <v>1.67</v>
      </c>
      <c r="G150">
        <v>6</v>
      </c>
      <c r="N150">
        <f t="shared" si="3"/>
        <v>240.2133279565833</v>
      </c>
      <c r="O150">
        <f>IF(AND(OR(D150="S. acutus",D150="S. californicus",D150="S. tabernaemontani"),G150=0),E150*[1]Sheet1!$D$7+[1]Sheet1!$L$7,IF(AND(OR(D150="S. acutus",D150="S. tabernaemontani"),G150&gt;0),E150*[1]Sheet1!$D$8+N150*[1]Sheet1!$E$8,IF(AND(D150="S. californicus",G150&gt;0),E150*[1]Sheet1!$D$9+N150*[1]Sheet1!$E$9,IF(D150="S. maritimus",F150*[1]Sheet1!$C$10+E150*[1]Sheet1!$D$10+G150*[1]Sheet1!$F$10+[1]Sheet1!$L$10,IF(D150="S. americanus",F150*[1]Sheet1!$C$6+E150*[1]Sheet1!$D$6+[1]Sheet1!$L$6,IF(AND(OR(D150="T. domingensis",D150="T. latifolia"),E150&gt;0),F150*[1]Sheet1!$C$4+E150*[1]Sheet1!$D$4+H150*[1]Sheet1!$J$4+I150*[1]Sheet1!$K$4+[1]Sheet1!$L$4,IF(AND(OR(D150="T. domingensis",D150="T. latifolia"),J150&gt;0),J150*[1]Sheet1!$G$5+K150*[1]Sheet1!$H$5+L150*[1]Sheet1!$I$5+[1]Sheet1!$L$5,0)))))))</f>
        <v>20.403921252197144</v>
      </c>
    </row>
    <row r="151" spans="1:15">
      <c r="A151" s="6">
        <v>41521</v>
      </c>
      <c r="B151" s="7" t="s">
        <v>33</v>
      </c>
      <c r="C151">
        <v>31</v>
      </c>
      <c r="D151" t="s">
        <v>24</v>
      </c>
      <c r="E151">
        <v>323</v>
      </c>
      <c r="F151">
        <v>1.7</v>
      </c>
      <c r="N151">
        <f t="shared" si="3"/>
        <v>244.38166810833326</v>
      </c>
      <c r="O151">
        <f>IF(AND(OR(D151="S. acutus",D151="S. californicus",D151="S. tabernaemontani"),G151=0),E151*[1]Sheet1!$D$7+[1]Sheet1!$L$7,IF(AND(OR(D151="S. acutus",D151="S. tabernaemontani"),G151&gt;0),E151*[1]Sheet1!$D$8+N151*[1]Sheet1!$E$8,IF(AND(D151="S. californicus",G151&gt;0),E151*[1]Sheet1!$D$9+N151*[1]Sheet1!$E$9,IF(D151="S. maritimus",F151*[1]Sheet1!$C$10+E151*[1]Sheet1!$D$10+G151*[1]Sheet1!$F$10+[1]Sheet1!$L$10,IF(D151="S. americanus",F151*[1]Sheet1!$C$6+E151*[1]Sheet1!$D$6+[1]Sheet1!$L$6,IF(AND(OR(D151="T. domingensis",D151="T. latifolia"),E151&gt;0),F151*[1]Sheet1!$C$4+E151*[1]Sheet1!$D$4+H151*[1]Sheet1!$J$4+I151*[1]Sheet1!$K$4+[1]Sheet1!$L$4,IF(AND(OR(D151="T. domingensis",D151="T. latifolia"),J151&gt;0),J151*[1]Sheet1!$G$5+K151*[1]Sheet1!$H$5+L151*[1]Sheet1!$I$5+[1]Sheet1!$L$5,0)))))))</f>
        <v>18.053318000000001</v>
      </c>
    </row>
    <row r="152" spans="1:15">
      <c r="A152" s="6">
        <v>41521</v>
      </c>
      <c r="B152" s="7" t="s">
        <v>33</v>
      </c>
      <c r="C152">
        <v>31</v>
      </c>
      <c r="D152" t="s">
        <v>24</v>
      </c>
      <c r="E152">
        <v>289</v>
      </c>
      <c r="F152">
        <v>2.57</v>
      </c>
      <c r="N152">
        <f t="shared" si="3"/>
        <v>499.72646429991653</v>
      </c>
      <c r="O152">
        <f>IF(AND(OR(D152="S. acutus",D152="S. californicus",D152="S. tabernaemontani"),G152=0),E152*[1]Sheet1!$D$7+[1]Sheet1!$L$7,IF(AND(OR(D152="S. acutus",D152="S. tabernaemontani"),G152&gt;0),E152*[1]Sheet1!$D$8+N152*[1]Sheet1!$E$8,IF(AND(D152="S. californicus",G152&gt;0),E152*[1]Sheet1!$D$9+N152*[1]Sheet1!$E$9,IF(D152="S. maritimus",F152*[1]Sheet1!$C$10+E152*[1]Sheet1!$D$10+G152*[1]Sheet1!$F$10+[1]Sheet1!$L$10,IF(D152="S. americanus",F152*[1]Sheet1!$C$6+E152*[1]Sheet1!$D$6+[1]Sheet1!$L$6,IF(AND(OR(D152="T. domingensis",D152="T. latifolia"),E152&gt;0),F152*[1]Sheet1!$C$4+E152*[1]Sheet1!$D$4+H152*[1]Sheet1!$J$4+I152*[1]Sheet1!$K$4+[1]Sheet1!$L$4,IF(AND(OR(D152="T. domingensis",D152="T. latifolia"),J152&gt;0),J152*[1]Sheet1!$G$5+K152*[1]Sheet1!$H$5+L152*[1]Sheet1!$I$5+[1]Sheet1!$L$5,0)))))))</f>
        <v>15.669748000000002</v>
      </c>
    </row>
    <row r="153" spans="1:15">
      <c r="A153" s="6">
        <v>41521</v>
      </c>
      <c r="B153" s="7" t="s">
        <v>33</v>
      </c>
      <c r="C153">
        <v>31</v>
      </c>
      <c r="D153" t="s">
        <v>24</v>
      </c>
      <c r="E153">
        <v>365</v>
      </c>
      <c r="F153">
        <v>1.74</v>
      </c>
      <c r="G153">
        <v>4</v>
      </c>
      <c r="N153">
        <f t="shared" si="3"/>
        <v>289.30745230499997</v>
      </c>
      <c r="O153">
        <f>IF(AND(OR(D153="S. acutus",D153="S. californicus",D153="S. tabernaemontani"),G153=0),E153*[1]Sheet1!$D$7+[1]Sheet1!$L$7,IF(AND(OR(D153="S. acutus",D153="S. tabernaemontani"),G153&gt;0),E153*[1]Sheet1!$D$8+N153*[1]Sheet1!$E$8,IF(AND(D153="S. californicus",G153&gt;0),E153*[1]Sheet1!$D$9+N153*[1]Sheet1!$E$9,IF(D153="S. maritimus",F153*[1]Sheet1!$C$10+E153*[1]Sheet1!$D$10+G153*[1]Sheet1!$F$10+[1]Sheet1!$L$10,IF(D153="S. americanus",F153*[1]Sheet1!$C$6+E153*[1]Sheet1!$D$6+[1]Sheet1!$L$6,IF(AND(OR(D153="T. domingensis",D153="T. latifolia"),E153&gt;0),F153*[1]Sheet1!$C$4+E153*[1]Sheet1!$D$4+H153*[1]Sheet1!$J$4+I153*[1]Sheet1!$K$4+[1]Sheet1!$L$4,IF(AND(OR(D153="T. domingensis",D153="T. latifolia"),J153&gt;0),J153*[1]Sheet1!$G$5+K153*[1]Sheet1!$H$5+L153*[1]Sheet1!$I$5+[1]Sheet1!$L$5,0)))))))</f>
        <v>23.371051840928075</v>
      </c>
    </row>
    <row r="154" spans="1:15">
      <c r="A154" s="6">
        <v>41521</v>
      </c>
      <c r="B154" s="7" t="s">
        <v>33</v>
      </c>
      <c r="C154">
        <v>31</v>
      </c>
      <c r="D154" t="s">
        <v>24</v>
      </c>
      <c r="E154">
        <v>300</v>
      </c>
      <c r="F154">
        <v>1.71</v>
      </c>
      <c r="G154">
        <v>4</v>
      </c>
      <c r="N154">
        <f t="shared" si="3"/>
        <v>229.65808297499996</v>
      </c>
      <c r="O154">
        <f>IF(AND(OR(D154="S. acutus",D154="S. californicus",D154="S. tabernaemontani"),G154=0),E154*[1]Sheet1!$D$7+[1]Sheet1!$L$7,IF(AND(OR(D154="S. acutus",D154="S. tabernaemontani"),G154&gt;0),E154*[1]Sheet1!$D$8+N154*[1]Sheet1!$E$8,IF(AND(D154="S. californicus",G154&gt;0),E154*[1]Sheet1!$D$9+N154*[1]Sheet1!$E$9,IF(D154="S. maritimus",F154*[1]Sheet1!$C$10+E154*[1]Sheet1!$D$10+G154*[1]Sheet1!$F$10+[1]Sheet1!$L$10,IF(D154="S. americanus",F154*[1]Sheet1!$C$6+E154*[1]Sheet1!$D$6+[1]Sheet1!$L$6,IF(AND(OR(D154="T. domingensis",D154="T. latifolia"),E154&gt;0),F154*[1]Sheet1!$C$4+E154*[1]Sheet1!$D$4+H154*[1]Sheet1!$J$4+I154*[1]Sheet1!$K$4+[1]Sheet1!$L$4,IF(AND(OR(D154="T. domingensis",D154="T. latifolia"),J154&gt;0),J154*[1]Sheet1!$G$5+K154*[1]Sheet1!$H$5+L154*[1]Sheet1!$I$5+[1]Sheet1!$L$5,0)))))))</f>
        <v>18.947326964069674</v>
      </c>
    </row>
    <row r="155" spans="1:15">
      <c r="A155" s="6">
        <v>41521</v>
      </c>
      <c r="B155" s="7" t="s">
        <v>33</v>
      </c>
      <c r="C155">
        <v>31</v>
      </c>
      <c r="D155" t="s">
        <v>23</v>
      </c>
      <c r="F155">
        <v>4.93</v>
      </c>
      <c r="J155">
        <f>126+150+174+240+236+284+313</f>
        <v>1523</v>
      </c>
      <c r="K155">
        <v>7</v>
      </c>
      <c r="L155">
        <v>313</v>
      </c>
      <c r="N155" t="str">
        <f t="shared" si="3"/>
        <v>NA</v>
      </c>
      <c r="O155">
        <f>IF(AND(OR(D155="S. acutus",D155="S. californicus",D155="S. tabernaemontani"),G155=0),E155*[1]Sheet1!$D$7+[1]Sheet1!$L$7,IF(AND(OR(D155="S. acutus",D155="S. tabernaemontani"),G155&gt;0),E155*[1]Sheet1!$D$8+N155*[1]Sheet1!$E$8,IF(AND(D155="S. californicus",G155&gt;0),E155*[1]Sheet1!$D$9+N155*[1]Sheet1!$E$9,IF(D155="S. maritimus",F155*[1]Sheet1!$C$10+E155*[1]Sheet1!$D$10+G155*[1]Sheet1!$F$10+[1]Sheet1!$L$10,IF(D155="S. americanus",F155*[1]Sheet1!$C$6+E155*[1]Sheet1!$D$6+[1]Sheet1!$L$6,IF(AND(OR(D155="T. domingensis",D155="T. latifolia"),E155&gt;0),F155*[1]Sheet1!$C$4+E155*[1]Sheet1!$D$4+H155*[1]Sheet1!$J$4+I155*[1]Sheet1!$K$4+[1]Sheet1!$L$4,IF(AND(OR(D155="T. domingensis",D155="T. latifolia"),J155&gt;0),J155*[1]Sheet1!$G$5+K155*[1]Sheet1!$H$5+L155*[1]Sheet1!$I$5+[1]Sheet1!$L$5,0)))))))</f>
        <v>32.379693000000024</v>
      </c>
    </row>
    <row r="156" spans="1:15">
      <c r="A156" s="6">
        <v>41521</v>
      </c>
      <c r="B156" s="7" t="s">
        <v>33</v>
      </c>
      <c r="C156">
        <v>31</v>
      </c>
      <c r="D156" t="s">
        <v>23</v>
      </c>
      <c r="F156">
        <v>1.1000000000000001</v>
      </c>
      <c r="J156">
        <f>238+250</f>
        <v>488</v>
      </c>
      <c r="K156">
        <v>2</v>
      </c>
      <c r="L156">
        <v>250</v>
      </c>
      <c r="N156" t="str">
        <f t="shared" si="3"/>
        <v>NA</v>
      </c>
      <c r="O156">
        <f>IF(AND(OR(D156="S. acutus",D156="S. californicus",D156="S. tabernaemontani"),G156=0),E156*[1]Sheet1!$D$7+[1]Sheet1!$L$7,IF(AND(OR(D156="S. acutus",D156="S. tabernaemontani"),G156&gt;0),E156*[1]Sheet1!$D$8+N156*[1]Sheet1!$E$8,IF(AND(D156="S. californicus",G156&gt;0),E156*[1]Sheet1!$D$9+N156*[1]Sheet1!$E$9,IF(D156="S. maritimus",F156*[1]Sheet1!$C$10+E156*[1]Sheet1!$D$10+G156*[1]Sheet1!$F$10+[1]Sheet1!$L$10,IF(D156="S. americanus",F156*[1]Sheet1!$C$6+E156*[1]Sheet1!$D$6+[1]Sheet1!$L$6,IF(AND(OR(D156="T. domingensis",D156="T. latifolia"),E156&gt;0),F156*[1]Sheet1!$C$4+E156*[1]Sheet1!$D$4+H156*[1]Sheet1!$J$4+I156*[1]Sheet1!$K$4+[1]Sheet1!$L$4,IF(AND(OR(D156="T. domingensis",D156="T. latifolia"),J156&gt;0),J156*[1]Sheet1!$G$5+K156*[1]Sheet1!$H$5+L156*[1]Sheet1!$I$5+[1]Sheet1!$L$5,0)))))))</f>
        <v>-10.566532000000002</v>
      </c>
    </row>
    <row r="157" spans="1:15">
      <c r="A157" s="6">
        <v>41521</v>
      </c>
      <c r="B157" s="7" t="s">
        <v>33</v>
      </c>
      <c r="C157">
        <v>31</v>
      </c>
      <c r="D157" t="s">
        <v>19</v>
      </c>
      <c r="F157">
        <v>5.63</v>
      </c>
      <c r="J157">
        <f>110+167+237+270+271+319+343</f>
        <v>1717</v>
      </c>
      <c r="K157">
        <v>7</v>
      </c>
      <c r="L157">
        <v>343</v>
      </c>
      <c r="N157" t="str">
        <f t="shared" si="3"/>
        <v>NA</v>
      </c>
      <c r="O157">
        <f>IF(AND(OR(D157="S. acutus",D157="S. californicus",D157="S. tabernaemontani"),G157=0),E157*[1]Sheet1!$D$7+[1]Sheet1!$L$7,IF(AND(OR(D157="S. acutus",D157="S. tabernaemontani"),G157&gt;0),E157*[1]Sheet1!$D$8+N157*[1]Sheet1!$E$8,IF(AND(D157="S. californicus",G157&gt;0),E157*[1]Sheet1!$D$9+N157*[1]Sheet1!$E$9,IF(D157="S. maritimus",F157*[1]Sheet1!$C$10+E157*[1]Sheet1!$D$10+G157*[1]Sheet1!$F$10+[1]Sheet1!$L$10,IF(D157="S. americanus",F157*[1]Sheet1!$C$6+E157*[1]Sheet1!$D$6+[1]Sheet1!$L$6,IF(AND(OR(D157="T. domingensis",D157="T. latifolia"),E157&gt;0),F157*[1]Sheet1!$C$4+E157*[1]Sheet1!$D$4+H157*[1]Sheet1!$J$4+I157*[1]Sheet1!$K$4+[1]Sheet1!$L$4,IF(AND(OR(D157="T. domingensis",D157="T. latifolia"),J157&gt;0),J157*[1]Sheet1!$G$5+K157*[1]Sheet1!$H$5+L157*[1]Sheet1!$I$5+[1]Sheet1!$L$5,0)))))))</f>
        <v>41.530813000000016</v>
      </c>
    </row>
    <row r="158" spans="1:15">
      <c r="A158" s="6">
        <v>41521</v>
      </c>
      <c r="B158" s="7" t="s">
        <v>33</v>
      </c>
      <c r="C158">
        <v>31</v>
      </c>
      <c r="D158" t="s">
        <v>19</v>
      </c>
      <c r="F158">
        <v>3.33</v>
      </c>
      <c r="J158">
        <f>272+278+294+332+333</f>
        <v>1509</v>
      </c>
      <c r="K158">
        <v>5</v>
      </c>
      <c r="L158">
        <v>333</v>
      </c>
      <c r="N158" t="str">
        <f t="shared" si="3"/>
        <v>NA</v>
      </c>
      <c r="O158">
        <f>IF(AND(OR(D158="S. acutus",D158="S. californicus",D158="S. tabernaemontani"),G158=0),E158*[1]Sheet1!$D$7+[1]Sheet1!$L$7,IF(AND(OR(D158="S. acutus",D158="S. tabernaemontani"),G158&gt;0),E158*[1]Sheet1!$D$8+N158*[1]Sheet1!$E$8,IF(AND(D158="S. californicus",G158&gt;0),E158*[1]Sheet1!$D$9+N158*[1]Sheet1!$E$9,IF(D158="S. maritimus",F158*[1]Sheet1!$C$10+E158*[1]Sheet1!$D$10+G158*[1]Sheet1!$F$10+[1]Sheet1!$L$10,IF(D158="S. americanus",F158*[1]Sheet1!$C$6+E158*[1]Sheet1!$D$6+[1]Sheet1!$L$6,IF(AND(OR(D158="T. domingensis",D158="T. latifolia"),E158&gt;0),F158*[1]Sheet1!$C$4+E158*[1]Sheet1!$D$4+H158*[1]Sheet1!$J$4+I158*[1]Sheet1!$K$4+[1]Sheet1!$L$4,IF(AND(OR(D158="T. domingensis",D158="T. latifolia"),J158&gt;0),J158*[1]Sheet1!$G$5+K158*[1]Sheet1!$H$5+L158*[1]Sheet1!$I$5+[1]Sheet1!$L$5,0)))))))</f>
        <v>39.086929000000033</v>
      </c>
    </row>
    <row r="159" spans="1:15">
      <c r="A159" s="6">
        <v>41521</v>
      </c>
      <c r="B159" s="7" t="s">
        <v>33</v>
      </c>
      <c r="C159">
        <v>31</v>
      </c>
      <c r="D159" t="s">
        <v>19</v>
      </c>
      <c r="F159">
        <v>1.75</v>
      </c>
      <c r="J159">
        <f>256+295</f>
        <v>551</v>
      </c>
      <c r="K159">
        <v>2</v>
      </c>
      <c r="L159">
        <v>295</v>
      </c>
      <c r="N159" t="str">
        <f t="shared" si="3"/>
        <v>NA</v>
      </c>
      <c r="O159">
        <f>IF(AND(OR(D159="S. acutus",D159="S. californicus",D159="S. tabernaemontani"),G159=0),E159*[1]Sheet1!$D$7+[1]Sheet1!$L$7,IF(AND(OR(D159="S. acutus",D159="S. tabernaemontani"),G159&gt;0),E159*[1]Sheet1!$D$8+N159*[1]Sheet1!$E$8,IF(AND(D159="S. californicus",G159&gt;0),E159*[1]Sheet1!$D$9+N159*[1]Sheet1!$E$9,IF(D159="S. maritimus",F159*[1]Sheet1!$C$10+E159*[1]Sheet1!$D$10+G159*[1]Sheet1!$F$10+[1]Sheet1!$L$10,IF(D159="S. americanus",F159*[1]Sheet1!$C$6+E159*[1]Sheet1!$D$6+[1]Sheet1!$L$6,IF(AND(OR(D159="T. domingensis",D159="T. latifolia"),E159&gt;0),F159*[1]Sheet1!$C$4+E159*[1]Sheet1!$D$4+H159*[1]Sheet1!$J$4+I159*[1]Sheet1!$K$4+[1]Sheet1!$L$4,IF(AND(OR(D159="T. domingensis",D159="T. latifolia"),J159&gt;0),J159*[1]Sheet1!$G$5+K159*[1]Sheet1!$H$5+L159*[1]Sheet1!$I$5+[1]Sheet1!$L$5,0)))))))</f>
        <v>-18.215991999999993</v>
      </c>
    </row>
    <row r="160" spans="1:15">
      <c r="A160" s="6">
        <v>41521</v>
      </c>
      <c r="B160" s="7" t="s">
        <v>33</v>
      </c>
      <c r="C160">
        <v>32</v>
      </c>
      <c r="D160" t="s">
        <v>24</v>
      </c>
      <c r="E160">
        <v>214</v>
      </c>
      <c r="F160">
        <v>1.6</v>
      </c>
      <c r="N160">
        <f t="shared" si="3"/>
        <v>143.42405546666669</v>
      </c>
      <c r="O160">
        <f>IF(AND(OR(D160="S. acutus",D160="S. californicus",D160="S. tabernaemontani"),G160=0),E160*[1]Sheet1!$D$7+[1]Sheet1!$L$7,IF(AND(OR(D160="S. acutus",D160="S. tabernaemontani"),G160&gt;0),E160*[1]Sheet1!$D$8+N160*[1]Sheet1!$E$8,IF(AND(D160="S. californicus",G160&gt;0),E160*[1]Sheet1!$D$9+N160*[1]Sheet1!$E$9,IF(D160="S. maritimus",F160*[1]Sheet1!$C$10+E160*[1]Sheet1!$D$10+G160*[1]Sheet1!$F$10+[1]Sheet1!$L$10,IF(D160="S. americanus",F160*[1]Sheet1!$C$6+E160*[1]Sheet1!$D$6+[1]Sheet1!$L$6,IF(AND(OR(D160="T. domingensis",D160="T. latifolia"),E160&gt;0),F160*[1]Sheet1!$C$4+E160*[1]Sheet1!$D$4+H160*[1]Sheet1!$J$4+I160*[1]Sheet1!$K$4+[1]Sheet1!$L$4,IF(AND(OR(D160="T. domingensis",D160="T. latifolia"),J160&gt;0),J160*[1]Sheet1!$G$5+K160*[1]Sheet1!$H$5+L160*[1]Sheet1!$I$5+[1]Sheet1!$L$5,0)))))))</f>
        <v>10.411873</v>
      </c>
    </row>
    <row r="161" spans="1:15">
      <c r="A161" s="6">
        <v>41521</v>
      </c>
      <c r="B161" s="7" t="s">
        <v>33</v>
      </c>
      <c r="C161">
        <v>32</v>
      </c>
      <c r="D161" t="s">
        <v>24</v>
      </c>
      <c r="E161">
        <v>244</v>
      </c>
      <c r="F161">
        <v>1.26</v>
      </c>
      <c r="N161">
        <f t="shared" si="3"/>
        <v>101.414295108</v>
      </c>
      <c r="O161">
        <f>IF(AND(OR(D161="S. acutus",D161="S. californicus",D161="S. tabernaemontani"),G161=0),E161*[1]Sheet1!$D$7+[1]Sheet1!$L$7,IF(AND(OR(D161="S. acutus",D161="S. tabernaemontani"),G161&gt;0),E161*[1]Sheet1!$D$8+N161*[1]Sheet1!$E$8,IF(AND(D161="S. californicus",G161&gt;0),E161*[1]Sheet1!$D$9+N161*[1]Sheet1!$E$9,IF(D161="S. maritimus",F161*[1]Sheet1!$C$10+E161*[1]Sheet1!$D$10+G161*[1]Sheet1!$F$10+[1]Sheet1!$L$10,IF(D161="S. americanus",F161*[1]Sheet1!$C$6+E161*[1]Sheet1!$D$6+[1]Sheet1!$L$6,IF(AND(OR(D161="T. domingensis",D161="T. latifolia"),E161&gt;0),F161*[1]Sheet1!$C$4+E161*[1]Sheet1!$D$4+H161*[1]Sheet1!$J$4+I161*[1]Sheet1!$K$4+[1]Sheet1!$L$4,IF(AND(OR(D161="T. domingensis",D161="T. latifolia"),J161&gt;0),J161*[1]Sheet1!$G$5+K161*[1]Sheet1!$H$5+L161*[1]Sheet1!$I$5+[1]Sheet1!$L$5,0)))))))</f>
        <v>12.515023000000003</v>
      </c>
    </row>
    <row r="162" spans="1:15">
      <c r="A162" s="6">
        <v>41521</v>
      </c>
      <c r="B162" s="7" t="s">
        <v>33</v>
      </c>
      <c r="C162">
        <v>32</v>
      </c>
      <c r="D162" t="s">
        <v>24</v>
      </c>
      <c r="E162">
        <v>322</v>
      </c>
      <c r="F162">
        <v>1.5</v>
      </c>
      <c r="N162">
        <f t="shared" si="3"/>
        <v>189.67349624999997</v>
      </c>
      <c r="O162">
        <f>IF(AND(OR(D162="S. acutus",D162="S. californicus",D162="S. tabernaemontani"),G162=0),E162*[1]Sheet1!$D$7+[1]Sheet1!$L$7,IF(AND(OR(D162="S. acutus",D162="S. tabernaemontani"),G162&gt;0),E162*[1]Sheet1!$D$8+N162*[1]Sheet1!$E$8,IF(AND(D162="S. californicus",G162&gt;0),E162*[1]Sheet1!$D$9+N162*[1]Sheet1!$E$9,IF(D162="S. maritimus",F162*[1]Sheet1!$C$10+E162*[1]Sheet1!$D$10+G162*[1]Sheet1!$F$10+[1]Sheet1!$L$10,IF(D162="S. americanus",F162*[1]Sheet1!$C$6+E162*[1]Sheet1!$D$6+[1]Sheet1!$L$6,IF(AND(OR(D162="T. domingensis",D162="T. latifolia"),E162&gt;0),F162*[1]Sheet1!$C$4+E162*[1]Sheet1!$D$4+H162*[1]Sheet1!$J$4+I162*[1]Sheet1!$K$4+[1]Sheet1!$L$4,IF(AND(OR(D162="T. domingensis",D162="T. latifolia"),J162&gt;0),J162*[1]Sheet1!$G$5+K162*[1]Sheet1!$H$5+L162*[1]Sheet1!$I$5+[1]Sheet1!$L$5,0)))))))</f>
        <v>17.983213000000003</v>
      </c>
    </row>
    <row r="163" spans="1:15">
      <c r="A163" s="6">
        <v>41521</v>
      </c>
      <c r="B163" s="7" t="s">
        <v>33</v>
      </c>
      <c r="C163">
        <v>32</v>
      </c>
      <c r="D163" t="s">
        <v>23</v>
      </c>
      <c r="F163">
        <v>7.88</v>
      </c>
      <c r="J163">
        <f>159+196+236+262+263+300+315+329</f>
        <v>2060</v>
      </c>
      <c r="K163">
        <v>8</v>
      </c>
      <c r="L163">
        <v>329</v>
      </c>
      <c r="N163" t="str">
        <f t="shared" si="3"/>
        <v>NA</v>
      </c>
      <c r="O163">
        <f>IF(AND(OR(D163="S. acutus",D163="S. californicus",D163="S. tabernaemontani"),G163=0),E163*[1]Sheet1!$D$7+[1]Sheet1!$L$7,IF(AND(OR(D163="S. acutus",D163="S. tabernaemontani"),G163&gt;0),E163*[1]Sheet1!$D$8+N163*[1]Sheet1!$E$8,IF(AND(D163="S. californicus",G163&gt;0),E163*[1]Sheet1!$D$9+N163*[1]Sheet1!$E$9,IF(D163="S. maritimus",F163*[1]Sheet1!$C$10+E163*[1]Sheet1!$D$10+G163*[1]Sheet1!$F$10+[1]Sheet1!$L$10,IF(D163="S. americanus",F163*[1]Sheet1!$C$6+E163*[1]Sheet1!$D$6+[1]Sheet1!$L$6,IF(AND(OR(D163="T. domingensis",D163="T. latifolia"),E163&gt;0),F163*[1]Sheet1!$C$4+E163*[1]Sheet1!$D$4+H163*[1]Sheet1!$J$4+I163*[1]Sheet1!$K$4+[1]Sheet1!$L$4,IF(AND(OR(D163="T. domingensis",D163="T. latifolia"),J163&gt;0),J163*[1]Sheet1!$G$5+K163*[1]Sheet1!$H$5+L163*[1]Sheet1!$I$5+[1]Sheet1!$L$5,0)))))))</f>
        <v>70.883855000000011</v>
      </c>
    </row>
    <row r="164" spans="1:15">
      <c r="A164" s="6">
        <v>41527</v>
      </c>
      <c r="B164" s="7" t="s">
        <v>28</v>
      </c>
      <c r="C164">
        <v>11</v>
      </c>
      <c r="D164" t="s">
        <v>19</v>
      </c>
      <c r="F164">
        <v>9.9600000000000009</v>
      </c>
      <c r="J164">
        <f>89+167+185+189+196+203+203+209+208+209+218+218+215</f>
        <v>2509</v>
      </c>
      <c r="K164">
        <v>13</v>
      </c>
      <c r="L164">
        <v>218</v>
      </c>
      <c r="N164" t="str">
        <f t="shared" si="3"/>
        <v>NA</v>
      </c>
      <c r="O164">
        <f>IF(AND(OR(D164="S. acutus",D164="S. californicus",D164="S. tabernaemontani"),G164=0),E164*[1]Sheet1!$D$7+[1]Sheet1!$L$7,IF(AND(OR(D164="S. acutus",D164="S. tabernaemontani"),G164&gt;0),E164*[1]Sheet1!$D$8+N164*[1]Sheet1!$E$8,IF(AND(D164="S. californicus",G164&gt;0),E164*[1]Sheet1!$D$9+N164*[1]Sheet1!$E$9,IF(D164="S. maritimus",F164*[1]Sheet1!$C$10+E164*[1]Sheet1!$D$10+G164*[1]Sheet1!$F$10+[1]Sheet1!$L$10,IF(D164="S. americanus",F164*[1]Sheet1!$C$6+E164*[1]Sheet1!$D$6+[1]Sheet1!$L$6,IF(AND(OR(D164="T. domingensis",D164="T. latifolia"),E164&gt;0),F164*[1]Sheet1!$C$4+E164*[1]Sheet1!$D$4+H164*[1]Sheet1!$J$4+I164*[1]Sheet1!$K$4+[1]Sheet1!$L$4,IF(AND(OR(D164="T. domingensis",D164="T. latifolia"),J164&gt;0),J164*[1]Sheet1!$G$5+K164*[1]Sheet1!$H$5+L164*[1]Sheet1!$I$5+[1]Sheet1!$L$5,0)))))))</f>
        <v>111.30628000000004</v>
      </c>
    </row>
    <row r="165" spans="1:15">
      <c r="A165" s="6">
        <v>41527</v>
      </c>
      <c r="B165" s="7" t="s">
        <v>28</v>
      </c>
      <c r="C165">
        <v>11</v>
      </c>
      <c r="D165" t="s">
        <v>19</v>
      </c>
      <c r="F165">
        <v>10.119999999999999</v>
      </c>
      <c r="J165">
        <f>101+165+169+179+197+209+235+231+238+224+220+221+215+225</f>
        <v>2829</v>
      </c>
      <c r="K165">
        <v>14</v>
      </c>
      <c r="L165">
        <v>238</v>
      </c>
      <c r="N165" t="str">
        <f t="shared" si="3"/>
        <v>NA</v>
      </c>
      <c r="O165">
        <f>IF(AND(OR(D165="S. acutus",D165="S. californicus",D165="S. tabernaemontani"),G165=0),E165*[1]Sheet1!$D$7+[1]Sheet1!$L$7,IF(AND(OR(D165="S. acutus",D165="S. tabernaemontani"),G165&gt;0),E165*[1]Sheet1!$D$8+N165*[1]Sheet1!$E$8,IF(AND(D165="S. californicus",G165&gt;0),E165*[1]Sheet1!$D$9+N165*[1]Sheet1!$E$9,IF(D165="S. maritimus",F165*[1]Sheet1!$C$10+E165*[1]Sheet1!$D$10+G165*[1]Sheet1!$F$10+[1]Sheet1!$L$10,IF(D165="S. americanus",F165*[1]Sheet1!$C$6+E165*[1]Sheet1!$D$6+[1]Sheet1!$L$6,IF(AND(OR(D165="T. domingensis",D165="T. latifolia"),E165&gt;0),F165*[1]Sheet1!$C$4+E165*[1]Sheet1!$D$4+H165*[1]Sheet1!$J$4+I165*[1]Sheet1!$K$4+[1]Sheet1!$L$4,IF(AND(OR(D165="T. domingensis",D165="T. latifolia"),J165&gt;0),J165*[1]Sheet1!$G$5+K165*[1]Sheet1!$H$5+L165*[1]Sheet1!$I$5+[1]Sheet1!$L$5,0)))))))</f>
        <v>128.26062700000006</v>
      </c>
    </row>
    <row r="166" spans="1:15">
      <c r="A166" s="6">
        <v>41527</v>
      </c>
      <c r="B166" s="7" t="s">
        <v>28</v>
      </c>
      <c r="C166">
        <v>11</v>
      </c>
      <c r="D166" t="s">
        <v>19</v>
      </c>
      <c r="F166">
        <v>1.5</v>
      </c>
      <c r="J166">
        <f>45+80+85+116+117</f>
        <v>443</v>
      </c>
      <c r="K166">
        <v>5</v>
      </c>
      <c r="L166">
        <v>117</v>
      </c>
      <c r="N166" t="str">
        <f t="shared" si="3"/>
        <v>NA</v>
      </c>
      <c r="O166">
        <f>IF(AND(OR(D166="S. acutus",D166="S. californicus",D166="S. tabernaemontani"),G166=0),E166*[1]Sheet1!$D$7+[1]Sheet1!$L$7,IF(AND(OR(D166="S. acutus",D166="S. tabernaemontani"),G166&gt;0),E166*[1]Sheet1!$D$8+N166*[1]Sheet1!$E$8,IF(AND(D166="S. californicus",G166&gt;0),E166*[1]Sheet1!$D$9+N166*[1]Sheet1!$E$9,IF(D166="S. maritimus",F166*[1]Sheet1!$C$10+E166*[1]Sheet1!$D$10+G166*[1]Sheet1!$F$10+[1]Sheet1!$L$10,IF(D166="S. americanus",F166*[1]Sheet1!$C$6+E166*[1]Sheet1!$D$6+[1]Sheet1!$L$6,IF(AND(OR(D166="T. domingensis",D166="T. latifolia"),E166&gt;0),F166*[1]Sheet1!$C$4+E166*[1]Sheet1!$D$4+H166*[1]Sheet1!$J$4+I166*[1]Sheet1!$K$4+[1]Sheet1!$L$4,IF(AND(OR(D166="T. domingensis",D166="T. latifolia"),J166&gt;0),J166*[1]Sheet1!$G$5+K166*[1]Sheet1!$H$5+L166*[1]Sheet1!$I$5+[1]Sheet1!$L$5,0)))))))</f>
        <v>4.2130190000000027</v>
      </c>
    </row>
    <row r="167" spans="1:15">
      <c r="A167" s="6">
        <v>41527</v>
      </c>
      <c r="B167" s="7" t="s">
        <v>28</v>
      </c>
      <c r="C167">
        <v>11</v>
      </c>
      <c r="D167" t="s">
        <v>19</v>
      </c>
      <c r="F167">
        <v>0.84</v>
      </c>
      <c r="J167">
        <f>45+56+71+78+94</f>
        <v>344</v>
      </c>
      <c r="K167">
        <v>5</v>
      </c>
      <c r="L167">
        <v>94</v>
      </c>
      <c r="N167" t="str">
        <f t="shared" si="3"/>
        <v>NA</v>
      </c>
      <c r="O167">
        <f>IF(AND(OR(D167="S. acutus",D167="S. californicus",D167="S. tabernaemontani"),G167=0),E167*[1]Sheet1!$D$7+[1]Sheet1!$L$7,IF(AND(OR(D167="S. acutus",D167="S. tabernaemontani"),G167&gt;0),E167*[1]Sheet1!$D$8+N167*[1]Sheet1!$E$8,IF(AND(D167="S. californicus",G167&gt;0),E167*[1]Sheet1!$D$9+N167*[1]Sheet1!$E$9,IF(D167="S. maritimus",F167*[1]Sheet1!$C$10+E167*[1]Sheet1!$D$10+G167*[1]Sheet1!$F$10+[1]Sheet1!$L$10,IF(D167="S. americanus",F167*[1]Sheet1!$C$6+E167*[1]Sheet1!$D$6+[1]Sheet1!$L$6,IF(AND(OR(D167="T. domingensis",D167="T. latifolia"),E167&gt;0),F167*[1]Sheet1!$C$4+E167*[1]Sheet1!$D$4+H167*[1]Sheet1!$J$4+I167*[1]Sheet1!$K$4+[1]Sheet1!$L$4,IF(AND(OR(D167="T. domingensis",D167="T. latifolia"),J167&gt;0),J167*[1]Sheet1!$G$5+K167*[1]Sheet1!$H$5+L167*[1]Sheet1!$I$5+[1]Sheet1!$L$5,0)))))))</f>
        <v>1.8599089999999983</v>
      </c>
    </row>
    <row r="168" spans="1:15">
      <c r="A168" s="6">
        <v>41527</v>
      </c>
      <c r="B168" s="7" t="s">
        <v>28</v>
      </c>
      <c r="C168">
        <v>11</v>
      </c>
      <c r="D168" t="s">
        <v>19</v>
      </c>
      <c r="F168">
        <v>1.04</v>
      </c>
      <c r="J168">
        <f>48+45+70+87+86</f>
        <v>336</v>
      </c>
      <c r="K168">
        <v>5</v>
      </c>
      <c r="L168">
        <v>87</v>
      </c>
      <c r="N168" t="str">
        <f t="shared" si="3"/>
        <v>NA</v>
      </c>
      <c r="O168">
        <f>IF(AND(OR(D168="S. acutus",D168="S. californicus",D168="S. tabernaemontani"),G168=0),E168*[1]Sheet1!$D$7+[1]Sheet1!$L$7,IF(AND(OR(D168="S. acutus",D168="S. tabernaemontani"),G168&gt;0),E168*[1]Sheet1!$D$8+N168*[1]Sheet1!$E$8,IF(AND(D168="S. californicus",G168&gt;0),E168*[1]Sheet1!$D$9+N168*[1]Sheet1!$E$9,IF(D168="S. maritimus",F168*[1]Sheet1!$C$10+E168*[1]Sheet1!$D$10+G168*[1]Sheet1!$F$10+[1]Sheet1!$L$10,IF(D168="S. americanus",F168*[1]Sheet1!$C$6+E168*[1]Sheet1!$D$6+[1]Sheet1!$L$6,IF(AND(OR(D168="T. domingensis",D168="T. latifolia"),E168&gt;0),F168*[1]Sheet1!$C$4+E168*[1]Sheet1!$D$4+H168*[1]Sheet1!$J$4+I168*[1]Sheet1!$K$4+[1]Sheet1!$L$4,IF(AND(OR(D168="T. domingensis",D168="T. latifolia"),J168&gt;0),J168*[1]Sheet1!$G$5+K168*[1]Sheet1!$H$5+L168*[1]Sheet1!$I$5+[1]Sheet1!$L$5,0)))))))</f>
        <v>3.2185839999999999</v>
      </c>
    </row>
    <row r="169" spans="1:15">
      <c r="A169" s="6">
        <v>41527</v>
      </c>
      <c r="B169" s="7" t="s">
        <v>28</v>
      </c>
      <c r="C169">
        <v>30</v>
      </c>
      <c r="D169" t="s">
        <v>24</v>
      </c>
      <c r="E169">
        <v>258</v>
      </c>
      <c r="F169">
        <v>1.05</v>
      </c>
      <c r="N169">
        <f t="shared" si="3"/>
        <v>74.467463962499991</v>
      </c>
      <c r="O169">
        <f>IF(AND(OR(D169="S. acutus",D169="S. californicus",D169="S. tabernaemontani"),G169=0),E169*[1]Sheet1!$D$7+[1]Sheet1!$L$7,IF(AND(OR(D169="S. acutus",D169="S. tabernaemontani"),G169&gt;0),E169*[1]Sheet1!$D$8+N169*[1]Sheet1!$E$8,IF(AND(D169="S. californicus",G169&gt;0),E169*[1]Sheet1!$D$9+N169*[1]Sheet1!$E$9,IF(D169="S. maritimus",F169*[1]Sheet1!$C$10+E169*[1]Sheet1!$D$10+G169*[1]Sheet1!$F$10+[1]Sheet1!$L$10,IF(D169="S. americanus",F169*[1]Sheet1!$C$6+E169*[1]Sheet1!$D$6+[1]Sheet1!$L$6,IF(AND(OR(D169="T. domingensis",D169="T. latifolia"),E169&gt;0),F169*[1]Sheet1!$C$4+E169*[1]Sheet1!$D$4+H169*[1]Sheet1!$J$4+I169*[1]Sheet1!$K$4+[1]Sheet1!$L$4,IF(AND(OR(D169="T. domingensis",D169="T. latifolia"),J169&gt;0),J169*[1]Sheet1!$G$5+K169*[1]Sheet1!$H$5+L169*[1]Sheet1!$I$5+[1]Sheet1!$L$5,0)))))))</f>
        <v>13.496493000000001</v>
      </c>
    </row>
    <row r="170" spans="1:15">
      <c r="A170" s="6">
        <v>41527</v>
      </c>
      <c r="B170" s="7" t="s">
        <v>28</v>
      </c>
      <c r="C170">
        <v>30</v>
      </c>
      <c r="D170" t="s">
        <v>24</v>
      </c>
      <c r="E170">
        <v>190</v>
      </c>
      <c r="F170">
        <v>1.74</v>
      </c>
      <c r="N170">
        <f t="shared" si="3"/>
        <v>150.59839983000001</v>
      </c>
      <c r="O170">
        <f>IF(AND(OR(D170="S. acutus",D170="S. californicus",D170="S. tabernaemontani"),G170=0),E170*[1]Sheet1!$D$7+[1]Sheet1!$L$7,IF(AND(OR(D170="S. acutus",D170="S. tabernaemontani"),G170&gt;0),E170*[1]Sheet1!$D$8+N170*[1]Sheet1!$E$8,IF(AND(D170="S. californicus",G170&gt;0),E170*[1]Sheet1!$D$9+N170*[1]Sheet1!$E$9,IF(D170="S. maritimus",F170*[1]Sheet1!$C$10+E170*[1]Sheet1!$D$10+G170*[1]Sheet1!$F$10+[1]Sheet1!$L$10,IF(D170="S. americanus",F170*[1]Sheet1!$C$6+E170*[1]Sheet1!$D$6+[1]Sheet1!$L$6,IF(AND(OR(D170="T. domingensis",D170="T. latifolia"),E170&gt;0),F170*[1]Sheet1!$C$4+E170*[1]Sheet1!$D$4+H170*[1]Sheet1!$J$4+I170*[1]Sheet1!$K$4+[1]Sheet1!$L$4,IF(AND(OR(D170="T. domingensis",D170="T. latifolia"),J170&gt;0),J170*[1]Sheet1!$G$5+K170*[1]Sheet1!$H$5+L170*[1]Sheet1!$I$5+[1]Sheet1!$L$5,0)))))))</f>
        <v>8.7293529999999997</v>
      </c>
    </row>
    <row r="171" spans="1:15">
      <c r="A171" s="6">
        <v>41527</v>
      </c>
      <c r="B171" s="7" t="s">
        <v>28</v>
      </c>
      <c r="C171">
        <v>30</v>
      </c>
      <c r="D171" t="s">
        <v>24</v>
      </c>
      <c r="E171">
        <v>220</v>
      </c>
      <c r="F171">
        <v>1.38</v>
      </c>
      <c r="N171">
        <f t="shared" si="3"/>
        <v>109.68547325999997</v>
      </c>
      <c r="O171">
        <f>IF(AND(OR(D171="S. acutus",D171="S. californicus",D171="S. tabernaemontani"),G171=0),E171*[1]Sheet1!$D$7+[1]Sheet1!$L$7,IF(AND(OR(D171="S. acutus",D171="S. tabernaemontani"),G171&gt;0),E171*[1]Sheet1!$D$8+N171*[1]Sheet1!$E$8,IF(AND(D171="S. californicus",G171&gt;0),E171*[1]Sheet1!$D$9+N171*[1]Sheet1!$E$9,IF(D171="S. maritimus",F171*[1]Sheet1!$C$10+E171*[1]Sheet1!$D$10+G171*[1]Sheet1!$F$10+[1]Sheet1!$L$10,IF(D171="S. americanus",F171*[1]Sheet1!$C$6+E171*[1]Sheet1!$D$6+[1]Sheet1!$L$6,IF(AND(OR(D171="T. domingensis",D171="T. latifolia"),E171&gt;0),F171*[1]Sheet1!$C$4+E171*[1]Sheet1!$D$4+H171*[1]Sheet1!$J$4+I171*[1]Sheet1!$K$4+[1]Sheet1!$L$4,IF(AND(OR(D171="T. domingensis",D171="T. latifolia"),J171&gt;0),J171*[1]Sheet1!$G$5+K171*[1]Sheet1!$H$5+L171*[1]Sheet1!$I$5+[1]Sheet1!$L$5,0)))))))</f>
        <v>10.832502999999999</v>
      </c>
    </row>
    <row r="172" spans="1:15">
      <c r="A172" s="6">
        <v>41527</v>
      </c>
      <c r="B172" s="7" t="s">
        <v>28</v>
      </c>
      <c r="C172">
        <v>30</v>
      </c>
      <c r="D172" t="s">
        <v>24</v>
      </c>
      <c r="E172">
        <v>261</v>
      </c>
      <c r="F172">
        <v>1.52</v>
      </c>
      <c r="N172">
        <f t="shared" si="3"/>
        <v>157.86866740799999</v>
      </c>
      <c r="O172">
        <f>IF(AND(OR(D172="S. acutus",D172="S. californicus",D172="S. tabernaemontani"),G172=0),E172*[1]Sheet1!$D$7+[1]Sheet1!$L$7,IF(AND(OR(D172="S. acutus",D172="S. tabernaemontani"),G172&gt;0),E172*[1]Sheet1!$D$8+N172*[1]Sheet1!$E$8,IF(AND(D172="S. californicus",G172&gt;0),E172*[1]Sheet1!$D$9+N172*[1]Sheet1!$E$9,IF(D172="S. maritimus",F172*[1]Sheet1!$C$10+E172*[1]Sheet1!$D$10+G172*[1]Sheet1!$F$10+[1]Sheet1!$L$10,IF(D172="S. americanus",F172*[1]Sheet1!$C$6+E172*[1]Sheet1!$D$6+[1]Sheet1!$L$6,IF(AND(OR(D172="T. domingensis",D172="T. latifolia"),E172&gt;0),F172*[1]Sheet1!$C$4+E172*[1]Sheet1!$D$4+H172*[1]Sheet1!$J$4+I172*[1]Sheet1!$K$4+[1]Sheet1!$L$4,IF(AND(OR(D172="T. domingensis",D172="T. latifolia"),J172&gt;0),J172*[1]Sheet1!$G$5+K172*[1]Sheet1!$H$5+L172*[1]Sheet1!$I$5+[1]Sheet1!$L$5,0)))))))</f>
        <v>13.706808000000002</v>
      </c>
    </row>
    <row r="173" spans="1:15">
      <c r="A173" s="6">
        <v>41527</v>
      </c>
      <c r="B173" s="7" t="s">
        <v>28</v>
      </c>
      <c r="C173">
        <v>30</v>
      </c>
      <c r="D173" t="s">
        <v>24</v>
      </c>
      <c r="E173">
        <v>256</v>
      </c>
      <c r="F173">
        <v>1.27</v>
      </c>
      <c r="N173">
        <f t="shared" si="3"/>
        <v>108.09750423466666</v>
      </c>
      <c r="O173">
        <f>IF(AND(OR(D173="S. acutus",D173="S. californicus",D173="S. tabernaemontani"),G173=0),E173*[1]Sheet1!$D$7+[1]Sheet1!$L$7,IF(AND(OR(D173="S. acutus",D173="S. tabernaemontani"),G173&gt;0),E173*[1]Sheet1!$D$8+N173*[1]Sheet1!$E$8,IF(AND(D173="S. californicus",G173&gt;0),E173*[1]Sheet1!$D$9+N173*[1]Sheet1!$E$9,IF(D173="S. maritimus",F173*[1]Sheet1!$C$10+E173*[1]Sheet1!$D$10+G173*[1]Sheet1!$F$10+[1]Sheet1!$L$10,IF(D173="S. americanus",F173*[1]Sheet1!$C$6+E173*[1]Sheet1!$D$6+[1]Sheet1!$L$6,IF(AND(OR(D173="T. domingensis",D173="T. latifolia"),E173&gt;0),F173*[1]Sheet1!$C$4+E173*[1]Sheet1!$D$4+H173*[1]Sheet1!$J$4+I173*[1]Sheet1!$K$4+[1]Sheet1!$L$4,IF(AND(OR(D173="T. domingensis",D173="T. latifolia"),J173&gt;0),J173*[1]Sheet1!$G$5+K173*[1]Sheet1!$H$5+L173*[1]Sheet1!$I$5+[1]Sheet1!$L$5,0)))))))</f>
        <v>13.356283000000001</v>
      </c>
    </row>
    <row r="174" spans="1:15">
      <c r="A174" s="6">
        <v>41527</v>
      </c>
      <c r="B174" s="7" t="s">
        <v>28</v>
      </c>
      <c r="C174">
        <v>30</v>
      </c>
      <c r="D174" t="s">
        <v>29</v>
      </c>
      <c r="E174">
        <v>111</v>
      </c>
      <c r="F174">
        <v>0.55000000000000004</v>
      </c>
      <c r="N174" t="str">
        <f t="shared" si="3"/>
        <v>NA</v>
      </c>
      <c r="O174">
        <f>IF(AND(OR(D174="S. acutus",D174="S. californicus",D174="S. tabernaemontani"),G174=0),E174*[1]Sheet1!$D$7+[1]Sheet1!$L$7,IF(AND(OR(D174="S. acutus",D174="S. tabernaemontani"),G174&gt;0),E174*[1]Sheet1!$D$8+N174*[1]Sheet1!$E$8,IF(AND(D174="S. californicus",G174&gt;0),E174*[1]Sheet1!$D$9+N174*[1]Sheet1!$E$9,IF(D174="S. maritimus",F174*[1]Sheet1!$C$10+E174*[1]Sheet1!$D$10+G174*[1]Sheet1!$F$10+[1]Sheet1!$L$10,IF(D174="S. americanus",F174*[1]Sheet1!$C$6+E174*[1]Sheet1!$D$6+[1]Sheet1!$L$6,IF(AND(OR(D174="T. domingensis",D174="T. latifolia"),E174&gt;0),F174*[1]Sheet1!$C$4+E174*[1]Sheet1!$D$4+H174*[1]Sheet1!$J$4+I174*[1]Sheet1!$K$4+[1]Sheet1!$L$4,IF(AND(OR(D174="T. domingensis",D174="T. latifolia"),J174&gt;0),J174*[1]Sheet1!$G$5+K174*[1]Sheet1!$H$5+L174*[1]Sheet1!$I$5+[1]Sheet1!$L$5,0)))))))</f>
        <v>1.396497595</v>
      </c>
    </row>
    <row r="175" spans="1:15">
      <c r="A175" s="6">
        <v>41527</v>
      </c>
      <c r="B175" s="7" t="s">
        <v>28</v>
      </c>
      <c r="C175">
        <v>30</v>
      </c>
      <c r="D175" t="s">
        <v>29</v>
      </c>
      <c r="E175">
        <v>111</v>
      </c>
      <c r="F175">
        <v>0.65</v>
      </c>
      <c r="N175" t="str">
        <f t="shared" si="3"/>
        <v>NA</v>
      </c>
      <c r="O175">
        <f>IF(AND(OR(D175="S. acutus",D175="S. californicus",D175="S. tabernaemontani"),G175=0),E175*[1]Sheet1!$D$7+[1]Sheet1!$L$7,IF(AND(OR(D175="S. acutus",D175="S. tabernaemontani"),G175&gt;0),E175*[1]Sheet1!$D$8+N175*[1]Sheet1!$E$8,IF(AND(D175="S. californicus",G175&gt;0),E175*[1]Sheet1!$D$9+N175*[1]Sheet1!$E$9,IF(D175="S. maritimus",F175*[1]Sheet1!$C$10+E175*[1]Sheet1!$D$10+G175*[1]Sheet1!$F$10+[1]Sheet1!$L$10,IF(D175="S. americanus",F175*[1]Sheet1!$C$6+E175*[1]Sheet1!$D$6+[1]Sheet1!$L$6,IF(AND(OR(D175="T. domingensis",D175="T. latifolia"),E175&gt;0),F175*[1]Sheet1!$C$4+E175*[1]Sheet1!$D$4+H175*[1]Sheet1!$J$4+I175*[1]Sheet1!$K$4+[1]Sheet1!$L$4,IF(AND(OR(D175="T. domingensis",D175="T. latifolia"),J175&gt;0),J175*[1]Sheet1!$G$5+K175*[1]Sheet1!$H$5+L175*[1]Sheet1!$I$5+[1]Sheet1!$L$5,0)))))))</f>
        <v>1.7517484849999998</v>
      </c>
    </row>
    <row r="176" spans="1:15">
      <c r="A176" s="6">
        <v>41527</v>
      </c>
      <c r="B176" s="7" t="s">
        <v>28</v>
      </c>
      <c r="C176">
        <v>30</v>
      </c>
      <c r="D176" t="s">
        <v>23</v>
      </c>
      <c r="F176">
        <v>3.84</v>
      </c>
      <c r="J176">
        <f>93+67+74+83+208+225</f>
        <v>750</v>
      </c>
      <c r="K176">
        <v>6</v>
      </c>
      <c r="L176">
        <v>225</v>
      </c>
      <c r="N176" t="str">
        <f t="shared" si="3"/>
        <v>NA</v>
      </c>
      <c r="O176">
        <f>IF(AND(OR(D176="S. acutus",D176="S. californicus",D176="S. tabernaemontani"),G176=0),E176*[1]Sheet1!$D$7+[1]Sheet1!$L$7,IF(AND(OR(D176="S. acutus",D176="S. tabernaemontani"),G176&gt;0),E176*[1]Sheet1!$D$8+N176*[1]Sheet1!$E$8,IF(AND(D176="S. californicus",G176&gt;0),E176*[1]Sheet1!$D$9+N176*[1]Sheet1!$E$9,IF(D176="S. maritimus",F176*[1]Sheet1!$C$10+E176*[1]Sheet1!$D$10+G176*[1]Sheet1!$F$10+[1]Sheet1!$L$10,IF(D176="S. americanus",F176*[1]Sheet1!$C$6+E176*[1]Sheet1!$D$6+[1]Sheet1!$L$6,IF(AND(OR(D176="T. domingensis",D176="T. latifolia"),E176&gt;0),F176*[1]Sheet1!$C$4+E176*[1]Sheet1!$D$4+H176*[1]Sheet1!$J$4+I176*[1]Sheet1!$K$4+[1]Sheet1!$L$4,IF(AND(OR(D176="T. domingensis",D176="T. latifolia"),J176&gt;0),J176*[1]Sheet1!$G$5+K176*[1]Sheet1!$H$5+L176*[1]Sheet1!$I$5+[1]Sheet1!$L$5,0)))))))</f>
        <v>-6.5610089999999914</v>
      </c>
    </row>
    <row r="177" spans="1:15">
      <c r="A177" s="6">
        <v>41527</v>
      </c>
      <c r="B177" s="7" t="s">
        <v>28</v>
      </c>
      <c r="C177">
        <v>30</v>
      </c>
      <c r="D177" t="s">
        <v>19</v>
      </c>
      <c r="F177">
        <v>9.48</v>
      </c>
      <c r="J177">
        <f>42+103+173+207+241+264+281+294+306+313+323+325+326</f>
        <v>3198</v>
      </c>
      <c r="K177">
        <v>13</v>
      </c>
      <c r="L177">
        <v>326</v>
      </c>
      <c r="N177" t="str">
        <f t="shared" si="3"/>
        <v>NA</v>
      </c>
      <c r="O177">
        <f>IF(AND(OR(D177="S. acutus",D177="S. californicus",D177="S. tabernaemontani"),G177=0),E177*[1]Sheet1!$D$7+[1]Sheet1!$L$7,IF(AND(OR(D177="S. acutus",D177="S. tabernaemontani"),G177&gt;0),E177*[1]Sheet1!$D$8+N177*[1]Sheet1!$E$8,IF(AND(D177="S. californicus",G177&gt;0),E177*[1]Sheet1!$D$9+N177*[1]Sheet1!$E$9,IF(D177="S. maritimus",F177*[1]Sheet1!$C$10+E177*[1]Sheet1!$D$10+G177*[1]Sheet1!$F$10+[1]Sheet1!$L$10,IF(D177="S. americanus",F177*[1]Sheet1!$C$6+E177*[1]Sheet1!$D$6+[1]Sheet1!$L$6,IF(AND(OR(D177="T. domingensis",D177="T. latifolia"),E177&gt;0),F177*[1]Sheet1!$C$4+E177*[1]Sheet1!$D$4+H177*[1]Sheet1!$J$4+I177*[1]Sheet1!$K$4+[1]Sheet1!$L$4,IF(AND(OR(D177="T. domingensis",D177="T. latifolia"),J177&gt;0),J177*[1]Sheet1!$G$5+K177*[1]Sheet1!$H$5+L177*[1]Sheet1!$I$5+[1]Sheet1!$L$5,0)))))))</f>
        <v>143.36901499999999</v>
      </c>
    </row>
    <row r="178" spans="1:15">
      <c r="A178" s="6">
        <v>41527</v>
      </c>
      <c r="B178" s="7" t="s">
        <v>28</v>
      </c>
      <c r="C178">
        <v>30</v>
      </c>
      <c r="D178" t="s">
        <v>19</v>
      </c>
      <c r="F178">
        <v>9.3699999999999992</v>
      </c>
      <c r="J178">
        <f>93+275+298+325+333+348+352+359+340+349+357</f>
        <v>3429</v>
      </c>
      <c r="K178">
        <v>11</v>
      </c>
      <c r="L178">
        <v>357</v>
      </c>
      <c r="N178" t="str">
        <f t="shared" si="3"/>
        <v>NA</v>
      </c>
      <c r="O178">
        <f>IF(AND(OR(D178="S. acutus",D178="S. californicus",D178="S. tabernaemontani"),G178=0),E178*[1]Sheet1!$D$7+[1]Sheet1!$L$7,IF(AND(OR(D178="S. acutus",D178="S. tabernaemontani"),G178&gt;0),E178*[1]Sheet1!$D$8+N178*[1]Sheet1!$E$8,IF(AND(D178="S. californicus",G178&gt;0),E178*[1]Sheet1!$D$9+N178*[1]Sheet1!$E$9,IF(D178="S. maritimus",F178*[1]Sheet1!$C$10+E178*[1]Sheet1!$D$10+G178*[1]Sheet1!$F$10+[1]Sheet1!$L$10,IF(D178="S. americanus",F178*[1]Sheet1!$C$6+E178*[1]Sheet1!$D$6+[1]Sheet1!$L$6,IF(AND(OR(D178="T. domingensis",D178="T. latifolia"),E178&gt;0),F178*[1]Sheet1!$C$4+E178*[1]Sheet1!$D$4+H178*[1]Sheet1!$J$4+I178*[1]Sheet1!$K$4+[1]Sheet1!$L$4,IF(AND(OR(D178="T. domingensis",D178="T. latifolia"),J178&gt;0),J178*[1]Sheet1!$G$5+K178*[1]Sheet1!$H$5+L178*[1]Sheet1!$I$5+[1]Sheet1!$L$5,0)))))))</f>
        <v>169.73253100000002</v>
      </c>
    </row>
    <row r="179" spans="1:15">
      <c r="A179" s="6">
        <v>41527</v>
      </c>
      <c r="B179" s="7" t="s">
        <v>28</v>
      </c>
      <c r="C179">
        <v>30</v>
      </c>
      <c r="D179" t="s">
        <v>19</v>
      </c>
      <c r="F179">
        <v>5.8</v>
      </c>
      <c r="J179">
        <f>110+117+190+190+243+231+219+211</f>
        <v>1511</v>
      </c>
      <c r="K179">
        <v>8</v>
      </c>
      <c r="L179">
        <v>243</v>
      </c>
      <c r="N179" t="str">
        <f t="shared" si="3"/>
        <v>NA</v>
      </c>
      <c r="O179">
        <f>IF(AND(OR(D179="S. acutus",D179="S. californicus",D179="S. tabernaemontani"),G179=0),E179*[1]Sheet1!$D$7+[1]Sheet1!$L$7,IF(AND(OR(D179="S. acutus",D179="S. tabernaemontani"),G179&gt;0),E179*[1]Sheet1!$D$8+N179*[1]Sheet1!$E$8,IF(AND(D179="S. californicus",G179&gt;0),E179*[1]Sheet1!$D$9+N179*[1]Sheet1!$E$9,IF(D179="S. maritimus",F179*[1]Sheet1!$C$10+E179*[1]Sheet1!$D$10+G179*[1]Sheet1!$F$10+[1]Sheet1!$L$10,IF(D179="S. americanus",F179*[1]Sheet1!$C$6+E179*[1]Sheet1!$D$6+[1]Sheet1!$L$6,IF(AND(OR(D179="T. domingensis",D179="T. latifolia"),E179&gt;0),F179*[1]Sheet1!$C$4+E179*[1]Sheet1!$D$4+H179*[1]Sheet1!$J$4+I179*[1]Sheet1!$K$4+[1]Sheet1!$L$4,IF(AND(OR(D179="T. domingensis",D179="T. latifolia"),J179&gt;0),J179*[1]Sheet1!$G$5+K179*[1]Sheet1!$H$5+L179*[1]Sheet1!$I$5+[1]Sheet1!$L$5,0)))))))</f>
        <v>45.319430000000004</v>
      </c>
    </row>
    <row r="180" spans="1:15">
      <c r="A180" s="6">
        <v>41527</v>
      </c>
      <c r="B180" s="7" t="s">
        <v>28</v>
      </c>
      <c r="C180">
        <v>42</v>
      </c>
      <c r="D180" t="s">
        <v>23</v>
      </c>
      <c r="F180">
        <v>2.3199999999999998</v>
      </c>
      <c r="J180">
        <f>176+212+234+244+234</f>
        <v>1100</v>
      </c>
      <c r="K180">
        <v>5</v>
      </c>
      <c r="L180">
        <v>244</v>
      </c>
      <c r="N180" t="str">
        <f t="shared" si="3"/>
        <v>NA</v>
      </c>
      <c r="O180">
        <f>IF(AND(OR(D180="S. acutus",D180="S. californicus",D180="S. tabernaemontani"),G180=0),E180*[1]Sheet1!$D$7+[1]Sheet1!$L$7,IF(AND(OR(D180="S. acutus",D180="S. tabernaemontani"),G180&gt;0),E180*[1]Sheet1!$D$8+N180*[1]Sheet1!$E$8,IF(AND(D180="S. californicus",G180&gt;0),E180*[1]Sheet1!$D$9+N180*[1]Sheet1!$E$9,IF(D180="S. maritimus",F180*[1]Sheet1!$C$10+E180*[1]Sheet1!$D$10+G180*[1]Sheet1!$F$10+[1]Sheet1!$L$10,IF(D180="S. americanus",F180*[1]Sheet1!$C$6+E180*[1]Sheet1!$D$6+[1]Sheet1!$L$6,IF(AND(OR(D180="T. domingensis",D180="T. latifolia"),E180&gt;0),F180*[1]Sheet1!$C$4+E180*[1]Sheet1!$D$4+H180*[1]Sheet1!$J$4+I180*[1]Sheet1!$K$4+[1]Sheet1!$L$4,IF(AND(OR(D180="T. domingensis",D180="T. latifolia"),J180&gt;0),J180*[1]Sheet1!$G$5+K180*[1]Sheet1!$H$5+L180*[1]Sheet1!$I$5+[1]Sheet1!$L$5,0)))))))</f>
        <v>27.551939000000026</v>
      </c>
    </row>
    <row r="181" spans="1:15">
      <c r="A181" s="6">
        <v>41527</v>
      </c>
      <c r="B181" s="7" t="s">
        <v>28</v>
      </c>
      <c r="C181">
        <v>42</v>
      </c>
      <c r="D181" t="s">
        <v>23</v>
      </c>
      <c r="E181">
        <v>305</v>
      </c>
      <c r="F181">
        <v>3.5</v>
      </c>
      <c r="H181">
        <v>44</v>
      </c>
      <c r="I181">
        <v>3</v>
      </c>
      <c r="N181" t="str">
        <f t="shared" si="3"/>
        <v>NA</v>
      </c>
      <c r="O181">
        <f>IF(AND(OR(D181="S. acutus",D181="S. californicus",D181="S. tabernaemontani"),G181=0),E181*[1]Sheet1!$D$7+[1]Sheet1!$L$7,IF(AND(OR(D181="S. acutus",D181="S. tabernaemontani"),G181&gt;0),E181*[1]Sheet1!$D$8+N181*[1]Sheet1!$E$8,IF(AND(D181="S. californicus",G181&gt;0),E181*[1]Sheet1!$D$9+N181*[1]Sheet1!$E$9,IF(D181="S. maritimus",F181*[1]Sheet1!$C$10+E181*[1]Sheet1!$D$10+G181*[1]Sheet1!$F$10+[1]Sheet1!$L$10,IF(D181="S. americanus",F181*[1]Sheet1!$C$6+E181*[1]Sheet1!$D$6+[1]Sheet1!$L$6,IF(AND(OR(D181="T. domingensis",D181="T. latifolia"),E181&gt;0),F181*[1]Sheet1!$C$4+E181*[1]Sheet1!$D$4+H181*[1]Sheet1!$J$4+I181*[1]Sheet1!$K$4+[1]Sheet1!$L$4,IF(AND(OR(D181="T. domingensis",D181="T. latifolia"),J181&gt;0),J181*[1]Sheet1!$G$5+K181*[1]Sheet1!$H$5+L181*[1]Sheet1!$I$5+[1]Sheet1!$L$5,0)))))))</f>
        <v>155.2733513</v>
      </c>
    </row>
    <row r="182" spans="1:15">
      <c r="A182" s="6">
        <v>41527</v>
      </c>
      <c r="B182" s="7" t="s">
        <v>28</v>
      </c>
      <c r="C182">
        <v>42</v>
      </c>
      <c r="D182" t="s">
        <v>23</v>
      </c>
      <c r="F182">
        <v>2.11</v>
      </c>
      <c r="J182">
        <f>278+239+226</f>
        <v>743</v>
      </c>
      <c r="K182">
        <v>3</v>
      </c>
      <c r="L182">
        <v>278</v>
      </c>
      <c r="N182" t="str">
        <f t="shared" si="3"/>
        <v>NA</v>
      </c>
      <c r="O182">
        <f>IF(AND(OR(D182="S. acutus",D182="S. californicus",D182="S. tabernaemontani"),G182=0),E182*[1]Sheet1!$D$7+[1]Sheet1!$L$7,IF(AND(OR(D182="S. acutus",D182="S. tabernaemontani"),G182&gt;0),E182*[1]Sheet1!$D$8+N182*[1]Sheet1!$E$8,IF(AND(D182="S. californicus",G182&gt;0),E182*[1]Sheet1!$D$9+N182*[1]Sheet1!$E$9,IF(D182="S. maritimus",F182*[1]Sheet1!$C$10+E182*[1]Sheet1!$D$10+G182*[1]Sheet1!$F$10+[1]Sheet1!$L$10,IF(D182="S. americanus",F182*[1]Sheet1!$C$6+E182*[1]Sheet1!$D$6+[1]Sheet1!$L$6,IF(AND(OR(D182="T. domingensis",D182="T. latifolia"),E182&gt;0),F182*[1]Sheet1!$C$4+E182*[1]Sheet1!$D$4+H182*[1]Sheet1!$J$4+I182*[1]Sheet1!$K$4+[1]Sheet1!$L$4,IF(AND(OR(D182="T. domingensis",D182="T. latifolia"),J182&gt;0),J182*[1]Sheet1!$G$5+K182*[1]Sheet1!$H$5+L182*[1]Sheet1!$I$5+[1]Sheet1!$L$5,0)))))))</f>
        <v>-2.1162200000000055</v>
      </c>
    </row>
    <row r="183" spans="1:15">
      <c r="A183" s="6">
        <v>41527</v>
      </c>
      <c r="B183" s="7" t="s">
        <v>28</v>
      </c>
      <c r="C183">
        <v>42</v>
      </c>
      <c r="D183" t="s">
        <v>19</v>
      </c>
      <c r="F183">
        <v>5.29</v>
      </c>
      <c r="J183">
        <f>196+144+252+252+287+316+307</f>
        <v>1754</v>
      </c>
      <c r="K183">
        <v>7</v>
      </c>
      <c r="L183">
        <v>316</v>
      </c>
      <c r="N183" t="str">
        <f t="shared" si="3"/>
        <v>NA</v>
      </c>
      <c r="O183">
        <f>IF(AND(OR(D183="S. acutus",D183="S. californicus",D183="S. tabernaemontani"),G183=0),E183*[1]Sheet1!$D$7+[1]Sheet1!$L$7,IF(AND(OR(D183="S. acutus",D183="S. tabernaemontani"),G183&gt;0),E183*[1]Sheet1!$D$8+N183*[1]Sheet1!$E$8,IF(AND(D183="S. californicus",G183&gt;0),E183*[1]Sheet1!$D$9+N183*[1]Sheet1!$E$9,IF(D183="S. maritimus",F183*[1]Sheet1!$C$10+E183*[1]Sheet1!$D$10+G183*[1]Sheet1!$F$10+[1]Sheet1!$L$10,IF(D183="S. americanus",F183*[1]Sheet1!$C$6+E183*[1]Sheet1!$D$6+[1]Sheet1!$L$6,IF(AND(OR(D183="T. domingensis",D183="T. latifolia"),E183&gt;0),F183*[1]Sheet1!$C$4+E183*[1]Sheet1!$D$4+H183*[1]Sheet1!$J$4+I183*[1]Sheet1!$K$4+[1]Sheet1!$L$4,IF(AND(OR(D183="T. domingensis",D183="T. latifolia"),J183&gt;0),J183*[1]Sheet1!$G$5+K183*[1]Sheet1!$H$5+L183*[1]Sheet1!$I$5+[1]Sheet1!$L$5,0)))))))</f>
        <v>53.13336300000001</v>
      </c>
    </row>
    <row r="184" spans="1:15">
      <c r="A184" s="6">
        <v>41527</v>
      </c>
      <c r="B184" s="7" t="s">
        <v>28</v>
      </c>
      <c r="C184">
        <v>42</v>
      </c>
      <c r="D184" t="s">
        <v>19</v>
      </c>
      <c r="F184">
        <v>2.58</v>
      </c>
      <c r="J184">
        <f>253+259+267+290+261</f>
        <v>1330</v>
      </c>
      <c r="K184">
        <v>5</v>
      </c>
      <c r="L184">
        <v>290</v>
      </c>
      <c r="N184" t="str">
        <f t="shared" si="3"/>
        <v>NA</v>
      </c>
      <c r="O184">
        <f>IF(AND(OR(D184="S. acutus",D184="S. californicus",D184="S. tabernaemontani"),G184=0),E184*[1]Sheet1!$D$7+[1]Sheet1!$L$7,IF(AND(OR(D184="S. acutus",D184="S. tabernaemontani"),G184&gt;0),E184*[1]Sheet1!$D$8+N184*[1]Sheet1!$E$8,IF(AND(D184="S. californicus",G184&gt;0),E184*[1]Sheet1!$D$9+N184*[1]Sheet1!$E$9,IF(D184="S. maritimus",F184*[1]Sheet1!$C$10+E184*[1]Sheet1!$D$10+G184*[1]Sheet1!$F$10+[1]Sheet1!$L$10,IF(D184="S. americanus",F184*[1]Sheet1!$C$6+E184*[1]Sheet1!$D$6+[1]Sheet1!$L$6,IF(AND(OR(D184="T. domingensis",D184="T. latifolia"),E184&gt;0),F184*[1]Sheet1!$C$4+E184*[1]Sheet1!$D$4+H184*[1]Sheet1!$J$4+I184*[1]Sheet1!$K$4+[1]Sheet1!$L$4,IF(AND(OR(D184="T. domingensis",D184="T. latifolia"),J184&gt;0),J184*[1]Sheet1!$G$5+K184*[1]Sheet1!$H$5+L184*[1]Sheet1!$I$5+[1]Sheet1!$L$5,0)))))))</f>
        <v>35.258319000000022</v>
      </c>
    </row>
    <row r="185" spans="1:15">
      <c r="A185" s="6">
        <v>41527</v>
      </c>
      <c r="B185" s="7" t="s">
        <v>28</v>
      </c>
      <c r="C185">
        <v>42</v>
      </c>
      <c r="D185" t="s">
        <v>19</v>
      </c>
      <c r="F185">
        <v>4.6399999999999997</v>
      </c>
      <c r="J185">
        <f>290+279+318+323+326+333+322</f>
        <v>2191</v>
      </c>
      <c r="K185">
        <v>7</v>
      </c>
      <c r="L185">
        <v>333</v>
      </c>
      <c r="N185" t="str">
        <f t="shared" si="3"/>
        <v>NA</v>
      </c>
      <c r="O185">
        <f>IF(AND(OR(D185="S. acutus",D185="S. californicus",D185="S. tabernaemontani"),G185=0),E185*[1]Sheet1!$D$7+[1]Sheet1!$L$7,IF(AND(OR(D185="S. acutus",D185="S. tabernaemontani"),G185&gt;0),E185*[1]Sheet1!$D$8+N185*[1]Sheet1!$E$8,IF(AND(D185="S. californicus",G185&gt;0),E185*[1]Sheet1!$D$9+N185*[1]Sheet1!$E$9,IF(D185="S. maritimus",F185*[1]Sheet1!$C$10+E185*[1]Sheet1!$D$10+G185*[1]Sheet1!$F$10+[1]Sheet1!$L$10,IF(D185="S. americanus",F185*[1]Sheet1!$C$6+E185*[1]Sheet1!$D$6+[1]Sheet1!$L$6,IF(AND(OR(D185="T. domingensis",D185="T. latifolia"),E185&gt;0),F185*[1]Sheet1!$C$4+E185*[1]Sheet1!$D$4+H185*[1]Sheet1!$J$4+I185*[1]Sheet1!$K$4+[1]Sheet1!$L$4,IF(AND(OR(D185="T. domingensis",D185="T. latifolia"),J185&gt;0),J185*[1]Sheet1!$G$5+K185*[1]Sheet1!$H$5+L185*[1]Sheet1!$I$5+[1]Sheet1!$L$5,0)))))))</f>
        <v>88.983133000000009</v>
      </c>
    </row>
    <row r="186" spans="1:15">
      <c r="A186" s="6">
        <v>41527</v>
      </c>
      <c r="B186" s="7" t="s">
        <v>28</v>
      </c>
      <c r="C186">
        <v>42</v>
      </c>
      <c r="D186" t="s">
        <v>19</v>
      </c>
      <c r="F186">
        <v>0.95</v>
      </c>
      <c r="J186">
        <f>82+111+125</f>
        <v>318</v>
      </c>
      <c r="K186">
        <v>3</v>
      </c>
      <c r="L186">
        <v>125</v>
      </c>
      <c r="N186" t="str">
        <f t="shared" si="3"/>
        <v>NA</v>
      </c>
      <c r="O186">
        <f>IF(AND(OR(D186="S. acutus",D186="S. californicus",D186="S. tabernaemontani"),G186=0),E186*[1]Sheet1!$D$7+[1]Sheet1!$L$7,IF(AND(OR(D186="S. acutus",D186="S. tabernaemontani"),G186&gt;0),E186*[1]Sheet1!$D$8+N186*[1]Sheet1!$E$8,IF(AND(D186="S. californicus",G186&gt;0),E186*[1]Sheet1!$D$9+N186*[1]Sheet1!$E$9,IF(D186="S. maritimus",F186*[1]Sheet1!$C$10+E186*[1]Sheet1!$D$10+G186*[1]Sheet1!$F$10+[1]Sheet1!$L$10,IF(D186="S. americanus",F186*[1]Sheet1!$C$6+E186*[1]Sheet1!$D$6+[1]Sheet1!$L$6,IF(AND(OR(D186="T. domingensis",D186="T. latifolia"),E186&gt;0),F186*[1]Sheet1!$C$4+E186*[1]Sheet1!$D$4+H186*[1]Sheet1!$J$4+I186*[1]Sheet1!$K$4+[1]Sheet1!$L$4,IF(AND(OR(D186="T. domingensis",D186="T. latifolia"),J186&gt;0),J186*[1]Sheet1!$G$5+K186*[1]Sheet1!$H$5+L186*[1]Sheet1!$I$5+[1]Sheet1!$L$5,0)))))))</f>
        <v>4.128389999999996</v>
      </c>
    </row>
    <row r="187" spans="1:15">
      <c r="A187" s="6">
        <v>41527</v>
      </c>
      <c r="B187" s="7" t="s">
        <v>28</v>
      </c>
      <c r="C187">
        <v>42</v>
      </c>
      <c r="D187" t="s">
        <v>19</v>
      </c>
      <c r="F187">
        <v>5.0999999999999996</v>
      </c>
      <c r="J187">
        <f>132+250+274+346+346+346+317</f>
        <v>2011</v>
      </c>
      <c r="K187">
        <v>7</v>
      </c>
      <c r="L187">
        <v>346</v>
      </c>
      <c r="N187" t="str">
        <f t="shared" si="3"/>
        <v>NA</v>
      </c>
      <c r="O187">
        <f>IF(AND(OR(D187="S. acutus",D187="S. californicus",D187="S. tabernaemontani"),G187=0),E187*[1]Sheet1!$D$7+[1]Sheet1!$L$7,IF(AND(OR(D187="S. acutus",D187="S. tabernaemontani"),G187&gt;0),E187*[1]Sheet1!$D$8+N187*[1]Sheet1!$E$8,IF(AND(D187="S. californicus",G187&gt;0),E187*[1]Sheet1!$D$9+N187*[1]Sheet1!$E$9,IF(D187="S. maritimus",F187*[1]Sheet1!$C$10+E187*[1]Sheet1!$D$10+G187*[1]Sheet1!$F$10+[1]Sheet1!$L$10,IF(D187="S. americanus",F187*[1]Sheet1!$C$6+E187*[1]Sheet1!$D$6+[1]Sheet1!$L$6,IF(AND(OR(D187="T. domingensis",D187="T. latifolia"),E187&gt;0),F187*[1]Sheet1!$C$4+E187*[1]Sheet1!$D$4+H187*[1]Sheet1!$J$4+I187*[1]Sheet1!$K$4+[1]Sheet1!$L$4,IF(AND(OR(D187="T. domingensis",D187="T. latifolia"),J187&gt;0),J187*[1]Sheet1!$G$5+K187*[1]Sheet1!$H$5+L187*[1]Sheet1!$I$5+[1]Sheet1!$L$5,0)))))))</f>
        <v>68.191048000000023</v>
      </c>
    </row>
    <row r="188" spans="1:15">
      <c r="A188" s="6">
        <v>41527</v>
      </c>
      <c r="B188" s="7" t="s">
        <v>28</v>
      </c>
      <c r="C188">
        <v>42</v>
      </c>
      <c r="D188" t="s">
        <v>19</v>
      </c>
      <c r="F188">
        <v>5.66</v>
      </c>
      <c r="J188">
        <f>226+271+301+312+340+328+348+345</f>
        <v>2471</v>
      </c>
      <c r="K188">
        <v>8</v>
      </c>
      <c r="L188">
        <v>348</v>
      </c>
      <c r="N188" t="str">
        <f t="shared" si="3"/>
        <v>NA</v>
      </c>
      <c r="O188">
        <f>IF(AND(OR(D188="S. acutus",D188="S. californicus",D188="S. tabernaemontani"),G188=0),E188*[1]Sheet1!$D$7+[1]Sheet1!$L$7,IF(AND(OR(D188="S. acutus",D188="S. tabernaemontani"),G188&gt;0),E188*[1]Sheet1!$D$8+N188*[1]Sheet1!$E$8,IF(AND(D188="S. californicus",G188&gt;0),E188*[1]Sheet1!$D$9+N188*[1]Sheet1!$E$9,IF(D188="S. maritimus",F188*[1]Sheet1!$C$10+E188*[1]Sheet1!$D$10+G188*[1]Sheet1!$F$10+[1]Sheet1!$L$10,IF(D188="S. americanus",F188*[1]Sheet1!$C$6+E188*[1]Sheet1!$D$6+[1]Sheet1!$L$6,IF(AND(OR(D188="T. domingensis",D188="T. latifolia"),E188&gt;0),F188*[1]Sheet1!$C$4+E188*[1]Sheet1!$D$4+H188*[1]Sheet1!$J$4+I188*[1]Sheet1!$K$4+[1]Sheet1!$L$4,IF(AND(OR(D188="T. domingensis",D188="T. latifolia"),J188&gt;0),J188*[1]Sheet1!$G$5+K188*[1]Sheet1!$H$5+L188*[1]Sheet1!$I$5+[1]Sheet1!$L$5,0)))))))</f>
        <v>103.69350500000002</v>
      </c>
    </row>
    <row r="189" spans="1:15">
      <c r="A189" s="6">
        <v>41527</v>
      </c>
      <c r="B189" s="7" t="s">
        <v>28</v>
      </c>
      <c r="C189">
        <v>42</v>
      </c>
      <c r="D189" t="s">
        <v>19</v>
      </c>
      <c r="F189">
        <v>3.05</v>
      </c>
      <c r="J189">
        <f>65+94+132+133+164+193</f>
        <v>781</v>
      </c>
      <c r="K189">
        <v>6</v>
      </c>
      <c r="L189">
        <v>193</v>
      </c>
      <c r="N189" t="str">
        <f t="shared" si="3"/>
        <v>NA</v>
      </c>
      <c r="O189">
        <f>IF(AND(OR(D189="S. acutus",D189="S. californicus",D189="S. tabernaemontani"),G189=0),E189*[1]Sheet1!$D$7+[1]Sheet1!$L$7,IF(AND(OR(D189="S. acutus",D189="S. tabernaemontani"),G189&gt;0),E189*[1]Sheet1!$D$8+N189*[1]Sheet1!$E$8,IF(AND(D189="S. californicus",G189&gt;0),E189*[1]Sheet1!$D$9+N189*[1]Sheet1!$E$9,IF(D189="S. maritimus",F189*[1]Sheet1!$C$10+E189*[1]Sheet1!$D$10+G189*[1]Sheet1!$F$10+[1]Sheet1!$L$10,IF(D189="S. americanus",F189*[1]Sheet1!$C$6+E189*[1]Sheet1!$D$6+[1]Sheet1!$L$6,IF(AND(OR(D189="T. domingensis",D189="T. latifolia"),E189&gt;0),F189*[1]Sheet1!$C$4+E189*[1]Sheet1!$D$4+H189*[1]Sheet1!$J$4+I189*[1]Sheet1!$K$4+[1]Sheet1!$L$4,IF(AND(OR(D189="T. domingensis",D189="T. latifolia"),J189&gt;0),J189*[1]Sheet1!$G$5+K189*[1]Sheet1!$H$5+L189*[1]Sheet1!$I$5+[1]Sheet1!$L$5,0)))))))</f>
        <v>5.9852360000000004</v>
      </c>
    </row>
    <row r="190" spans="1:15">
      <c r="A190" s="6">
        <v>41527</v>
      </c>
      <c r="B190" s="7" t="s">
        <v>28</v>
      </c>
      <c r="C190">
        <v>42</v>
      </c>
      <c r="D190" t="s">
        <v>19</v>
      </c>
      <c r="F190">
        <v>1.22</v>
      </c>
      <c r="J190">
        <f>103+160+145</f>
        <v>408</v>
      </c>
      <c r="K190">
        <v>3</v>
      </c>
      <c r="L190">
        <v>160</v>
      </c>
      <c r="N190" t="str">
        <f t="shared" si="3"/>
        <v>NA</v>
      </c>
      <c r="O190">
        <f>IF(AND(OR(D190="S. acutus",D190="S. californicus",D190="S. tabernaemontani"),G190=0),E190*[1]Sheet1!$D$7+[1]Sheet1!$L$7,IF(AND(OR(D190="S. acutus",D190="S. tabernaemontani"),G190&gt;0),E190*[1]Sheet1!$D$8+N190*[1]Sheet1!$E$8,IF(AND(D190="S. californicus",G190&gt;0),E190*[1]Sheet1!$D$9+N190*[1]Sheet1!$E$9,IF(D190="S. maritimus",F190*[1]Sheet1!$C$10+E190*[1]Sheet1!$D$10+G190*[1]Sheet1!$F$10+[1]Sheet1!$L$10,IF(D190="S. americanus",F190*[1]Sheet1!$C$6+E190*[1]Sheet1!$D$6+[1]Sheet1!$L$6,IF(AND(OR(D190="T. domingensis",D190="T. latifolia"),E190&gt;0),F190*[1]Sheet1!$C$4+E190*[1]Sheet1!$D$4+H190*[1]Sheet1!$J$4+I190*[1]Sheet1!$K$4+[1]Sheet1!$L$4,IF(AND(OR(D190="T. domingensis",D190="T. latifolia"),J190&gt;0),J190*[1]Sheet1!$G$5+K190*[1]Sheet1!$H$5+L190*[1]Sheet1!$I$5+[1]Sheet1!$L$5,0)))))))</f>
        <v>2.0227649999999997</v>
      </c>
    </row>
    <row r="191" spans="1:15">
      <c r="A191" s="6">
        <v>41527</v>
      </c>
      <c r="B191" s="7" t="s">
        <v>28</v>
      </c>
      <c r="C191">
        <v>42</v>
      </c>
      <c r="D191" t="s">
        <v>19</v>
      </c>
      <c r="F191">
        <v>5.82</v>
      </c>
      <c r="J191">
        <f>180+227+288+324+340+350+359</f>
        <v>2068</v>
      </c>
      <c r="K191">
        <v>7</v>
      </c>
      <c r="L191">
        <v>359</v>
      </c>
      <c r="N191" t="str">
        <f t="shared" si="3"/>
        <v>NA</v>
      </c>
      <c r="O191">
        <f>IF(AND(OR(D191="S. acutus",D191="S. californicus",D191="S. tabernaemontani"),G191=0),E191*[1]Sheet1!$D$7+[1]Sheet1!$L$7,IF(AND(OR(D191="S. acutus",D191="S. tabernaemontani"),G191&gt;0),E191*[1]Sheet1!$D$8+N191*[1]Sheet1!$E$8,IF(AND(D191="S. californicus",G191&gt;0),E191*[1]Sheet1!$D$9+N191*[1]Sheet1!$E$9,IF(D191="S. maritimus",F191*[1]Sheet1!$C$10+E191*[1]Sheet1!$D$10+G191*[1]Sheet1!$F$10+[1]Sheet1!$L$10,IF(D191="S. americanus",F191*[1]Sheet1!$C$6+E191*[1]Sheet1!$D$6+[1]Sheet1!$L$6,IF(AND(OR(D191="T. domingensis",D191="T. latifolia"),E191&gt;0),F191*[1]Sheet1!$C$4+E191*[1]Sheet1!$D$4+H191*[1]Sheet1!$J$4+I191*[1]Sheet1!$K$4+[1]Sheet1!$L$4,IF(AND(OR(D191="T. domingensis",D191="T. latifolia"),J191&gt;0),J191*[1]Sheet1!$G$5+K191*[1]Sheet1!$H$5+L191*[1]Sheet1!$I$5+[1]Sheet1!$L$5,0)))))))</f>
        <v>69.61889800000003</v>
      </c>
    </row>
    <row r="192" spans="1:15">
      <c r="A192" s="6">
        <v>41527</v>
      </c>
      <c r="B192" s="7" t="s">
        <v>28</v>
      </c>
      <c r="C192">
        <v>42</v>
      </c>
      <c r="D192" t="s">
        <v>19</v>
      </c>
      <c r="F192">
        <v>3.55</v>
      </c>
      <c r="J192">
        <f>262+231+300+336+333+356</f>
        <v>1818</v>
      </c>
      <c r="K192">
        <v>6</v>
      </c>
      <c r="L192">
        <v>356</v>
      </c>
      <c r="N192" t="str">
        <f t="shared" si="3"/>
        <v>NA</v>
      </c>
      <c r="O192">
        <f>IF(AND(OR(D192="S. acutus",D192="S. californicus",D192="S. tabernaemontani"),G192=0),E192*[1]Sheet1!$D$7+[1]Sheet1!$L$7,IF(AND(OR(D192="S. acutus",D192="S. tabernaemontani"),G192&gt;0),E192*[1]Sheet1!$D$8+N192*[1]Sheet1!$E$8,IF(AND(D192="S. californicus",G192&gt;0),E192*[1]Sheet1!$D$9+N192*[1]Sheet1!$E$9,IF(D192="S. maritimus",F192*[1]Sheet1!$C$10+E192*[1]Sheet1!$D$10+G192*[1]Sheet1!$F$10+[1]Sheet1!$L$10,IF(D192="S. americanus",F192*[1]Sheet1!$C$6+E192*[1]Sheet1!$D$6+[1]Sheet1!$L$6,IF(AND(OR(D192="T. domingensis",D192="T. latifolia"),E192&gt;0),F192*[1]Sheet1!$C$4+E192*[1]Sheet1!$D$4+H192*[1]Sheet1!$J$4+I192*[1]Sheet1!$K$4+[1]Sheet1!$L$4,IF(AND(OR(D192="T. domingensis",D192="T. latifolia"),J192&gt;0),J192*[1]Sheet1!$G$5+K192*[1]Sheet1!$H$5+L192*[1]Sheet1!$I$5+[1]Sheet1!$L$5,0)))))))</f>
        <v>54.106236000000017</v>
      </c>
    </row>
    <row r="193" spans="1:15">
      <c r="A193" s="6">
        <v>41527</v>
      </c>
      <c r="B193" s="7" t="s">
        <v>28</v>
      </c>
      <c r="C193">
        <v>42</v>
      </c>
      <c r="D193" t="s">
        <v>19</v>
      </c>
      <c r="F193">
        <v>2.87</v>
      </c>
      <c r="J193">
        <f>302+333</f>
        <v>635</v>
      </c>
      <c r="K193">
        <v>2</v>
      </c>
      <c r="L193">
        <v>333</v>
      </c>
      <c r="N193" t="str">
        <f t="shared" si="3"/>
        <v>NA</v>
      </c>
      <c r="O193">
        <f>IF(AND(OR(D193="S. acutus",D193="S. californicus",D193="S. tabernaemontani"),G193=0),E193*[1]Sheet1!$D$7+[1]Sheet1!$L$7,IF(AND(OR(D193="S. acutus",D193="S. tabernaemontani"),G193&gt;0),E193*[1]Sheet1!$D$8+N193*[1]Sheet1!$E$8,IF(AND(D193="S. californicus",G193&gt;0),E193*[1]Sheet1!$D$9+N193*[1]Sheet1!$E$9,IF(D193="S. maritimus",F193*[1]Sheet1!$C$10+E193*[1]Sheet1!$D$10+G193*[1]Sheet1!$F$10+[1]Sheet1!$L$10,IF(D193="S. americanus",F193*[1]Sheet1!$C$6+E193*[1]Sheet1!$D$6+[1]Sheet1!$L$6,IF(AND(OR(D193="T. domingensis",D193="T. latifolia"),E193&gt;0),F193*[1]Sheet1!$C$4+E193*[1]Sheet1!$D$4+H193*[1]Sheet1!$J$4+I193*[1]Sheet1!$K$4+[1]Sheet1!$L$4,IF(AND(OR(D193="T. domingensis",D193="T. latifolia"),J193&gt;0),J193*[1]Sheet1!$G$5+K193*[1]Sheet1!$H$5+L193*[1]Sheet1!$I$5+[1]Sheet1!$L$5,0)))))))</f>
        <v>-21.787881999999989</v>
      </c>
    </row>
    <row r="194" spans="1:15">
      <c r="A194" s="6">
        <v>41527</v>
      </c>
      <c r="B194" s="7" t="s">
        <v>28</v>
      </c>
      <c r="C194">
        <v>48</v>
      </c>
      <c r="M194" t="s">
        <v>27</v>
      </c>
      <c r="N194" t="str">
        <f t="shared" si="3"/>
        <v>NA</v>
      </c>
      <c r="O194">
        <f>IF(AND(OR(D194="S. acutus",D194="S. californicus",D194="S. tabernaemontani"),G194=0),E194*[1]Sheet1!$D$7+[1]Sheet1!$L$7,IF(AND(OR(D194="S. acutus",D194="S. tabernaemontani"),G194&gt;0),E194*[1]Sheet1!$D$8+N194*[1]Sheet1!$E$8,IF(AND(D194="S. californicus",G194&gt;0),E194*[1]Sheet1!$D$9+N194*[1]Sheet1!$E$9,IF(D194="S. maritimus",F194*[1]Sheet1!$C$10+E194*[1]Sheet1!$D$10+G194*[1]Sheet1!$F$10+[1]Sheet1!$L$10,IF(D194="S. americanus",F194*[1]Sheet1!$C$6+E194*[1]Sheet1!$D$6+[1]Sheet1!$L$6,IF(AND(OR(D194="T. domingensis",D194="T. latifolia"),E194&gt;0),F194*[1]Sheet1!$C$4+E194*[1]Sheet1!$D$4+H194*[1]Sheet1!$J$4+I194*[1]Sheet1!$K$4+[1]Sheet1!$L$4,IF(AND(OR(D194="T. domingensis",D194="T. latifolia"),J194&gt;0),J194*[1]Sheet1!$G$5+K194*[1]Sheet1!$H$5+L194*[1]Sheet1!$I$5+[1]Sheet1!$L$5,0)))))))</f>
        <v>0</v>
      </c>
    </row>
    <row r="195" spans="1:15">
      <c r="A195" s="6">
        <v>41527</v>
      </c>
      <c r="B195" s="7" t="s">
        <v>28</v>
      </c>
      <c r="C195">
        <v>53</v>
      </c>
      <c r="D195" t="s">
        <v>23</v>
      </c>
      <c r="F195">
        <v>2.0499999999999998</v>
      </c>
      <c r="J195">
        <f>90+151+167+215+209</f>
        <v>832</v>
      </c>
      <c r="K195">
        <v>5</v>
      </c>
      <c r="L195">
        <v>215</v>
      </c>
      <c r="N195" t="str">
        <f t="shared" si="3"/>
        <v>NA</v>
      </c>
      <c r="O195">
        <f>IF(AND(OR(D195="S. acutus",D195="S. californicus",D195="S. tabernaemontani"),G195=0),E195*[1]Sheet1!$D$7+[1]Sheet1!$L$7,IF(AND(OR(D195="S. acutus",D195="S. tabernaemontani"),G195&gt;0),E195*[1]Sheet1!$D$8+N195*[1]Sheet1!$E$8,IF(AND(D195="S. californicus",G195&gt;0),E195*[1]Sheet1!$D$9+N195*[1]Sheet1!$E$9,IF(D195="S. maritimus",F195*[1]Sheet1!$C$10+E195*[1]Sheet1!$D$10+G195*[1]Sheet1!$F$10+[1]Sheet1!$L$10,IF(D195="S. americanus",F195*[1]Sheet1!$C$6+E195*[1]Sheet1!$D$6+[1]Sheet1!$L$6,IF(AND(OR(D195="T. domingensis",D195="T. latifolia"),E195&gt;0),F195*[1]Sheet1!$C$4+E195*[1]Sheet1!$D$4+H195*[1]Sheet1!$J$4+I195*[1]Sheet1!$K$4+[1]Sheet1!$L$4,IF(AND(OR(D195="T. domingensis",D195="T. latifolia"),J195&gt;0),J195*[1]Sheet1!$G$5+K195*[1]Sheet1!$H$5+L195*[1]Sheet1!$I$5+[1]Sheet1!$L$5,0)))))))</f>
        <v>11.161704</v>
      </c>
    </row>
    <row r="196" spans="1:15">
      <c r="A196" s="6">
        <v>41527</v>
      </c>
      <c r="B196" s="7" t="s">
        <v>28</v>
      </c>
      <c r="C196">
        <v>53</v>
      </c>
      <c r="D196" t="s">
        <v>19</v>
      </c>
      <c r="F196">
        <v>2.38</v>
      </c>
      <c r="J196">
        <f>88+101+116+159+175+161+213+223</f>
        <v>1236</v>
      </c>
      <c r="K196">
        <v>8</v>
      </c>
      <c r="L196">
        <v>223</v>
      </c>
      <c r="N196" t="str">
        <f t="shared" si="3"/>
        <v>NA</v>
      </c>
      <c r="O196">
        <f>IF(AND(OR(D196="S. acutus",D196="S. californicus",D196="S. tabernaemontani"),G196=0),E196*[1]Sheet1!$D$7+[1]Sheet1!$L$7,IF(AND(OR(D196="S. acutus",D196="S. tabernaemontani"),G196&gt;0),E196*[1]Sheet1!$D$8+N196*[1]Sheet1!$E$8,IF(AND(D196="S. californicus",G196&gt;0),E196*[1]Sheet1!$D$9+N196*[1]Sheet1!$E$9,IF(D196="S. maritimus",F196*[1]Sheet1!$C$10+E196*[1]Sheet1!$D$10+G196*[1]Sheet1!$F$10+[1]Sheet1!$L$10,IF(D196="S. americanus",F196*[1]Sheet1!$C$6+E196*[1]Sheet1!$D$6+[1]Sheet1!$L$6,IF(AND(OR(D196="T. domingensis",D196="T. latifolia"),E196&gt;0),F196*[1]Sheet1!$C$4+E196*[1]Sheet1!$D$4+H196*[1]Sheet1!$J$4+I196*[1]Sheet1!$K$4+[1]Sheet1!$L$4,IF(AND(OR(D196="T. domingensis",D196="T. latifolia"),J196&gt;0),J196*[1]Sheet1!$G$5+K196*[1]Sheet1!$H$5+L196*[1]Sheet1!$I$5+[1]Sheet1!$L$5,0)))))))</f>
        <v>25.561705000000003</v>
      </c>
    </row>
    <row r="197" spans="1:15">
      <c r="A197" s="6">
        <v>41527</v>
      </c>
      <c r="B197" s="7" t="s">
        <v>28</v>
      </c>
      <c r="C197">
        <v>53</v>
      </c>
      <c r="D197" t="s">
        <v>19</v>
      </c>
      <c r="F197">
        <v>4.1500000000000004</v>
      </c>
      <c r="J197">
        <f>103+151+152+197+221+253+252+259</f>
        <v>1588</v>
      </c>
      <c r="K197">
        <v>8</v>
      </c>
      <c r="L197">
        <v>259</v>
      </c>
      <c r="N197" t="str">
        <f t="shared" ref="N197:N260" si="4">IF(OR(D197="S. acutus", D197="S. tabernaemontani", D197="S. californicus"),(1/3)*(3.14159)*((F197/2)^2)*E197,"NA")</f>
        <v>NA</v>
      </c>
      <c r="O197">
        <f>IF(AND(OR(D197="S. acutus",D197="S. californicus",D197="S. tabernaemontani"),G197=0),E197*[1]Sheet1!$D$7+[1]Sheet1!$L$7,IF(AND(OR(D197="S. acutus",D197="S. tabernaemontani"),G197&gt;0),E197*[1]Sheet1!$D$8+N197*[1]Sheet1!$E$8,IF(AND(D197="S. californicus",G197&gt;0),E197*[1]Sheet1!$D$9+N197*[1]Sheet1!$E$9,IF(D197="S. maritimus",F197*[1]Sheet1!$C$10+E197*[1]Sheet1!$D$10+G197*[1]Sheet1!$F$10+[1]Sheet1!$L$10,IF(D197="S. americanus",F197*[1]Sheet1!$C$6+E197*[1]Sheet1!$D$6+[1]Sheet1!$L$6,IF(AND(OR(D197="T. domingensis",D197="T. latifolia"),E197&gt;0),F197*[1]Sheet1!$C$4+E197*[1]Sheet1!$D$4+H197*[1]Sheet1!$J$4+I197*[1]Sheet1!$K$4+[1]Sheet1!$L$4,IF(AND(OR(D197="T. domingensis",D197="T. latifolia"),J197&gt;0),J197*[1]Sheet1!$G$5+K197*[1]Sheet1!$H$5+L197*[1]Sheet1!$I$5+[1]Sheet1!$L$5,0)))))))</f>
        <v>47.718645000000031</v>
      </c>
    </row>
    <row r="198" spans="1:15">
      <c r="A198" s="6">
        <v>41527</v>
      </c>
      <c r="B198" s="7" t="s">
        <v>28</v>
      </c>
      <c r="C198">
        <v>53</v>
      </c>
      <c r="D198" t="s">
        <v>19</v>
      </c>
      <c r="F198">
        <v>4.22</v>
      </c>
      <c r="J198">
        <f>74+103+162+160+178+212+212</f>
        <v>1101</v>
      </c>
      <c r="K198">
        <v>7</v>
      </c>
      <c r="L198">
        <v>212</v>
      </c>
      <c r="N198" t="str">
        <f t="shared" si="4"/>
        <v>NA</v>
      </c>
      <c r="O198">
        <f>IF(AND(OR(D198="S. acutus",D198="S. californicus",D198="S. tabernaemontani"),G198=0),E198*[1]Sheet1!$D$7+[1]Sheet1!$L$7,IF(AND(OR(D198="S. acutus",D198="S. tabernaemontani"),G198&gt;0),E198*[1]Sheet1!$D$8+N198*[1]Sheet1!$E$8,IF(AND(D198="S. californicus",G198&gt;0),E198*[1]Sheet1!$D$9+N198*[1]Sheet1!$E$9,IF(D198="S. maritimus",F198*[1]Sheet1!$C$10+E198*[1]Sheet1!$D$10+G198*[1]Sheet1!$F$10+[1]Sheet1!$L$10,IF(D198="S. americanus",F198*[1]Sheet1!$C$6+E198*[1]Sheet1!$D$6+[1]Sheet1!$L$6,IF(AND(OR(D198="T. domingensis",D198="T. latifolia"),E198&gt;0),F198*[1]Sheet1!$C$4+E198*[1]Sheet1!$D$4+H198*[1]Sheet1!$J$4+I198*[1]Sheet1!$K$4+[1]Sheet1!$L$4,IF(AND(OR(D198="T. domingensis",D198="T. latifolia"),J198&gt;0),J198*[1]Sheet1!$G$5+K198*[1]Sheet1!$H$5+L198*[1]Sheet1!$I$5+[1]Sheet1!$L$5,0)))))))</f>
        <v>23.240828</v>
      </c>
    </row>
    <row r="199" spans="1:15">
      <c r="A199" s="6">
        <v>41527</v>
      </c>
      <c r="B199" s="7" t="s">
        <v>28</v>
      </c>
      <c r="C199">
        <v>53</v>
      </c>
      <c r="D199" t="s">
        <v>19</v>
      </c>
      <c r="F199">
        <v>2.73</v>
      </c>
      <c r="J199">
        <f>88+116+127+141+182+183</f>
        <v>837</v>
      </c>
      <c r="K199">
        <v>6</v>
      </c>
      <c r="L199">
        <v>183</v>
      </c>
      <c r="N199" t="str">
        <f t="shared" si="4"/>
        <v>NA</v>
      </c>
      <c r="O199">
        <f>IF(AND(OR(D199="S. acutus",D199="S. californicus",D199="S. tabernaemontani"),G199=0),E199*[1]Sheet1!$D$7+[1]Sheet1!$L$7,IF(AND(OR(D199="S. acutus",D199="S. tabernaemontani"),G199&gt;0),E199*[1]Sheet1!$D$8+N199*[1]Sheet1!$E$8,IF(AND(D199="S. californicus",G199&gt;0),E199*[1]Sheet1!$D$9+N199*[1]Sheet1!$E$9,IF(D199="S. maritimus",F199*[1]Sheet1!$C$10+E199*[1]Sheet1!$D$10+G199*[1]Sheet1!$F$10+[1]Sheet1!$L$10,IF(D199="S. americanus",F199*[1]Sheet1!$C$6+E199*[1]Sheet1!$D$6+[1]Sheet1!$L$6,IF(AND(OR(D199="T. domingensis",D199="T. latifolia"),E199&gt;0),F199*[1]Sheet1!$C$4+E199*[1]Sheet1!$D$4+H199*[1]Sheet1!$J$4+I199*[1]Sheet1!$K$4+[1]Sheet1!$L$4,IF(AND(OR(D199="T. domingensis",D199="T. latifolia"),J199&gt;0),J199*[1]Sheet1!$G$5+K199*[1]Sheet1!$H$5+L199*[1]Sheet1!$I$5+[1]Sheet1!$L$5,0)))))))</f>
        <v>14.247966000000005</v>
      </c>
    </row>
    <row r="200" spans="1:15">
      <c r="A200" s="6">
        <v>41527</v>
      </c>
      <c r="B200" s="7" t="s">
        <v>28</v>
      </c>
      <c r="C200">
        <v>53</v>
      </c>
      <c r="D200" t="s">
        <v>19</v>
      </c>
      <c r="F200">
        <v>5.97</v>
      </c>
      <c r="J200">
        <f>77+79+105+157+193+194+199+209+258+226</f>
        <v>1697</v>
      </c>
      <c r="K200">
        <v>10</v>
      </c>
      <c r="L200">
        <v>258</v>
      </c>
      <c r="N200" t="str">
        <f t="shared" si="4"/>
        <v>NA</v>
      </c>
      <c r="O200">
        <f>IF(AND(OR(D200="S. acutus",D200="S. californicus",D200="S. tabernaemontani"),G200=0),E200*[1]Sheet1!$D$7+[1]Sheet1!$L$7,IF(AND(OR(D200="S. acutus",D200="S. tabernaemontani"),G200&gt;0),E200*[1]Sheet1!$D$8+N200*[1]Sheet1!$E$8,IF(AND(D200="S. californicus",G200&gt;0),E200*[1]Sheet1!$D$9+N200*[1]Sheet1!$E$9,IF(D200="S. maritimus",F200*[1]Sheet1!$C$10+E200*[1]Sheet1!$D$10+G200*[1]Sheet1!$F$10+[1]Sheet1!$L$10,IF(D200="S. americanus",F200*[1]Sheet1!$C$6+E200*[1]Sheet1!$D$6+[1]Sheet1!$L$6,IF(AND(OR(D200="T. domingensis",D200="T. latifolia"),E200&gt;0),F200*[1]Sheet1!$C$4+E200*[1]Sheet1!$D$4+H200*[1]Sheet1!$J$4+I200*[1]Sheet1!$K$4+[1]Sheet1!$L$4,IF(AND(OR(D200="T. domingensis",D200="T. latifolia"),J200&gt;0),J200*[1]Sheet1!$G$5+K200*[1]Sheet1!$H$5+L200*[1]Sheet1!$I$5+[1]Sheet1!$L$5,0)))))))</f>
        <v>44.194479000000008</v>
      </c>
    </row>
    <row r="201" spans="1:15">
      <c r="A201" s="6">
        <v>41527</v>
      </c>
      <c r="B201" s="7" t="s">
        <v>28</v>
      </c>
      <c r="C201">
        <v>53</v>
      </c>
      <c r="D201" t="s">
        <v>19</v>
      </c>
      <c r="F201">
        <v>6.78</v>
      </c>
      <c r="J201">
        <f>137+156+149+214+221+247+271+271+291+304+303</f>
        <v>2564</v>
      </c>
      <c r="K201">
        <v>11</v>
      </c>
      <c r="L201">
        <v>304</v>
      </c>
      <c r="N201" t="str">
        <f t="shared" si="4"/>
        <v>NA</v>
      </c>
      <c r="O201">
        <f>IF(AND(OR(D201="S. acutus",D201="S. californicus",D201="S. tabernaemontani"),G201=0),E201*[1]Sheet1!$D$7+[1]Sheet1!$L$7,IF(AND(OR(D201="S. acutus",D201="S. tabernaemontani"),G201&gt;0),E201*[1]Sheet1!$D$8+N201*[1]Sheet1!$E$8,IF(AND(D201="S. californicus",G201&gt;0),E201*[1]Sheet1!$D$9+N201*[1]Sheet1!$E$9,IF(D201="S. maritimus",F201*[1]Sheet1!$C$10+E201*[1]Sheet1!$D$10+G201*[1]Sheet1!$F$10+[1]Sheet1!$L$10,IF(D201="S. americanus",F201*[1]Sheet1!$C$6+E201*[1]Sheet1!$D$6+[1]Sheet1!$L$6,IF(AND(OR(D201="T. domingensis",D201="T. latifolia"),E201&gt;0),F201*[1]Sheet1!$C$4+E201*[1]Sheet1!$D$4+H201*[1]Sheet1!$J$4+I201*[1]Sheet1!$K$4+[1]Sheet1!$L$4,IF(AND(OR(D201="T. domingensis",D201="T. latifolia"),J201&gt;0),J201*[1]Sheet1!$G$5+K201*[1]Sheet1!$H$5+L201*[1]Sheet1!$I$5+[1]Sheet1!$L$5,0)))))))</f>
        <v>104.60044100000002</v>
      </c>
    </row>
    <row r="202" spans="1:15">
      <c r="A202" s="6">
        <v>41527</v>
      </c>
      <c r="B202" s="7" t="s">
        <v>31</v>
      </c>
      <c r="C202">
        <v>1</v>
      </c>
      <c r="D202" t="s">
        <v>24</v>
      </c>
      <c r="E202">
        <v>206</v>
      </c>
      <c r="F202">
        <v>1.38</v>
      </c>
      <c r="N202">
        <f t="shared" si="4"/>
        <v>102.70548859799997</v>
      </c>
      <c r="O202">
        <f>IF(AND(OR(D202="S. acutus",D202="S. californicus",D202="S. tabernaemontani"),G202=0),E202*[1]Sheet1!$D$7+[1]Sheet1!$L$7,IF(AND(OR(D202="S. acutus",D202="S. tabernaemontani"),G202&gt;0),E202*[1]Sheet1!$D$8+N202*[1]Sheet1!$E$8,IF(AND(D202="S. californicus",G202&gt;0),E202*[1]Sheet1!$D$9+N202*[1]Sheet1!$E$9,IF(D202="S. maritimus",F202*[1]Sheet1!$C$10+E202*[1]Sheet1!$D$10+G202*[1]Sheet1!$F$10+[1]Sheet1!$L$10,IF(D202="S. americanus",F202*[1]Sheet1!$C$6+E202*[1]Sheet1!$D$6+[1]Sheet1!$L$6,IF(AND(OR(D202="T. domingensis",D202="T. latifolia"),E202&gt;0),F202*[1]Sheet1!$C$4+E202*[1]Sheet1!$D$4+H202*[1]Sheet1!$J$4+I202*[1]Sheet1!$K$4+[1]Sheet1!$L$4,IF(AND(OR(D202="T. domingensis",D202="T. latifolia"),J202&gt;0),J202*[1]Sheet1!$G$5+K202*[1]Sheet1!$H$5+L202*[1]Sheet1!$I$5+[1]Sheet1!$L$5,0)))))))</f>
        <v>9.851033000000001</v>
      </c>
    </row>
    <row r="203" spans="1:15">
      <c r="A203" s="6">
        <v>41527</v>
      </c>
      <c r="B203" s="7" t="s">
        <v>31</v>
      </c>
      <c r="C203">
        <v>1</v>
      </c>
      <c r="D203" t="s">
        <v>24</v>
      </c>
      <c r="E203">
        <v>177</v>
      </c>
      <c r="F203">
        <v>1.52</v>
      </c>
      <c r="N203">
        <f t="shared" si="4"/>
        <v>107.060360656</v>
      </c>
      <c r="O203">
        <f>IF(AND(OR(D203="S. acutus",D203="S. californicus",D203="S. tabernaemontani"),G203=0),E203*[1]Sheet1!$D$7+[1]Sheet1!$L$7,IF(AND(OR(D203="S. acutus",D203="S. tabernaemontani"),G203&gt;0),E203*[1]Sheet1!$D$8+N203*[1]Sheet1!$E$8,IF(AND(D203="S. californicus",G203&gt;0),E203*[1]Sheet1!$D$9+N203*[1]Sheet1!$E$9,IF(D203="S. maritimus",F203*[1]Sheet1!$C$10+E203*[1]Sheet1!$D$10+G203*[1]Sheet1!$F$10+[1]Sheet1!$L$10,IF(D203="S. americanus",F203*[1]Sheet1!$C$6+E203*[1]Sheet1!$D$6+[1]Sheet1!$L$6,IF(AND(OR(D203="T. domingensis",D203="T. latifolia"),E203&gt;0),F203*[1]Sheet1!$C$4+E203*[1]Sheet1!$D$4+H203*[1]Sheet1!$J$4+I203*[1]Sheet1!$K$4+[1]Sheet1!$L$4,IF(AND(OR(D203="T. domingensis",D203="T. latifolia"),J203&gt;0),J203*[1]Sheet1!$G$5+K203*[1]Sheet1!$H$5+L203*[1]Sheet1!$I$5+[1]Sheet1!$L$5,0)))))))</f>
        <v>7.8179880000000006</v>
      </c>
    </row>
    <row r="204" spans="1:15">
      <c r="A204" s="6">
        <v>41527</v>
      </c>
      <c r="B204" s="7" t="s">
        <v>31</v>
      </c>
      <c r="C204">
        <v>1</v>
      </c>
      <c r="D204" t="s">
        <v>24</v>
      </c>
      <c r="E204">
        <v>219</v>
      </c>
      <c r="F204">
        <v>1.25</v>
      </c>
      <c r="N204">
        <f t="shared" si="4"/>
        <v>89.584402343749986</v>
      </c>
      <c r="O204">
        <f>IF(AND(OR(D204="S. acutus",D204="S. californicus",D204="S. tabernaemontani"),G204=0),E204*[1]Sheet1!$D$7+[1]Sheet1!$L$7,IF(AND(OR(D204="S. acutus",D204="S. tabernaemontani"),G204&gt;0),E204*[1]Sheet1!$D$8+N204*[1]Sheet1!$E$8,IF(AND(D204="S. californicus",G204&gt;0),E204*[1]Sheet1!$D$9+N204*[1]Sheet1!$E$9,IF(D204="S. maritimus",F204*[1]Sheet1!$C$10+E204*[1]Sheet1!$D$10+G204*[1]Sheet1!$F$10+[1]Sheet1!$L$10,IF(D204="S. americanus",F204*[1]Sheet1!$C$6+E204*[1]Sheet1!$D$6+[1]Sheet1!$L$6,IF(AND(OR(D204="T. domingensis",D204="T. latifolia"),E204&gt;0),F204*[1]Sheet1!$C$4+E204*[1]Sheet1!$D$4+H204*[1]Sheet1!$J$4+I204*[1]Sheet1!$K$4+[1]Sheet1!$L$4,IF(AND(OR(D204="T. domingensis",D204="T. latifolia"),J204&gt;0),J204*[1]Sheet1!$G$5+K204*[1]Sheet1!$H$5+L204*[1]Sheet1!$I$5+[1]Sheet1!$L$5,0)))))))</f>
        <v>10.762398000000001</v>
      </c>
    </row>
    <row r="205" spans="1:15">
      <c r="A205" s="6">
        <v>41527</v>
      </c>
      <c r="B205" s="7" t="s">
        <v>31</v>
      </c>
      <c r="C205">
        <v>1</v>
      </c>
      <c r="D205" t="s">
        <v>24</v>
      </c>
      <c r="E205">
        <v>217</v>
      </c>
      <c r="F205">
        <v>1.18</v>
      </c>
      <c r="N205">
        <f t="shared" si="4"/>
        <v>79.102827647666658</v>
      </c>
      <c r="O205">
        <f>IF(AND(OR(D205="S. acutus",D205="S. californicus",D205="S. tabernaemontani"),G205=0),E205*[1]Sheet1!$D$7+[1]Sheet1!$L$7,IF(AND(OR(D205="S. acutus",D205="S. tabernaemontani"),G205&gt;0),E205*[1]Sheet1!$D$8+N205*[1]Sheet1!$E$8,IF(AND(D205="S. californicus",G205&gt;0),E205*[1]Sheet1!$D$9+N205*[1]Sheet1!$E$9,IF(D205="S. maritimus",F205*[1]Sheet1!$C$10+E205*[1]Sheet1!$D$10+G205*[1]Sheet1!$F$10+[1]Sheet1!$L$10,IF(D205="S. americanus",F205*[1]Sheet1!$C$6+E205*[1]Sheet1!$D$6+[1]Sheet1!$L$6,IF(AND(OR(D205="T. domingensis",D205="T. latifolia"),E205&gt;0),F205*[1]Sheet1!$C$4+E205*[1]Sheet1!$D$4+H205*[1]Sheet1!$J$4+I205*[1]Sheet1!$K$4+[1]Sheet1!$L$4,IF(AND(OR(D205="T. domingensis",D205="T. latifolia"),J205&gt;0),J205*[1]Sheet1!$G$5+K205*[1]Sheet1!$H$5+L205*[1]Sheet1!$I$5+[1]Sheet1!$L$5,0)))))))</f>
        <v>10.622188000000001</v>
      </c>
    </row>
    <row r="206" spans="1:15">
      <c r="A206" s="6">
        <v>41527</v>
      </c>
      <c r="B206" s="7" t="s">
        <v>31</v>
      </c>
      <c r="C206">
        <v>1</v>
      </c>
      <c r="D206" t="s">
        <v>24</v>
      </c>
      <c r="E206">
        <v>152</v>
      </c>
      <c r="F206">
        <v>1.59</v>
      </c>
      <c r="N206">
        <f t="shared" si="4"/>
        <v>100.60187993400001</v>
      </c>
      <c r="O206">
        <f>IF(AND(OR(D206="S. acutus",D206="S. californicus",D206="S. tabernaemontani"),G206=0),E206*[1]Sheet1!$D$7+[1]Sheet1!$L$7,IF(AND(OR(D206="S. acutus",D206="S. tabernaemontani"),G206&gt;0),E206*[1]Sheet1!$D$8+N206*[1]Sheet1!$E$8,IF(AND(D206="S. californicus",G206&gt;0),E206*[1]Sheet1!$D$9+N206*[1]Sheet1!$E$9,IF(D206="S. maritimus",F206*[1]Sheet1!$C$10+E206*[1]Sheet1!$D$10+G206*[1]Sheet1!$F$10+[1]Sheet1!$L$10,IF(D206="S. americanus",F206*[1]Sheet1!$C$6+E206*[1]Sheet1!$D$6+[1]Sheet1!$L$6,IF(AND(OR(D206="T. domingensis",D206="T. latifolia"),E206&gt;0),F206*[1]Sheet1!$C$4+E206*[1]Sheet1!$D$4+H206*[1]Sheet1!$J$4+I206*[1]Sheet1!$K$4+[1]Sheet1!$L$4,IF(AND(OR(D206="T. domingensis",D206="T. latifolia"),J206&gt;0),J206*[1]Sheet1!$G$5+K206*[1]Sheet1!$H$5+L206*[1]Sheet1!$I$5+[1]Sheet1!$L$5,0)))))))</f>
        <v>6.0653630000000005</v>
      </c>
    </row>
    <row r="207" spans="1:15">
      <c r="A207" s="6">
        <v>41527</v>
      </c>
      <c r="B207" s="7" t="s">
        <v>31</v>
      </c>
      <c r="C207">
        <v>1</v>
      </c>
      <c r="D207" t="s">
        <v>25</v>
      </c>
      <c r="E207">
        <v>84</v>
      </c>
      <c r="F207">
        <v>0.95</v>
      </c>
      <c r="N207">
        <f t="shared" si="4"/>
        <v>19.846994824999996</v>
      </c>
      <c r="O207">
        <f>IF(AND(OR(D207="S. acutus",D207="S. californicus",D207="S. tabernaemontani"),G207=0),E207*[1]Sheet1!$D$7+[1]Sheet1!$L$7,IF(AND(OR(D207="S. acutus",D207="S. tabernaemontani"),G207&gt;0),E207*[1]Sheet1!$D$8+N207*[1]Sheet1!$E$8,IF(AND(D207="S. californicus",G207&gt;0),E207*[1]Sheet1!$D$9+N207*[1]Sheet1!$E$9,IF(D207="S. maritimus",F207*[1]Sheet1!$C$10+E207*[1]Sheet1!$D$10+G207*[1]Sheet1!$F$10+[1]Sheet1!$L$10,IF(D207="S. americanus",F207*[1]Sheet1!$C$6+E207*[1]Sheet1!$D$6+[1]Sheet1!$L$6,IF(AND(OR(D207="T. domingensis",D207="T. latifolia"),E207&gt;0),F207*[1]Sheet1!$C$4+E207*[1]Sheet1!$D$4+H207*[1]Sheet1!$J$4+I207*[1]Sheet1!$K$4+[1]Sheet1!$L$4,IF(AND(OR(D207="T. domingensis",D207="T. latifolia"),J207&gt;0),J207*[1]Sheet1!$G$5+K207*[1]Sheet1!$H$5+L207*[1]Sheet1!$I$5+[1]Sheet1!$L$5,0)))))))</f>
        <v>1.2982230000000001</v>
      </c>
    </row>
    <row r="208" spans="1:15">
      <c r="A208" s="6">
        <v>41527</v>
      </c>
      <c r="B208" s="7" t="s">
        <v>31</v>
      </c>
      <c r="C208">
        <v>1</v>
      </c>
      <c r="D208" t="s">
        <v>25</v>
      </c>
      <c r="E208">
        <v>188</v>
      </c>
      <c r="F208">
        <v>1.37</v>
      </c>
      <c r="N208">
        <f t="shared" si="4"/>
        <v>92.377720912333331</v>
      </c>
      <c r="O208">
        <f>IF(AND(OR(D208="S. acutus",D208="S. californicus",D208="S. tabernaemontani"),G208=0),E208*[1]Sheet1!$D$7+[1]Sheet1!$L$7,IF(AND(OR(D208="S. acutus",D208="S. tabernaemontani"),G208&gt;0),E208*[1]Sheet1!$D$8+N208*[1]Sheet1!$E$8,IF(AND(D208="S. californicus",G208&gt;0),E208*[1]Sheet1!$D$9+N208*[1]Sheet1!$E$9,IF(D208="S. maritimus",F208*[1]Sheet1!$C$10+E208*[1]Sheet1!$D$10+G208*[1]Sheet1!$F$10+[1]Sheet1!$L$10,IF(D208="S. americanus",F208*[1]Sheet1!$C$6+E208*[1]Sheet1!$D$6+[1]Sheet1!$L$6,IF(AND(OR(D208="T. domingensis",D208="T. latifolia"),E208&gt;0),F208*[1]Sheet1!$C$4+E208*[1]Sheet1!$D$4+H208*[1]Sheet1!$J$4+I208*[1]Sheet1!$K$4+[1]Sheet1!$L$4,IF(AND(OR(D208="T. domingensis",D208="T. latifolia"),J208&gt;0),J208*[1]Sheet1!$G$5+K208*[1]Sheet1!$H$5+L208*[1]Sheet1!$I$5+[1]Sheet1!$L$5,0)))))))</f>
        <v>8.589143</v>
      </c>
    </row>
    <row r="209" spans="1:15">
      <c r="A209" s="6">
        <v>41527</v>
      </c>
      <c r="B209" s="7" t="s">
        <v>31</v>
      </c>
      <c r="C209">
        <v>1</v>
      </c>
      <c r="D209" t="s">
        <v>25</v>
      </c>
      <c r="E209">
        <v>175</v>
      </c>
      <c r="F209">
        <v>1.52</v>
      </c>
      <c r="N209">
        <f t="shared" si="4"/>
        <v>105.85063906666666</v>
      </c>
      <c r="O209">
        <f>IF(AND(OR(D209="S. acutus",D209="S. californicus",D209="S. tabernaemontani"),G209=0),E209*[1]Sheet1!$D$7+[1]Sheet1!$L$7,IF(AND(OR(D209="S. acutus",D209="S. tabernaemontani"),G209&gt;0),E209*[1]Sheet1!$D$8+N209*[1]Sheet1!$E$8,IF(AND(D209="S. californicus",G209&gt;0),E209*[1]Sheet1!$D$9+N209*[1]Sheet1!$E$9,IF(D209="S. maritimus",F209*[1]Sheet1!$C$10+E209*[1]Sheet1!$D$10+G209*[1]Sheet1!$F$10+[1]Sheet1!$L$10,IF(D209="S. americanus",F209*[1]Sheet1!$C$6+E209*[1]Sheet1!$D$6+[1]Sheet1!$L$6,IF(AND(OR(D209="T. domingensis",D209="T. latifolia"),E209&gt;0),F209*[1]Sheet1!$C$4+E209*[1]Sheet1!$D$4+H209*[1]Sheet1!$J$4+I209*[1]Sheet1!$K$4+[1]Sheet1!$L$4,IF(AND(OR(D209="T. domingensis",D209="T. latifolia"),J209&gt;0),J209*[1]Sheet1!$G$5+K209*[1]Sheet1!$H$5+L209*[1]Sheet1!$I$5+[1]Sheet1!$L$5,0)))))))</f>
        <v>7.6777780000000009</v>
      </c>
    </row>
    <row r="210" spans="1:15">
      <c r="A210" s="6">
        <v>41527</v>
      </c>
      <c r="B210" s="7" t="s">
        <v>31</v>
      </c>
      <c r="C210">
        <v>1</v>
      </c>
      <c r="D210" t="s">
        <v>23</v>
      </c>
      <c r="E210">
        <v>228</v>
      </c>
      <c r="F210">
        <v>1.75</v>
      </c>
      <c r="H210">
        <v>25</v>
      </c>
      <c r="I210">
        <v>2.25</v>
      </c>
      <c r="N210" t="str">
        <f t="shared" si="4"/>
        <v>NA</v>
      </c>
      <c r="O210">
        <f>IF(AND(OR(D210="S. acutus",D210="S. californicus",D210="S. tabernaemontani"),G210=0),E210*[1]Sheet1!$D$7+[1]Sheet1!$L$7,IF(AND(OR(D210="S. acutus",D210="S. tabernaemontani"),G210&gt;0),E210*[1]Sheet1!$D$8+N210*[1]Sheet1!$E$8,IF(AND(D210="S. californicus",G210&gt;0),E210*[1]Sheet1!$D$9+N210*[1]Sheet1!$E$9,IF(D210="S. maritimus",F210*[1]Sheet1!$C$10+E210*[1]Sheet1!$D$10+G210*[1]Sheet1!$F$10+[1]Sheet1!$L$10,IF(D210="S. americanus",F210*[1]Sheet1!$C$6+E210*[1]Sheet1!$D$6+[1]Sheet1!$L$6,IF(AND(OR(D210="T. domingensis",D210="T. latifolia"),E210&gt;0),F210*[1]Sheet1!$C$4+E210*[1]Sheet1!$D$4+H210*[1]Sheet1!$J$4+I210*[1]Sheet1!$K$4+[1]Sheet1!$L$4,IF(AND(OR(D210="T. domingensis",D210="T. latifolia"),J210&gt;0),J210*[1]Sheet1!$G$5+K210*[1]Sheet1!$H$5+L210*[1]Sheet1!$I$5+[1]Sheet1!$L$5,0)))))))</f>
        <v>67.383060349999994</v>
      </c>
    </row>
    <row r="211" spans="1:15">
      <c r="A211" s="6">
        <v>41527</v>
      </c>
      <c r="B211" s="7" t="s">
        <v>31</v>
      </c>
      <c r="C211">
        <v>1</v>
      </c>
      <c r="D211" t="s">
        <v>19</v>
      </c>
      <c r="F211">
        <v>1.9</v>
      </c>
      <c r="J211">
        <f>41+50+50+64+66+66</f>
        <v>337</v>
      </c>
      <c r="K211">
        <v>6</v>
      </c>
      <c r="L211">
        <v>66</v>
      </c>
      <c r="N211" t="str">
        <f t="shared" si="4"/>
        <v>NA</v>
      </c>
      <c r="O211">
        <f>IF(AND(OR(D211="S. acutus",D211="S. californicus",D211="S. tabernaemontani"),G211=0),E211*[1]Sheet1!$D$7+[1]Sheet1!$L$7,IF(AND(OR(D211="S. acutus",D211="S. tabernaemontani"),G211&gt;0),E211*[1]Sheet1!$D$8+N211*[1]Sheet1!$E$8,IF(AND(D211="S. californicus",G211&gt;0),E211*[1]Sheet1!$D$9+N211*[1]Sheet1!$E$9,IF(D211="S. maritimus",F211*[1]Sheet1!$C$10+E211*[1]Sheet1!$D$10+G211*[1]Sheet1!$F$10+[1]Sheet1!$L$10,IF(D211="S. americanus",F211*[1]Sheet1!$C$6+E211*[1]Sheet1!$D$6+[1]Sheet1!$L$6,IF(AND(OR(D211="T. domingensis",D211="T. latifolia"),E211&gt;0),F211*[1]Sheet1!$C$4+E211*[1]Sheet1!$D$4+H211*[1]Sheet1!$J$4+I211*[1]Sheet1!$K$4+[1]Sheet1!$L$4,IF(AND(OR(D211="T. domingensis",D211="T. latifolia"),J211&gt;0),J211*[1]Sheet1!$G$5+K211*[1]Sheet1!$H$5+L211*[1]Sheet1!$I$5+[1]Sheet1!$L$5,0)))))))</f>
        <v>2.6161309999999993</v>
      </c>
    </row>
    <row r="212" spans="1:15">
      <c r="A212" s="6">
        <v>41527</v>
      </c>
      <c r="B212" s="7" t="s">
        <v>31</v>
      </c>
      <c r="C212">
        <v>1</v>
      </c>
      <c r="D212" t="s">
        <v>19</v>
      </c>
      <c r="F212">
        <v>2</v>
      </c>
      <c r="J212">
        <f>46+94+116+119+127+128</f>
        <v>630</v>
      </c>
      <c r="K212">
        <v>6</v>
      </c>
      <c r="L212">
        <v>128</v>
      </c>
      <c r="N212" t="str">
        <f t="shared" si="4"/>
        <v>NA</v>
      </c>
      <c r="O212">
        <f>IF(AND(OR(D212="S. acutus",D212="S. californicus",D212="S. tabernaemontani"),G212=0),E212*[1]Sheet1!$D$7+[1]Sheet1!$L$7,IF(AND(OR(D212="S. acutus",D212="S. tabernaemontani"),G212&gt;0),E212*[1]Sheet1!$D$8+N212*[1]Sheet1!$E$8,IF(AND(D212="S. californicus",G212&gt;0),E212*[1]Sheet1!$D$9+N212*[1]Sheet1!$E$9,IF(D212="S. maritimus",F212*[1]Sheet1!$C$10+E212*[1]Sheet1!$D$10+G212*[1]Sheet1!$F$10+[1]Sheet1!$L$10,IF(D212="S. americanus",F212*[1]Sheet1!$C$6+E212*[1]Sheet1!$D$6+[1]Sheet1!$L$6,IF(AND(OR(D212="T. domingensis",D212="T. latifolia"),E212&gt;0),F212*[1]Sheet1!$C$4+E212*[1]Sheet1!$D$4+H212*[1]Sheet1!$J$4+I212*[1]Sheet1!$K$4+[1]Sheet1!$L$4,IF(AND(OR(D212="T. domingensis",D212="T. latifolia"),J212&gt;0),J212*[1]Sheet1!$G$5+K212*[1]Sheet1!$H$5+L212*[1]Sheet1!$I$5+[1]Sheet1!$L$5,0)))))))</f>
        <v>11.409156000000003</v>
      </c>
    </row>
    <row r="213" spans="1:15">
      <c r="A213" s="6">
        <v>41527</v>
      </c>
      <c r="B213" s="7" t="s">
        <v>31</v>
      </c>
      <c r="C213">
        <v>1</v>
      </c>
      <c r="D213" t="s">
        <v>19</v>
      </c>
      <c r="F213">
        <v>1.5</v>
      </c>
      <c r="J213">
        <f>95+100+113+122+121</f>
        <v>551</v>
      </c>
      <c r="K213">
        <v>5</v>
      </c>
      <c r="L213">
        <v>122</v>
      </c>
      <c r="N213" t="str">
        <f t="shared" si="4"/>
        <v>NA</v>
      </c>
      <c r="O213">
        <f>IF(AND(OR(D213="S. acutus",D213="S. californicus",D213="S. tabernaemontani"),G213=0),E213*[1]Sheet1!$D$7+[1]Sheet1!$L$7,IF(AND(OR(D213="S. acutus",D213="S. tabernaemontani"),G213&gt;0),E213*[1]Sheet1!$D$8+N213*[1]Sheet1!$E$8,IF(AND(D213="S. californicus",G213&gt;0),E213*[1]Sheet1!$D$9+N213*[1]Sheet1!$E$9,IF(D213="S. maritimus",F213*[1]Sheet1!$C$10+E213*[1]Sheet1!$D$10+G213*[1]Sheet1!$F$10+[1]Sheet1!$L$10,IF(D213="S. americanus",F213*[1]Sheet1!$C$6+E213*[1]Sheet1!$D$6+[1]Sheet1!$L$6,IF(AND(OR(D213="T. domingensis",D213="T. latifolia"),E213&gt;0),F213*[1]Sheet1!$C$4+E213*[1]Sheet1!$D$4+H213*[1]Sheet1!$J$4+I213*[1]Sheet1!$K$4+[1]Sheet1!$L$4,IF(AND(OR(D213="T. domingensis",D213="T. latifolia"),J213&gt;0),J213*[1]Sheet1!$G$5+K213*[1]Sheet1!$H$5+L213*[1]Sheet1!$I$5+[1]Sheet1!$L$5,0)))))))</f>
        <v>12.832334000000003</v>
      </c>
    </row>
    <row r="214" spans="1:15">
      <c r="A214" s="6">
        <v>41527</v>
      </c>
      <c r="B214" s="7" t="s">
        <v>31</v>
      </c>
      <c r="C214">
        <v>1</v>
      </c>
      <c r="D214" t="s">
        <v>19</v>
      </c>
      <c r="F214">
        <v>1.47</v>
      </c>
      <c r="J214">
        <f>123+120+114+111</f>
        <v>468</v>
      </c>
      <c r="K214">
        <v>4</v>
      </c>
      <c r="L214">
        <v>123</v>
      </c>
      <c r="N214" t="str">
        <f t="shared" si="4"/>
        <v>NA</v>
      </c>
      <c r="O214">
        <f>IF(AND(OR(D214="S. acutus",D214="S. californicus",D214="S. tabernaemontani"),G214=0),E214*[1]Sheet1!$D$7+[1]Sheet1!$L$7,IF(AND(OR(D214="S. acutus",D214="S. tabernaemontani"),G214&gt;0),E214*[1]Sheet1!$D$8+N214*[1]Sheet1!$E$8,IF(AND(D214="S. californicus",G214&gt;0),E214*[1]Sheet1!$D$9+N214*[1]Sheet1!$E$9,IF(D214="S. maritimus",F214*[1]Sheet1!$C$10+E214*[1]Sheet1!$D$10+G214*[1]Sheet1!$F$10+[1]Sheet1!$L$10,IF(D214="S. americanus",F214*[1]Sheet1!$C$6+E214*[1]Sheet1!$D$6+[1]Sheet1!$L$6,IF(AND(OR(D214="T. domingensis",D214="T. latifolia"),E214&gt;0),F214*[1]Sheet1!$C$4+E214*[1]Sheet1!$D$4+H214*[1]Sheet1!$J$4+I214*[1]Sheet1!$K$4+[1]Sheet1!$L$4,IF(AND(OR(D214="T. domingensis",D214="T. latifolia"),J214&gt;0),J214*[1]Sheet1!$G$5+K214*[1]Sheet1!$H$5+L214*[1]Sheet1!$I$5+[1]Sheet1!$L$5,0)))))))</f>
        <v>11.771777000000004</v>
      </c>
    </row>
    <row r="215" spans="1:15">
      <c r="A215" s="6">
        <v>41527</v>
      </c>
      <c r="B215" s="7" t="s">
        <v>31</v>
      </c>
      <c r="C215">
        <v>1</v>
      </c>
      <c r="D215" t="s">
        <v>19</v>
      </c>
      <c r="F215">
        <v>1.17</v>
      </c>
      <c r="J215">
        <f>81+85+94+108+111</f>
        <v>479</v>
      </c>
      <c r="K215">
        <v>5</v>
      </c>
      <c r="L215">
        <v>111</v>
      </c>
      <c r="N215" t="str">
        <f t="shared" si="4"/>
        <v>NA</v>
      </c>
      <c r="O215">
        <f>IF(AND(OR(D215="S. acutus",D215="S. californicus",D215="S. tabernaemontani"),G215=0),E215*[1]Sheet1!$D$7+[1]Sheet1!$L$7,IF(AND(OR(D215="S. acutus",D215="S. tabernaemontani"),G215&gt;0),E215*[1]Sheet1!$D$8+N215*[1]Sheet1!$E$8,IF(AND(D215="S. californicus",G215&gt;0),E215*[1]Sheet1!$D$9+N215*[1]Sheet1!$E$9,IF(D215="S. maritimus",F215*[1]Sheet1!$C$10+E215*[1]Sheet1!$D$10+G215*[1]Sheet1!$F$10+[1]Sheet1!$L$10,IF(D215="S. americanus",F215*[1]Sheet1!$C$6+E215*[1]Sheet1!$D$6+[1]Sheet1!$L$6,IF(AND(OR(D215="T. domingensis",D215="T. latifolia"),E215&gt;0),F215*[1]Sheet1!$C$4+E215*[1]Sheet1!$D$4+H215*[1]Sheet1!$J$4+I215*[1]Sheet1!$K$4+[1]Sheet1!$L$4,IF(AND(OR(D215="T. domingensis",D215="T. latifolia"),J215&gt;0),J215*[1]Sheet1!$G$5+K215*[1]Sheet1!$H$5+L215*[1]Sheet1!$I$5+[1]Sheet1!$L$5,0)))))))</f>
        <v>9.3956689999999981</v>
      </c>
    </row>
    <row r="216" spans="1:15">
      <c r="A216" s="6">
        <v>41527</v>
      </c>
      <c r="B216" s="7" t="s">
        <v>31</v>
      </c>
      <c r="C216">
        <v>1</v>
      </c>
      <c r="D216" t="s">
        <v>19</v>
      </c>
      <c r="F216">
        <v>1.52</v>
      </c>
      <c r="J216">
        <f>89+94+108+117+116</f>
        <v>524</v>
      </c>
      <c r="K216">
        <v>5</v>
      </c>
      <c r="L216">
        <v>117</v>
      </c>
      <c r="N216" t="str">
        <f t="shared" si="4"/>
        <v>NA</v>
      </c>
      <c r="O216">
        <f>IF(AND(OR(D216="S. acutus",D216="S. californicus",D216="S. tabernaemontani"),G216=0),E216*[1]Sheet1!$D$7+[1]Sheet1!$L$7,IF(AND(OR(D216="S. acutus",D216="S. tabernaemontani"),G216&gt;0),E216*[1]Sheet1!$D$8+N216*[1]Sheet1!$E$8,IF(AND(D216="S. californicus",G216&gt;0),E216*[1]Sheet1!$D$9+N216*[1]Sheet1!$E$9,IF(D216="S. maritimus",F216*[1]Sheet1!$C$10+E216*[1]Sheet1!$D$10+G216*[1]Sheet1!$F$10+[1]Sheet1!$L$10,IF(D216="S. americanus",F216*[1]Sheet1!$C$6+E216*[1]Sheet1!$D$6+[1]Sheet1!$L$6,IF(AND(OR(D216="T. domingensis",D216="T. latifolia"),E216&gt;0),F216*[1]Sheet1!$C$4+E216*[1]Sheet1!$D$4+H216*[1]Sheet1!$J$4+I216*[1]Sheet1!$K$4+[1]Sheet1!$L$4,IF(AND(OR(D216="T. domingensis",D216="T. latifolia"),J216&gt;0),J216*[1]Sheet1!$G$5+K216*[1]Sheet1!$H$5+L216*[1]Sheet1!$I$5+[1]Sheet1!$L$5,0)))))))</f>
        <v>11.807174000000003</v>
      </c>
    </row>
    <row r="217" spans="1:15">
      <c r="A217" s="6">
        <v>41527</v>
      </c>
      <c r="B217" s="7" t="s">
        <v>31</v>
      </c>
      <c r="C217">
        <v>1</v>
      </c>
      <c r="D217" t="s">
        <v>19</v>
      </c>
      <c r="F217">
        <v>1.49</v>
      </c>
      <c r="J217">
        <f>86+96+103+115+118+122</f>
        <v>640</v>
      </c>
      <c r="K217">
        <v>6</v>
      </c>
      <c r="L217">
        <v>122</v>
      </c>
      <c r="N217" t="str">
        <f t="shared" si="4"/>
        <v>NA</v>
      </c>
      <c r="O217">
        <f>IF(AND(OR(D217="S. acutus",D217="S. californicus",D217="S. tabernaemontani"),G217=0),E217*[1]Sheet1!$D$7+[1]Sheet1!$L$7,IF(AND(OR(D217="S. acutus",D217="S. tabernaemontani"),G217&gt;0),E217*[1]Sheet1!$D$8+N217*[1]Sheet1!$E$8,IF(AND(D217="S. californicus",G217&gt;0),E217*[1]Sheet1!$D$9+N217*[1]Sheet1!$E$9,IF(D217="S. maritimus",F217*[1]Sheet1!$C$10+E217*[1]Sheet1!$D$10+G217*[1]Sheet1!$F$10+[1]Sheet1!$L$10,IF(D217="S. americanus",F217*[1]Sheet1!$C$6+E217*[1]Sheet1!$D$6+[1]Sheet1!$L$6,IF(AND(OR(D217="T. domingensis",D217="T. latifolia"),E217&gt;0),F217*[1]Sheet1!$C$4+E217*[1]Sheet1!$D$4+H217*[1]Sheet1!$J$4+I217*[1]Sheet1!$K$4+[1]Sheet1!$L$4,IF(AND(OR(D217="T. domingensis",D217="T. latifolia"),J217&gt;0),J217*[1]Sheet1!$G$5+K217*[1]Sheet1!$H$5+L217*[1]Sheet1!$I$5+[1]Sheet1!$L$5,0)))))))</f>
        <v>14.154176000000007</v>
      </c>
    </row>
    <row r="218" spans="1:15">
      <c r="A218" s="6">
        <v>41527</v>
      </c>
      <c r="B218" s="7" t="s">
        <v>31</v>
      </c>
      <c r="C218">
        <v>1</v>
      </c>
      <c r="D218" t="s">
        <v>19</v>
      </c>
      <c r="F218">
        <v>1.1000000000000001</v>
      </c>
      <c r="J218">
        <f>97+105</f>
        <v>202</v>
      </c>
      <c r="K218">
        <v>2</v>
      </c>
      <c r="L218">
        <v>105</v>
      </c>
      <c r="N218" t="str">
        <f t="shared" si="4"/>
        <v>NA</v>
      </c>
      <c r="O218">
        <f>IF(AND(OR(D218="S. acutus",D218="S. californicus",D218="S. tabernaemontani"),G218=0),E218*[1]Sheet1!$D$7+[1]Sheet1!$L$7,IF(AND(OR(D218="S. acutus",D218="S. tabernaemontani"),G218&gt;0),E218*[1]Sheet1!$D$8+N218*[1]Sheet1!$E$8,IF(AND(D218="S. californicus",G218&gt;0),E218*[1]Sheet1!$D$9+N218*[1]Sheet1!$E$9,IF(D218="S. maritimus",F218*[1]Sheet1!$C$10+E218*[1]Sheet1!$D$10+G218*[1]Sheet1!$F$10+[1]Sheet1!$L$10,IF(D218="S. americanus",F218*[1]Sheet1!$C$6+E218*[1]Sheet1!$D$6+[1]Sheet1!$L$6,IF(AND(OR(D218="T. domingensis",D218="T. latifolia"),E218&gt;0),F218*[1]Sheet1!$C$4+E218*[1]Sheet1!$D$4+H218*[1]Sheet1!$J$4+I218*[1]Sheet1!$K$4+[1]Sheet1!$L$4,IF(AND(OR(D218="T. domingensis",D218="T. latifolia"),J218&gt;0),J218*[1]Sheet1!$G$5+K218*[1]Sheet1!$H$5+L218*[1]Sheet1!$I$5+[1]Sheet1!$L$5,0)))))))</f>
        <v>6.3000630000000015</v>
      </c>
    </row>
    <row r="219" spans="1:15">
      <c r="A219" s="6">
        <v>41527</v>
      </c>
      <c r="B219" s="7" t="s">
        <v>31</v>
      </c>
      <c r="C219">
        <v>1</v>
      </c>
      <c r="D219" t="s">
        <v>19</v>
      </c>
      <c r="F219">
        <v>0.89</v>
      </c>
      <c r="J219">
        <f>45+54+59</f>
        <v>158</v>
      </c>
      <c r="K219">
        <v>3</v>
      </c>
      <c r="L219">
        <v>59</v>
      </c>
      <c r="N219" t="str">
        <f t="shared" si="4"/>
        <v>NA</v>
      </c>
      <c r="O219">
        <f>IF(AND(OR(D219="S. acutus",D219="S. californicus",D219="S. tabernaemontani"),G219=0),E219*[1]Sheet1!$D$7+[1]Sheet1!$L$7,IF(AND(OR(D219="S. acutus",D219="S. tabernaemontani"),G219&gt;0),E219*[1]Sheet1!$D$8+N219*[1]Sheet1!$E$8,IF(AND(D219="S. californicus",G219&gt;0),E219*[1]Sheet1!$D$9+N219*[1]Sheet1!$E$9,IF(D219="S. maritimus",F219*[1]Sheet1!$C$10+E219*[1]Sheet1!$D$10+G219*[1]Sheet1!$F$10+[1]Sheet1!$L$10,IF(D219="S. americanus",F219*[1]Sheet1!$C$6+E219*[1]Sheet1!$D$6+[1]Sheet1!$L$6,IF(AND(OR(D219="T. domingensis",D219="T. latifolia"),E219&gt;0),F219*[1]Sheet1!$C$4+E219*[1]Sheet1!$D$4+H219*[1]Sheet1!$J$4+I219*[1]Sheet1!$K$4+[1]Sheet1!$L$4,IF(AND(OR(D219="T. domingensis",D219="T. latifolia"),J219&gt;0),J219*[1]Sheet1!$G$5+K219*[1]Sheet1!$H$5+L219*[1]Sheet1!$I$5+[1]Sheet1!$L$5,0)))))))</f>
        <v>9.00976</v>
      </c>
    </row>
    <row r="220" spans="1:15">
      <c r="A220" s="6">
        <v>41527</v>
      </c>
      <c r="B220" s="7" t="s">
        <v>31</v>
      </c>
      <c r="C220">
        <v>1</v>
      </c>
      <c r="D220" t="s">
        <v>19</v>
      </c>
      <c r="F220">
        <v>1.69</v>
      </c>
      <c r="J220">
        <f>112+111+125+132+128</f>
        <v>608</v>
      </c>
      <c r="K220">
        <v>5</v>
      </c>
      <c r="L220">
        <v>132</v>
      </c>
      <c r="N220" t="str">
        <f t="shared" si="4"/>
        <v>NA</v>
      </c>
      <c r="O220">
        <f>IF(AND(OR(D220="S. acutus",D220="S. californicus",D220="S. tabernaemontani"),G220=0),E220*[1]Sheet1!$D$7+[1]Sheet1!$L$7,IF(AND(OR(D220="S. acutus",D220="S. tabernaemontani"),G220&gt;0),E220*[1]Sheet1!$D$8+N220*[1]Sheet1!$E$8,IF(AND(D220="S. californicus",G220&gt;0),E220*[1]Sheet1!$D$9+N220*[1]Sheet1!$E$9,IF(D220="S. maritimus",F220*[1]Sheet1!$C$10+E220*[1]Sheet1!$D$10+G220*[1]Sheet1!$F$10+[1]Sheet1!$L$10,IF(D220="S. americanus",F220*[1]Sheet1!$C$6+E220*[1]Sheet1!$D$6+[1]Sheet1!$L$6,IF(AND(OR(D220="T. domingensis",D220="T. latifolia"),E220&gt;0),F220*[1]Sheet1!$C$4+E220*[1]Sheet1!$D$4+H220*[1]Sheet1!$J$4+I220*[1]Sheet1!$K$4+[1]Sheet1!$L$4,IF(AND(OR(D220="T. domingensis",D220="T. latifolia"),J220&gt;0),J220*[1]Sheet1!$G$5+K220*[1]Sheet1!$H$5+L220*[1]Sheet1!$I$5+[1]Sheet1!$L$5,0)))))))</f>
        <v>15.163919000000007</v>
      </c>
    </row>
    <row r="221" spans="1:15">
      <c r="A221" s="6">
        <v>41527</v>
      </c>
      <c r="B221" s="7" t="s">
        <v>31</v>
      </c>
      <c r="C221">
        <v>1</v>
      </c>
      <c r="D221" t="s">
        <v>19</v>
      </c>
      <c r="F221">
        <v>0.87</v>
      </c>
      <c r="J221">
        <f>127+129+135</f>
        <v>391</v>
      </c>
      <c r="K221">
        <v>3</v>
      </c>
      <c r="L221">
        <v>135</v>
      </c>
      <c r="N221" t="str">
        <f t="shared" si="4"/>
        <v>NA</v>
      </c>
      <c r="O221">
        <f>IF(AND(OR(D221="S. acutus",D221="S. californicus",D221="S. tabernaemontani"),G221=0),E221*[1]Sheet1!$D$7+[1]Sheet1!$L$7,IF(AND(OR(D221="S. acutus",D221="S. tabernaemontani"),G221&gt;0),E221*[1]Sheet1!$D$8+N221*[1]Sheet1!$E$8,IF(AND(D221="S. californicus",G221&gt;0),E221*[1]Sheet1!$D$9+N221*[1]Sheet1!$E$9,IF(D221="S. maritimus",F221*[1]Sheet1!$C$10+E221*[1]Sheet1!$D$10+G221*[1]Sheet1!$F$10+[1]Sheet1!$L$10,IF(D221="S. americanus",F221*[1]Sheet1!$C$6+E221*[1]Sheet1!$D$6+[1]Sheet1!$L$6,IF(AND(OR(D221="T. domingensis",D221="T. latifolia"),E221&gt;0),F221*[1]Sheet1!$C$4+E221*[1]Sheet1!$D$4+H221*[1]Sheet1!$J$4+I221*[1]Sheet1!$K$4+[1]Sheet1!$L$4,IF(AND(OR(D221="T. domingensis",D221="T. latifolia"),J221&gt;0),J221*[1]Sheet1!$G$5+K221*[1]Sheet1!$H$5+L221*[1]Sheet1!$I$5+[1]Sheet1!$L$5,0)))))))</f>
        <v>7.9600550000000041</v>
      </c>
    </row>
    <row r="222" spans="1:15">
      <c r="A222" s="6">
        <v>41527</v>
      </c>
      <c r="B222" s="7" t="s">
        <v>31</v>
      </c>
      <c r="C222">
        <v>1</v>
      </c>
      <c r="D222" t="s">
        <v>19</v>
      </c>
      <c r="F222">
        <v>2.5</v>
      </c>
      <c r="J222">
        <f>98+95+105+120+126+128</f>
        <v>672</v>
      </c>
      <c r="K222">
        <v>6</v>
      </c>
      <c r="L222">
        <v>128</v>
      </c>
      <c r="N222" t="str">
        <f t="shared" si="4"/>
        <v>NA</v>
      </c>
      <c r="O222">
        <f>IF(AND(OR(D222="S. acutus",D222="S. californicus",D222="S. tabernaemontani"),G222=0),E222*[1]Sheet1!$D$7+[1]Sheet1!$L$7,IF(AND(OR(D222="S. acutus",D222="S. tabernaemontani"),G222&gt;0),E222*[1]Sheet1!$D$8+N222*[1]Sheet1!$E$8,IF(AND(D222="S. californicus",G222&gt;0),E222*[1]Sheet1!$D$9+N222*[1]Sheet1!$E$9,IF(D222="S. maritimus",F222*[1]Sheet1!$C$10+E222*[1]Sheet1!$D$10+G222*[1]Sheet1!$F$10+[1]Sheet1!$L$10,IF(D222="S. americanus",F222*[1]Sheet1!$C$6+E222*[1]Sheet1!$D$6+[1]Sheet1!$L$6,IF(AND(OR(D222="T. domingensis",D222="T. latifolia"),E222&gt;0),F222*[1]Sheet1!$C$4+E222*[1]Sheet1!$D$4+H222*[1]Sheet1!$J$4+I222*[1]Sheet1!$K$4+[1]Sheet1!$L$4,IF(AND(OR(D222="T. domingensis",D222="T. latifolia"),J222&gt;0),J222*[1]Sheet1!$G$5+K222*[1]Sheet1!$H$5+L222*[1]Sheet1!$I$5+[1]Sheet1!$L$5,0)))))))</f>
        <v>15.346865999999999</v>
      </c>
    </row>
    <row r="223" spans="1:15">
      <c r="A223" s="6">
        <v>41527</v>
      </c>
      <c r="B223" s="7" t="s">
        <v>31</v>
      </c>
      <c r="C223">
        <v>1</v>
      </c>
      <c r="D223" t="s">
        <v>19</v>
      </c>
      <c r="F223">
        <v>0.8</v>
      </c>
      <c r="J223">
        <f>90+103+104</f>
        <v>297</v>
      </c>
      <c r="K223">
        <v>3</v>
      </c>
      <c r="L223">
        <v>104</v>
      </c>
      <c r="N223" t="str">
        <f t="shared" si="4"/>
        <v>NA</v>
      </c>
      <c r="O223">
        <f>IF(AND(OR(D223="S. acutus",D223="S. californicus",D223="S. tabernaemontani"),G223=0),E223*[1]Sheet1!$D$7+[1]Sheet1!$L$7,IF(AND(OR(D223="S. acutus",D223="S. tabernaemontani"),G223&gt;0),E223*[1]Sheet1!$D$8+N223*[1]Sheet1!$E$8,IF(AND(D223="S. californicus",G223&gt;0),E223*[1]Sheet1!$D$9+N223*[1]Sheet1!$E$9,IF(D223="S. maritimus",F223*[1]Sheet1!$C$10+E223*[1]Sheet1!$D$10+G223*[1]Sheet1!$F$10+[1]Sheet1!$L$10,IF(D223="S. americanus",F223*[1]Sheet1!$C$6+E223*[1]Sheet1!$D$6+[1]Sheet1!$L$6,IF(AND(OR(D223="T. domingensis",D223="T. latifolia"),E223&gt;0),F223*[1]Sheet1!$C$4+E223*[1]Sheet1!$D$4+H223*[1]Sheet1!$J$4+I223*[1]Sheet1!$K$4+[1]Sheet1!$L$4,IF(AND(OR(D223="T. domingensis",D223="T. latifolia"),J223&gt;0),J223*[1]Sheet1!$G$5+K223*[1]Sheet1!$H$5+L223*[1]Sheet1!$I$5+[1]Sheet1!$L$5,0)))))))</f>
        <v>8.4856800000000021</v>
      </c>
    </row>
    <row r="224" spans="1:15">
      <c r="A224" s="6">
        <v>41527</v>
      </c>
      <c r="B224" s="7" t="s">
        <v>31</v>
      </c>
      <c r="C224">
        <v>1</v>
      </c>
      <c r="D224" t="s">
        <v>19</v>
      </c>
      <c r="F224">
        <v>1.26</v>
      </c>
      <c r="J224">
        <f>48+95+107+112+117</f>
        <v>479</v>
      </c>
      <c r="K224">
        <v>5</v>
      </c>
      <c r="L224">
        <v>117</v>
      </c>
      <c r="N224" t="str">
        <f t="shared" si="4"/>
        <v>NA</v>
      </c>
      <c r="O224">
        <f>IF(AND(OR(D224="S. acutus",D224="S. californicus",D224="S. tabernaemontani"),G224=0),E224*[1]Sheet1!$D$7+[1]Sheet1!$L$7,IF(AND(OR(D224="S. acutus",D224="S. tabernaemontani"),G224&gt;0),E224*[1]Sheet1!$D$8+N224*[1]Sheet1!$E$8,IF(AND(D224="S. californicus",G224&gt;0),E224*[1]Sheet1!$D$9+N224*[1]Sheet1!$E$9,IF(D224="S. maritimus",F224*[1]Sheet1!$C$10+E224*[1]Sheet1!$D$10+G224*[1]Sheet1!$F$10+[1]Sheet1!$L$10,IF(D224="S. americanus",F224*[1]Sheet1!$C$6+E224*[1]Sheet1!$D$6+[1]Sheet1!$L$6,IF(AND(OR(D224="T. domingensis",D224="T. latifolia"),E224&gt;0),F224*[1]Sheet1!$C$4+E224*[1]Sheet1!$D$4+H224*[1]Sheet1!$J$4+I224*[1]Sheet1!$K$4+[1]Sheet1!$L$4,IF(AND(OR(D224="T. domingensis",D224="T. latifolia"),J224&gt;0),J224*[1]Sheet1!$G$5+K224*[1]Sheet1!$H$5+L224*[1]Sheet1!$I$5+[1]Sheet1!$L$5,0)))))))</f>
        <v>7.588199000000003</v>
      </c>
    </row>
    <row r="225" spans="1:15">
      <c r="A225" s="6">
        <v>41527</v>
      </c>
      <c r="B225" s="7" t="s">
        <v>31</v>
      </c>
      <c r="C225">
        <v>1</v>
      </c>
      <c r="D225" t="s">
        <v>19</v>
      </c>
      <c r="F225">
        <v>2.16</v>
      </c>
      <c r="J225">
        <f>66+100+125+126+138+139+144</f>
        <v>838</v>
      </c>
      <c r="K225">
        <v>7</v>
      </c>
      <c r="L225">
        <v>144</v>
      </c>
      <c r="N225" t="str">
        <f t="shared" si="4"/>
        <v>NA</v>
      </c>
      <c r="O225">
        <f>IF(AND(OR(D225="S. acutus",D225="S. californicus",D225="S. tabernaemontani"),G225=0),E225*[1]Sheet1!$D$7+[1]Sheet1!$L$7,IF(AND(OR(D225="S. acutus",D225="S. tabernaemontani"),G225&gt;0),E225*[1]Sheet1!$D$8+N225*[1]Sheet1!$E$8,IF(AND(D225="S. californicus",G225&gt;0),E225*[1]Sheet1!$D$9+N225*[1]Sheet1!$E$9,IF(D225="S. maritimus",F225*[1]Sheet1!$C$10+E225*[1]Sheet1!$D$10+G225*[1]Sheet1!$F$10+[1]Sheet1!$L$10,IF(D225="S. americanus",F225*[1]Sheet1!$C$6+E225*[1]Sheet1!$D$6+[1]Sheet1!$L$6,IF(AND(OR(D225="T. domingensis",D225="T. latifolia"),E225&gt;0),F225*[1]Sheet1!$C$4+E225*[1]Sheet1!$D$4+H225*[1]Sheet1!$J$4+I225*[1]Sheet1!$K$4+[1]Sheet1!$L$4,IF(AND(OR(D225="T. domingensis",D225="T. latifolia"),J225&gt;0),J225*[1]Sheet1!$G$5+K225*[1]Sheet1!$H$5+L225*[1]Sheet1!$I$5+[1]Sheet1!$L$5,0)))))))</f>
        <v>19.067923000000015</v>
      </c>
    </row>
    <row r="226" spans="1:15">
      <c r="A226" s="6">
        <v>41527</v>
      </c>
      <c r="B226" s="7" t="s">
        <v>31</v>
      </c>
      <c r="C226">
        <v>1</v>
      </c>
      <c r="D226" t="s">
        <v>19</v>
      </c>
      <c r="F226">
        <v>1.38</v>
      </c>
      <c r="J226">
        <f>95+112</f>
        <v>207</v>
      </c>
      <c r="K226">
        <v>2</v>
      </c>
      <c r="L226">
        <v>112</v>
      </c>
      <c r="N226" t="str">
        <f t="shared" si="4"/>
        <v>NA</v>
      </c>
      <c r="O226">
        <f>IF(AND(OR(D226="S. acutus",D226="S. californicus",D226="S. tabernaemontani"),G226=0),E226*[1]Sheet1!$D$7+[1]Sheet1!$L$7,IF(AND(OR(D226="S. acutus",D226="S. tabernaemontani"),G226&gt;0),E226*[1]Sheet1!$D$8+N226*[1]Sheet1!$E$8,IF(AND(D226="S. californicus",G226&gt;0),E226*[1]Sheet1!$D$9+N226*[1]Sheet1!$E$9,IF(D226="S. maritimus",F226*[1]Sheet1!$C$10+E226*[1]Sheet1!$D$10+G226*[1]Sheet1!$F$10+[1]Sheet1!$L$10,IF(D226="S. americanus",F226*[1]Sheet1!$C$6+E226*[1]Sheet1!$D$6+[1]Sheet1!$L$6,IF(AND(OR(D226="T. domingensis",D226="T. latifolia"),E226&gt;0),F226*[1]Sheet1!$C$4+E226*[1]Sheet1!$D$4+H226*[1]Sheet1!$J$4+I226*[1]Sheet1!$K$4+[1]Sheet1!$L$4,IF(AND(OR(D226="T. domingensis",D226="T. latifolia"),J226&gt;0),J226*[1]Sheet1!$G$5+K226*[1]Sheet1!$H$5+L226*[1]Sheet1!$I$5+[1]Sheet1!$L$5,0)))))))</f>
        <v>4.6601229999999987</v>
      </c>
    </row>
    <row r="227" spans="1:15">
      <c r="A227" s="6">
        <v>41527</v>
      </c>
      <c r="B227" s="7" t="s">
        <v>31</v>
      </c>
      <c r="C227">
        <v>1</v>
      </c>
      <c r="D227" t="s">
        <v>19</v>
      </c>
      <c r="F227">
        <v>2.12</v>
      </c>
      <c r="J227">
        <f>79+92+103+104+111</f>
        <v>489</v>
      </c>
      <c r="K227">
        <v>5</v>
      </c>
      <c r="L227">
        <v>111</v>
      </c>
      <c r="N227" t="str">
        <f t="shared" si="4"/>
        <v>NA</v>
      </c>
      <c r="O227">
        <f>IF(AND(OR(D227="S. acutus",D227="S. californicus",D227="S. tabernaemontani"),G227=0),E227*[1]Sheet1!$D$7+[1]Sheet1!$L$7,IF(AND(OR(D227="S. acutus",D227="S. tabernaemontani"),G227&gt;0),E227*[1]Sheet1!$D$8+N227*[1]Sheet1!$E$8,IF(AND(D227="S. californicus",G227&gt;0),E227*[1]Sheet1!$D$9+N227*[1]Sheet1!$E$9,IF(D227="S. maritimus",F227*[1]Sheet1!$C$10+E227*[1]Sheet1!$D$10+G227*[1]Sheet1!$F$10+[1]Sheet1!$L$10,IF(D227="S. americanus",F227*[1]Sheet1!$C$6+E227*[1]Sheet1!$D$6+[1]Sheet1!$L$6,IF(AND(OR(D227="T. domingensis",D227="T. latifolia"),E227&gt;0),F227*[1]Sheet1!$C$4+E227*[1]Sheet1!$D$4+H227*[1]Sheet1!$J$4+I227*[1]Sheet1!$K$4+[1]Sheet1!$L$4,IF(AND(OR(D227="T. domingensis",D227="T. latifolia"),J227&gt;0),J227*[1]Sheet1!$G$5+K227*[1]Sheet1!$H$5+L227*[1]Sheet1!$I$5+[1]Sheet1!$L$5,0)))))))</f>
        <v>10.333219</v>
      </c>
    </row>
    <row r="228" spans="1:15">
      <c r="A228" s="6">
        <v>41527</v>
      </c>
      <c r="B228" s="7" t="s">
        <v>31</v>
      </c>
      <c r="C228">
        <v>1</v>
      </c>
      <c r="D228" t="s">
        <v>19</v>
      </c>
      <c r="F228">
        <v>3.27</v>
      </c>
      <c r="J228">
        <f>87+89+107+130+131+123+118+120</f>
        <v>905</v>
      </c>
      <c r="K228">
        <v>8</v>
      </c>
      <c r="L228">
        <v>130</v>
      </c>
      <c r="N228" t="str">
        <f t="shared" si="4"/>
        <v>NA</v>
      </c>
      <c r="O228">
        <f>IF(AND(OR(D228="S. acutus",D228="S. californicus",D228="S. tabernaemontani"),G228=0),E228*[1]Sheet1!$D$7+[1]Sheet1!$L$7,IF(AND(OR(D228="S. acutus",D228="S. tabernaemontani"),G228&gt;0),E228*[1]Sheet1!$D$8+N228*[1]Sheet1!$E$8,IF(AND(D228="S. californicus",G228&gt;0),E228*[1]Sheet1!$D$9+N228*[1]Sheet1!$E$9,IF(D228="S. maritimus",F228*[1]Sheet1!$C$10+E228*[1]Sheet1!$D$10+G228*[1]Sheet1!$F$10+[1]Sheet1!$L$10,IF(D228="S. americanus",F228*[1]Sheet1!$C$6+E228*[1]Sheet1!$D$6+[1]Sheet1!$L$6,IF(AND(OR(D228="T. domingensis",D228="T. latifolia"),E228&gt;0),F228*[1]Sheet1!$C$4+E228*[1]Sheet1!$D$4+H228*[1]Sheet1!$J$4+I228*[1]Sheet1!$K$4+[1]Sheet1!$L$4,IF(AND(OR(D228="T. domingensis",D228="T. latifolia"),J228&gt;0),J228*[1]Sheet1!$G$5+K228*[1]Sheet1!$H$5+L228*[1]Sheet1!$I$5+[1]Sheet1!$L$5,0)))))))</f>
        <v>22.544584999999998</v>
      </c>
    </row>
    <row r="229" spans="1:15">
      <c r="A229" s="6">
        <v>41527</v>
      </c>
      <c r="B229" s="7" t="s">
        <v>31</v>
      </c>
      <c r="C229">
        <v>1</v>
      </c>
      <c r="D229" t="s">
        <v>19</v>
      </c>
      <c r="F229">
        <v>2.6</v>
      </c>
      <c r="J229">
        <f>73+118+123+133+137</f>
        <v>584</v>
      </c>
      <c r="K229">
        <v>5</v>
      </c>
      <c r="L229">
        <v>137</v>
      </c>
      <c r="N229" t="str">
        <f t="shared" si="4"/>
        <v>NA</v>
      </c>
      <c r="O229">
        <f>IF(AND(OR(D229="S. acutus",D229="S. californicus",D229="S. tabernaemontani"),G229=0),E229*[1]Sheet1!$D$7+[1]Sheet1!$L$7,IF(AND(OR(D229="S. acutus",D229="S. tabernaemontani"),G229&gt;0),E229*[1]Sheet1!$D$8+N229*[1]Sheet1!$E$8,IF(AND(D229="S. californicus",G229&gt;0),E229*[1]Sheet1!$D$9+N229*[1]Sheet1!$E$9,IF(D229="S. maritimus",F229*[1]Sheet1!$C$10+E229*[1]Sheet1!$D$10+G229*[1]Sheet1!$F$10+[1]Sheet1!$L$10,IF(D229="S. americanus",F229*[1]Sheet1!$C$6+E229*[1]Sheet1!$D$6+[1]Sheet1!$L$6,IF(AND(OR(D229="T. domingensis",D229="T. latifolia"),E229&gt;0),F229*[1]Sheet1!$C$4+E229*[1]Sheet1!$D$4+H229*[1]Sheet1!$J$4+I229*[1]Sheet1!$K$4+[1]Sheet1!$L$4,IF(AND(OR(D229="T. domingensis",D229="T. latifolia"),J229&gt;0),J229*[1]Sheet1!$G$5+K229*[1]Sheet1!$H$5+L229*[1]Sheet1!$I$5+[1]Sheet1!$L$5,0)))))))</f>
        <v>11.407574000000004</v>
      </c>
    </row>
    <row r="230" spans="1:15">
      <c r="A230" s="6">
        <v>41527</v>
      </c>
      <c r="B230" s="7" t="s">
        <v>31</v>
      </c>
      <c r="C230">
        <v>1</v>
      </c>
      <c r="D230" t="s">
        <v>19</v>
      </c>
      <c r="F230">
        <v>1.26</v>
      </c>
      <c r="J230">
        <f>106+107+119+122</f>
        <v>454</v>
      </c>
      <c r="K230">
        <v>4</v>
      </c>
      <c r="L230">
        <v>122</v>
      </c>
      <c r="N230" t="str">
        <f t="shared" si="4"/>
        <v>NA</v>
      </c>
      <c r="O230">
        <f>IF(AND(OR(D230="S. acutus",D230="S. californicus",D230="S. tabernaemontani"),G230=0),E230*[1]Sheet1!$D$7+[1]Sheet1!$L$7,IF(AND(OR(D230="S. acutus",D230="S. tabernaemontani"),G230&gt;0),E230*[1]Sheet1!$D$8+N230*[1]Sheet1!$E$8,IF(AND(D230="S. californicus",G230&gt;0),E230*[1]Sheet1!$D$9+N230*[1]Sheet1!$E$9,IF(D230="S. maritimus",F230*[1]Sheet1!$C$10+E230*[1]Sheet1!$D$10+G230*[1]Sheet1!$F$10+[1]Sheet1!$L$10,IF(D230="S. americanus",F230*[1]Sheet1!$C$6+E230*[1]Sheet1!$D$6+[1]Sheet1!$L$6,IF(AND(OR(D230="T. domingensis",D230="T. latifolia"),E230&gt;0),F230*[1]Sheet1!$C$4+E230*[1]Sheet1!$D$4+H230*[1]Sheet1!$J$4+I230*[1]Sheet1!$K$4+[1]Sheet1!$L$4,IF(AND(OR(D230="T. domingensis",D230="T. latifolia"),J230&gt;0),J230*[1]Sheet1!$G$5+K230*[1]Sheet1!$H$5+L230*[1]Sheet1!$I$5+[1]Sheet1!$L$5,0)))))))</f>
        <v>10.760452000000004</v>
      </c>
    </row>
    <row r="231" spans="1:15">
      <c r="A231" s="6">
        <v>41527</v>
      </c>
      <c r="B231" s="7" t="s">
        <v>31</v>
      </c>
      <c r="C231">
        <v>1</v>
      </c>
      <c r="D231" t="s">
        <v>19</v>
      </c>
      <c r="F231">
        <v>0.74</v>
      </c>
      <c r="J231">
        <f>37+42+59</f>
        <v>138</v>
      </c>
      <c r="K231">
        <v>3</v>
      </c>
      <c r="L231">
        <v>59</v>
      </c>
      <c r="N231" t="str">
        <f t="shared" si="4"/>
        <v>NA</v>
      </c>
      <c r="O231">
        <f>IF(AND(OR(D231="S. acutus",D231="S. californicus",D231="S. tabernaemontani"),G231=0),E231*[1]Sheet1!$D$7+[1]Sheet1!$L$7,IF(AND(OR(D231="S. acutus",D231="S. tabernaemontani"),G231&gt;0),E231*[1]Sheet1!$D$8+N231*[1]Sheet1!$E$8,IF(AND(D231="S. californicus",G231&gt;0),E231*[1]Sheet1!$D$9+N231*[1]Sheet1!$E$9,IF(D231="S. maritimus",F231*[1]Sheet1!$C$10+E231*[1]Sheet1!$D$10+G231*[1]Sheet1!$F$10+[1]Sheet1!$L$10,IF(D231="S. americanus",F231*[1]Sheet1!$C$6+E231*[1]Sheet1!$D$6+[1]Sheet1!$L$6,IF(AND(OR(D231="T. domingensis",D231="T. latifolia"),E231&gt;0),F231*[1]Sheet1!$C$4+E231*[1]Sheet1!$D$4+H231*[1]Sheet1!$J$4+I231*[1]Sheet1!$K$4+[1]Sheet1!$L$4,IF(AND(OR(D231="T. domingensis",D231="T. latifolia"),J231&gt;0),J231*[1]Sheet1!$G$5+K231*[1]Sheet1!$H$5+L231*[1]Sheet1!$I$5+[1]Sheet1!$L$5,0)))))))</f>
        <v>7.1346599999999967</v>
      </c>
    </row>
    <row r="232" spans="1:15">
      <c r="A232" s="6">
        <v>41527</v>
      </c>
      <c r="B232" s="7" t="s">
        <v>31</v>
      </c>
      <c r="C232">
        <v>1</v>
      </c>
      <c r="D232" t="s">
        <v>19</v>
      </c>
      <c r="F232">
        <v>0.55000000000000004</v>
      </c>
      <c r="J232">
        <f>24+30</f>
        <v>54</v>
      </c>
      <c r="K232">
        <v>2</v>
      </c>
      <c r="L232">
        <v>30</v>
      </c>
      <c r="N232" t="str">
        <f t="shared" si="4"/>
        <v>NA</v>
      </c>
      <c r="O232">
        <f>IF(AND(OR(D232="S. acutus",D232="S. californicus",D232="S. tabernaemontani"),G232=0),E232*[1]Sheet1!$D$7+[1]Sheet1!$L$7,IF(AND(OR(D232="S. acutus",D232="S. tabernaemontani"),G232&gt;0),E232*[1]Sheet1!$D$8+N232*[1]Sheet1!$E$8,IF(AND(D232="S. californicus",G232&gt;0),E232*[1]Sheet1!$D$9+N232*[1]Sheet1!$E$9,IF(D232="S. maritimus",F232*[1]Sheet1!$C$10+E232*[1]Sheet1!$D$10+G232*[1]Sheet1!$F$10+[1]Sheet1!$L$10,IF(D232="S. americanus",F232*[1]Sheet1!$C$6+E232*[1]Sheet1!$D$6+[1]Sheet1!$L$6,IF(AND(OR(D232="T. domingensis",D232="T. latifolia"),E232&gt;0),F232*[1]Sheet1!$C$4+E232*[1]Sheet1!$D$4+H232*[1]Sheet1!$J$4+I232*[1]Sheet1!$K$4+[1]Sheet1!$L$4,IF(AND(OR(D232="T. domingensis",D232="T. latifolia"),J232&gt;0),J232*[1]Sheet1!$G$5+K232*[1]Sheet1!$H$5+L232*[1]Sheet1!$I$5+[1]Sheet1!$L$5,0)))))))</f>
        <v>15.017697999999996</v>
      </c>
    </row>
    <row r="233" spans="1:15">
      <c r="A233" s="6">
        <v>41527</v>
      </c>
      <c r="B233" s="7" t="s">
        <v>31</v>
      </c>
      <c r="C233">
        <v>1</v>
      </c>
      <c r="D233" t="s">
        <v>19</v>
      </c>
      <c r="F233">
        <v>2.02</v>
      </c>
      <c r="J233">
        <f>110+117+132+137+131</f>
        <v>627</v>
      </c>
      <c r="K233">
        <v>5</v>
      </c>
      <c r="L233">
        <v>137</v>
      </c>
      <c r="N233" t="str">
        <f t="shared" si="4"/>
        <v>NA</v>
      </c>
      <c r="O233">
        <f>IF(AND(OR(D233="S. acutus",D233="S. californicus",D233="S. tabernaemontani"),G233=0),E233*[1]Sheet1!$D$7+[1]Sheet1!$L$7,IF(AND(OR(D233="S. acutus",D233="S. tabernaemontani"),G233&gt;0),E233*[1]Sheet1!$D$8+N233*[1]Sheet1!$E$8,IF(AND(D233="S. californicus",G233&gt;0),E233*[1]Sheet1!$D$9+N233*[1]Sheet1!$E$9,IF(D233="S. maritimus",F233*[1]Sheet1!$C$10+E233*[1]Sheet1!$D$10+G233*[1]Sheet1!$F$10+[1]Sheet1!$L$10,IF(D233="S. americanus",F233*[1]Sheet1!$C$6+E233*[1]Sheet1!$D$6+[1]Sheet1!$L$6,IF(AND(OR(D233="T. domingensis",D233="T. latifolia"),E233&gt;0),F233*[1]Sheet1!$C$4+E233*[1]Sheet1!$D$4+H233*[1]Sheet1!$J$4+I233*[1]Sheet1!$K$4+[1]Sheet1!$L$4,IF(AND(OR(D233="T. domingensis",D233="T. latifolia"),J233&gt;0),J233*[1]Sheet1!$G$5+K233*[1]Sheet1!$H$5+L233*[1]Sheet1!$I$5+[1]Sheet1!$L$5,0)))))))</f>
        <v>15.439039000000001</v>
      </c>
    </row>
    <row r="234" spans="1:15">
      <c r="A234" s="6">
        <v>41527</v>
      </c>
      <c r="B234" s="7" t="s">
        <v>31</v>
      </c>
      <c r="C234">
        <v>1</v>
      </c>
      <c r="D234" t="s">
        <v>19</v>
      </c>
      <c r="F234">
        <v>0.18</v>
      </c>
      <c r="J234">
        <f>71</f>
        <v>71</v>
      </c>
      <c r="K234">
        <v>1</v>
      </c>
      <c r="L234">
        <v>71</v>
      </c>
      <c r="N234" t="str">
        <f t="shared" si="4"/>
        <v>NA</v>
      </c>
      <c r="O234">
        <f>IF(AND(OR(D234="S. acutus",D234="S. californicus",D234="S. tabernaemontani"),G234=0),E234*[1]Sheet1!$D$7+[1]Sheet1!$L$7,IF(AND(OR(D234="S. acutus",D234="S. tabernaemontani"),G234&gt;0),E234*[1]Sheet1!$D$8+N234*[1]Sheet1!$E$8,IF(AND(D234="S. californicus",G234&gt;0),E234*[1]Sheet1!$D$9+N234*[1]Sheet1!$E$9,IF(D234="S. maritimus",F234*[1]Sheet1!$C$10+E234*[1]Sheet1!$D$10+G234*[1]Sheet1!$F$10+[1]Sheet1!$L$10,IF(D234="S. americanus",F234*[1]Sheet1!$C$6+E234*[1]Sheet1!$D$6+[1]Sheet1!$L$6,IF(AND(OR(D234="T. domingensis",D234="T. latifolia"),E234&gt;0),F234*[1]Sheet1!$C$4+E234*[1]Sheet1!$D$4+H234*[1]Sheet1!$J$4+I234*[1]Sheet1!$K$4+[1]Sheet1!$L$4,IF(AND(OR(D234="T. domingensis",D234="T. latifolia"),J234&gt;0),J234*[1]Sheet1!$G$5+K234*[1]Sheet1!$H$5+L234*[1]Sheet1!$I$5+[1]Sheet1!$L$5,0)))))))</f>
        <v>11.282840999999998</v>
      </c>
    </row>
    <row r="235" spans="1:15">
      <c r="A235" s="6">
        <v>41527</v>
      </c>
      <c r="B235" s="7" t="s">
        <v>31</v>
      </c>
      <c r="C235">
        <v>1</v>
      </c>
      <c r="D235" t="s">
        <v>19</v>
      </c>
      <c r="F235">
        <v>0.45</v>
      </c>
      <c r="J235">
        <f>70+80</f>
        <v>150</v>
      </c>
      <c r="K235">
        <v>2</v>
      </c>
      <c r="L235">
        <v>80</v>
      </c>
      <c r="N235" t="str">
        <f t="shared" si="4"/>
        <v>NA</v>
      </c>
      <c r="O235">
        <f>IF(AND(OR(D235="S. acutus",D235="S. californicus",D235="S. tabernaemontani"),G235=0),E235*[1]Sheet1!$D$7+[1]Sheet1!$L$7,IF(AND(OR(D235="S. acutus",D235="S. tabernaemontani"),G235&gt;0),E235*[1]Sheet1!$D$8+N235*[1]Sheet1!$E$8,IF(AND(D235="S. californicus",G235&gt;0),E235*[1]Sheet1!$D$9+N235*[1]Sheet1!$E$9,IF(D235="S. maritimus",F235*[1]Sheet1!$C$10+E235*[1]Sheet1!$D$10+G235*[1]Sheet1!$F$10+[1]Sheet1!$L$10,IF(D235="S. americanus",F235*[1]Sheet1!$C$6+E235*[1]Sheet1!$D$6+[1]Sheet1!$L$6,IF(AND(OR(D235="T. domingensis",D235="T. latifolia"),E235&gt;0),F235*[1]Sheet1!$C$4+E235*[1]Sheet1!$D$4+H235*[1]Sheet1!$J$4+I235*[1]Sheet1!$K$4+[1]Sheet1!$L$4,IF(AND(OR(D235="T. domingensis",D235="T. latifolia"),J235&gt;0),J235*[1]Sheet1!$G$5+K235*[1]Sheet1!$H$5+L235*[1]Sheet1!$I$5+[1]Sheet1!$L$5,0)))))))</f>
        <v>8.9559280000000001</v>
      </c>
    </row>
    <row r="236" spans="1:15">
      <c r="A236" s="6">
        <v>41527</v>
      </c>
      <c r="B236" s="7" t="s">
        <v>31</v>
      </c>
      <c r="C236">
        <v>1</v>
      </c>
      <c r="D236" t="s">
        <v>19</v>
      </c>
      <c r="F236">
        <v>2.0499999999999998</v>
      </c>
      <c r="J236">
        <f>54+101+115+122+128+130</f>
        <v>650</v>
      </c>
      <c r="K236">
        <v>6</v>
      </c>
      <c r="L236">
        <v>130</v>
      </c>
      <c r="N236" t="str">
        <f t="shared" si="4"/>
        <v>NA</v>
      </c>
      <c r="O236">
        <f>IF(AND(OR(D236="S. acutus",D236="S. californicus",D236="S. tabernaemontani"),G236=0),E236*[1]Sheet1!$D$7+[1]Sheet1!$L$7,IF(AND(OR(D236="S. acutus",D236="S. tabernaemontani"),G236&gt;0),E236*[1]Sheet1!$D$8+N236*[1]Sheet1!$E$8,IF(AND(D236="S. californicus",G236&gt;0),E236*[1]Sheet1!$D$9+N236*[1]Sheet1!$E$9,IF(D236="S. maritimus",F236*[1]Sheet1!$C$10+E236*[1]Sheet1!$D$10+G236*[1]Sheet1!$F$10+[1]Sheet1!$L$10,IF(D236="S. americanus",F236*[1]Sheet1!$C$6+E236*[1]Sheet1!$D$6+[1]Sheet1!$L$6,IF(AND(OR(D236="T. domingensis",D236="T. latifolia"),E236&gt;0),F236*[1]Sheet1!$C$4+E236*[1]Sheet1!$D$4+H236*[1]Sheet1!$J$4+I236*[1]Sheet1!$K$4+[1]Sheet1!$L$4,IF(AND(OR(D236="T. domingensis",D236="T. latifolia"),J236&gt;0),J236*[1]Sheet1!$G$5+K236*[1]Sheet1!$H$5+L236*[1]Sheet1!$I$5+[1]Sheet1!$L$5,0)))))))</f>
        <v>12.681765999999996</v>
      </c>
    </row>
    <row r="237" spans="1:15">
      <c r="A237" s="6">
        <v>41527</v>
      </c>
      <c r="B237" s="7" t="s">
        <v>31</v>
      </c>
      <c r="C237">
        <v>1</v>
      </c>
      <c r="D237" t="s">
        <v>19</v>
      </c>
      <c r="F237">
        <v>0.85</v>
      </c>
      <c r="J237">
        <f>117</f>
        <v>117</v>
      </c>
      <c r="K237">
        <v>1</v>
      </c>
      <c r="L237">
        <v>117</v>
      </c>
      <c r="N237" t="str">
        <f t="shared" si="4"/>
        <v>NA</v>
      </c>
      <c r="O237">
        <f>IF(AND(OR(D237="S. acutus",D237="S. californicus",D237="S. tabernaemontani"),G237=0),E237*[1]Sheet1!$D$7+[1]Sheet1!$L$7,IF(AND(OR(D237="S. acutus",D237="S. tabernaemontani"),G237&gt;0),E237*[1]Sheet1!$D$8+N237*[1]Sheet1!$E$8,IF(AND(D237="S. californicus",G237&gt;0),E237*[1]Sheet1!$D$9+N237*[1]Sheet1!$E$9,IF(D237="S. maritimus",F237*[1]Sheet1!$C$10+E237*[1]Sheet1!$D$10+G237*[1]Sheet1!$F$10+[1]Sheet1!$L$10,IF(D237="S. americanus",F237*[1]Sheet1!$C$6+E237*[1]Sheet1!$D$6+[1]Sheet1!$L$6,IF(AND(OR(D237="T. domingensis",D237="T. latifolia"),E237&gt;0),F237*[1]Sheet1!$C$4+E237*[1]Sheet1!$D$4+H237*[1]Sheet1!$J$4+I237*[1]Sheet1!$K$4+[1]Sheet1!$L$4,IF(AND(OR(D237="T. domingensis",D237="T. latifolia"),J237&gt;0),J237*[1]Sheet1!$G$5+K237*[1]Sheet1!$H$5+L237*[1]Sheet1!$I$5+[1]Sheet1!$L$5,0)))))))</f>
        <v>1.7383010000000034</v>
      </c>
    </row>
    <row r="238" spans="1:15">
      <c r="A238" s="6">
        <v>41527</v>
      </c>
      <c r="B238" s="7" t="s">
        <v>31</v>
      </c>
      <c r="C238">
        <v>1</v>
      </c>
      <c r="D238" t="s">
        <v>19</v>
      </c>
      <c r="F238">
        <v>1.33</v>
      </c>
      <c r="J238">
        <f>198+115+116+105</f>
        <v>534</v>
      </c>
      <c r="K238">
        <v>4</v>
      </c>
      <c r="L238">
        <v>116</v>
      </c>
      <c r="N238" t="str">
        <f t="shared" si="4"/>
        <v>NA</v>
      </c>
      <c r="O238">
        <f>IF(AND(OR(D238="S. acutus",D238="S. californicus",D238="S. tabernaemontani"),G238=0),E238*[1]Sheet1!$D$7+[1]Sheet1!$L$7,IF(AND(OR(D238="S. acutus",D238="S. tabernaemontani"),G238&gt;0),E238*[1]Sheet1!$D$8+N238*[1]Sheet1!$E$8,IF(AND(D238="S. californicus",G238&gt;0),E238*[1]Sheet1!$D$9+N238*[1]Sheet1!$E$9,IF(D238="S. maritimus",F238*[1]Sheet1!$C$10+E238*[1]Sheet1!$D$10+G238*[1]Sheet1!$F$10+[1]Sheet1!$L$10,IF(D238="S. americanus",F238*[1]Sheet1!$C$6+E238*[1]Sheet1!$D$6+[1]Sheet1!$L$6,IF(AND(OR(D238="T. domingensis",D238="T. latifolia"),E238&gt;0),F238*[1]Sheet1!$C$4+E238*[1]Sheet1!$D$4+H238*[1]Sheet1!$J$4+I238*[1]Sheet1!$K$4+[1]Sheet1!$L$4,IF(AND(OR(D238="T. domingensis",D238="T. latifolia"),J238&gt;0),J238*[1]Sheet1!$G$5+K238*[1]Sheet1!$H$5+L238*[1]Sheet1!$I$5+[1]Sheet1!$L$5,0)))))))</f>
        <v>20.068321999999998</v>
      </c>
    </row>
    <row r="239" spans="1:15">
      <c r="A239" s="6">
        <v>41527</v>
      </c>
      <c r="B239" s="7" t="s">
        <v>31</v>
      </c>
      <c r="C239">
        <v>1</v>
      </c>
      <c r="D239" t="s">
        <v>19</v>
      </c>
      <c r="F239">
        <v>0.4</v>
      </c>
      <c r="J239">
        <f>28+46+51</f>
        <v>125</v>
      </c>
      <c r="K239">
        <v>3</v>
      </c>
      <c r="L239">
        <v>51</v>
      </c>
      <c r="N239" t="str">
        <f t="shared" si="4"/>
        <v>NA</v>
      </c>
      <c r="O239">
        <f>IF(AND(OR(D239="S. acutus",D239="S. californicus",D239="S. tabernaemontani"),G239=0),E239*[1]Sheet1!$D$7+[1]Sheet1!$L$7,IF(AND(OR(D239="S. acutus",D239="S. tabernaemontani"),G239&gt;0),E239*[1]Sheet1!$D$8+N239*[1]Sheet1!$E$8,IF(AND(D239="S. californicus",G239&gt;0),E239*[1]Sheet1!$D$9+N239*[1]Sheet1!$E$9,IF(D239="S. maritimus",F239*[1]Sheet1!$C$10+E239*[1]Sheet1!$D$10+G239*[1]Sheet1!$F$10+[1]Sheet1!$L$10,IF(D239="S. americanus",F239*[1]Sheet1!$C$6+E239*[1]Sheet1!$D$6+[1]Sheet1!$L$6,IF(AND(OR(D239="T. domingensis",D239="T. latifolia"),E239&gt;0),F239*[1]Sheet1!$C$4+E239*[1]Sheet1!$D$4+H239*[1]Sheet1!$J$4+I239*[1]Sheet1!$K$4+[1]Sheet1!$L$4,IF(AND(OR(D239="T. domingensis",D239="T. latifolia"),J239&gt;0),J239*[1]Sheet1!$G$5+K239*[1]Sheet1!$H$5+L239*[1]Sheet1!$I$5+[1]Sheet1!$L$5,0)))))))</f>
        <v>8.325804999999999</v>
      </c>
    </row>
    <row r="240" spans="1:15">
      <c r="A240" s="6">
        <v>41527</v>
      </c>
      <c r="B240" s="7" t="s">
        <v>31</v>
      </c>
      <c r="C240">
        <v>2</v>
      </c>
      <c r="D240" t="s">
        <v>25</v>
      </c>
      <c r="E240">
        <v>272</v>
      </c>
      <c r="F240">
        <v>1.42</v>
      </c>
      <c r="G240">
        <v>15</v>
      </c>
      <c r="N240">
        <f t="shared" si="4"/>
        <v>143.58658038933334</v>
      </c>
      <c r="O240">
        <f>IF(AND(OR(D240="S. acutus",D240="S. californicus",D240="S. tabernaemontani"),G240=0),E240*[1]Sheet1!$D$7+[1]Sheet1!$L$7,IF(AND(OR(D240="S. acutus",D240="S. tabernaemontani"),G240&gt;0),E240*[1]Sheet1!$D$8+N240*[1]Sheet1!$E$8,IF(AND(D240="S. californicus",G240&gt;0),E240*[1]Sheet1!$D$9+N240*[1]Sheet1!$E$9,IF(D240="S. maritimus",F240*[1]Sheet1!$C$10+E240*[1]Sheet1!$D$10+G240*[1]Sheet1!$F$10+[1]Sheet1!$L$10,IF(D240="S. americanus",F240*[1]Sheet1!$C$6+E240*[1]Sheet1!$D$6+[1]Sheet1!$L$6,IF(AND(OR(D240="T. domingensis",D240="T. latifolia"),E240&gt;0),F240*[1]Sheet1!$C$4+E240*[1]Sheet1!$D$4+H240*[1]Sheet1!$J$4+I240*[1]Sheet1!$K$4+[1]Sheet1!$L$4,IF(AND(OR(D240="T. domingensis",D240="T. latifolia"),J240&gt;0),J240*[1]Sheet1!$G$5+K240*[1]Sheet1!$H$5+L240*[1]Sheet1!$I$5+[1]Sheet1!$L$5,0)))))))</f>
        <v>14.943471637374412</v>
      </c>
    </row>
    <row r="241" spans="1:15">
      <c r="A241" s="6">
        <v>41527</v>
      </c>
      <c r="B241" s="7" t="s">
        <v>31</v>
      </c>
      <c r="C241">
        <v>2</v>
      </c>
      <c r="D241" t="s">
        <v>25</v>
      </c>
      <c r="E241">
        <v>294</v>
      </c>
      <c r="F241">
        <v>1.48</v>
      </c>
      <c r="N241">
        <f t="shared" si="4"/>
        <v>168.59279903199999</v>
      </c>
      <c r="O241">
        <f>IF(AND(OR(D241="S. acutus",D241="S. californicus",D241="S. tabernaemontani"),G241=0),E241*[1]Sheet1!$D$7+[1]Sheet1!$L$7,IF(AND(OR(D241="S. acutus",D241="S. tabernaemontani"),G241&gt;0),E241*[1]Sheet1!$D$8+N241*[1]Sheet1!$E$8,IF(AND(D241="S. californicus",G241&gt;0),E241*[1]Sheet1!$D$9+N241*[1]Sheet1!$E$9,IF(D241="S. maritimus",F241*[1]Sheet1!$C$10+E241*[1]Sheet1!$D$10+G241*[1]Sheet1!$F$10+[1]Sheet1!$L$10,IF(D241="S. americanus",F241*[1]Sheet1!$C$6+E241*[1]Sheet1!$D$6+[1]Sheet1!$L$6,IF(AND(OR(D241="T. domingensis",D241="T. latifolia"),E241&gt;0),F241*[1]Sheet1!$C$4+E241*[1]Sheet1!$D$4+H241*[1]Sheet1!$J$4+I241*[1]Sheet1!$K$4+[1]Sheet1!$L$4,IF(AND(OR(D241="T. domingensis",D241="T. latifolia"),J241&gt;0),J241*[1]Sheet1!$G$5+K241*[1]Sheet1!$H$5+L241*[1]Sheet1!$I$5+[1]Sheet1!$L$5,0)))))))</f>
        <v>16.020273</v>
      </c>
    </row>
    <row r="242" spans="1:15">
      <c r="A242" s="6">
        <v>41527</v>
      </c>
      <c r="B242" s="7" t="s">
        <v>31</v>
      </c>
      <c r="C242">
        <v>2</v>
      </c>
      <c r="D242" t="s">
        <v>25</v>
      </c>
      <c r="E242">
        <v>196</v>
      </c>
      <c r="F242">
        <v>1.28</v>
      </c>
      <c r="N242">
        <f t="shared" si="4"/>
        <v>84.070623914666669</v>
      </c>
      <c r="O242">
        <f>IF(AND(OR(D242="S. acutus",D242="S. californicus",D242="S. tabernaemontani"),G242=0),E242*[1]Sheet1!$D$7+[1]Sheet1!$L$7,IF(AND(OR(D242="S. acutus",D242="S. tabernaemontani"),G242&gt;0),E242*[1]Sheet1!$D$8+N242*[1]Sheet1!$E$8,IF(AND(D242="S. californicus",G242&gt;0),E242*[1]Sheet1!$D$9+N242*[1]Sheet1!$E$9,IF(D242="S. maritimus",F242*[1]Sheet1!$C$10+E242*[1]Sheet1!$D$10+G242*[1]Sheet1!$F$10+[1]Sheet1!$L$10,IF(D242="S. americanus",F242*[1]Sheet1!$C$6+E242*[1]Sheet1!$D$6+[1]Sheet1!$L$6,IF(AND(OR(D242="T. domingensis",D242="T. latifolia"),E242&gt;0),F242*[1]Sheet1!$C$4+E242*[1]Sheet1!$D$4+H242*[1]Sheet1!$J$4+I242*[1]Sheet1!$K$4+[1]Sheet1!$L$4,IF(AND(OR(D242="T. domingensis",D242="T. latifolia"),J242&gt;0),J242*[1]Sheet1!$G$5+K242*[1]Sheet1!$H$5+L242*[1]Sheet1!$I$5+[1]Sheet1!$L$5,0)))))))</f>
        <v>9.1499829999999989</v>
      </c>
    </row>
    <row r="243" spans="1:15">
      <c r="A243" s="6">
        <v>41527</v>
      </c>
      <c r="B243" s="7" t="s">
        <v>31</v>
      </c>
      <c r="C243">
        <v>2</v>
      </c>
      <c r="D243" t="s">
        <v>25</v>
      </c>
      <c r="E243">
        <v>277</v>
      </c>
      <c r="F243">
        <v>1.28</v>
      </c>
      <c r="G243">
        <v>2</v>
      </c>
      <c r="N243">
        <f t="shared" si="4"/>
        <v>118.81409604266666</v>
      </c>
      <c r="O243">
        <f>IF(AND(OR(D243="S. acutus",D243="S. californicus",D243="S. tabernaemontani"),G243=0),E243*[1]Sheet1!$D$7+[1]Sheet1!$L$7,IF(AND(OR(D243="S. acutus",D243="S. tabernaemontani"),G243&gt;0),E243*[1]Sheet1!$D$8+N243*[1]Sheet1!$E$8,IF(AND(D243="S. californicus",G243&gt;0),E243*[1]Sheet1!$D$9+N243*[1]Sheet1!$E$9,IF(D243="S. maritimus",F243*[1]Sheet1!$C$10+E243*[1]Sheet1!$D$10+G243*[1]Sheet1!$F$10+[1]Sheet1!$L$10,IF(D243="S. americanus",F243*[1]Sheet1!$C$6+E243*[1]Sheet1!$D$6+[1]Sheet1!$L$6,IF(AND(OR(D243="T. domingensis",D243="T. latifolia"),E243&gt;0),F243*[1]Sheet1!$C$4+E243*[1]Sheet1!$D$4+H243*[1]Sheet1!$J$4+I243*[1]Sheet1!$K$4+[1]Sheet1!$L$4,IF(AND(OR(D243="T. domingensis",D243="T. latifolia"),J243&gt;0),J243*[1]Sheet1!$G$5+K243*[1]Sheet1!$H$5+L243*[1]Sheet1!$I$5+[1]Sheet1!$L$5,0)))))))</f>
        <v>13.637211375164757</v>
      </c>
    </row>
    <row r="244" spans="1:15">
      <c r="A244" s="6">
        <v>41527</v>
      </c>
      <c r="B244" s="7" t="s">
        <v>31</v>
      </c>
      <c r="C244">
        <v>2</v>
      </c>
      <c r="D244" t="s">
        <v>25</v>
      </c>
      <c r="E244">
        <v>245</v>
      </c>
      <c r="F244">
        <v>1.4</v>
      </c>
      <c r="N244">
        <f t="shared" si="4"/>
        <v>125.7159598333333</v>
      </c>
      <c r="O244">
        <f>IF(AND(OR(D244="S. acutus",D244="S. californicus",D244="S. tabernaemontani"),G244=0),E244*[1]Sheet1!$D$7+[1]Sheet1!$L$7,IF(AND(OR(D244="S. acutus",D244="S. tabernaemontani"),G244&gt;0),E244*[1]Sheet1!$D$8+N244*[1]Sheet1!$E$8,IF(AND(D244="S. californicus",G244&gt;0),E244*[1]Sheet1!$D$9+N244*[1]Sheet1!$E$9,IF(D244="S. maritimus",F244*[1]Sheet1!$C$10+E244*[1]Sheet1!$D$10+G244*[1]Sheet1!$F$10+[1]Sheet1!$L$10,IF(D244="S. americanus",F244*[1]Sheet1!$C$6+E244*[1]Sheet1!$D$6+[1]Sheet1!$L$6,IF(AND(OR(D244="T. domingensis",D244="T. latifolia"),E244&gt;0),F244*[1]Sheet1!$C$4+E244*[1]Sheet1!$D$4+H244*[1]Sheet1!$J$4+I244*[1]Sheet1!$K$4+[1]Sheet1!$L$4,IF(AND(OR(D244="T. domingensis",D244="T. latifolia"),J244&gt;0),J244*[1]Sheet1!$G$5+K244*[1]Sheet1!$H$5+L244*[1]Sheet1!$I$5+[1]Sheet1!$L$5,0)))))))</f>
        <v>12.585128000000001</v>
      </c>
    </row>
    <row r="245" spans="1:15">
      <c r="A245" s="6">
        <v>41527</v>
      </c>
      <c r="B245" s="7" t="s">
        <v>31</v>
      </c>
      <c r="C245">
        <v>2</v>
      </c>
      <c r="D245" t="s">
        <v>25</v>
      </c>
      <c r="E245">
        <v>251</v>
      </c>
      <c r="F245">
        <v>1.38</v>
      </c>
      <c r="N245">
        <f t="shared" si="4"/>
        <v>125.14115358299996</v>
      </c>
      <c r="O245">
        <f>IF(AND(OR(D245="S. acutus",D245="S. californicus",D245="S. tabernaemontani"),G245=0),E245*[1]Sheet1!$D$7+[1]Sheet1!$L$7,IF(AND(OR(D245="S. acutus",D245="S. tabernaemontani"),G245&gt;0),E245*[1]Sheet1!$D$8+N245*[1]Sheet1!$E$8,IF(AND(D245="S. californicus",G245&gt;0),E245*[1]Sheet1!$D$9+N245*[1]Sheet1!$E$9,IF(D245="S. maritimus",F245*[1]Sheet1!$C$10+E245*[1]Sheet1!$D$10+G245*[1]Sheet1!$F$10+[1]Sheet1!$L$10,IF(D245="S. americanus",F245*[1]Sheet1!$C$6+E245*[1]Sheet1!$D$6+[1]Sheet1!$L$6,IF(AND(OR(D245="T. domingensis",D245="T. latifolia"),E245&gt;0),F245*[1]Sheet1!$C$4+E245*[1]Sheet1!$D$4+H245*[1]Sheet1!$J$4+I245*[1]Sheet1!$K$4+[1]Sheet1!$L$4,IF(AND(OR(D245="T. domingensis",D245="T. latifolia"),J245&gt;0),J245*[1]Sheet1!$G$5+K245*[1]Sheet1!$H$5+L245*[1]Sheet1!$I$5+[1]Sheet1!$L$5,0)))))))</f>
        <v>13.005758</v>
      </c>
    </row>
    <row r="246" spans="1:15">
      <c r="A246" s="6">
        <v>41527</v>
      </c>
      <c r="B246" s="7" t="s">
        <v>31</v>
      </c>
      <c r="C246">
        <v>2</v>
      </c>
      <c r="D246" t="s">
        <v>25</v>
      </c>
      <c r="E246">
        <v>177</v>
      </c>
      <c r="F246">
        <v>1.27</v>
      </c>
      <c r="N246">
        <f t="shared" si="4"/>
        <v>74.739290037250001</v>
      </c>
      <c r="O246">
        <f>IF(AND(OR(D246="S. acutus",D246="S. californicus",D246="S. tabernaemontani"),G246=0),E246*[1]Sheet1!$D$7+[1]Sheet1!$L$7,IF(AND(OR(D246="S. acutus",D246="S. tabernaemontani"),G246&gt;0),E246*[1]Sheet1!$D$8+N246*[1]Sheet1!$E$8,IF(AND(D246="S. californicus",G246&gt;0),E246*[1]Sheet1!$D$9+N246*[1]Sheet1!$E$9,IF(D246="S. maritimus",F246*[1]Sheet1!$C$10+E246*[1]Sheet1!$D$10+G246*[1]Sheet1!$F$10+[1]Sheet1!$L$10,IF(D246="S. americanus",F246*[1]Sheet1!$C$6+E246*[1]Sheet1!$D$6+[1]Sheet1!$L$6,IF(AND(OR(D246="T. domingensis",D246="T. latifolia"),E246&gt;0),F246*[1]Sheet1!$C$4+E246*[1]Sheet1!$D$4+H246*[1]Sheet1!$J$4+I246*[1]Sheet1!$K$4+[1]Sheet1!$L$4,IF(AND(OR(D246="T. domingensis",D246="T. latifolia"),J246&gt;0),J246*[1]Sheet1!$G$5+K246*[1]Sheet1!$H$5+L246*[1]Sheet1!$I$5+[1]Sheet1!$L$5,0)))))))</f>
        <v>7.8179880000000006</v>
      </c>
    </row>
    <row r="247" spans="1:15">
      <c r="A247" s="6">
        <v>41527</v>
      </c>
      <c r="B247" s="7" t="s">
        <v>31</v>
      </c>
      <c r="C247">
        <v>2</v>
      </c>
      <c r="D247" t="s">
        <v>25</v>
      </c>
      <c r="E247">
        <v>317</v>
      </c>
      <c r="F247">
        <v>1.62</v>
      </c>
      <c r="G247">
        <v>2</v>
      </c>
      <c r="N247">
        <f t="shared" si="4"/>
        <v>217.79983736100002</v>
      </c>
      <c r="O247">
        <f>IF(AND(OR(D247="S. acutus",D247="S. californicus",D247="S. tabernaemontani"),G247=0),E247*[1]Sheet1!$D$7+[1]Sheet1!$L$7,IF(AND(OR(D247="S. acutus",D247="S. tabernaemontani"),G247&gt;0),E247*[1]Sheet1!$D$8+N247*[1]Sheet1!$E$8,IF(AND(D247="S. californicus",G247&gt;0),E247*[1]Sheet1!$D$9+N247*[1]Sheet1!$E$9,IF(D247="S. maritimus",F247*[1]Sheet1!$C$10+E247*[1]Sheet1!$D$10+G247*[1]Sheet1!$F$10+[1]Sheet1!$L$10,IF(D247="S. americanus",F247*[1]Sheet1!$C$6+E247*[1]Sheet1!$D$6+[1]Sheet1!$L$6,IF(AND(OR(D247="T. domingensis",D247="T. latifolia"),E247&gt;0),F247*[1]Sheet1!$C$4+E247*[1]Sheet1!$D$4+H247*[1]Sheet1!$J$4+I247*[1]Sheet1!$K$4+[1]Sheet1!$L$4,IF(AND(OR(D247="T. domingensis",D247="T. latifolia"),J247&gt;0),J247*[1]Sheet1!$G$5+K247*[1]Sheet1!$H$5+L247*[1]Sheet1!$I$5+[1]Sheet1!$L$5,0)))))))</f>
        <v>20.325859019958315</v>
      </c>
    </row>
    <row r="248" spans="1:15">
      <c r="A248" s="6">
        <v>41527</v>
      </c>
      <c r="B248" s="7" t="s">
        <v>31</v>
      </c>
      <c r="C248">
        <v>2</v>
      </c>
      <c r="D248" t="s">
        <v>25</v>
      </c>
      <c r="E248">
        <v>148</v>
      </c>
      <c r="F248">
        <v>1.01</v>
      </c>
      <c r="N248">
        <f t="shared" si="4"/>
        <v>39.525076827666666</v>
      </c>
      <c r="O248">
        <f>IF(AND(OR(D248="S. acutus",D248="S. californicus",D248="S. tabernaemontani"),G248=0),E248*[1]Sheet1!$D$7+[1]Sheet1!$L$7,IF(AND(OR(D248="S. acutus",D248="S. tabernaemontani"),G248&gt;0),E248*[1]Sheet1!$D$8+N248*[1]Sheet1!$E$8,IF(AND(D248="S. californicus",G248&gt;0),E248*[1]Sheet1!$D$9+N248*[1]Sheet1!$E$9,IF(D248="S. maritimus",F248*[1]Sheet1!$C$10+E248*[1]Sheet1!$D$10+G248*[1]Sheet1!$F$10+[1]Sheet1!$L$10,IF(D248="S. americanus",F248*[1]Sheet1!$C$6+E248*[1]Sheet1!$D$6+[1]Sheet1!$L$6,IF(AND(OR(D248="T. domingensis",D248="T. latifolia"),E248&gt;0),F248*[1]Sheet1!$C$4+E248*[1]Sheet1!$D$4+H248*[1]Sheet1!$J$4+I248*[1]Sheet1!$K$4+[1]Sheet1!$L$4,IF(AND(OR(D248="T. domingensis",D248="T. latifolia"),J248&gt;0),J248*[1]Sheet1!$G$5+K248*[1]Sheet1!$H$5+L248*[1]Sheet1!$I$5+[1]Sheet1!$L$5,0)))))))</f>
        <v>5.7849430000000011</v>
      </c>
    </row>
    <row r="249" spans="1:15">
      <c r="A249" s="6">
        <v>41527</v>
      </c>
      <c r="B249" s="7" t="s">
        <v>31</v>
      </c>
      <c r="C249">
        <v>2</v>
      </c>
      <c r="D249" t="s">
        <v>25</v>
      </c>
      <c r="E249">
        <v>293</v>
      </c>
      <c r="F249">
        <v>1.5</v>
      </c>
      <c r="N249">
        <f t="shared" si="4"/>
        <v>172.59110062499997</v>
      </c>
      <c r="O249">
        <f>IF(AND(OR(D249="S. acutus",D249="S. californicus",D249="S. tabernaemontani"),G249=0),E249*[1]Sheet1!$D$7+[1]Sheet1!$L$7,IF(AND(OR(D249="S. acutus",D249="S. tabernaemontani"),G249&gt;0),E249*[1]Sheet1!$D$8+N249*[1]Sheet1!$E$8,IF(AND(D249="S. californicus",G249&gt;0),E249*[1]Sheet1!$D$9+N249*[1]Sheet1!$E$9,IF(D249="S. maritimus",F249*[1]Sheet1!$C$10+E249*[1]Sheet1!$D$10+G249*[1]Sheet1!$F$10+[1]Sheet1!$L$10,IF(D249="S. americanus",F249*[1]Sheet1!$C$6+E249*[1]Sheet1!$D$6+[1]Sheet1!$L$6,IF(AND(OR(D249="T. domingensis",D249="T. latifolia"),E249&gt;0),F249*[1]Sheet1!$C$4+E249*[1]Sheet1!$D$4+H249*[1]Sheet1!$J$4+I249*[1]Sheet1!$K$4+[1]Sheet1!$L$4,IF(AND(OR(D249="T. domingensis",D249="T. latifolia"),J249&gt;0),J249*[1]Sheet1!$G$5+K249*[1]Sheet1!$H$5+L249*[1]Sheet1!$I$5+[1]Sheet1!$L$5,0)))))))</f>
        <v>15.950168000000001</v>
      </c>
    </row>
    <row r="250" spans="1:15">
      <c r="A250" s="6">
        <v>41527</v>
      </c>
      <c r="B250" s="7" t="s">
        <v>31</v>
      </c>
      <c r="C250">
        <v>2</v>
      </c>
      <c r="D250" t="s">
        <v>25</v>
      </c>
      <c r="E250">
        <v>181</v>
      </c>
      <c r="F250">
        <v>1.18</v>
      </c>
      <c r="N250">
        <f t="shared" si="4"/>
        <v>65.979777899666658</v>
      </c>
      <c r="O250">
        <f>IF(AND(OR(D250="S. acutus",D250="S. californicus",D250="S. tabernaemontani"),G250=0),E250*[1]Sheet1!$D$7+[1]Sheet1!$L$7,IF(AND(OR(D250="S. acutus",D250="S. tabernaemontani"),G250&gt;0),E250*[1]Sheet1!$D$8+N250*[1]Sheet1!$E$8,IF(AND(D250="S. californicus",G250&gt;0),E250*[1]Sheet1!$D$9+N250*[1]Sheet1!$E$9,IF(D250="S. maritimus",F250*[1]Sheet1!$C$10+E250*[1]Sheet1!$D$10+G250*[1]Sheet1!$F$10+[1]Sheet1!$L$10,IF(D250="S. americanus",F250*[1]Sheet1!$C$6+E250*[1]Sheet1!$D$6+[1]Sheet1!$L$6,IF(AND(OR(D250="T. domingensis",D250="T. latifolia"),E250&gt;0),F250*[1]Sheet1!$C$4+E250*[1]Sheet1!$D$4+H250*[1]Sheet1!$J$4+I250*[1]Sheet1!$K$4+[1]Sheet1!$L$4,IF(AND(OR(D250="T. domingensis",D250="T. latifolia"),J250&gt;0),J250*[1]Sheet1!$G$5+K250*[1]Sheet1!$H$5+L250*[1]Sheet1!$I$5+[1]Sheet1!$L$5,0)))))))</f>
        <v>8.0984079999999992</v>
      </c>
    </row>
    <row r="251" spans="1:15">
      <c r="A251" s="6">
        <v>41527</v>
      </c>
      <c r="B251" s="7" t="s">
        <v>31</v>
      </c>
      <c r="C251">
        <v>2</v>
      </c>
      <c r="D251" t="s">
        <v>19</v>
      </c>
      <c r="F251">
        <v>3.18</v>
      </c>
      <c r="J251">
        <f>94+105+141+145+142+152+161</f>
        <v>940</v>
      </c>
      <c r="K251">
        <v>7</v>
      </c>
      <c r="L251">
        <v>161</v>
      </c>
      <c r="N251" t="str">
        <f t="shared" si="4"/>
        <v>NA</v>
      </c>
      <c r="O251">
        <f>IF(AND(OR(D251="S. acutus",D251="S. californicus",D251="S. tabernaemontani"),G251=0),E251*[1]Sheet1!$D$7+[1]Sheet1!$L$7,IF(AND(OR(D251="S. acutus",D251="S. tabernaemontani"),G251&gt;0),E251*[1]Sheet1!$D$8+N251*[1]Sheet1!$E$8,IF(AND(D251="S. californicus",G251&gt;0),E251*[1]Sheet1!$D$9+N251*[1]Sheet1!$E$9,IF(D251="S. maritimus",F251*[1]Sheet1!$C$10+E251*[1]Sheet1!$D$10+G251*[1]Sheet1!$F$10+[1]Sheet1!$L$10,IF(D251="S. americanus",F251*[1]Sheet1!$C$6+E251*[1]Sheet1!$D$6+[1]Sheet1!$L$6,IF(AND(OR(D251="T. domingensis",D251="T. latifolia"),E251&gt;0),F251*[1]Sheet1!$C$4+E251*[1]Sheet1!$D$4+H251*[1]Sheet1!$J$4+I251*[1]Sheet1!$K$4+[1]Sheet1!$L$4,IF(AND(OR(D251="T. domingensis",D251="T. latifolia"),J251&gt;0),J251*[1]Sheet1!$G$5+K251*[1]Sheet1!$H$5+L251*[1]Sheet1!$I$5+[1]Sheet1!$L$5,0)))))))</f>
        <v>23.509768000000001</v>
      </c>
    </row>
    <row r="252" spans="1:15">
      <c r="A252" s="6">
        <v>41527</v>
      </c>
      <c r="B252" s="7" t="s">
        <v>31</v>
      </c>
      <c r="C252">
        <v>2</v>
      </c>
      <c r="D252" t="s">
        <v>19</v>
      </c>
      <c r="F252">
        <v>1.22</v>
      </c>
      <c r="J252">
        <f>48+53+52+64+69+76</f>
        <v>362</v>
      </c>
      <c r="K252">
        <v>6</v>
      </c>
      <c r="L252">
        <v>76</v>
      </c>
      <c r="N252" t="str">
        <f t="shared" si="4"/>
        <v>NA</v>
      </c>
      <c r="O252">
        <f>IF(AND(OR(D252="S. acutus",D252="S. californicus",D252="S. tabernaemontani"),G252=0),E252*[1]Sheet1!$D$7+[1]Sheet1!$L$7,IF(AND(OR(D252="S. acutus",D252="S. tabernaemontani"),G252&gt;0),E252*[1]Sheet1!$D$8+N252*[1]Sheet1!$E$8,IF(AND(D252="S. californicus",G252&gt;0),E252*[1]Sheet1!$D$9+N252*[1]Sheet1!$E$9,IF(D252="S. maritimus",F252*[1]Sheet1!$C$10+E252*[1]Sheet1!$D$10+G252*[1]Sheet1!$F$10+[1]Sheet1!$L$10,IF(D252="S. americanus",F252*[1]Sheet1!$C$6+E252*[1]Sheet1!$D$6+[1]Sheet1!$L$6,IF(AND(OR(D252="T. domingensis",D252="T. latifolia"),E252&gt;0),F252*[1]Sheet1!$C$4+E252*[1]Sheet1!$D$4+H252*[1]Sheet1!$J$4+I252*[1]Sheet1!$K$4+[1]Sheet1!$L$4,IF(AND(OR(D252="T. domingensis",D252="T. latifolia"),J252&gt;0),J252*[1]Sheet1!$G$5+K252*[1]Sheet1!$H$5+L252*[1]Sheet1!$I$5+[1]Sheet1!$L$5,0)))))))</f>
        <v>1.9475559999999952</v>
      </c>
    </row>
    <row r="253" spans="1:15">
      <c r="A253" s="6">
        <v>41527</v>
      </c>
      <c r="B253" s="7" t="s">
        <v>31</v>
      </c>
      <c r="C253">
        <v>2</v>
      </c>
      <c r="D253" t="s">
        <v>19</v>
      </c>
      <c r="F253">
        <v>1.62</v>
      </c>
      <c r="J253">
        <f>125+133+144+141</f>
        <v>543</v>
      </c>
      <c r="K253">
        <v>4</v>
      </c>
      <c r="L253">
        <v>144</v>
      </c>
      <c r="N253" t="str">
        <f t="shared" si="4"/>
        <v>NA</v>
      </c>
      <c r="O253">
        <f>IF(AND(OR(D253="S. acutus",D253="S. californicus",D253="S. tabernaemontani"),G253=0),E253*[1]Sheet1!$D$7+[1]Sheet1!$L$7,IF(AND(OR(D253="S. acutus",D253="S. tabernaemontani"),G253&gt;0),E253*[1]Sheet1!$D$8+N253*[1]Sheet1!$E$8,IF(AND(D253="S. californicus",G253&gt;0),E253*[1]Sheet1!$D$9+N253*[1]Sheet1!$E$9,IF(D253="S. maritimus",F253*[1]Sheet1!$C$10+E253*[1]Sheet1!$D$10+G253*[1]Sheet1!$F$10+[1]Sheet1!$L$10,IF(D253="S. americanus",F253*[1]Sheet1!$C$6+E253*[1]Sheet1!$D$6+[1]Sheet1!$L$6,IF(AND(OR(D253="T. domingensis",D253="T. latifolia"),E253&gt;0),F253*[1]Sheet1!$C$4+E253*[1]Sheet1!$D$4+H253*[1]Sheet1!$J$4+I253*[1]Sheet1!$K$4+[1]Sheet1!$L$4,IF(AND(OR(D253="T. domingensis",D253="T. latifolia"),J253&gt;0),J253*[1]Sheet1!$G$5+K253*[1]Sheet1!$H$5+L253*[1]Sheet1!$I$5+[1]Sheet1!$L$5,0)))))))</f>
        <v>12.477257000000005</v>
      </c>
    </row>
    <row r="254" spans="1:15">
      <c r="A254" s="6">
        <v>41527</v>
      </c>
      <c r="B254" s="7" t="s">
        <v>31</v>
      </c>
      <c r="C254">
        <v>2</v>
      </c>
      <c r="D254" t="s">
        <v>19</v>
      </c>
      <c r="F254">
        <v>0.32</v>
      </c>
      <c r="J254">
        <f>33+41</f>
        <v>74</v>
      </c>
      <c r="K254">
        <v>2</v>
      </c>
      <c r="L254">
        <v>41</v>
      </c>
      <c r="N254" t="str">
        <f t="shared" si="4"/>
        <v>NA</v>
      </c>
      <c r="O254">
        <f>IF(AND(OR(D254="S. acutus",D254="S. californicus",D254="S. tabernaemontani"),G254=0),E254*[1]Sheet1!$D$7+[1]Sheet1!$L$7,IF(AND(OR(D254="S. acutus",D254="S. tabernaemontani"),G254&gt;0),E254*[1]Sheet1!$D$8+N254*[1]Sheet1!$E$8,IF(AND(D254="S. californicus",G254&gt;0),E254*[1]Sheet1!$D$9+N254*[1]Sheet1!$E$9,IF(D254="S. maritimus",F254*[1]Sheet1!$C$10+E254*[1]Sheet1!$D$10+G254*[1]Sheet1!$F$10+[1]Sheet1!$L$10,IF(D254="S. americanus",F254*[1]Sheet1!$C$6+E254*[1]Sheet1!$D$6+[1]Sheet1!$L$6,IF(AND(OR(D254="T. domingensis",D254="T. latifolia"),E254&gt;0),F254*[1]Sheet1!$C$4+E254*[1]Sheet1!$D$4+H254*[1]Sheet1!$J$4+I254*[1]Sheet1!$K$4+[1]Sheet1!$L$4,IF(AND(OR(D254="T. domingensis",D254="T. latifolia"),J254&gt;0),J254*[1]Sheet1!$G$5+K254*[1]Sheet1!$H$5+L254*[1]Sheet1!$I$5+[1]Sheet1!$L$5,0)))))))</f>
        <v>13.579102999999996</v>
      </c>
    </row>
    <row r="255" spans="1:15">
      <c r="A255" s="6">
        <v>41527</v>
      </c>
      <c r="B255" s="7" t="s">
        <v>31</v>
      </c>
      <c r="C255">
        <v>11</v>
      </c>
      <c r="D255" t="s">
        <v>24</v>
      </c>
      <c r="E255">
        <v>273</v>
      </c>
      <c r="F255">
        <v>1.71</v>
      </c>
      <c r="N255">
        <f t="shared" si="4"/>
        <v>208.98885550724995</v>
      </c>
      <c r="O255">
        <f>IF(AND(OR(D255="S. acutus",D255="S. californicus",D255="S. tabernaemontani"),G255=0),E255*[1]Sheet1!$D$7+[1]Sheet1!$L$7,IF(AND(OR(D255="S. acutus",D255="S. tabernaemontani"),G255&gt;0),E255*[1]Sheet1!$D$8+N255*[1]Sheet1!$E$8,IF(AND(D255="S. californicus",G255&gt;0),E255*[1]Sheet1!$D$9+N255*[1]Sheet1!$E$9,IF(D255="S. maritimus",F255*[1]Sheet1!$C$10+E255*[1]Sheet1!$D$10+G255*[1]Sheet1!$F$10+[1]Sheet1!$L$10,IF(D255="S. americanus",F255*[1]Sheet1!$C$6+E255*[1]Sheet1!$D$6+[1]Sheet1!$L$6,IF(AND(OR(D255="T. domingensis",D255="T. latifolia"),E255&gt;0),F255*[1]Sheet1!$C$4+E255*[1]Sheet1!$D$4+H255*[1]Sheet1!$J$4+I255*[1]Sheet1!$K$4+[1]Sheet1!$L$4,IF(AND(OR(D255="T. domingensis",D255="T. latifolia"),J255&gt;0),J255*[1]Sheet1!$G$5+K255*[1]Sheet1!$H$5+L255*[1]Sheet1!$I$5+[1]Sheet1!$L$5,0)))))))</f>
        <v>14.548068000000001</v>
      </c>
    </row>
    <row r="256" spans="1:15">
      <c r="A256" s="6">
        <v>41527</v>
      </c>
      <c r="B256" s="7" t="s">
        <v>31</v>
      </c>
      <c r="C256">
        <v>11</v>
      </c>
      <c r="D256" t="s">
        <v>24</v>
      </c>
      <c r="E256">
        <v>226</v>
      </c>
      <c r="F256">
        <v>1.1399999999999999</v>
      </c>
      <c r="N256">
        <f t="shared" si="4"/>
        <v>76.892928521999977</v>
      </c>
      <c r="O256">
        <f>IF(AND(OR(D256="S. acutus",D256="S. californicus",D256="S. tabernaemontani"),G256=0),E256*[1]Sheet1!$D$7+[1]Sheet1!$L$7,IF(AND(OR(D256="S. acutus",D256="S. tabernaemontani"),G256&gt;0),E256*[1]Sheet1!$D$8+N256*[1]Sheet1!$E$8,IF(AND(D256="S. californicus",G256&gt;0),E256*[1]Sheet1!$D$9+N256*[1]Sheet1!$E$9,IF(D256="S. maritimus",F256*[1]Sheet1!$C$10+E256*[1]Sheet1!$D$10+G256*[1]Sheet1!$F$10+[1]Sheet1!$L$10,IF(D256="S. americanus",F256*[1]Sheet1!$C$6+E256*[1]Sheet1!$D$6+[1]Sheet1!$L$6,IF(AND(OR(D256="T. domingensis",D256="T. latifolia"),E256&gt;0),F256*[1]Sheet1!$C$4+E256*[1]Sheet1!$D$4+H256*[1]Sheet1!$J$4+I256*[1]Sheet1!$K$4+[1]Sheet1!$L$4,IF(AND(OR(D256="T. domingensis",D256="T. latifolia"),J256&gt;0),J256*[1]Sheet1!$G$5+K256*[1]Sheet1!$H$5+L256*[1]Sheet1!$I$5+[1]Sheet1!$L$5,0)))))))</f>
        <v>11.253133000000002</v>
      </c>
    </row>
    <row r="257" spans="1:15">
      <c r="A257" s="6">
        <v>41527</v>
      </c>
      <c r="B257" s="7" t="s">
        <v>31</v>
      </c>
      <c r="C257">
        <v>11</v>
      </c>
      <c r="D257" t="s">
        <v>24</v>
      </c>
      <c r="E257">
        <v>300</v>
      </c>
      <c r="F257">
        <v>1.18</v>
      </c>
      <c r="N257">
        <f t="shared" si="4"/>
        <v>109.35874789999998</v>
      </c>
      <c r="O257">
        <f>IF(AND(OR(D257="S. acutus",D257="S. californicus",D257="S. tabernaemontani"),G257=0),E257*[1]Sheet1!$D$7+[1]Sheet1!$L$7,IF(AND(OR(D257="S. acutus",D257="S. tabernaemontani"),G257&gt;0),E257*[1]Sheet1!$D$8+N257*[1]Sheet1!$E$8,IF(AND(D257="S. californicus",G257&gt;0),E257*[1]Sheet1!$D$9+N257*[1]Sheet1!$E$9,IF(D257="S. maritimus",F257*[1]Sheet1!$C$10+E257*[1]Sheet1!$D$10+G257*[1]Sheet1!$F$10+[1]Sheet1!$L$10,IF(D257="S. americanus",F257*[1]Sheet1!$C$6+E257*[1]Sheet1!$D$6+[1]Sheet1!$L$6,IF(AND(OR(D257="T. domingensis",D257="T. latifolia"),E257&gt;0),F257*[1]Sheet1!$C$4+E257*[1]Sheet1!$D$4+H257*[1]Sheet1!$J$4+I257*[1]Sheet1!$K$4+[1]Sheet1!$L$4,IF(AND(OR(D257="T. domingensis",D257="T. latifolia"),J257&gt;0),J257*[1]Sheet1!$G$5+K257*[1]Sheet1!$H$5+L257*[1]Sheet1!$I$5+[1]Sheet1!$L$5,0)))))))</f>
        <v>16.440903000000002</v>
      </c>
    </row>
    <row r="258" spans="1:15">
      <c r="A258" s="6">
        <v>41527</v>
      </c>
      <c r="B258" s="7" t="s">
        <v>31</v>
      </c>
      <c r="C258">
        <v>11</v>
      </c>
      <c r="D258" t="s">
        <v>24</v>
      </c>
      <c r="E258">
        <v>305</v>
      </c>
      <c r="F258">
        <v>1.8</v>
      </c>
      <c r="N258">
        <f t="shared" si="4"/>
        <v>258.70993649999997</v>
      </c>
      <c r="O258">
        <f>IF(AND(OR(D258="S. acutus",D258="S. californicus",D258="S. tabernaemontani"),G258=0),E258*[1]Sheet1!$D$7+[1]Sheet1!$L$7,IF(AND(OR(D258="S. acutus",D258="S. tabernaemontani"),G258&gt;0),E258*[1]Sheet1!$D$8+N258*[1]Sheet1!$E$8,IF(AND(D258="S. californicus",G258&gt;0),E258*[1]Sheet1!$D$9+N258*[1]Sheet1!$E$9,IF(D258="S. maritimus",F258*[1]Sheet1!$C$10+E258*[1]Sheet1!$D$10+G258*[1]Sheet1!$F$10+[1]Sheet1!$L$10,IF(D258="S. americanus",F258*[1]Sheet1!$C$6+E258*[1]Sheet1!$D$6+[1]Sheet1!$L$6,IF(AND(OR(D258="T. domingensis",D258="T. latifolia"),E258&gt;0),F258*[1]Sheet1!$C$4+E258*[1]Sheet1!$D$4+H258*[1]Sheet1!$J$4+I258*[1]Sheet1!$K$4+[1]Sheet1!$L$4,IF(AND(OR(D258="T. domingensis",D258="T. latifolia"),J258&gt;0),J258*[1]Sheet1!$G$5+K258*[1]Sheet1!$H$5+L258*[1]Sheet1!$I$5+[1]Sheet1!$L$5,0)))))))</f>
        <v>16.791428</v>
      </c>
    </row>
    <row r="259" spans="1:15">
      <c r="A259" s="6">
        <v>41527</v>
      </c>
      <c r="B259" s="7" t="s">
        <v>31</v>
      </c>
      <c r="C259">
        <v>11</v>
      </c>
      <c r="D259" t="s">
        <v>24</v>
      </c>
      <c r="E259">
        <v>323</v>
      </c>
      <c r="F259">
        <v>1.43</v>
      </c>
      <c r="N259">
        <f t="shared" si="4"/>
        <v>172.91905644108331</v>
      </c>
      <c r="O259">
        <f>IF(AND(OR(D259="S. acutus",D259="S. californicus",D259="S. tabernaemontani"),G259=0),E259*[1]Sheet1!$D$7+[1]Sheet1!$L$7,IF(AND(OR(D259="S. acutus",D259="S. tabernaemontani"),G259&gt;0),E259*[1]Sheet1!$D$8+N259*[1]Sheet1!$E$8,IF(AND(D259="S. californicus",G259&gt;0),E259*[1]Sheet1!$D$9+N259*[1]Sheet1!$E$9,IF(D259="S. maritimus",F259*[1]Sheet1!$C$10+E259*[1]Sheet1!$D$10+G259*[1]Sheet1!$F$10+[1]Sheet1!$L$10,IF(D259="S. americanus",F259*[1]Sheet1!$C$6+E259*[1]Sheet1!$D$6+[1]Sheet1!$L$6,IF(AND(OR(D259="T. domingensis",D259="T. latifolia"),E259&gt;0),F259*[1]Sheet1!$C$4+E259*[1]Sheet1!$D$4+H259*[1]Sheet1!$J$4+I259*[1]Sheet1!$K$4+[1]Sheet1!$L$4,IF(AND(OR(D259="T. domingensis",D259="T. latifolia"),J259&gt;0),J259*[1]Sheet1!$G$5+K259*[1]Sheet1!$H$5+L259*[1]Sheet1!$I$5+[1]Sheet1!$L$5,0)))))))</f>
        <v>18.053318000000001</v>
      </c>
    </row>
    <row r="260" spans="1:15">
      <c r="A260" s="6">
        <v>41527</v>
      </c>
      <c r="B260" s="7" t="s">
        <v>31</v>
      </c>
      <c r="C260">
        <v>11</v>
      </c>
      <c r="D260" t="s">
        <v>24</v>
      </c>
      <c r="E260">
        <v>295</v>
      </c>
      <c r="F260">
        <v>1.42</v>
      </c>
      <c r="N260">
        <f t="shared" si="4"/>
        <v>155.72809270166667</v>
      </c>
      <c r="O260">
        <f>IF(AND(OR(D260="S. acutus",D260="S. californicus",D260="S. tabernaemontani"),G260=0),E260*[1]Sheet1!$D$7+[1]Sheet1!$L$7,IF(AND(OR(D260="S. acutus",D260="S. tabernaemontani"),G260&gt;0),E260*[1]Sheet1!$D$8+N260*[1]Sheet1!$E$8,IF(AND(D260="S. californicus",G260&gt;0),E260*[1]Sheet1!$D$9+N260*[1]Sheet1!$E$9,IF(D260="S. maritimus",F260*[1]Sheet1!$C$10+E260*[1]Sheet1!$D$10+G260*[1]Sheet1!$F$10+[1]Sheet1!$L$10,IF(D260="S. americanus",F260*[1]Sheet1!$C$6+E260*[1]Sheet1!$D$6+[1]Sheet1!$L$6,IF(AND(OR(D260="T. domingensis",D260="T. latifolia"),E260&gt;0),F260*[1]Sheet1!$C$4+E260*[1]Sheet1!$D$4+H260*[1]Sheet1!$J$4+I260*[1]Sheet1!$K$4+[1]Sheet1!$L$4,IF(AND(OR(D260="T. domingensis",D260="T. latifolia"),J260&gt;0),J260*[1]Sheet1!$G$5+K260*[1]Sheet1!$H$5+L260*[1]Sheet1!$I$5+[1]Sheet1!$L$5,0)))))))</f>
        <v>16.090378000000001</v>
      </c>
    </row>
    <row r="261" spans="1:15">
      <c r="A261" s="6">
        <v>41527</v>
      </c>
      <c r="B261" s="7" t="s">
        <v>31</v>
      </c>
      <c r="C261">
        <v>11</v>
      </c>
      <c r="D261" t="s">
        <v>24</v>
      </c>
      <c r="E261">
        <v>250</v>
      </c>
      <c r="F261">
        <v>1.28</v>
      </c>
      <c r="N261">
        <f t="shared" ref="N261:N324" si="5">IF(OR(D261="S. acutus", D261="S. tabernaemontani", D261="S. californicus"),(1/3)*(3.14159)*((F261/2)^2)*E261,"NA")</f>
        <v>107.23293866666667</v>
      </c>
      <c r="O261">
        <f>IF(AND(OR(D261="S. acutus",D261="S. californicus",D261="S. tabernaemontani"),G261=0),E261*[1]Sheet1!$D$7+[1]Sheet1!$L$7,IF(AND(OR(D261="S. acutus",D261="S. tabernaemontani"),G261&gt;0),E261*[1]Sheet1!$D$8+N261*[1]Sheet1!$E$8,IF(AND(D261="S. californicus",G261&gt;0),E261*[1]Sheet1!$D$9+N261*[1]Sheet1!$E$9,IF(D261="S. maritimus",F261*[1]Sheet1!$C$10+E261*[1]Sheet1!$D$10+G261*[1]Sheet1!$F$10+[1]Sheet1!$L$10,IF(D261="S. americanus",F261*[1]Sheet1!$C$6+E261*[1]Sheet1!$D$6+[1]Sheet1!$L$6,IF(AND(OR(D261="T. domingensis",D261="T. latifolia"),E261&gt;0),F261*[1]Sheet1!$C$4+E261*[1]Sheet1!$D$4+H261*[1]Sheet1!$J$4+I261*[1]Sheet1!$K$4+[1]Sheet1!$L$4,IF(AND(OR(D261="T. domingensis",D261="T. latifolia"),J261&gt;0),J261*[1]Sheet1!$G$5+K261*[1]Sheet1!$H$5+L261*[1]Sheet1!$I$5+[1]Sheet1!$L$5,0)))))))</f>
        <v>12.935653000000002</v>
      </c>
    </row>
    <row r="262" spans="1:15">
      <c r="A262" s="6">
        <v>41527</v>
      </c>
      <c r="B262" s="7" t="s">
        <v>31</v>
      </c>
      <c r="C262">
        <v>11</v>
      </c>
      <c r="D262" t="s">
        <v>23</v>
      </c>
      <c r="E262">
        <v>275</v>
      </c>
      <c r="F262">
        <v>3.14</v>
      </c>
      <c r="H262">
        <v>34</v>
      </c>
      <c r="I262">
        <v>2</v>
      </c>
      <c r="N262" t="str">
        <f t="shared" si="5"/>
        <v>NA</v>
      </c>
      <c r="O262">
        <f>IF(AND(OR(D262="S. acutus",D262="S. californicus",D262="S. tabernaemontani"),G262=0),E262*[1]Sheet1!$D$7+[1]Sheet1!$L$7,IF(AND(OR(D262="S. acutus",D262="S. tabernaemontani"),G262&gt;0),E262*[1]Sheet1!$D$8+N262*[1]Sheet1!$E$8,IF(AND(D262="S. californicus",G262&gt;0),E262*[1]Sheet1!$D$9+N262*[1]Sheet1!$E$9,IF(D262="S. maritimus",F262*[1]Sheet1!$C$10+E262*[1]Sheet1!$D$10+G262*[1]Sheet1!$F$10+[1]Sheet1!$L$10,IF(D262="S. americanus",F262*[1]Sheet1!$C$6+E262*[1]Sheet1!$D$6+[1]Sheet1!$L$6,IF(AND(OR(D262="T. domingensis",D262="T. latifolia"),E262&gt;0),F262*[1]Sheet1!$C$4+E262*[1]Sheet1!$D$4+H262*[1]Sheet1!$J$4+I262*[1]Sheet1!$K$4+[1]Sheet1!$L$4,IF(AND(OR(D262="T. domingensis",D262="T. latifolia"),J262&gt;0),J262*[1]Sheet1!$G$5+K262*[1]Sheet1!$H$5+L262*[1]Sheet1!$I$5+[1]Sheet1!$L$5,0)))))))</f>
        <v>112.44430918</v>
      </c>
    </row>
    <row r="263" spans="1:15">
      <c r="A263" s="6">
        <v>41527</v>
      </c>
      <c r="B263" s="7" t="s">
        <v>31</v>
      </c>
      <c r="C263">
        <v>11</v>
      </c>
      <c r="D263" t="s">
        <v>23</v>
      </c>
      <c r="F263">
        <v>3.18</v>
      </c>
      <c r="J263">
        <f>268+282+283+310</f>
        <v>1143</v>
      </c>
      <c r="K263">
        <v>4</v>
      </c>
      <c r="L263">
        <v>310</v>
      </c>
      <c r="N263" t="str">
        <f t="shared" si="5"/>
        <v>NA</v>
      </c>
      <c r="O263">
        <f>IF(AND(OR(D263="S. acutus",D263="S. californicus",D263="S. tabernaemontani"),G263=0),E263*[1]Sheet1!$D$7+[1]Sheet1!$L$7,IF(AND(OR(D263="S. acutus",D263="S. tabernaemontani"),G263&gt;0),E263*[1]Sheet1!$D$8+N263*[1]Sheet1!$E$8,IF(AND(D263="S. californicus",G263&gt;0),E263*[1]Sheet1!$D$9+N263*[1]Sheet1!$E$9,IF(D263="S. maritimus",F263*[1]Sheet1!$C$10+E263*[1]Sheet1!$D$10+G263*[1]Sheet1!$F$10+[1]Sheet1!$L$10,IF(D263="S. americanus",F263*[1]Sheet1!$C$6+E263*[1]Sheet1!$D$6+[1]Sheet1!$L$6,IF(AND(OR(D263="T. domingensis",D263="T. latifolia"),E263&gt;0),F263*[1]Sheet1!$C$4+E263*[1]Sheet1!$D$4+H263*[1]Sheet1!$J$4+I263*[1]Sheet1!$K$4+[1]Sheet1!$L$4,IF(AND(OR(D263="T. domingensis",D263="T. latifolia"),J263&gt;0),J263*[1]Sheet1!$G$5+K263*[1]Sheet1!$H$5+L263*[1]Sheet1!$I$5+[1]Sheet1!$L$5,0)))))))</f>
        <v>18.723587000000016</v>
      </c>
    </row>
    <row r="264" spans="1:15">
      <c r="A264" s="6">
        <v>41527</v>
      </c>
      <c r="B264" s="7" t="s">
        <v>31</v>
      </c>
      <c r="C264">
        <v>11</v>
      </c>
      <c r="D264" t="s">
        <v>19</v>
      </c>
      <c r="F264">
        <v>2.38</v>
      </c>
      <c r="J264">
        <f>191+208+221+230+218+225+261+266</f>
        <v>1820</v>
      </c>
      <c r="K264">
        <v>8</v>
      </c>
      <c r="L264">
        <v>266</v>
      </c>
      <c r="N264" t="str">
        <f t="shared" si="5"/>
        <v>NA</v>
      </c>
      <c r="O264">
        <f>IF(AND(OR(D264="S. acutus",D264="S. californicus",D264="S. tabernaemontani"),G264=0),E264*[1]Sheet1!$D$7+[1]Sheet1!$L$7,IF(AND(OR(D264="S. acutus",D264="S. tabernaemontani"),G264&gt;0),E264*[1]Sheet1!$D$8+N264*[1]Sheet1!$E$8,IF(AND(D264="S. californicus",G264&gt;0),E264*[1]Sheet1!$D$9+N264*[1]Sheet1!$E$9,IF(D264="S. maritimus",F264*[1]Sheet1!$C$10+E264*[1]Sheet1!$D$10+G264*[1]Sheet1!$F$10+[1]Sheet1!$L$10,IF(D264="S. americanus",F264*[1]Sheet1!$C$6+E264*[1]Sheet1!$D$6+[1]Sheet1!$L$6,IF(AND(OR(D264="T. domingensis",D264="T. latifolia"),E264&gt;0),F264*[1]Sheet1!$C$4+E264*[1]Sheet1!$D$4+H264*[1]Sheet1!$J$4+I264*[1]Sheet1!$K$4+[1]Sheet1!$L$4,IF(AND(OR(D264="T. domingensis",D264="T. latifolia"),J264&gt;0),J264*[1]Sheet1!$G$5+K264*[1]Sheet1!$H$5+L264*[1]Sheet1!$I$5+[1]Sheet1!$L$5,0)))))))</f>
        <v>67.361090000000019</v>
      </c>
    </row>
    <row r="265" spans="1:15">
      <c r="A265" s="6">
        <v>41527</v>
      </c>
      <c r="B265" s="7" t="s">
        <v>31</v>
      </c>
      <c r="C265">
        <v>11</v>
      </c>
      <c r="D265" t="s">
        <v>19</v>
      </c>
      <c r="F265">
        <v>3.07</v>
      </c>
      <c r="J265">
        <f>160+227+272+228+340+338+318</f>
        <v>1883</v>
      </c>
      <c r="K265">
        <v>7</v>
      </c>
      <c r="L265">
        <v>340</v>
      </c>
      <c r="N265" t="str">
        <f t="shared" si="5"/>
        <v>NA</v>
      </c>
      <c r="O265">
        <f>IF(AND(OR(D265="S. acutus",D265="S. californicus",D265="S. tabernaemontani"),G265=0),E265*[1]Sheet1!$D$7+[1]Sheet1!$L$7,IF(AND(OR(D265="S. acutus",D265="S. tabernaemontani"),G265&gt;0),E265*[1]Sheet1!$D$8+N265*[1]Sheet1!$E$8,IF(AND(D265="S. californicus",G265&gt;0),E265*[1]Sheet1!$D$9+N265*[1]Sheet1!$E$9,IF(D265="S. maritimus",F265*[1]Sheet1!$C$10+E265*[1]Sheet1!$D$10+G265*[1]Sheet1!$F$10+[1]Sheet1!$L$10,IF(D265="S. americanus",F265*[1]Sheet1!$C$6+E265*[1]Sheet1!$D$6+[1]Sheet1!$L$6,IF(AND(OR(D265="T. domingensis",D265="T. latifolia"),E265&gt;0),F265*[1]Sheet1!$C$4+E265*[1]Sheet1!$D$4+H265*[1]Sheet1!$J$4+I265*[1]Sheet1!$K$4+[1]Sheet1!$L$4,IF(AND(OR(D265="T. domingensis",D265="T. latifolia"),J265&gt;0),J265*[1]Sheet1!$G$5+K265*[1]Sheet1!$H$5+L265*[1]Sheet1!$I$5+[1]Sheet1!$L$5,0)))))))</f>
        <v>57.997878000000021</v>
      </c>
    </row>
    <row r="266" spans="1:15">
      <c r="A266" s="6">
        <v>41527</v>
      </c>
      <c r="B266" s="7" t="s">
        <v>31</v>
      </c>
      <c r="C266">
        <v>11</v>
      </c>
      <c r="D266" t="s">
        <v>19</v>
      </c>
      <c r="F266">
        <v>3.75</v>
      </c>
      <c r="J266">
        <f>280+325+357+360+370+373</f>
        <v>2065</v>
      </c>
      <c r="K266">
        <v>6</v>
      </c>
      <c r="L266">
        <v>373</v>
      </c>
      <c r="N266" t="str">
        <f t="shared" si="5"/>
        <v>NA</v>
      </c>
      <c r="O266">
        <f>IF(AND(OR(D266="S. acutus",D266="S. californicus",D266="S. tabernaemontani"),G266=0),E266*[1]Sheet1!$D$7+[1]Sheet1!$L$7,IF(AND(OR(D266="S. acutus",D266="S. tabernaemontani"),G266&gt;0),E266*[1]Sheet1!$D$8+N266*[1]Sheet1!$E$8,IF(AND(D266="S. californicus",G266&gt;0),E266*[1]Sheet1!$D$9+N266*[1]Sheet1!$E$9,IF(D266="S. maritimus",F266*[1]Sheet1!$C$10+E266*[1]Sheet1!$D$10+G266*[1]Sheet1!$F$10+[1]Sheet1!$L$10,IF(D266="S. americanus",F266*[1]Sheet1!$C$6+E266*[1]Sheet1!$D$6+[1]Sheet1!$L$6,IF(AND(OR(D266="T. domingensis",D266="T. latifolia"),E266&gt;0),F266*[1]Sheet1!$C$4+E266*[1]Sheet1!$D$4+H266*[1]Sheet1!$J$4+I266*[1]Sheet1!$K$4+[1]Sheet1!$L$4,IF(AND(OR(D266="T. domingensis",D266="T. latifolia"),J266&gt;0),J266*[1]Sheet1!$G$5+K266*[1]Sheet1!$H$5+L266*[1]Sheet1!$I$5+[1]Sheet1!$L$5,0)))))))</f>
        <v>72.142556000000013</v>
      </c>
    </row>
    <row r="267" spans="1:15">
      <c r="A267" s="6">
        <v>41527</v>
      </c>
      <c r="B267" s="7" t="s">
        <v>31</v>
      </c>
      <c r="C267">
        <v>11</v>
      </c>
      <c r="D267" t="s">
        <v>19</v>
      </c>
      <c r="F267">
        <v>2.74</v>
      </c>
      <c r="J267">
        <f>173+213+231+246+275+305+316</f>
        <v>1759</v>
      </c>
      <c r="K267">
        <v>7</v>
      </c>
      <c r="L267">
        <v>316</v>
      </c>
      <c r="N267" t="str">
        <f t="shared" si="5"/>
        <v>NA</v>
      </c>
      <c r="O267">
        <f>IF(AND(OR(D267="S. acutus",D267="S. californicus",D267="S. tabernaemontani"),G267=0),E267*[1]Sheet1!$D$7+[1]Sheet1!$L$7,IF(AND(OR(D267="S. acutus",D267="S. tabernaemontani"),G267&gt;0),E267*[1]Sheet1!$D$8+N267*[1]Sheet1!$E$8,IF(AND(D267="S. californicus",G267&gt;0),E267*[1]Sheet1!$D$9+N267*[1]Sheet1!$E$9,IF(D267="S. maritimus",F267*[1]Sheet1!$C$10+E267*[1]Sheet1!$D$10+G267*[1]Sheet1!$F$10+[1]Sheet1!$L$10,IF(D267="S. americanus",F267*[1]Sheet1!$C$6+E267*[1]Sheet1!$D$6+[1]Sheet1!$L$6,IF(AND(OR(D267="T. domingensis",D267="T. latifolia"),E267&gt;0),F267*[1]Sheet1!$C$4+E267*[1]Sheet1!$D$4+H267*[1]Sheet1!$J$4+I267*[1]Sheet1!$K$4+[1]Sheet1!$L$4,IF(AND(OR(D267="T. domingensis",D267="T. latifolia"),J267&gt;0),J267*[1]Sheet1!$G$5+K267*[1]Sheet1!$H$5+L267*[1]Sheet1!$I$5+[1]Sheet1!$L$5,0)))))))</f>
        <v>53.602138000000032</v>
      </c>
    </row>
    <row r="268" spans="1:15">
      <c r="A268" s="6">
        <v>41527</v>
      </c>
      <c r="B268" s="7" t="s">
        <v>31</v>
      </c>
      <c r="C268">
        <v>11</v>
      </c>
      <c r="D268" t="s">
        <v>19</v>
      </c>
      <c r="F268">
        <v>1.88</v>
      </c>
      <c r="J268">
        <f>172+254+254+276</f>
        <v>956</v>
      </c>
      <c r="K268">
        <v>4</v>
      </c>
      <c r="L268">
        <v>276</v>
      </c>
      <c r="N268" t="str">
        <f t="shared" si="5"/>
        <v>NA</v>
      </c>
      <c r="O268">
        <f>IF(AND(OR(D268="S. acutus",D268="S. californicus",D268="S. tabernaemontani"),G268=0),E268*[1]Sheet1!$D$7+[1]Sheet1!$L$7,IF(AND(OR(D268="S. acutus",D268="S. tabernaemontani"),G268&gt;0),E268*[1]Sheet1!$D$8+N268*[1]Sheet1!$E$8,IF(AND(D268="S. californicus",G268&gt;0),E268*[1]Sheet1!$D$9+N268*[1]Sheet1!$E$9,IF(D268="S. maritimus",F268*[1]Sheet1!$C$10+E268*[1]Sheet1!$D$10+G268*[1]Sheet1!$F$10+[1]Sheet1!$L$10,IF(D268="S. americanus",F268*[1]Sheet1!$C$6+E268*[1]Sheet1!$D$6+[1]Sheet1!$L$6,IF(AND(OR(D268="T. domingensis",D268="T. latifolia"),E268&gt;0),F268*[1]Sheet1!$C$4+E268*[1]Sheet1!$D$4+H268*[1]Sheet1!$J$4+I268*[1]Sheet1!$K$4+[1]Sheet1!$L$4,IF(AND(OR(D268="T. domingensis",D268="T. latifolia"),J268&gt;0),J268*[1]Sheet1!$G$5+K268*[1]Sheet1!$H$5+L268*[1]Sheet1!$I$5+[1]Sheet1!$L$5,0)))))))</f>
        <v>11.433732000000013</v>
      </c>
    </row>
    <row r="269" spans="1:15">
      <c r="A269" s="6">
        <v>41527</v>
      </c>
      <c r="B269" s="7" t="s">
        <v>31</v>
      </c>
      <c r="C269">
        <v>35</v>
      </c>
      <c r="D269" t="s">
        <v>29</v>
      </c>
      <c r="E269">
        <v>188</v>
      </c>
      <c r="F269">
        <v>0.4</v>
      </c>
      <c r="N269" t="str">
        <f t="shared" si="5"/>
        <v>NA</v>
      </c>
      <c r="O269">
        <f>IF(AND(OR(D269="S. acutus",D269="S. californicus",D269="S. tabernaemontani"),G269=0),E269*[1]Sheet1!$D$7+[1]Sheet1!$L$7,IF(AND(OR(D269="S. acutus",D269="S. tabernaemontani"),G269&gt;0),E269*[1]Sheet1!$D$8+N269*[1]Sheet1!$E$8,IF(AND(D269="S. californicus",G269&gt;0),E269*[1]Sheet1!$D$9+N269*[1]Sheet1!$E$9,IF(D269="S. maritimus",F269*[1]Sheet1!$C$10+E269*[1]Sheet1!$D$10+G269*[1]Sheet1!$F$10+[1]Sheet1!$L$10,IF(D269="S. americanus",F269*[1]Sheet1!$C$6+E269*[1]Sheet1!$D$6+[1]Sheet1!$L$6,IF(AND(OR(D269="T. domingensis",D269="T. latifolia"),E269&gt;0),F269*[1]Sheet1!$C$4+E269*[1]Sheet1!$D$4+H269*[1]Sheet1!$J$4+I269*[1]Sheet1!$K$4+[1]Sheet1!$L$4,IF(AND(OR(D269="T. domingensis",D269="T. latifolia"),J269&gt;0),J269*[1]Sheet1!$G$5+K269*[1]Sheet1!$H$5+L269*[1]Sheet1!$I$5+[1]Sheet1!$L$5,0)))))))</f>
        <v>2.0710351599999997</v>
      </c>
    </row>
    <row r="270" spans="1:15">
      <c r="A270" s="6">
        <v>41527</v>
      </c>
      <c r="B270" s="7" t="s">
        <v>31</v>
      </c>
      <c r="C270">
        <v>35</v>
      </c>
      <c r="D270" t="s">
        <v>29</v>
      </c>
      <c r="E270">
        <v>169</v>
      </c>
      <c r="F270">
        <v>0.4</v>
      </c>
      <c r="N270" t="str">
        <f t="shared" si="5"/>
        <v>NA</v>
      </c>
      <c r="O270">
        <f>IF(AND(OR(D270="S. acutus",D270="S. californicus",D270="S. tabernaemontani"),G270=0),E270*[1]Sheet1!$D$7+[1]Sheet1!$L$7,IF(AND(OR(D270="S. acutus",D270="S. tabernaemontani"),G270&gt;0),E270*[1]Sheet1!$D$8+N270*[1]Sheet1!$E$8,IF(AND(D270="S. californicus",G270&gt;0),E270*[1]Sheet1!$D$9+N270*[1]Sheet1!$E$9,IF(D270="S. maritimus",F270*[1]Sheet1!$C$10+E270*[1]Sheet1!$D$10+G270*[1]Sheet1!$F$10+[1]Sheet1!$L$10,IF(D270="S. americanus",F270*[1]Sheet1!$C$6+E270*[1]Sheet1!$D$6+[1]Sheet1!$L$6,IF(AND(OR(D270="T. domingensis",D270="T. latifolia"),E270&gt;0),F270*[1]Sheet1!$C$4+E270*[1]Sheet1!$D$4+H270*[1]Sheet1!$J$4+I270*[1]Sheet1!$K$4+[1]Sheet1!$L$4,IF(AND(OR(D270="T. domingensis",D270="T. latifolia"),J270&gt;0),J270*[1]Sheet1!$G$5+K270*[1]Sheet1!$H$5+L270*[1]Sheet1!$I$5+[1]Sheet1!$L$5,0)))))))</f>
        <v>1.7731018599999993</v>
      </c>
    </row>
    <row r="271" spans="1:15">
      <c r="A271" s="6">
        <v>41527</v>
      </c>
      <c r="B271" s="7" t="s">
        <v>31</v>
      </c>
      <c r="C271">
        <v>35</v>
      </c>
      <c r="D271" t="s">
        <v>19</v>
      </c>
      <c r="F271">
        <v>2</v>
      </c>
      <c r="J271">
        <f>169+206+227+243</f>
        <v>845</v>
      </c>
      <c r="K271">
        <v>4</v>
      </c>
      <c r="L271">
        <v>243</v>
      </c>
      <c r="N271" t="str">
        <f t="shared" si="5"/>
        <v>NA</v>
      </c>
      <c r="O271">
        <f>IF(AND(OR(D271="S. acutus",D271="S. californicus",D271="S. tabernaemontani"),G271=0),E271*[1]Sheet1!$D$7+[1]Sheet1!$L$7,IF(AND(OR(D271="S. acutus",D271="S. tabernaemontani"),G271&gt;0),E271*[1]Sheet1!$D$8+N271*[1]Sheet1!$E$8,IF(AND(D271="S. californicus",G271&gt;0),E271*[1]Sheet1!$D$9+N271*[1]Sheet1!$E$9,IF(D271="S. maritimus",F271*[1]Sheet1!$C$10+E271*[1]Sheet1!$D$10+G271*[1]Sheet1!$F$10+[1]Sheet1!$L$10,IF(D271="S. americanus",F271*[1]Sheet1!$C$6+E271*[1]Sheet1!$D$6+[1]Sheet1!$L$6,IF(AND(OR(D271="T. domingensis",D271="T. latifolia"),E271&gt;0),F271*[1]Sheet1!$C$4+E271*[1]Sheet1!$D$4+H271*[1]Sheet1!$J$4+I271*[1]Sheet1!$K$4+[1]Sheet1!$L$4,IF(AND(OR(D271="T. domingensis",D271="T. latifolia"),J271&gt;0),J271*[1]Sheet1!$G$5+K271*[1]Sheet1!$H$5+L271*[1]Sheet1!$I$5+[1]Sheet1!$L$5,0)))))))</f>
        <v>10.968012000000009</v>
      </c>
    </row>
    <row r="272" spans="1:15">
      <c r="A272" s="6">
        <v>41527</v>
      </c>
      <c r="B272" s="7" t="s">
        <v>31</v>
      </c>
      <c r="C272">
        <v>35</v>
      </c>
      <c r="D272" t="s">
        <v>19</v>
      </c>
      <c r="F272">
        <v>1.9</v>
      </c>
      <c r="J272">
        <f>71+171+187+224+250+321</f>
        <v>1224</v>
      </c>
      <c r="K272">
        <v>6</v>
      </c>
      <c r="L272">
        <v>321</v>
      </c>
      <c r="N272" t="str">
        <f t="shared" si="5"/>
        <v>NA</v>
      </c>
      <c r="O272">
        <f>IF(AND(OR(D272="S. acutus",D272="S. californicus",D272="S. tabernaemontani"),G272=0),E272*[1]Sheet1!$D$7+[1]Sheet1!$L$7,IF(AND(OR(D272="S. acutus",D272="S. tabernaemontani"),G272&gt;0),E272*[1]Sheet1!$D$8+N272*[1]Sheet1!$E$8,IF(AND(D272="S. californicus",G272&gt;0),E272*[1]Sheet1!$D$9+N272*[1]Sheet1!$E$9,IF(D272="S. maritimus",F272*[1]Sheet1!$C$10+E272*[1]Sheet1!$D$10+G272*[1]Sheet1!$F$10+[1]Sheet1!$L$10,IF(D272="S. americanus",F272*[1]Sheet1!$C$6+E272*[1]Sheet1!$D$6+[1]Sheet1!$L$6,IF(AND(OR(D272="T. domingensis",D272="T. latifolia"),E272&gt;0),F272*[1]Sheet1!$C$4+E272*[1]Sheet1!$D$4+H272*[1]Sheet1!$J$4+I272*[1]Sheet1!$K$4+[1]Sheet1!$L$4,IF(AND(OR(D272="T. domingensis",D272="T. latifolia"),J272&gt;0),J272*[1]Sheet1!$G$5+K272*[1]Sheet1!$H$5+L272*[1]Sheet1!$I$5+[1]Sheet1!$L$5,0)))))))</f>
        <v>8.9593410000000162</v>
      </c>
    </row>
    <row r="273" spans="1:15">
      <c r="A273" s="6">
        <v>41527</v>
      </c>
      <c r="B273" s="7" t="s">
        <v>31</v>
      </c>
      <c r="C273">
        <v>35</v>
      </c>
      <c r="D273" t="s">
        <v>19</v>
      </c>
      <c r="F273">
        <v>0.75</v>
      </c>
      <c r="J273">
        <f>117+158+141</f>
        <v>416</v>
      </c>
      <c r="K273">
        <v>3</v>
      </c>
      <c r="L273">
        <v>158</v>
      </c>
      <c r="N273" t="str">
        <f t="shared" si="5"/>
        <v>NA</v>
      </c>
      <c r="O273">
        <f>IF(AND(OR(D273="S. acutus",D273="S. californicus",D273="S. tabernaemontani"),G273=0),E273*[1]Sheet1!$D$7+[1]Sheet1!$L$7,IF(AND(OR(D273="S. acutus",D273="S. tabernaemontani"),G273&gt;0),E273*[1]Sheet1!$D$8+N273*[1]Sheet1!$E$8,IF(AND(D273="S. californicus",G273&gt;0),E273*[1]Sheet1!$D$9+N273*[1]Sheet1!$E$9,IF(D273="S. maritimus",F273*[1]Sheet1!$C$10+E273*[1]Sheet1!$D$10+G273*[1]Sheet1!$F$10+[1]Sheet1!$L$10,IF(D273="S. americanus",F273*[1]Sheet1!$C$6+E273*[1]Sheet1!$D$6+[1]Sheet1!$L$6,IF(AND(OR(D273="T. domingensis",D273="T. latifolia"),E273&gt;0),F273*[1]Sheet1!$C$4+E273*[1]Sheet1!$D$4+H273*[1]Sheet1!$J$4+I273*[1]Sheet1!$K$4+[1]Sheet1!$L$4,IF(AND(OR(D273="T. domingensis",D273="T. latifolia"),J273&gt;0),J273*[1]Sheet1!$G$5+K273*[1]Sheet1!$H$5+L273*[1]Sheet1!$I$5+[1]Sheet1!$L$5,0)))))))</f>
        <v>3.3752950000000013</v>
      </c>
    </row>
    <row r="274" spans="1:15">
      <c r="A274" s="6">
        <v>41527</v>
      </c>
      <c r="B274" s="7" t="s">
        <v>31</v>
      </c>
      <c r="C274">
        <v>35</v>
      </c>
      <c r="D274" t="s">
        <v>19</v>
      </c>
      <c r="F274">
        <v>0.35</v>
      </c>
      <c r="J274">
        <f>29+33</f>
        <v>62</v>
      </c>
      <c r="K274">
        <v>2</v>
      </c>
      <c r="L274">
        <v>33</v>
      </c>
      <c r="N274" t="str">
        <f t="shared" si="5"/>
        <v>NA</v>
      </c>
      <c r="O274">
        <f>IF(AND(OR(D274="S. acutus",D274="S. californicus",D274="S. tabernaemontani"),G274=0),E274*[1]Sheet1!$D$7+[1]Sheet1!$L$7,IF(AND(OR(D274="S. acutus",D274="S. tabernaemontani"),G274&gt;0),E274*[1]Sheet1!$D$8+N274*[1]Sheet1!$E$8,IF(AND(D274="S. californicus",G274&gt;0),E274*[1]Sheet1!$D$9+N274*[1]Sheet1!$E$9,IF(D274="S. maritimus",F274*[1]Sheet1!$C$10+E274*[1]Sheet1!$D$10+G274*[1]Sheet1!$F$10+[1]Sheet1!$L$10,IF(D274="S. americanus",F274*[1]Sheet1!$C$6+E274*[1]Sheet1!$D$6+[1]Sheet1!$L$6,IF(AND(OR(D274="T. domingensis",D274="T. latifolia"),E274&gt;0),F274*[1]Sheet1!$C$4+E274*[1]Sheet1!$D$4+H274*[1]Sheet1!$J$4+I274*[1]Sheet1!$K$4+[1]Sheet1!$L$4,IF(AND(OR(D274="T. domingensis",D274="T. latifolia"),J274&gt;0),J274*[1]Sheet1!$G$5+K274*[1]Sheet1!$H$5+L274*[1]Sheet1!$I$5+[1]Sheet1!$L$5,0)))))))</f>
        <v>14.864002999999997</v>
      </c>
    </row>
    <row r="275" spans="1:15">
      <c r="A275" s="6">
        <v>41527</v>
      </c>
      <c r="B275" s="7" t="s">
        <v>31</v>
      </c>
      <c r="C275">
        <v>35</v>
      </c>
      <c r="D275" t="s">
        <v>19</v>
      </c>
      <c r="F275">
        <v>3.64</v>
      </c>
      <c r="J275">
        <f>180+238+271+349+356+356</f>
        <v>1750</v>
      </c>
      <c r="K275">
        <v>6</v>
      </c>
      <c r="L275">
        <v>356</v>
      </c>
      <c r="N275" t="str">
        <f t="shared" si="5"/>
        <v>NA</v>
      </c>
      <c r="O275">
        <f>IF(AND(OR(D275="S. acutus",D275="S. californicus",D275="S. tabernaemontani"),G275=0),E275*[1]Sheet1!$D$7+[1]Sheet1!$L$7,IF(AND(OR(D275="S. acutus",D275="S. tabernaemontani"),G275&gt;0),E275*[1]Sheet1!$D$8+N275*[1]Sheet1!$E$8,IF(AND(D275="S. californicus",G275&gt;0),E275*[1]Sheet1!$D$9+N275*[1]Sheet1!$E$9,IF(D275="S. maritimus",F275*[1]Sheet1!$C$10+E275*[1]Sheet1!$D$10+G275*[1]Sheet1!$F$10+[1]Sheet1!$L$10,IF(D275="S. americanus",F275*[1]Sheet1!$C$6+E275*[1]Sheet1!$D$6+[1]Sheet1!$L$6,IF(AND(OR(D275="T. domingensis",D275="T. latifolia"),E275&gt;0),F275*[1]Sheet1!$C$4+E275*[1]Sheet1!$D$4+H275*[1]Sheet1!$J$4+I275*[1]Sheet1!$K$4+[1]Sheet1!$L$4,IF(AND(OR(D275="T. domingensis",D275="T. latifolia"),J275&gt;0),J275*[1]Sheet1!$G$5+K275*[1]Sheet1!$H$5+L275*[1]Sheet1!$I$5+[1]Sheet1!$L$5,0)))))))</f>
        <v>47.730896000000023</v>
      </c>
    </row>
    <row r="276" spans="1:15">
      <c r="A276" s="6">
        <v>41527</v>
      </c>
      <c r="B276" s="7" t="s">
        <v>31</v>
      </c>
      <c r="C276">
        <v>35</v>
      </c>
      <c r="D276" t="s">
        <v>19</v>
      </c>
      <c r="F276">
        <v>4.57</v>
      </c>
      <c r="J276">
        <f>298+291+304+316+314+315+320</f>
        <v>2158</v>
      </c>
      <c r="K276">
        <v>7</v>
      </c>
      <c r="L276">
        <v>320</v>
      </c>
      <c r="N276" t="str">
        <f t="shared" si="5"/>
        <v>NA</v>
      </c>
      <c r="O276">
        <f>IF(AND(OR(D276="S. acutus",D276="S. californicus",D276="S. tabernaemontani"),G276=0),E276*[1]Sheet1!$D$7+[1]Sheet1!$L$7,IF(AND(OR(D276="S. acutus",D276="S. tabernaemontani"),G276&gt;0),E276*[1]Sheet1!$D$8+N276*[1]Sheet1!$E$8,IF(AND(D276="S. californicus",G276&gt;0),E276*[1]Sheet1!$D$9+N276*[1]Sheet1!$E$9,IF(D276="S. maritimus",F276*[1]Sheet1!$C$10+E276*[1]Sheet1!$D$10+G276*[1]Sheet1!$F$10+[1]Sheet1!$L$10,IF(D276="S. americanus",F276*[1]Sheet1!$C$6+E276*[1]Sheet1!$D$6+[1]Sheet1!$L$6,IF(AND(OR(D276="T. domingensis",D276="T. latifolia"),E276&gt;0),F276*[1]Sheet1!$C$4+E276*[1]Sheet1!$D$4+H276*[1]Sheet1!$J$4+I276*[1]Sheet1!$K$4+[1]Sheet1!$L$4,IF(AND(OR(D276="T. domingensis",D276="T. latifolia"),J276&gt;0),J276*[1]Sheet1!$G$5+K276*[1]Sheet1!$H$5+L276*[1]Sheet1!$I$5+[1]Sheet1!$L$5,0)))))))</f>
        <v>89.805403000000041</v>
      </c>
    </row>
    <row r="277" spans="1:15">
      <c r="A277" s="6">
        <v>41527</v>
      </c>
      <c r="B277" s="7" t="s">
        <v>31</v>
      </c>
      <c r="C277">
        <v>35</v>
      </c>
      <c r="D277" t="s">
        <v>19</v>
      </c>
      <c r="F277">
        <v>3.12</v>
      </c>
      <c r="J277">
        <f>251+293+320+345+357+367</f>
        <v>1933</v>
      </c>
      <c r="K277">
        <v>6</v>
      </c>
      <c r="L277">
        <v>367</v>
      </c>
      <c r="N277" t="str">
        <f t="shared" si="5"/>
        <v>NA</v>
      </c>
      <c r="O277">
        <f>IF(AND(OR(D277="S. acutus",D277="S. californicus",D277="S. tabernaemontani"),G277=0),E277*[1]Sheet1!$D$7+[1]Sheet1!$L$7,IF(AND(OR(D277="S. acutus",D277="S. tabernaemontani"),G277&gt;0),E277*[1]Sheet1!$D$8+N277*[1]Sheet1!$E$8,IF(AND(D277="S. californicus",G277&gt;0),E277*[1]Sheet1!$D$9+N277*[1]Sheet1!$E$9,IF(D277="S. maritimus",F277*[1]Sheet1!$C$10+E277*[1]Sheet1!$D$10+G277*[1]Sheet1!$F$10+[1]Sheet1!$L$10,IF(D277="S. americanus",F277*[1]Sheet1!$C$6+E277*[1]Sheet1!$D$6+[1]Sheet1!$L$6,IF(AND(OR(D277="T. domingensis",D277="T. latifolia"),E277&gt;0),F277*[1]Sheet1!$C$4+E277*[1]Sheet1!$D$4+H277*[1]Sheet1!$J$4+I277*[1]Sheet1!$K$4+[1]Sheet1!$L$4,IF(AND(OR(D277="T. domingensis",D277="T. latifolia"),J277&gt;0),J277*[1]Sheet1!$G$5+K277*[1]Sheet1!$H$5+L277*[1]Sheet1!$I$5+[1]Sheet1!$L$5,0)))))))</f>
        <v>61.574366000000019</v>
      </c>
    </row>
    <row r="278" spans="1:15">
      <c r="A278" s="6">
        <v>41527</v>
      </c>
      <c r="B278" s="7" t="s">
        <v>31</v>
      </c>
      <c r="C278">
        <v>35</v>
      </c>
      <c r="D278" t="s">
        <v>19</v>
      </c>
      <c r="F278">
        <v>5.0199999999999996</v>
      </c>
      <c r="J278">
        <f>197+283+248+312+346+345+353</f>
        <v>2084</v>
      </c>
      <c r="K278">
        <v>7</v>
      </c>
      <c r="L278">
        <v>353</v>
      </c>
      <c r="N278" t="str">
        <f t="shared" si="5"/>
        <v>NA</v>
      </c>
      <c r="O278">
        <f>IF(AND(OR(D278="S. acutus",D278="S. californicus",D278="S. tabernaemontani"),G278=0),E278*[1]Sheet1!$D$7+[1]Sheet1!$L$7,IF(AND(OR(D278="S. acutus",D278="S. tabernaemontani"),G278&gt;0),E278*[1]Sheet1!$D$8+N278*[1]Sheet1!$E$8,IF(AND(D278="S. californicus",G278&gt;0),E278*[1]Sheet1!$D$9+N278*[1]Sheet1!$E$9,IF(D278="S. maritimus",F278*[1]Sheet1!$C$10+E278*[1]Sheet1!$D$10+G278*[1]Sheet1!$F$10+[1]Sheet1!$L$10,IF(D278="S. americanus",F278*[1]Sheet1!$C$6+E278*[1]Sheet1!$D$6+[1]Sheet1!$L$6,IF(AND(OR(D278="T. domingensis",D278="T. latifolia"),E278&gt;0),F278*[1]Sheet1!$C$4+E278*[1]Sheet1!$D$4+H278*[1]Sheet1!$J$4+I278*[1]Sheet1!$K$4+[1]Sheet1!$L$4,IF(AND(OR(D278="T. domingensis",D278="T. latifolia"),J278&gt;0),J278*[1]Sheet1!$G$5+K278*[1]Sheet1!$H$5+L278*[1]Sheet1!$I$5+[1]Sheet1!$L$5,0)))))))</f>
        <v>72.926447999999993</v>
      </c>
    </row>
    <row r="279" spans="1:15">
      <c r="A279" s="6">
        <v>41527</v>
      </c>
      <c r="B279" s="7" t="s">
        <v>31</v>
      </c>
      <c r="C279">
        <v>35</v>
      </c>
      <c r="D279" t="s">
        <v>19</v>
      </c>
      <c r="F279">
        <v>3.18</v>
      </c>
      <c r="J279">
        <f>247+282+315+348+376+377</f>
        <v>1945</v>
      </c>
      <c r="K279">
        <v>6</v>
      </c>
      <c r="L279">
        <v>377</v>
      </c>
      <c r="N279" t="str">
        <f t="shared" si="5"/>
        <v>NA</v>
      </c>
      <c r="O279">
        <f>IF(AND(OR(D279="S. acutus",D279="S. californicus",D279="S. tabernaemontani"),G279=0),E279*[1]Sheet1!$D$7+[1]Sheet1!$L$7,IF(AND(OR(D279="S. acutus",D279="S. tabernaemontani"),G279&gt;0),E279*[1]Sheet1!$D$8+N279*[1]Sheet1!$E$8,IF(AND(D279="S. californicus",G279&gt;0),E279*[1]Sheet1!$D$9+N279*[1]Sheet1!$E$9,IF(D279="S. maritimus",F279*[1]Sheet1!$C$10+E279*[1]Sheet1!$D$10+G279*[1]Sheet1!$F$10+[1]Sheet1!$L$10,IF(D279="S. americanus",F279*[1]Sheet1!$C$6+E279*[1]Sheet1!$D$6+[1]Sheet1!$L$6,IF(AND(OR(D279="T. domingensis",D279="T. latifolia"),E279&gt;0),F279*[1]Sheet1!$C$4+E279*[1]Sheet1!$D$4+H279*[1]Sheet1!$J$4+I279*[1]Sheet1!$K$4+[1]Sheet1!$L$4,IF(AND(OR(D279="T. domingensis",D279="T. latifolia"),J279&gt;0),J279*[1]Sheet1!$G$5+K279*[1]Sheet1!$H$5+L279*[1]Sheet1!$I$5+[1]Sheet1!$L$5,0)))))))</f>
        <v>59.686976000000008</v>
      </c>
    </row>
    <row r="280" spans="1:15">
      <c r="A280" s="6">
        <v>41527</v>
      </c>
      <c r="B280" s="7" t="s">
        <v>31</v>
      </c>
      <c r="C280">
        <v>43</v>
      </c>
      <c r="D280" t="s">
        <v>23</v>
      </c>
      <c r="E280">
        <v>282</v>
      </c>
      <c r="F280">
        <v>2.84</v>
      </c>
      <c r="H280">
        <v>37.5</v>
      </c>
      <c r="I280">
        <v>2.75</v>
      </c>
      <c r="N280" t="str">
        <f t="shared" si="5"/>
        <v>NA</v>
      </c>
      <c r="O280">
        <f>IF(AND(OR(D280="S. acutus",D280="S. californicus",D280="S. tabernaemontani"),G280=0),E280*[1]Sheet1!$D$7+[1]Sheet1!$L$7,IF(AND(OR(D280="S. acutus",D280="S. tabernaemontani"),G280&gt;0),E280*[1]Sheet1!$D$8+N280*[1]Sheet1!$E$8,IF(AND(D280="S. californicus",G280&gt;0),E280*[1]Sheet1!$D$9+N280*[1]Sheet1!$E$9,IF(D280="S. maritimus",F280*[1]Sheet1!$C$10+E280*[1]Sheet1!$D$10+G280*[1]Sheet1!$F$10+[1]Sheet1!$L$10,IF(D280="S. americanus",F280*[1]Sheet1!$C$6+E280*[1]Sheet1!$D$6+[1]Sheet1!$L$6,IF(AND(OR(D280="T. domingensis",D280="T. latifolia"),E280&gt;0),F280*[1]Sheet1!$C$4+E280*[1]Sheet1!$D$4+H280*[1]Sheet1!$J$4+I280*[1]Sheet1!$K$4+[1]Sheet1!$L$4,IF(AND(OR(D280="T. domingensis",D280="T. latifolia"),J280&gt;0),J280*[1]Sheet1!$G$5+K280*[1]Sheet1!$H$5+L280*[1]Sheet1!$I$5+[1]Sheet1!$L$5,0)))))))</f>
        <v>125.15507717999998</v>
      </c>
    </row>
    <row r="281" spans="1:15">
      <c r="A281" s="6">
        <v>41527</v>
      </c>
      <c r="B281" s="7" t="s">
        <v>31</v>
      </c>
      <c r="C281">
        <v>43</v>
      </c>
      <c r="D281" t="s">
        <v>23</v>
      </c>
      <c r="E281">
        <v>255</v>
      </c>
      <c r="F281">
        <v>2.42</v>
      </c>
      <c r="H281">
        <v>26</v>
      </c>
      <c r="I281">
        <v>2.5</v>
      </c>
      <c r="N281" t="str">
        <f t="shared" si="5"/>
        <v>NA</v>
      </c>
      <c r="O281">
        <f>IF(AND(OR(D281="S. acutus",D281="S. californicus",D281="S. tabernaemontani"),G281=0),E281*[1]Sheet1!$D$7+[1]Sheet1!$L$7,IF(AND(OR(D281="S. acutus",D281="S. tabernaemontani"),G281&gt;0),E281*[1]Sheet1!$D$8+N281*[1]Sheet1!$E$8,IF(AND(D281="S. californicus",G281&gt;0),E281*[1]Sheet1!$D$9+N281*[1]Sheet1!$E$9,IF(D281="S. maritimus",F281*[1]Sheet1!$C$10+E281*[1]Sheet1!$D$10+G281*[1]Sheet1!$F$10+[1]Sheet1!$L$10,IF(D281="S. americanus",F281*[1]Sheet1!$C$6+E281*[1]Sheet1!$D$6+[1]Sheet1!$L$6,IF(AND(OR(D281="T. domingensis",D281="T. latifolia"),E281&gt;0),F281*[1]Sheet1!$C$4+E281*[1]Sheet1!$D$4+H281*[1]Sheet1!$J$4+I281*[1]Sheet1!$K$4+[1]Sheet1!$L$4,IF(AND(OR(D281="T. domingensis",D281="T. latifolia"),J281&gt;0),J281*[1]Sheet1!$G$5+K281*[1]Sheet1!$H$5+L281*[1]Sheet1!$I$5+[1]Sheet1!$L$5,0)))))))</f>
        <v>93.793279339999998</v>
      </c>
    </row>
    <row r="282" spans="1:15">
      <c r="A282" s="6">
        <v>41527</v>
      </c>
      <c r="B282" s="7" t="s">
        <v>31</v>
      </c>
      <c r="C282">
        <v>43</v>
      </c>
      <c r="D282" t="s">
        <v>23</v>
      </c>
      <c r="F282">
        <v>3.36</v>
      </c>
      <c r="J282">
        <f>129+162+223+254+289+287</f>
        <v>1344</v>
      </c>
      <c r="K282">
        <v>6</v>
      </c>
      <c r="L282">
        <v>289</v>
      </c>
      <c r="N282" t="str">
        <f t="shared" si="5"/>
        <v>NA</v>
      </c>
      <c r="O282">
        <f>IF(AND(OR(D282="S. acutus",D282="S. californicus",D282="S. tabernaemontani"),G282=0),E282*[1]Sheet1!$D$7+[1]Sheet1!$L$7,IF(AND(OR(D282="S. acutus",D282="S. tabernaemontani"),G282&gt;0),E282*[1]Sheet1!$D$8+N282*[1]Sheet1!$E$8,IF(AND(D282="S. californicus",G282&gt;0),E282*[1]Sheet1!$D$9+N282*[1]Sheet1!$E$9,IF(D282="S. maritimus",F282*[1]Sheet1!$C$10+E282*[1]Sheet1!$D$10+G282*[1]Sheet1!$F$10+[1]Sheet1!$L$10,IF(D282="S. americanus",F282*[1]Sheet1!$C$6+E282*[1]Sheet1!$D$6+[1]Sheet1!$L$6,IF(AND(OR(D282="T. domingensis",D282="T. latifolia"),E282&gt;0),F282*[1]Sheet1!$C$4+E282*[1]Sheet1!$D$4+H282*[1]Sheet1!$J$4+I282*[1]Sheet1!$K$4+[1]Sheet1!$L$4,IF(AND(OR(D282="T. domingensis",D282="T. latifolia"),J282&gt;0),J282*[1]Sheet1!$G$5+K282*[1]Sheet1!$H$5+L282*[1]Sheet1!$I$5+[1]Sheet1!$L$5,0)))))))</f>
        <v>29.849781</v>
      </c>
    </row>
    <row r="283" spans="1:15">
      <c r="A283" s="6">
        <v>41527</v>
      </c>
      <c r="B283" s="7" t="s">
        <v>31</v>
      </c>
      <c r="C283">
        <v>43</v>
      </c>
      <c r="D283" t="s">
        <v>19</v>
      </c>
      <c r="F283">
        <v>2.5</v>
      </c>
      <c r="J283">
        <f>210+252+258+293+313+321</f>
        <v>1647</v>
      </c>
      <c r="K283">
        <v>6</v>
      </c>
      <c r="L283">
        <v>321</v>
      </c>
      <c r="N283" t="str">
        <f t="shared" si="5"/>
        <v>NA</v>
      </c>
      <c r="O283">
        <f>IF(AND(OR(D283="S. acutus",D283="S. californicus",D283="S. tabernaemontani"),G283=0),E283*[1]Sheet1!$D$7+[1]Sheet1!$L$7,IF(AND(OR(D283="S. acutus",D283="S. tabernaemontani"),G283&gt;0),E283*[1]Sheet1!$D$8+N283*[1]Sheet1!$E$8,IF(AND(D283="S. californicus",G283&gt;0),E283*[1]Sheet1!$D$9+N283*[1]Sheet1!$E$9,IF(D283="S. maritimus",F283*[1]Sheet1!$C$10+E283*[1]Sheet1!$D$10+G283*[1]Sheet1!$F$10+[1]Sheet1!$L$10,IF(D283="S. americanus",F283*[1]Sheet1!$C$6+E283*[1]Sheet1!$D$6+[1]Sheet1!$L$6,IF(AND(OR(D283="T. domingensis",D283="T. latifolia"),E283&gt;0),F283*[1]Sheet1!$C$4+E283*[1]Sheet1!$D$4+H283*[1]Sheet1!$J$4+I283*[1]Sheet1!$K$4+[1]Sheet1!$L$4,IF(AND(OR(D283="T. domingensis",D283="T. latifolia"),J283&gt;0),J283*[1]Sheet1!$G$5+K283*[1]Sheet1!$H$5+L283*[1]Sheet1!$I$5+[1]Sheet1!$L$5,0)))))))</f>
        <v>48.61770600000002</v>
      </c>
    </row>
    <row r="284" spans="1:15">
      <c r="A284" s="6">
        <v>41527</v>
      </c>
      <c r="B284" s="7" t="s">
        <v>31</v>
      </c>
      <c r="C284">
        <v>43</v>
      </c>
      <c r="D284" t="s">
        <v>19</v>
      </c>
      <c r="F284">
        <v>2.58</v>
      </c>
      <c r="J284">
        <f>207+239+254+255+273+326</f>
        <v>1554</v>
      </c>
      <c r="K284">
        <v>6</v>
      </c>
      <c r="L284">
        <v>326</v>
      </c>
      <c r="N284" t="str">
        <f t="shared" si="5"/>
        <v>NA</v>
      </c>
      <c r="O284">
        <f>IF(AND(OR(D284="S. acutus",D284="S. californicus",D284="S. tabernaemontani"),G284=0),E284*[1]Sheet1!$D$7+[1]Sheet1!$L$7,IF(AND(OR(D284="S. acutus",D284="S. tabernaemontani"),G284&gt;0),E284*[1]Sheet1!$D$8+N284*[1]Sheet1!$E$8,IF(AND(D284="S. californicus",G284&gt;0),E284*[1]Sheet1!$D$9+N284*[1]Sheet1!$E$9,IF(D284="S. maritimus",F284*[1]Sheet1!$C$10+E284*[1]Sheet1!$D$10+G284*[1]Sheet1!$F$10+[1]Sheet1!$L$10,IF(D284="S. americanus",F284*[1]Sheet1!$C$6+E284*[1]Sheet1!$D$6+[1]Sheet1!$L$6,IF(AND(OR(D284="T. domingensis",D284="T. latifolia"),E284&gt;0),F284*[1]Sheet1!$C$4+E284*[1]Sheet1!$D$4+H284*[1]Sheet1!$J$4+I284*[1]Sheet1!$K$4+[1]Sheet1!$L$4,IF(AND(OR(D284="T. domingensis",D284="T. latifolia"),J284&gt;0),J284*[1]Sheet1!$G$5+K284*[1]Sheet1!$H$5+L284*[1]Sheet1!$I$5+[1]Sheet1!$L$5,0)))))))</f>
        <v>38.392265999999999</v>
      </c>
    </row>
    <row r="285" spans="1:15">
      <c r="A285" s="6">
        <v>41527</v>
      </c>
      <c r="B285" s="7" t="s">
        <v>31</v>
      </c>
      <c r="C285">
        <v>43</v>
      </c>
      <c r="D285" t="s">
        <v>19</v>
      </c>
      <c r="F285">
        <v>3.65</v>
      </c>
      <c r="J285">
        <f>232+269+298+348+333+349</f>
        <v>1829</v>
      </c>
      <c r="K285">
        <v>6</v>
      </c>
      <c r="L285">
        <v>349</v>
      </c>
      <c r="N285" t="str">
        <f t="shared" si="5"/>
        <v>NA</v>
      </c>
      <c r="O285">
        <f>IF(AND(OR(D285="S. acutus",D285="S. californicus",D285="S. tabernaemontani"),G285=0),E285*[1]Sheet1!$D$7+[1]Sheet1!$L$7,IF(AND(OR(D285="S. acutus",D285="S. tabernaemontani"),G285&gt;0),E285*[1]Sheet1!$D$8+N285*[1]Sheet1!$E$8,IF(AND(D285="S. californicus",G285&gt;0),E285*[1]Sheet1!$D$9+N285*[1]Sheet1!$E$9,IF(D285="S. maritimus",F285*[1]Sheet1!$C$10+E285*[1]Sheet1!$D$10+G285*[1]Sheet1!$F$10+[1]Sheet1!$L$10,IF(D285="S. americanus",F285*[1]Sheet1!$C$6+E285*[1]Sheet1!$D$6+[1]Sheet1!$L$6,IF(AND(OR(D285="T. domingensis",D285="T. latifolia"),E285&gt;0),F285*[1]Sheet1!$C$4+E285*[1]Sheet1!$D$4+H285*[1]Sheet1!$J$4+I285*[1]Sheet1!$K$4+[1]Sheet1!$L$4,IF(AND(OR(D285="T. domingensis",D285="T. latifolia"),J285&gt;0),J285*[1]Sheet1!$G$5+K285*[1]Sheet1!$H$5+L285*[1]Sheet1!$I$5+[1]Sheet1!$L$5,0)))))))</f>
        <v>57.246256000000024</v>
      </c>
    </row>
    <row r="286" spans="1:15">
      <c r="A286" s="6">
        <v>41527</v>
      </c>
      <c r="B286" s="7" t="s">
        <v>31</v>
      </c>
      <c r="C286">
        <v>43</v>
      </c>
      <c r="D286" t="s">
        <v>19</v>
      </c>
      <c r="F286">
        <v>1.18</v>
      </c>
      <c r="J286">
        <f>210+250+258</f>
        <v>718</v>
      </c>
      <c r="K286">
        <v>3</v>
      </c>
      <c r="L286">
        <v>258</v>
      </c>
      <c r="N286" t="str">
        <f t="shared" si="5"/>
        <v>NA</v>
      </c>
      <c r="O286">
        <f>IF(AND(OR(D286="S. acutus",D286="S. californicus",D286="S. tabernaemontani"),G286=0),E286*[1]Sheet1!$D$7+[1]Sheet1!$L$7,IF(AND(OR(D286="S. acutus",D286="S. tabernaemontani"),G286&gt;0),E286*[1]Sheet1!$D$8+N286*[1]Sheet1!$E$8,IF(AND(D286="S. californicus",G286&gt;0),E286*[1]Sheet1!$D$9+N286*[1]Sheet1!$E$9,IF(D286="S. maritimus",F286*[1]Sheet1!$C$10+E286*[1]Sheet1!$D$10+G286*[1]Sheet1!$F$10+[1]Sheet1!$L$10,IF(D286="S. americanus",F286*[1]Sheet1!$C$6+E286*[1]Sheet1!$D$6+[1]Sheet1!$L$6,IF(AND(OR(D286="T. domingensis",D286="T. latifolia"),E286&gt;0),F286*[1]Sheet1!$C$4+E286*[1]Sheet1!$D$4+H286*[1]Sheet1!$J$4+I286*[1]Sheet1!$K$4+[1]Sheet1!$L$4,IF(AND(OR(D286="T. domingensis",D286="T. latifolia"),J286&gt;0),J286*[1]Sheet1!$G$5+K286*[1]Sheet1!$H$5+L286*[1]Sheet1!$I$5+[1]Sheet1!$L$5,0)))))))</f>
        <v>1.5648049999999998</v>
      </c>
    </row>
    <row r="287" spans="1:15">
      <c r="A287" s="6">
        <v>41523</v>
      </c>
      <c r="B287" s="7" t="s">
        <v>22</v>
      </c>
      <c r="C287">
        <v>3</v>
      </c>
      <c r="D287" t="s">
        <v>25</v>
      </c>
      <c r="E287">
        <v>228</v>
      </c>
      <c r="F287">
        <v>1.65</v>
      </c>
      <c r="N287">
        <f t="shared" si="5"/>
        <v>162.50659672499998</v>
      </c>
      <c r="O287">
        <f>IF(AND(OR(D287="S. acutus",D287="S. californicus",D287="S. tabernaemontani"),G287=0),E287*[1]Sheet1!$D$7+[1]Sheet1!$L$7,IF(AND(OR(D287="S. acutus",D287="S. tabernaemontani"),G287&gt;0),E287*[1]Sheet1!$D$8+N287*[1]Sheet1!$E$8,IF(AND(D287="S. californicus",G287&gt;0),E287*[1]Sheet1!$D$9+N287*[1]Sheet1!$E$9,IF(D287="S. maritimus",F287*[1]Sheet1!$C$10+E287*[1]Sheet1!$D$10+G287*[1]Sheet1!$F$10+[1]Sheet1!$L$10,IF(D287="S. americanus",F287*[1]Sheet1!$C$6+E287*[1]Sheet1!$D$6+[1]Sheet1!$L$6,IF(AND(OR(D287="T. domingensis",D287="T. latifolia"),E287&gt;0),F287*[1]Sheet1!$C$4+E287*[1]Sheet1!$D$4+H287*[1]Sheet1!$J$4+I287*[1]Sheet1!$K$4+[1]Sheet1!$L$4,IF(AND(OR(D287="T. domingensis",D287="T. latifolia"),J287&gt;0),J287*[1]Sheet1!$G$5+K287*[1]Sheet1!$H$5+L287*[1]Sheet1!$I$5+[1]Sheet1!$L$5,0)))))))</f>
        <v>11.393343000000002</v>
      </c>
    </row>
    <row r="288" spans="1:15">
      <c r="A288" s="6">
        <v>41523</v>
      </c>
      <c r="B288" s="7" t="s">
        <v>22</v>
      </c>
      <c r="C288">
        <v>3</v>
      </c>
      <c r="D288" t="s">
        <v>25</v>
      </c>
      <c r="E288">
        <v>159</v>
      </c>
      <c r="F288">
        <v>1.38</v>
      </c>
      <c r="N288">
        <f t="shared" si="5"/>
        <v>79.272682946999979</v>
      </c>
      <c r="O288">
        <f>IF(AND(OR(D288="S. acutus",D288="S. californicus",D288="S. tabernaemontani"),G288=0),E288*[1]Sheet1!$D$7+[1]Sheet1!$L$7,IF(AND(OR(D288="S. acutus",D288="S. tabernaemontani"),G288&gt;0),E288*[1]Sheet1!$D$8+N288*[1]Sheet1!$E$8,IF(AND(D288="S. californicus",G288&gt;0),E288*[1]Sheet1!$D$9+N288*[1]Sheet1!$E$9,IF(D288="S. maritimus",F288*[1]Sheet1!$C$10+E288*[1]Sheet1!$D$10+G288*[1]Sheet1!$F$10+[1]Sheet1!$L$10,IF(D288="S. americanus",F288*[1]Sheet1!$C$6+E288*[1]Sheet1!$D$6+[1]Sheet1!$L$6,IF(AND(OR(D288="T. domingensis",D288="T. latifolia"),E288&gt;0),F288*[1]Sheet1!$C$4+E288*[1]Sheet1!$D$4+H288*[1]Sheet1!$J$4+I288*[1]Sheet1!$K$4+[1]Sheet1!$L$4,IF(AND(OR(D288="T. domingensis",D288="T. latifolia"),J288&gt;0),J288*[1]Sheet1!$G$5+K288*[1]Sheet1!$H$5+L288*[1]Sheet1!$I$5+[1]Sheet1!$L$5,0)))))))</f>
        <v>6.5560979999999995</v>
      </c>
    </row>
    <row r="289" spans="1:15">
      <c r="A289" s="6">
        <v>41523</v>
      </c>
      <c r="B289" s="7" t="s">
        <v>22</v>
      </c>
      <c r="C289">
        <v>3</v>
      </c>
      <c r="D289" t="s">
        <v>25</v>
      </c>
      <c r="E289">
        <v>188</v>
      </c>
      <c r="F289">
        <v>1.22</v>
      </c>
      <c r="N289">
        <f t="shared" si="5"/>
        <v>73.256433377333323</v>
      </c>
      <c r="O289">
        <f>IF(AND(OR(D289="S. acutus",D289="S. californicus",D289="S. tabernaemontani"),G289=0),E289*[1]Sheet1!$D$7+[1]Sheet1!$L$7,IF(AND(OR(D289="S. acutus",D289="S. tabernaemontani"),G289&gt;0),E289*[1]Sheet1!$D$8+N289*[1]Sheet1!$E$8,IF(AND(D289="S. californicus",G289&gt;0),E289*[1]Sheet1!$D$9+N289*[1]Sheet1!$E$9,IF(D289="S. maritimus",F289*[1]Sheet1!$C$10+E289*[1]Sheet1!$D$10+G289*[1]Sheet1!$F$10+[1]Sheet1!$L$10,IF(D289="S. americanus",F289*[1]Sheet1!$C$6+E289*[1]Sheet1!$D$6+[1]Sheet1!$L$6,IF(AND(OR(D289="T. domingensis",D289="T. latifolia"),E289&gt;0),F289*[1]Sheet1!$C$4+E289*[1]Sheet1!$D$4+H289*[1]Sheet1!$J$4+I289*[1]Sheet1!$K$4+[1]Sheet1!$L$4,IF(AND(OR(D289="T. domingensis",D289="T. latifolia"),J289&gt;0),J289*[1]Sheet1!$G$5+K289*[1]Sheet1!$H$5+L289*[1]Sheet1!$I$5+[1]Sheet1!$L$5,0)))))))</f>
        <v>8.589143</v>
      </c>
    </row>
    <row r="290" spans="1:15">
      <c r="A290" s="6">
        <v>41523</v>
      </c>
      <c r="B290" s="7" t="s">
        <v>22</v>
      </c>
      <c r="C290">
        <v>3</v>
      </c>
      <c r="D290" t="s">
        <v>25</v>
      </c>
      <c r="E290">
        <v>145</v>
      </c>
      <c r="F290">
        <v>2.3199999999999998</v>
      </c>
      <c r="N290">
        <f t="shared" si="5"/>
        <v>204.32063602666662</v>
      </c>
      <c r="O290">
        <f>IF(AND(OR(D290="S. acutus",D290="S. californicus",D290="S. tabernaemontani"),G290=0),E290*[1]Sheet1!$D$7+[1]Sheet1!$L$7,IF(AND(OR(D290="S. acutus",D290="S. tabernaemontani"),G290&gt;0),E290*[1]Sheet1!$D$8+N290*[1]Sheet1!$E$8,IF(AND(D290="S. californicus",G290&gt;0),E290*[1]Sheet1!$D$9+N290*[1]Sheet1!$E$9,IF(D290="S. maritimus",F290*[1]Sheet1!$C$10+E290*[1]Sheet1!$D$10+G290*[1]Sheet1!$F$10+[1]Sheet1!$L$10,IF(D290="S. americanus",F290*[1]Sheet1!$C$6+E290*[1]Sheet1!$D$6+[1]Sheet1!$L$6,IF(AND(OR(D290="T. domingensis",D290="T. latifolia"),E290&gt;0),F290*[1]Sheet1!$C$4+E290*[1]Sheet1!$D$4+H290*[1]Sheet1!$J$4+I290*[1]Sheet1!$K$4+[1]Sheet1!$L$4,IF(AND(OR(D290="T. domingensis",D290="T. latifolia"),J290&gt;0),J290*[1]Sheet1!$G$5+K290*[1]Sheet1!$H$5+L290*[1]Sheet1!$I$5+[1]Sheet1!$L$5,0)))))))</f>
        <v>5.5746279999999997</v>
      </c>
    </row>
    <row r="291" spans="1:15">
      <c r="A291" s="6">
        <v>41523</v>
      </c>
      <c r="B291" s="7" t="s">
        <v>22</v>
      </c>
      <c r="C291">
        <v>3</v>
      </c>
      <c r="D291" t="s">
        <v>25</v>
      </c>
      <c r="E291">
        <v>204</v>
      </c>
      <c r="F291">
        <v>1.96</v>
      </c>
      <c r="N291">
        <f t="shared" si="5"/>
        <v>205.16844644799997</v>
      </c>
      <c r="O291">
        <f>IF(AND(OR(D291="S. acutus",D291="S. californicus",D291="S. tabernaemontani"),G291=0),E291*[1]Sheet1!$D$7+[1]Sheet1!$L$7,IF(AND(OR(D291="S. acutus",D291="S. tabernaemontani"),G291&gt;0),E291*[1]Sheet1!$D$8+N291*[1]Sheet1!$E$8,IF(AND(D291="S. californicus",G291&gt;0),E291*[1]Sheet1!$D$9+N291*[1]Sheet1!$E$9,IF(D291="S. maritimus",F291*[1]Sheet1!$C$10+E291*[1]Sheet1!$D$10+G291*[1]Sheet1!$F$10+[1]Sheet1!$L$10,IF(D291="S. americanus",F291*[1]Sheet1!$C$6+E291*[1]Sheet1!$D$6+[1]Sheet1!$L$6,IF(AND(OR(D291="T. domingensis",D291="T. latifolia"),E291&gt;0),F291*[1]Sheet1!$C$4+E291*[1]Sheet1!$D$4+H291*[1]Sheet1!$J$4+I291*[1]Sheet1!$K$4+[1]Sheet1!$L$4,IF(AND(OR(D291="T. domingensis",D291="T. latifolia"),J291&gt;0),J291*[1]Sheet1!$G$5+K291*[1]Sheet1!$H$5+L291*[1]Sheet1!$I$5+[1]Sheet1!$L$5,0)))))))</f>
        <v>9.7108230000000013</v>
      </c>
    </row>
    <row r="292" spans="1:15">
      <c r="A292" s="6">
        <v>41523</v>
      </c>
      <c r="B292" s="7" t="s">
        <v>22</v>
      </c>
      <c r="C292">
        <v>3</v>
      </c>
      <c r="D292" t="s">
        <v>25</v>
      </c>
      <c r="E292">
        <v>134</v>
      </c>
      <c r="F292">
        <v>1.05</v>
      </c>
      <c r="N292">
        <f t="shared" si="5"/>
        <v>38.676899887499999</v>
      </c>
      <c r="O292">
        <f>IF(AND(OR(D292="S. acutus",D292="S. californicus",D292="S. tabernaemontani"),G292=0),E292*[1]Sheet1!$D$7+[1]Sheet1!$L$7,IF(AND(OR(D292="S. acutus",D292="S. tabernaemontani"),G292&gt;0),E292*[1]Sheet1!$D$8+N292*[1]Sheet1!$E$8,IF(AND(D292="S. californicus",G292&gt;0),E292*[1]Sheet1!$D$9+N292*[1]Sheet1!$E$9,IF(D292="S. maritimus",F292*[1]Sheet1!$C$10+E292*[1]Sheet1!$D$10+G292*[1]Sheet1!$F$10+[1]Sheet1!$L$10,IF(D292="S. americanus",F292*[1]Sheet1!$C$6+E292*[1]Sheet1!$D$6+[1]Sheet1!$L$6,IF(AND(OR(D292="T. domingensis",D292="T. latifolia"),E292&gt;0),F292*[1]Sheet1!$C$4+E292*[1]Sheet1!$D$4+H292*[1]Sheet1!$J$4+I292*[1]Sheet1!$K$4+[1]Sheet1!$L$4,IF(AND(OR(D292="T. domingensis",D292="T. latifolia"),J292&gt;0),J292*[1]Sheet1!$G$5+K292*[1]Sheet1!$H$5+L292*[1]Sheet1!$I$5+[1]Sheet1!$L$5,0)))))))</f>
        <v>4.8034729999999994</v>
      </c>
    </row>
    <row r="293" spans="1:15">
      <c r="A293" s="6">
        <v>41523</v>
      </c>
      <c r="B293" s="7" t="s">
        <v>22</v>
      </c>
      <c r="C293">
        <v>3</v>
      </c>
      <c r="D293" t="s">
        <v>25</v>
      </c>
      <c r="E293">
        <v>115</v>
      </c>
      <c r="F293">
        <v>1.22</v>
      </c>
      <c r="N293">
        <f t="shared" si="5"/>
        <v>44.811116161666661</v>
      </c>
      <c r="O293">
        <f>IF(AND(OR(D293="S. acutus",D293="S. californicus",D293="S. tabernaemontani"),G293=0),E293*[1]Sheet1!$D$7+[1]Sheet1!$L$7,IF(AND(OR(D293="S. acutus",D293="S. tabernaemontani"),G293&gt;0),E293*[1]Sheet1!$D$8+N293*[1]Sheet1!$E$8,IF(AND(D293="S. californicus",G293&gt;0),E293*[1]Sheet1!$D$9+N293*[1]Sheet1!$E$9,IF(D293="S. maritimus",F293*[1]Sheet1!$C$10+E293*[1]Sheet1!$D$10+G293*[1]Sheet1!$F$10+[1]Sheet1!$L$10,IF(D293="S. americanus",F293*[1]Sheet1!$C$6+E293*[1]Sheet1!$D$6+[1]Sheet1!$L$6,IF(AND(OR(D293="T. domingensis",D293="T. latifolia"),E293&gt;0),F293*[1]Sheet1!$C$4+E293*[1]Sheet1!$D$4+H293*[1]Sheet1!$J$4+I293*[1]Sheet1!$K$4+[1]Sheet1!$L$4,IF(AND(OR(D293="T. domingensis",D293="T. latifolia"),J293&gt;0),J293*[1]Sheet1!$G$5+K293*[1]Sheet1!$H$5+L293*[1]Sheet1!$I$5+[1]Sheet1!$L$5,0)))))))</f>
        <v>3.4714780000000003</v>
      </c>
    </row>
    <row r="294" spans="1:15">
      <c r="A294" s="6">
        <v>41523</v>
      </c>
      <c r="B294" s="7" t="s">
        <v>22</v>
      </c>
      <c r="C294">
        <v>3</v>
      </c>
      <c r="D294" t="s">
        <v>19</v>
      </c>
      <c r="F294">
        <v>4</v>
      </c>
      <c r="J294">
        <f>105+163+178+189+211+229+219</f>
        <v>1294</v>
      </c>
      <c r="K294">
        <v>7</v>
      </c>
      <c r="L294">
        <v>229</v>
      </c>
      <c r="N294" t="str">
        <f t="shared" si="5"/>
        <v>NA</v>
      </c>
      <c r="O294">
        <f>IF(AND(OR(D294="S. acutus",D294="S. californicus",D294="S. tabernaemontani"),G294=0),E294*[1]Sheet1!$D$7+[1]Sheet1!$L$7,IF(AND(OR(D294="S. acutus",D294="S. tabernaemontani"),G294&gt;0),E294*[1]Sheet1!$D$8+N294*[1]Sheet1!$E$8,IF(AND(D294="S. californicus",G294&gt;0),E294*[1]Sheet1!$D$9+N294*[1]Sheet1!$E$9,IF(D294="S. maritimus",F294*[1]Sheet1!$C$10+E294*[1]Sheet1!$D$10+G294*[1]Sheet1!$F$10+[1]Sheet1!$L$10,IF(D294="S. americanus",F294*[1]Sheet1!$C$6+E294*[1]Sheet1!$D$6+[1]Sheet1!$L$6,IF(AND(OR(D294="T. domingensis",D294="T. latifolia"),E294&gt;0),F294*[1]Sheet1!$C$4+E294*[1]Sheet1!$D$4+H294*[1]Sheet1!$J$4+I294*[1]Sheet1!$K$4+[1]Sheet1!$L$4,IF(AND(OR(D294="T. domingensis",D294="T. latifolia"),J294&gt;0),J294*[1]Sheet1!$G$5+K294*[1]Sheet1!$H$5+L294*[1]Sheet1!$I$5+[1]Sheet1!$L$5,0)))))))</f>
        <v>36.214378000000018</v>
      </c>
    </row>
    <row r="295" spans="1:15">
      <c r="A295" s="6">
        <v>41523</v>
      </c>
      <c r="B295" s="7" t="s">
        <v>22</v>
      </c>
      <c r="C295">
        <v>3</v>
      </c>
      <c r="D295" t="s">
        <v>19</v>
      </c>
      <c r="F295">
        <v>4.2</v>
      </c>
      <c r="J295">
        <f>170+146+131+187+190+225+245</f>
        <v>1294</v>
      </c>
      <c r="K295">
        <v>7</v>
      </c>
      <c r="L295">
        <v>245</v>
      </c>
      <c r="N295" t="str">
        <f t="shared" si="5"/>
        <v>NA</v>
      </c>
      <c r="O295">
        <f>IF(AND(OR(D295="S. acutus",D295="S. californicus",D295="S. tabernaemontani"),G295=0),E295*[1]Sheet1!$D$7+[1]Sheet1!$L$7,IF(AND(OR(D295="S. acutus",D295="S. tabernaemontani"),G295&gt;0),E295*[1]Sheet1!$D$8+N295*[1]Sheet1!$E$8,IF(AND(D295="S. californicus",G295&gt;0),E295*[1]Sheet1!$D$9+N295*[1]Sheet1!$E$9,IF(D295="S. maritimus",F295*[1]Sheet1!$C$10+E295*[1]Sheet1!$D$10+G295*[1]Sheet1!$F$10+[1]Sheet1!$L$10,IF(D295="S. americanus",F295*[1]Sheet1!$C$6+E295*[1]Sheet1!$D$6+[1]Sheet1!$L$6,IF(AND(OR(D295="T. domingensis",D295="T. latifolia"),E295&gt;0),F295*[1]Sheet1!$C$4+E295*[1]Sheet1!$D$4+H295*[1]Sheet1!$J$4+I295*[1]Sheet1!$K$4+[1]Sheet1!$L$4,IF(AND(OR(D295="T. domingensis",D295="T. latifolia"),J295&gt;0),J295*[1]Sheet1!$G$5+K295*[1]Sheet1!$H$5+L295*[1]Sheet1!$I$5+[1]Sheet1!$L$5,0)))))))</f>
        <v>31.394458000000007</v>
      </c>
    </row>
    <row r="296" spans="1:15">
      <c r="A296" s="6">
        <v>41523</v>
      </c>
      <c r="B296" s="7" t="s">
        <v>22</v>
      </c>
      <c r="C296">
        <v>3</v>
      </c>
      <c r="D296" t="s">
        <v>19</v>
      </c>
      <c r="F296">
        <v>4.72</v>
      </c>
      <c r="J296">
        <f>238+240+227+239+242</f>
        <v>1186</v>
      </c>
      <c r="K296">
        <v>5</v>
      </c>
      <c r="L296">
        <v>242</v>
      </c>
      <c r="N296" t="str">
        <f t="shared" si="5"/>
        <v>NA</v>
      </c>
      <c r="O296">
        <f>IF(AND(OR(D296="S. acutus",D296="S. californicus",D296="S. tabernaemontani"),G296=0),E296*[1]Sheet1!$D$7+[1]Sheet1!$L$7,IF(AND(OR(D296="S. acutus",D296="S. tabernaemontani"),G296&gt;0),E296*[1]Sheet1!$D$8+N296*[1]Sheet1!$E$8,IF(AND(D296="S. californicus",G296&gt;0),E296*[1]Sheet1!$D$9+N296*[1]Sheet1!$E$9,IF(D296="S. maritimus",F296*[1]Sheet1!$C$10+E296*[1]Sheet1!$D$10+G296*[1]Sheet1!$F$10+[1]Sheet1!$L$10,IF(D296="S. americanus",F296*[1]Sheet1!$C$6+E296*[1]Sheet1!$D$6+[1]Sheet1!$L$6,IF(AND(OR(D296="T. domingensis",D296="T. latifolia"),E296&gt;0),F296*[1]Sheet1!$C$4+E296*[1]Sheet1!$D$4+H296*[1]Sheet1!$J$4+I296*[1]Sheet1!$K$4+[1]Sheet1!$L$4,IF(AND(OR(D296="T. domingensis",D296="T. latifolia"),J296&gt;0),J296*[1]Sheet1!$G$5+K296*[1]Sheet1!$H$5+L296*[1]Sheet1!$I$5+[1]Sheet1!$L$5,0)))))))</f>
        <v>36.217359000000009</v>
      </c>
    </row>
    <row r="297" spans="1:15">
      <c r="A297" s="6">
        <v>41523</v>
      </c>
      <c r="B297" s="7" t="s">
        <v>22</v>
      </c>
      <c r="C297">
        <v>3</v>
      </c>
      <c r="D297" t="s">
        <v>19</v>
      </c>
      <c r="F297">
        <v>1.58</v>
      </c>
      <c r="J297">
        <f>238+240+227+239+224</f>
        <v>1168</v>
      </c>
      <c r="K297">
        <v>5</v>
      </c>
      <c r="L297">
        <v>224</v>
      </c>
      <c r="N297" t="str">
        <f t="shared" si="5"/>
        <v>NA</v>
      </c>
      <c r="O297">
        <f>IF(AND(OR(D297="S. acutus",D297="S. californicus",D297="S. tabernaemontani"),G297=0),E297*[1]Sheet1!$D$7+[1]Sheet1!$L$7,IF(AND(OR(D297="S. acutus",D297="S. tabernaemontani"),G297&gt;0),E297*[1]Sheet1!$D$8+N297*[1]Sheet1!$E$8,IF(AND(D297="S. californicus",G297&gt;0),E297*[1]Sheet1!$D$9+N297*[1]Sheet1!$E$9,IF(D297="S. maritimus",F297*[1]Sheet1!$C$10+E297*[1]Sheet1!$D$10+G297*[1]Sheet1!$F$10+[1]Sheet1!$L$10,IF(D297="S. americanus",F297*[1]Sheet1!$C$6+E297*[1]Sheet1!$D$6+[1]Sheet1!$L$6,IF(AND(OR(D297="T. domingensis",D297="T. latifolia"),E297&gt;0),F297*[1]Sheet1!$C$4+E297*[1]Sheet1!$D$4+H297*[1]Sheet1!$J$4+I297*[1]Sheet1!$K$4+[1]Sheet1!$L$4,IF(AND(OR(D297="T. domingensis",D297="T. latifolia"),J297&gt;0),J297*[1]Sheet1!$G$5+K297*[1]Sheet1!$H$5+L297*[1]Sheet1!$I$5+[1]Sheet1!$L$5,0)))))))</f>
        <v>39.952179000000008</v>
      </c>
    </row>
    <row r="298" spans="1:15">
      <c r="A298" s="6">
        <v>41523</v>
      </c>
      <c r="B298" s="7" t="s">
        <v>22</v>
      </c>
      <c r="C298">
        <v>3</v>
      </c>
      <c r="D298" t="s">
        <v>19</v>
      </c>
      <c r="F298">
        <v>5.89</v>
      </c>
      <c r="J298">
        <f>196+177+207+239+226+244+220</f>
        <v>1509</v>
      </c>
      <c r="K298">
        <v>7</v>
      </c>
      <c r="L298">
        <v>239</v>
      </c>
      <c r="N298" t="str">
        <f t="shared" si="5"/>
        <v>NA</v>
      </c>
      <c r="O298">
        <f>IF(AND(OR(D298="S. acutus",D298="S. californicus",D298="S. tabernaemontani"),G298=0),E298*[1]Sheet1!$D$7+[1]Sheet1!$L$7,IF(AND(OR(D298="S. acutus",D298="S. tabernaemontani"),G298&gt;0),E298*[1]Sheet1!$D$8+N298*[1]Sheet1!$E$8,IF(AND(D298="S. californicus",G298&gt;0),E298*[1]Sheet1!$D$9+N298*[1]Sheet1!$E$9,IF(D298="S. maritimus",F298*[1]Sheet1!$C$10+E298*[1]Sheet1!$D$10+G298*[1]Sheet1!$F$10+[1]Sheet1!$L$10,IF(D298="S. americanus",F298*[1]Sheet1!$C$6+E298*[1]Sheet1!$D$6+[1]Sheet1!$L$6,IF(AND(OR(D298="T. domingensis",D298="T. latifolia"),E298&gt;0),F298*[1]Sheet1!$C$4+E298*[1]Sheet1!$D$4+H298*[1]Sheet1!$J$4+I298*[1]Sheet1!$K$4+[1]Sheet1!$L$4,IF(AND(OR(D298="T. domingensis",D298="T. latifolia"),J298&gt;0),J298*[1]Sheet1!$G$5+K298*[1]Sheet1!$H$5+L298*[1]Sheet1!$I$5+[1]Sheet1!$L$5,0)))))))</f>
        <v>53.359253000000031</v>
      </c>
    </row>
    <row r="299" spans="1:15">
      <c r="A299" s="6">
        <v>41523</v>
      </c>
      <c r="B299" s="7" t="s">
        <v>22</v>
      </c>
      <c r="C299">
        <v>3</v>
      </c>
      <c r="D299" t="s">
        <v>19</v>
      </c>
      <c r="F299">
        <v>2.0499999999999998</v>
      </c>
      <c r="J299">
        <f>67+101+113+149+172+192+211</f>
        <v>1005</v>
      </c>
      <c r="K299">
        <v>7</v>
      </c>
      <c r="L299">
        <v>211</v>
      </c>
      <c r="N299" t="str">
        <f t="shared" si="5"/>
        <v>NA</v>
      </c>
      <c r="O299">
        <f>IF(AND(OR(D299="S. acutus",D299="S. californicus",D299="S. tabernaemontani"),G299=0),E299*[1]Sheet1!$D$7+[1]Sheet1!$L$7,IF(AND(OR(D299="S. acutus",D299="S. tabernaemontani"),G299&gt;0),E299*[1]Sheet1!$D$8+N299*[1]Sheet1!$E$8,IF(AND(D299="S. californicus",G299&gt;0),E299*[1]Sheet1!$D$9+N299*[1]Sheet1!$E$9,IF(D299="S. maritimus",F299*[1]Sheet1!$C$10+E299*[1]Sheet1!$D$10+G299*[1]Sheet1!$F$10+[1]Sheet1!$L$10,IF(D299="S. americanus",F299*[1]Sheet1!$C$6+E299*[1]Sheet1!$D$6+[1]Sheet1!$L$6,IF(AND(OR(D299="T. domingensis",D299="T. latifolia"),E299&gt;0),F299*[1]Sheet1!$C$4+E299*[1]Sheet1!$D$4+H299*[1]Sheet1!$J$4+I299*[1]Sheet1!$K$4+[1]Sheet1!$L$4,IF(AND(OR(D299="T. domingensis",D299="T. latifolia"),J299&gt;0),J299*[1]Sheet1!$G$5+K299*[1]Sheet1!$H$5+L299*[1]Sheet1!$I$5+[1]Sheet1!$L$5,0)))))))</f>
        <v>14.541593000000006</v>
      </c>
    </row>
    <row r="300" spans="1:15">
      <c r="A300" s="6">
        <v>41523</v>
      </c>
      <c r="B300" s="7" t="s">
        <v>22</v>
      </c>
      <c r="C300">
        <v>3</v>
      </c>
      <c r="D300" t="s">
        <v>19</v>
      </c>
      <c r="F300">
        <v>5.31</v>
      </c>
      <c r="J300">
        <f>99+198+219+217+254+225</f>
        <v>1212</v>
      </c>
      <c r="K300">
        <v>6</v>
      </c>
      <c r="L300">
        <v>254</v>
      </c>
      <c r="N300" t="str">
        <f t="shared" si="5"/>
        <v>NA</v>
      </c>
      <c r="O300">
        <f>IF(AND(OR(D300="S. acutus",D300="S. californicus",D300="S. tabernaemontani"),G300=0),E300*[1]Sheet1!$D$7+[1]Sheet1!$L$7,IF(AND(OR(D300="S. acutus",D300="S. tabernaemontani"),G300&gt;0),E300*[1]Sheet1!$D$8+N300*[1]Sheet1!$E$8,IF(AND(D300="S. californicus",G300&gt;0),E300*[1]Sheet1!$D$9+N300*[1]Sheet1!$E$9,IF(D300="S. maritimus",F300*[1]Sheet1!$C$10+E300*[1]Sheet1!$D$10+G300*[1]Sheet1!$F$10+[1]Sheet1!$L$10,IF(D300="S. americanus",F300*[1]Sheet1!$C$6+E300*[1]Sheet1!$D$6+[1]Sheet1!$L$6,IF(AND(OR(D300="T. domingensis",D300="T. latifolia"),E300&gt;0),F300*[1]Sheet1!$C$4+E300*[1]Sheet1!$D$4+H300*[1]Sheet1!$J$4+I300*[1]Sheet1!$K$4+[1]Sheet1!$L$4,IF(AND(OR(D300="T. domingensis",D300="T. latifolia"),J300&gt;0),J300*[1]Sheet1!$G$5+K300*[1]Sheet1!$H$5+L300*[1]Sheet1!$I$5+[1]Sheet1!$L$5,0)))))))</f>
        <v>28.017696000000008</v>
      </c>
    </row>
    <row r="301" spans="1:15">
      <c r="A301" s="6">
        <v>41523</v>
      </c>
      <c r="B301" s="7" t="s">
        <v>22</v>
      </c>
      <c r="C301">
        <v>3</v>
      </c>
      <c r="D301" t="s">
        <v>19</v>
      </c>
      <c r="F301">
        <v>0.85</v>
      </c>
      <c r="J301">
        <f>40+84+122</f>
        <v>246</v>
      </c>
      <c r="K301">
        <v>3</v>
      </c>
      <c r="L301">
        <v>122</v>
      </c>
      <c r="N301" t="str">
        <f t="shared" si="5"/>
        <v>NA</v>
      </c>
      <c r="O301">
        <f>IF(AND(OR(D301="S. acutus",D301="S. californicus",D301="S. tabernaemontani"),G301=0),E301*[1]Sheet1!$D$7+[1]Sheet1!$L$7,IF(AND(OR(D301="S. acutus",D301="S. tabernaemontani"),G301&gt;0),E301*[1]Sheet1!$D$8+N301*[1]Sheet1!$E$8,IF(AND(D301="S. californicus",G301&gt;0),E301*[1]Sheet1!$D$9+N301*[1]Sheet1!$E$9,IF(D301="S. maritimus",F301*[1]Sheet1!$C$10+E301*[1]Sheet1!$D$10+G301*[1]Sheet1!$F$10+[1]Sheet1!$L$10,IF(D301="S. americanus",F301*[1]Sheet1!$C$6+E301*[1]Sheet1!$D$6+[1]Sheet1!$L$6,IF(AND(OR(D301="T. domingensis",D301="T. latifolia"),E301&gt;0),F301*[1]Sheet1!$C$4+E301*[1]Sheet1!$D$4+H301*[1]Sheet1!$J$4+I301*[1]Sheet1!$K$4+[1]Sheet1!$L$4,IF(AND(OR(D301="T. domingensis",D301="T. latifolia"),J301&gt;0),J301*[1]Sheet1!$G$5+K301*[1]Sheet1!$H$5+L301*[1]Sheet1!$I$5+[1]Sheet1!$L$5,0)))))))</f>
        <v>-1.718235</v>
      </c>
    </row>
    <row r="302" spans="1:15">
      <c r="A302" s="6">
        <v>41523</v>
      </c>
      <c r="B302" s="7" t="s">
        <v>22</v>
      </c>
      <c r="C302">
        <v>3</v>
      </c>
      <c r="D302" t="s">
        <v>19</v>
      </c>
      <c r="F302">
        <v>3.62</v>
      </c>
      <c r="J302">
        <f>169+227+255+269+274</f>
        <v>1194</v>
      </c>
      <c r="K302">
        <v>5</v>
      </c>
      <c r="L302">
        <v>274</v>
      </c>
      <c r="N302" t="str">
        <f t="shared" si="5"/>
        <v>NA</v>
      </c>
      <c r="O302">
        <f>IF(AND(OR(D302="S. acutus",D302="S. californicus",D302="S. tabernaemontani"),G302=0),E302*[1]Sheet1!$D$7+[1]Sheet1!$L$7,IF(AND(OR(D302="S. acutus",D302="S. tabernaemontani"),G302&gt;0),E302*[1]Sheet1!$D$8+N302*[1]Sheet1!$E$8,IF(AND(D302="S. californicus",G302&gt;0),E302*[1]Sheet1!$D$9+N302*[1]Sheet1!$E$9,IF(D302="S. maritimus",F302*[1]Sheet1!$C$10+E302*[1]Sheet1!$D$10+G302*[1]Sheet1!$F$10+[1]Sheet1!$L$10,IF(D302="S. americanus",F302*[1]Sheet1!$C$6+E302*[1]Sheet1!$D$6+[1]Sheet1!$L$6,IF(AND(OR(D302="T. domingensis",D302="T. latifolia"),E302&gt;0),F302*[1]Sheet1!$C$4+E302*[1]Sheet1!$D$4+H302*[1]Sheet1!$J$4+I302*[1]Sheet1!$K$4+[1]Sheet1!$L$4,IF(AND(OR(D302="T. domingensis",D302="T. latifolia"),J302&gt;0),J302*[1]Sheet1!$G$5+K302*[1]Sheet1!$H$5+L302*[1]Sheet1!$I$5+[1]Sheet1!$L$5,0)))))))</f>
        <v>27.327559000000001</v>
      </c>
    </row>
    <row r="303" spans="1:15">
      <c r="A303" s="6">
        <v>41523</v>
      </c>
      <c r="B303" s="7" t="s">
        <v>22</v>
      </c>
      <c r="C303">
        <v>3</v>
      </c>
      <c r="D303" t="s">
        <v>19</v>
      </c>
      <c r="F303">
        <v>5.51</v>
      </c>
      <c r="J303">
        <f>142+147+153+140+174+191+275+246+252</f>
        <v>1720</v>
      </c>
      <c r="K303">
        <v>9</v>
      </c>
      <c r="L303">
        <v>275</v>
      </c>
      <c r="N303" t="str">
        <f t="shared" si="5"/>
        <v>NA</v>
      </c>
      <c r="O303">
        <f>IF(AND(OR(D303="S. acutus",D303="S. californicus",D303="S. tabernaemontani"),G303=0),E303*[1]Sheet1!$D$7+[1]Sheet1!$L$7,IF(AND(OR(D303="S. acutus",D303="S. tabernaemontani"),G303&gt;0),E303*[1]Sheet1!$D$8+N303*[1]Sheet1!$E$8,IF(AND(D303="S. californicus",G303&gt;0),E303*[1]Sheet1!$D$9+N303*[1]Sheet1!$E$9,IF(D303="S. maritimus",F303*[1]Sheet1!$C$10+E303*[1]Sheet1!$D$10+G303*[1]Sheet1!$F$10+[1]Sheet1!$L$10,IF(D303="S. americanus",F303*[1]Sheet1!$C$6+E303*[1]Sheet1!$D$6+[1]Sheet1!$L$6,IF(AND(OR(D303="T. domingensis",D303="T. latifolia"),E303&gt;0),F303*[1]Sheet1!$C$4+E303*[1]Sheet1!$D$4+H303*[1]Sheet1!$J$4+I303*[1]Sheet1!$K$4+[1]Sheet1!$L$4,IF(AND(OR(D303="T. domingensis",D303="T. latifolia"),J303&gt;0),J303*[1]Sheet1!$G$5+K303*[1]Sheet1!$H$5+L303*[1]Sheet1!$I$5+[1]Sheet1!$L$5,0)))))))</f>
        <v>48.252032000000007</v>
      </c>
    </row>
    <row r="304" spans="1:15">
      <c r="A304" s="6">
        <v>41523</v>
      </c>
      <c r="B304" s="7" t="s">
        <v>22</v>
      </c>
      <c r="C304">
        <v>3</v>
      </c>
      <c r="D304" t="s">
        <v>19</v>
      </c>
      <c r="F304">
        <v>0.79</v>
      </c>
      <c r="J304">
        <f>52+65+97+117+135</f>
        <v>466</v>
      </c>
      <c r="K304">
        <v>5</v>
      </c>
      <c r="L304">
        <v>135</v>
      </c>
      <c r="N304" t="str">
        <f t="shared" si="5"/>
        <v>NA</v>
      </c>
      <c r="O304">
        <f>IF(AND(OR(D304="S. acutus",D304="S. californicus",D304="S. tabernaemontani"),G304=0),E304*[1]Sheet1!$D$7+[1]Sheet1!$L$7,IF(AND(OR(D304="S. acutus",D304="S. tabernaemontani"),G304&gt;0),E304*[1]Sheet1!$D$8+N304*[1]Sheet1!$E$8,IF(AND(D304="S. californicus",G304&gt;0),E304*[1]Sheet1!$D$9+N304*[1]Sheet1!$E$9,IF(D304="S. maritimus",F304*[1]Sheet1!$C$10+E304*[1]Sheet1!$D$10+G304*[1]Sheet1!$F$10+[1]Sheet1!$L$10,IF(D304="S. americanus",F304*[1]Sheet1!$C$6+E304*[1]Sheet1!$D$6+[1]Sheet1!$L$6,IF(AND(OR(D304="T. domingensis",D304="T. latifolia"),E304&gt;0),F304*[1]Sheet1!$C$4+E304*[1]Sheet1!$D$4+H304*[1]Sheet1!$J$4+I304*[1]Sheet1!$K$4+[1]Sheet1!$L$4,IF(AND(OR(D304="T. domingensis",D304="T. latifolia"),J304&gt;0),J304*[1]Sheet1!$G$5+K304*[1]Sheet1!$H$5+L304*[1]Sheet1!$I$5+[1]Sheet1!$L$5,0)))))))</f>
        <v>0.94697400000000442</v>
      </c>
    </row>
    <row r="305" spans="1:15">
      <c r="A305" s="6">
        <v>41523</v>
      </c>
      <c r="B305" s="7" t="s">
        <v>22</v>
      </c>
      <c r="C305">
        <v>3</v>
      </c>
      <c r="D305" t="s">
        <v>19</v>
      </c>
      <c r="F305">
        <v>0.75</v>
      </c>
      <c r="J305">
        <f>59+61+84</f>
        <v>204</v>
      </c>
      <c r="K305">
        <v>3</v>
      </c>
      <c r="L305">
        <v>84</v>
      </c>
      <c r="N305" t="str">
        <f t="shared" si="5"/>
        <v>NA</v>
      </c>
      <c r="O305">
        <f>IF(AND(OR(D305="S. acutus",D305="S. californicus",D305="S. tabernaemontani"),G305=0),E305*[1]Sheet1!$D$7+[1]Sheet1!$L$7,IF(AND(OR(D305="S. acutus",D305="S. tabernaemontani"),G305&gt;0),E305*[1]Sheet1!$D$8+N305*[1]Sheet1!$E$8,IF(AND(D305="S. californicus",G305&gt;0),E305*[1]Sheet1!$D$9+N305*[1]Sheet1!$E$9,IF(D305="S. maritimus",F305*[1]Sheet1!$C$10+E305*[1]Sheet1!$D$10+G305*[1]Sheet1!$F$10+[1]Sheet1!$L$10,IF(D305="S. americanus",F305*[1]Sheet1!$C$6+E305*[1]Sheet1!$D$6+[1]Sheet1!$L$6,IF(AND(OR(D305="T. domingensis",D305="T. latifolia"),E305&gt;0),F305*[1]Sheet1!$C$4+E305*[1]Sheet1!$D$4+H305*[1]Sheet1!$J$4+I305*[1]Sheet1!$K$4+[1]Sheet1!$L$4,IF(AND(OR(D305="T. domingensis",D305="T. latifolia"),J305&gt;0),J305*[1]Sheet1!$G$5+K305*[1]Sheet1!$H$5+L305*[1]Sheet1!$I$5+[1]Sheet1!$L$5,0)))))))</f>
        <v>5.791364999999999</v>
      </c>
    </row>
    <row r="306" spans="1:15">
      <c r="A306" s="6">
        <v>41523</v>
      </c>
      <c r="B306" s="7" t="s">
        <v>22</v>
      </c>
      <c r="C306">
        <v>3</v>
      </c>
      <c r="D306" t="s">
        <v>19</v>
      </c>
      <c r="F306">
        <v>6.08</v>
      </c>
      <c r="J306">
        <f>129+131+185+199+217+220+261+269+282</f>
        <v>1893</v>
      </c>
      <c r="K306">
        <v>9</v>
      </c>
      <c r="L306">
        <v>282</v>
      </c>
      <c r="N306" t="str">
        <f t="shared" si="5"/>
        <v>NA</v>
      </c>
      <c r="O306">
        <f>IF(AND(OR(D306="S. acutus",D306="S. californicus",D306="S. tabernaemontani"),G306=0),E306*[1]Sheet1!$D$7+[1]Sheet1!$L$7,IF(AND(OR(D306="S. acutus",D306="S. tabernaemontani"),G306&gt;0),E306*[1]Sheet1!$D$8+N306*[1]Sheet1!$E$8,IF(AND(D306="S. californicus",G306&gt;0),E306*[1]Sheet1!$D$9+N306*[1]Sheet1!$E$9,IF(D306="S. maritimus",F306*[1]Sheet1!$C$10+E306*[1]Sheet1!$D$10+G306*[1]Sheet1!$F$10+[1]Sheet1!$L$10,IF(D306="S. americanus",F306*[1]Sheet1!$C$6+E306*[1]Sheet1!$D$6+[1]Sheet1!$L$6,IF(AND(OR(D306="T. domingensis",D306="T. latifolia"),E306&gt;0),F306*[1]Sheet1!$C$4+E306*[1]Sheet1!$D$4+H306*[1]Sheet1!$J$4+I306*[1]Sheet1!$K$4+[1]Sheet1!$L$4,IF(AND(OR(D306="T. domingensis",D306="T. latifolia"),J306&gt;0),J306*[1]Sheet1!$G$5+K306*[1]Sheet1!$H$5+L306*[1]Sheet1!$I$5+[1]Sheet1!$L$5,0)))))))</f>
        <v>62.362932000000008</v>
      </c>
    </row>
    <row r="307" spans="1:15">
      <c r="A307" s="6">
        <v>41523</v>
      </c>
      <c r="B307" s="7" t="s">
        <v>22</v>
      </c>
      <c r="C307">
        <v>29</v>
      </c>
      <c r="D307" t="s">
        <v>24</v>
      </c>
      <c r="E307">
        <v>234</v>
      </c>
      <c r="F307">
        <v>1.31</v>
      </c>
      <c r="N307">
        <f t="shared" si="5"/>
        <v>105.13001068050001</v>
      </c>
      <c r="O307">
        <f>IF(AND(OR(D307="S. acutus",D307="S. californicus",D307="S. tabernaemontani"),G307=0),E307*[1]Sheet1!$D$7+[1]Sheet1!$L$7,IF(AND(OR(D307="S. acutus",D307="S. tabernaemontani"),G307&gt;0),E307*[1]Sheet1!$D$8+N307*[1]Sheet1!$E$8,IF(AND(D307="S. californicus",G307&gt;0),E307*[1]Sheet1!$D$9+N307*[1]Sheet1!$E$9,IF(D307="S. maritimus",F307*[1]Sheet1!$C$10+E307*[1]Sheet1!$D$10+G307*[1]Sheet1!$F$10+[1]Sheet1!$L$10,IF(D307="S. americanus",F307*[1]Sheet1!$C$6+E307*[1]Sheet1!$D$6+[1]Sheet1!$L$6,IF(AND(OR(D307="T. domingensis",D307="T. latifolia"),E307&gt;0),F307*[1]Sheet1!$C$4+E307*[1]Sheet1!$D$4+H307*[1]Sheet1!$J$4+I307*[1]Sheet1!$K$4+[1]Sheet1!$L$4,IF(AND(OR(D307="T. domingensis",D307="T. latifolia"),J307&gt;0),J307*[1]Sheet1!$G$5+K307*[1]Sheet1!$H$5+L307*[1]Sheet1!$I$5+[1]Sheet1!$L$5,0)))))))</f>
        <v>11.813973000000001</v>
      </c>
    </row>
    <row r="308" spans="1:15">
      <c r="A308" s="6">
        <v>41523</v>
      </c>
      <c r="B308" s="7" t="s">
        <v>22</v>
      </c>
      <c r="C308">
        <v>29</v>
      </c>
      <c r="D308" t="s">
        <v>24</v>
      </c>
      <c r="E308">
        <v>249</v>
      </c>
      <c r="F308">
        <v>1.22</v>
      </c>
      <c r="N308">
        <f t="shared" si="5"/>
        <v>97.02580803699999</v>
      </c>
      <c r="O308">
        <f>IF(AND(OR(D308="S. acutus",D308="S. californicus",D308="S. tabernaemontani"),G308=0),E308*[1]Sheet1!$D$7+[1]Sheet1!$L$7,IF(AND(OR(D308="S. acutus",D308="S. tabernaemontani"),G308&gt;0),E308*[1]Sheet1!$D$8+N308*[1]Sheet1!$E$8,IF(AND(D308="S. californicus",G308&gt;0),E308*[1]Sheet1!$D$9+N308*[1]Sheet1!$E$9,IF(D308="S. maritimus",F308*[1]Sheet1!$C$10+E308*[1]Sheet1!$D$10+G308*[1]Sheet1!$F$10+[1]Sheet1!$L$10,IF(D308="S. americanus",F308*[1]Sheet1!$C$6+E308*[1]Sheet1!$D$6+[1]Sheet1!$L$6,IF(AND(OR(D308="T. domingensis",D308="T. latifolia"),E308&gt;0),F308*[1]Sheet1!$C$4+E308*[1]Sheet1!$D$4+H308*[1]Sheet1!$J$4+I308*[1]Sheet1!$K$4+[1]Sheet1!$L$4,IF(AND(OR(D308="T. domingensis",D308="T. latifolia"),J308&gt;0),J308*[1]Sheet1!$G$5+K308*[1]Sheet1!$H$5+L308*[1]Sheet1!$I$5+[1]Sheet1!$L$5,0)))))))</f>
        <v>12.865548</v>
      </c>
    </row>
    <row r="309" spans="1:15">
      <c r="A309" s="6">
        <v>41523</v>
      </c>
      <c r="B309" s="7" t="s">
        <v>22</v>
      </c>
      <c r="C309">
        <v>29</v>
      </c>
      <c r="D309" t="s">
        <v>24</v>
      </c>
      <c r="E309">
        <v>271</v>
      </c>
      <c r="F309">
        <v>1.07</v>
      </c>
      <c r="N309">
        <f t="shared" si="5"/>
        <v>81.227877663416649</v>
      </c>
      <c r="O309">
        <f>IF(AND(OR(D309="S. acutus",D309="S. californicus",D309="S. tabernaemontani"),G309=0),E309*[1]Sheet1!$D$7+[1]Sheet1!$L$7,IF(AND(OR(D309="S. acutus",D309="S. tabernaemontani"),G309&gt;0),E309*[1]Sheet1!$D$8+N309*[1]Sheet1!$E$8,IF(AND(D309="S. californicus",G309&gt;0),E309*[1]Sheet1!$D$9+N309*[1]Sheet1!$E$9,IF(D309="S. maritimus",F309*[1]Sheet1!$C$10+E309*[1]Sheet1!$D$10+G309*[1]Sheet1!$F$10+[1]Sheet1!$L$10,IF(D309="S. americanus",F309*[1]Sheet1!$C$6+E309*[1]Sheet1!$D$6+[1]Sheet1!$L$6,IF(AND(OR(D309="T. domingensis",D309="T. latifolia"),E309&gt;0),F309*[1]Sheet1!$C$4+E309*[1]Sheet1!$D$4+H309*[1]Sheet1!$J$4+I309*[1]Sheet1!$K$4+[1]Sheet1!$L$4,IF(AND(OR(D309="T. domingensis",D309="T. latifolia"),J309&gt;0),J309*[1]Sheet1!$G$5+K309*[1]Sheet1!$H$5+L309*[1]Sheet1!$I$5+[1]Sheet1!$L$5,0)))))))</f>
        <v>14.407858000000001</v>
      </c>
    </row>
    <row r="310" spans="1:15">
      <c r="A310" s="6">
        <v>41523</v>
      </c>
      <c r="B310" s="7" t="s">
        <v>22</v>
      </c>
      <c r="C310">
        <v>29</v>
      </c>
      <c r="D310" t="s">
        <v>24</v>
      </c>
      <c r="E310">
        <v>127</v>
      </c>
      <c r="F310">
        <v>0.9</v>
      </c>
      <c r="N310">
        <f t="shared" si="5"/>
        <v>26.931280274999999</v>
      </c>
      <c r="O310">
        <f>IF(AND(OR(D310="S. acutus",D310="S. californicus",D310="S. tabernaemontani"),G310=0),E310*[1]Sheet1!$D$7+[1]Sheet1!$L$7,IF(AND(OR(D310="S. acutus",D310="S. tabernaemontani"),G310&gt;0),E310*[1]Sheet1!$D$8+N310*[1]Sheet1!$E$8,IF(AND(D310="S. californicus",G310&gt;0),E310*[1]Sheet1!$D$9+N310*[1]Sheet1!$E$9,IF(D310="S. maritimus",F310*[1]Sheet1!$C$10+E310*[1]Sheet1!$D$10+G310*[1]Sheet1!$F$10+[1]Sheet1!$L$10,IF(D310="S. americanus",F310*[1]Sheet1!$C$6+E310*[1]Sheet1!$D$6+[1]Sheet1!$L$6,IF(AND(OR(D310="T. domingensis",D310="T. latifolia"),E310&gt;0),F310*[1]Sheet1!$C$4+E310*[1]Sheet1!$D$4+H310*[1]Sheet1!$J$4+I310*[1]Sheet1!$K$4+[1]Sheet1!$L$4,IF(AND(OR(D310="T. domingensis",D310="T. latifolia"),J310&gt;0),J310*[1]Sheet1!$G$5+K310*[1]Sheet1!$H$5+L310*[1]Sheet1!$I$5+[1]Sheet1!$L$5,0)))))))</f>
        <v>4.3127380000000004</v>
      </c>
    </row>
    <row r="311" spans="1:15">
      <c r="A311" s="6">
        <v>41523</v>
      </c>
      <c r="B311" s="7" t="s">
        <v>22</v>
      </c>
      <c r="C311">
        <v>29</v>
      </c>
      <c r="D311" t="s">
        <v>24</v>
      </c>
      <c r="E311">
        <v>273</v>
      </c>
      <c r="F311">
        <v>1.17</v>
      </c>
      <c r="N311">
        <f t="shared" si="5"/>
        <v>97.83688803524997</v>
      </c>
      <c r="O311">
        <f>IF(AND(OR(D311="S. acutus",D311="S. californicus",D311="S. tabernaemontani"),G311=0),E311*[1]Sheet1!$D$7+[1]Sheet1!$L$7,IF(AND(OR(D311="S. acutus",D311="S. tabernaemontani"),G311&gt;0),E311*[1]Sheet1!$D$8+N311*[1]Sheet1!$E$8,IF(AND(D311="S. californicus",G311&gt;0),E311*[1]Sheet1!$D$9+N311*[1]Sheet1!$E$9,IF(D311="S. maritimus",F311*[1]Sheet1!$C$10+E311*[1]Sheet1!$D$10+G311*[1]Sheet1!$F$10+[1]Sheet1!$L$10,IF(D311="S. americanus",F311*[1]Sheet1!$C$6+E311*[1]Sheet1!$D$6+[1]Sheet1!$L$6,IF(AND(OR(D311="T. domingensis",D311="T. latifolia"),E311&gt;0),F311*[1]Sheet1!$C$4+E311*[1]Sheet1!$D$4+H311*[1]Sheet1!$J$4+I311*[1]Sheet1!$K$4+[1]Sheet1!$L$4,IF(AND(OR(D311="T. domingensis",D311="T. latifolia"),J311&gt;0),J311*[1]Sheet1!$G$5+K311*[1]Sheet1!$H$5+L311*[1]Sheet1!$I$5+[1]Sheet1!$L$5,0)))))))</f>
        <v>14.548068000000001</v>
      </c>
    </row>
    <row r="312" spans="1:15">
      <c r="A312" s="6">
        <v>41523</v>
      </c>
      <c r="B312" s="7" t="s">
        <v>22</v>
      </c>
      <c r="C312">
        <v>29</v>
      </c>
      <c r="D312" t="s">
        <v>23</v>
      </c>
      <c r="E312">
        <v>253</v>
      </c>
      <c r="F312">
        <v>1.87</v>
      </c>
      <c r="H312">
        <v>21</v>
      </c>
      <c r="I312">
        <v>2</v>
      </c>
      <c r="N312" t="str">
        <f t="shared" si="5"/>
        <v>NA</v>
      </c>
      <c r="O312">
        <f>IF(AND(OR(D312="S. acutus",D312="S. californicus",D312="S. tabernaemontani"),G312=0),E312*[1]Sheet1!$D$7+[1]Sheet1!$L$7,IF(AND(OR(D312="S. acutus",D312="S. tabernaemontani"),G312&gt;0),E312*[1]Sheet1!$D$8+N312*[1]Sheet1!$E$8,IF(AND(D312="S. californicus",G312&gt;0),E312*[1]Sheet1!$D$9+N312*[1]Sheet1!$E$9,IF(D312="S. maritimus",F312*[1]Sheet1!$C$10+E312*[1]Sheet1!$D$10+G312*[1]Sheet1!$F$10+[1]Sheet1!$L$10,IF(D312="S. americanus",F312*[1]Sheet1!$C$6+E312*[1]Sheet1!$D$6+[1]Sheet1!$L$6,IF(AND(OR(D312="T. domingensis",D312="T. latifolia"),E312&gt;0),F312*[1]Sheet1!$C$4+E312*[1]Sheet1!$D$4+H312*[1]Sheet1!$J$4+I312*[1]Sheet1!$K$4+[1]Sheet1!$L$4,IF(AND(OR(D312="T. domingensis",D312="T. latifolia"),J312&gt;0),J312*[1]Sheet1!$G$5+K312*[1]Sheet1!$H$5+L312*[1]Sheet1!$I$5+[1]Sheet1!$L$5,0)))))))</f>
        <v>69.201936590000003</v>
      </c>
    </row>
    <row r="313" spans="1:15">
      <c r="A313" s="6">
        <v>41523</v>
      </c>
      <c r="B313" s="7" t="s">
        <v>22</v>
      </c>
      <c r="C313">
        <v>29</v>
      </c>
      <c r="D313" t="s">
        <v>23</v>
      </c>
      <c r="F313">
        <v>2.8</v>
      </c>
      <c r="J313">
        <f>175+206+205+230+266+289+334</f>
        <v>1705</v>
      </c>
      <c r="K313">
        <v>7</v>
      </c>
      <c r="L313">
        <v>334</v>
      </c>
      <c r="N313" t="str">
        <f t="shared" si="5"/>
        <v>NA</v>
      </c>
      <c r="O313">
        <f>IF(AND(OR(D313="S. acutus",D313="S. californicus",D313="S. tabernaemontani"),G313=0),E313*[1]Sheet1!$D$7+[1]Sheet1!$L$7,IF(AND(OR(D313="S. acutus",D313="S. tabernaemontani"),G313&gt;0),E313*[1]Sheet1!$D$8+N313*[1]Sheet1!$E$8,IF(AND(D313="S. californicus",G313&gt;0),E313*[1]Sheet1!$D$9+N313*[1]Sheet1!$E$9,IF(D313="S. maritimus",F313*[1]Sheet1!$C$10+E313*[1]Sheet1!$D$10+G313*[1]Sheet1!$F$10+[1]Sheet1!$L$10,IF(D313="S. americanus",F313*[1]Sheet1!$C$6+E313*[1]Sheet1!$D$6+[1]Sheet1!$L$6,IF(AND(OR(D313="T. domingensis",D313="T. latifolia"),E313&gt;0),F313*[1]Sheet1!$C$4+E313*[1]Sheet1!$D$4+H313*[1]Sheet1!$J$4+I313*[1]Sheet1!$K$4+[1]Sheet1!$L$4,IF(AND(OR(D313="T. domingensis",D313="T. latifolia"),J313&gt;0),J313*[1]Sheet1!$G$5+K313*[1]Sheet1!$H$5+L313*[1]Sheet1!$I$5+[1]Sheet1!$L$5,0)))))))</f>
        <v>43.116958000000032</v>
      </c>
    </row>
    <row r="314" spans="1:15">
      <c r="A314" s="6">
        <v>41523</v>
      </c>
      <c r="B314" s="7" t="s">
        <v>22</v>
      </c>
      <c r="C314">
        <v>29</v>
      </c>
      <c r="D314" t="s">
        <v>23</v>
      </c>
      <c r="F314">
        <v>1.21</v>
      </c>
      <c r="J314">
        <f>202+260+281</f>
        <v>743</v>
      </c>
      <c r="K314">
        <v>3</v>
      </c>
      <c r="L314">
        <v>281</v>
      </c>
      <c r="N314" t="str">
        <f t="shared" si="5"/>
        <v>NA</v>
      </c>
      <c r="O314">
        <f>IF(AND(OR(D314="S. acutus",D314="S. californicus",D314="S. tabernaemontani"),G314=0),E314*[1]Sheet1!$D$7+[1]Sheet1!$L$7,IF(AND(OR(D314="S. acutus",D314="S. tabernaemontani"),G314&gt;0),E314*[1]Sheet1!$D$8+N314*[1]Sheet1!$E$8,IF(AND(D314="S. californicus",G314&gt;0),E314*[1]Sheet1!$D$9+N314*[1]Sheet1!$E$9,IF(D314="S. maritimus",F314*[1]Sheet1!$C$10+E314*[1]Sheet1!$D$10+G314*[1]Sheet1!$F$10+[1]Sheet1!$L$10,IF(D314="S. americanus",F314*[1]Sheet1!$C$6+E314*[1]Sheet1!$D$6+[1]Sheet1!$L$6,IF(AND(OR(D314="T. domingensis",D314="T. latifolia"),E314&gt;0),F314*[1]Sheet1!$C$4+E314*[1]Sheet1!$D$4+H314*[1]Sheet1!$J$4+I314*[1]Sheet1!$K$4+[1]Sheet1!$L$4,IF(AND(OR(D314="T. domingensis",D314="T. latifolia"),J314&gt;0),J314*[1]Sheet1!$G$5+K314*[1]Sheet1!$H$5+L314*[1]Sheet1!$I$5+[1]Sheet1!$L$5,0)))))))</f>
        <v>-3.0199550000000031</v>
      </c>
    </row>
    <row r="315" spans="1:15">
      <c r="A315" s="6">
        <v>41523</v>
      </c>
      <c r="B315" s="7" t="s">
        <v>22</v>
      </c>
      <c r="C315">
        <v>29</v>
      </c>
      <c r="D315" t="s">
        <v>23</v>
      </c>
      <c r="E315">
        <v>229</v>
      </c>
      <c r="F315">
        <v>1.56</v>
      </c>
      <c r="H315">
        <v>14</v>
      </c>
      <c r="I315">
        <v>2.5</v>
      </c>
      <c r="N315" t="str">
        <f t="shared" si="5"/>
        <v>NA</v>
      </c>
      <c r="O315">
        <f>IF(AND(OR(D315="S. acutus",D315="S. californicus",D315="S. tabernaemontani"),G315=0),E315*[1]Sheet1!$D$7+[1]Sheet1!$L$7,IF(AND(OR(D315="S. acutus",D315="S. tabernaemontani"),G315&gt;0),E315*[1]Sheet1!$D$8+N315*[1]Sheet1!$E$8,IF(AND(D315="S. californicus",G315&gt;0),E315*[1]Sheet1!$D$9+N315*[1]Sheet1!$E$9,IF(D315="S. maritimus",F315*[1]Sheet1!$C$10+E315*[1]Sheet1!$D$10+G315*[1]Sheet1!$F$10+[1]Sheet1!$L$10,IF(D315="S. americanus",F315*[1]Sheet1!$C$6+E315*[1]Sheet1!$D$6+[1]Sheet1!$L$6,IF(AND(OR(D315="T. domingensis",D315="T. latifolia"),E315&gt;0),F315*[1]Sheet1!$C$4+E315*[1]Sheet1!$D$4+H315*[1]Sheet1!$J$4+I315*[1]Sheet1!$K$4+[1]Sheet1!$L$4,IF(AND(OR(D315="T. domingensis",D315="T. latifolia"),J315&gt;0),J315*[1]Sheet1!$G$5+K315*[1]Sheet1!$H$5+L315*[1]Sheet1!$I$5+[1]Sheet1!$L$5,0)))))))</f>
        <v>58.163429119999989</v>
      </c>
    </row>
    <row r="316" spans="1:15">
      <c r="A316" s="6">
        <v>41523</v>
      </c>
      <c r="B316" s="7" t="s">
        <v>22</v>
      </c>
      <c r="C316">
        <v>29</v>
      </c>
      <c r="D316" t="s">
        <v>19</v>
      </c>
      <c r="F316">
        <v>1.34</v>
      </c>
      <c r="J316">
        <f>206+253+264+274</f>
        <v>997</v>
      </c>
      <c r="K316">
        <v>4</v>
      </c>
      <c r="L316">
        <v>274</v>
      </c>
      <c r="N316" t="str">
        <f t="shared" si="5"/>
        <v>NA</v>
      </c>
      <c r="O316">
        <f>IF(AND(OR(D316="S. acutus",D316="S. californicus",D316="S. tabernaemontani"),G316=0),E316*[1]Sheet1!$D$7+[1]Sheet1!$L$7,IF(AND(OR(D316="S. acutus",D316="S. tabernaemontani"),G316&gt;0),E316*[1]Sheet1!$D$8+N316*[1]Sheet1!$E$8,IF(AND(D316="S. californicus",G316&gt;0),E316*[1]Sheet1!$D$9+N316*[1]Sheet1!$E$9,IF(D316="S. maritimus",F316*[1]Sheet1!$C$10+E316*[1]Sheet1!$D$10+G316*[1]Sheet1!$F$10+[1]Sheet1!$L$10,IF(D316="S. americanus",F316*[1]Sheet1!$C$6+E316*[1]Sheet1!$D$6+[1]Sheet1!$L$6,IF(AND(OR(D316="T. domingensis",D316="T. latifolia"),E316&gt;0),F316*[1]Sheet1!$C$4+E316*[1]Sheet1!$D$4+H316*[1]Sheet1!$J$4+I316*[1]Sheet1!$K$4+[1]Sheet1!$L$4,IF(AND(OR(D316="T. domingensis",D316="T. latifolia"),J316&gt;0),J316*[1]Sheet1!$G$5+K316*[1]Sheet1!$H$5+L316*[1]Sheet1!$I$5+[1]Sheet1!$L$5,0)))))))</f>
        <v>15.88017700000001</v>
      </c>
    </row>
    <row r="317" spans="1:15">
      <c r="A317" s="6">
        <v>41523</v>
      </c>
      <c r="B317" s="7" t="s">
        <v>22</v>
      </c>
      <c r="C317">
        <v>29</v>
      </c>
      <c r="D317" t="s">
        <v>19</v>
      </c>
      <c r="F317">
        <v>0.98</v>
      </c>
      <c r="J317">
        <f>80+162</f>
        <v>242</v>
      </c>
      <c r="K317">
        <v>2</v>
      </c>
      <c r="L317">
        <v>162</v>
      </c>
      <c r="N317" t="str">
        <f t="shared" si="5"/>
        <v>NA</v>
      </c>
      <c r="O317">
        <f>IF(AND(OR(D317="S. acutus",D317="S. californicus",D317="S. tabernaemontani"),G317=0),E317*[1]Sheet1!$D$7+[1]Sheet1!$L$7,IF(AND(OR(D317="S. acutus",D317="S. tabernaemontani"),G317&gt;0),E317*[1]Sheet1!$D$8+N317*[1]Sheet1!$E$8,IF(AND(D317="S. californicus",G317&gt;0),E317*[1]Sheet1!$D$9+N317*[1]Sheet1!$E$9,IF(D317="S. maritimus",F317*[1]Sheet1!$C$10+E317*[1]Sheet1!$D$10+G317*[1]Sheet1!$F$10+[1]Sheet1!$L$10,IF(D317="S. americanus",F317*[1]Sheet1!$C$6+E317*[1]Sheet1!$D$6+[1]Sheet1!$L$6,IF(AND(OR(D317="T. domingensis",D317="T. latifolia"),E317&gt;0),F317*[1]Sheet1!$C$4+E317*[1]Sheet1!$D$4+H317*[1]Sheet1!$J$4+I317*[1]Sheet1!$K$4+[1]Sheet1!$L$4,IF(AND(OR(D317="T. domingensis",D317="T. latifolia"),J317&gt;0),J317*[1]Sheet1!$G$5+K317*[1]Sheet1!$H$5+L317*[1]Sheet1!$I$5+[1]Sheet1!$L$5,0)))))))</f>
        <v>-7.1207020000000014</v>
      </c>
    </row>
    <row r="318" spans="1:15">
      <c r="A318" s="6">
        <v>41523</v>
      </c>
      <c r="B318" s="7" t="s">
        <v>22</v>
      </c>
      <c r="C318">
        <v>29</v>
      </c>
      <c r="D318" t="s">
        <v>19</v>
      </c>
      <c r="F318">
        <v>3.28</v>
      </c>
      <c r="J318">
        <f>87+172+158+228</f>
        <v>645</v>
      </c>
      <c r="K318">
        <v>4</v>
      </c>
      <c r="L318">
        <v>228</v>
      </c>
      <c r="N318" t="str">
        <f t="shared" si="5"/>
        <v>NA</v>
      </c>
      <c r="O318">
        <f>IF(AND(OR(D318="S. acutus",D318="S. californicus",D318="S. tabernaemontani"),G318=0),E318*[1]Sheet1!$D$7+[1]Sheet1!$L$7,IF(AND(OR(D318="S. acutus",D318="S. tabernaemontani"),G318&gt;0),E318*[1]Sheet1!$D$8+N318*[1]Sheet1!$E$8,IF(AND(D318="S. californicus",G318&gt;0),E318*[1]Sheet1!$D$9+N318*[1]Sheet1!$E$9,IF(D318="S. maritimus",F318*[1]Sheet1!$C$10+E318*[1]Sheet1!$D$10+G318*[1]Sheet1!$F$10+[1]Sheet1!$L$10,IF(D318="S. americanus",F318*[1]Sheet1!$C$6+E318*[1]Sheet1!$D$6+[1]Sheet1!$L$6,IF(AND(OR(D318="T. domingensis",D318="T. latifolia"),E318&gt;0),F318*[1]Sheet1!$C$4+E318*[1]Sheet1!$D$4+H318*[1]Sheet1!$J$4+I318*[1]Sheet1!$K$4+[1]Sheet1!$L$4,IF(AND(OR(D318="T. domingensis",D318="T. latifolia"),J318&gt;0),J318*[1]Sheet1!$G$5+K318*[1]Sheet1!$H$5+L318*[1]Sheet1!$I$5+[1]Sheet1!$L$5,0)))))))</f>
        <v>-3.2643129999999942</v>
      </c>
    </row>
    <row r="319" spans="1:15">
      <c r="A319" s="6">
        <v>41523</v>
      </c>
      <c r="B319" s="7" t="s">
        <v>22</v>
      </c>
      <c r="C319">
        <v>29</v>
      </c>
      <c r="D319" t="s">
        <v>19</v>
      </c>
      <c r="F319">
        <v>2.66</v>
      </c>
      <c r="J319">
        <f>95+217+301+333+369</f>
        <v>1315</v>
      </c>
      <c r="K319">
        <v>5</v>
      </c>
      <c r="L319">
        <v>369</v>
      </c>
      <c r="N319" t="str">
        <f t="shared" si="5"/>
        <v>NA</v>
      </c>
      <c r="O319">
        <f>IF(AND(OR(D319="S. acutus",D319="S. californicus",D319="S. tabernaemontani"),G319=0),E319*[1]Sheet1!$D$7+[1]Sheet1!$L$7,IF(AND(OR(D319="S. acutus",D319="S. tabernaemontani"),G319&gt;0),E319*[1]Sheet1!$D$8+N319*[1]Sheet1!$E$8,IF(AND(D319="S. californicus",G319&gt;0),E319*[1]Sheet1!$D$9+N319*[1]Sheet1!$E$9,IF(D319="S. maritimus",F319*[1]Sheet1!$C$10+E319*[1]Sheet1!$D$10+G319*[1]Sheet1!$F$10+[1]Sheet1!$L$10,IF(D319="S. americanus",F319*[1]Sheet1!$C$6+E319*[1]Sheet1!$D$6+[1]Sheet1!$L$6,IF(AND(OR(D319="T. domingensis",D319="T. latifolia"),E319&gt;0),F319*[1]Sheet1!$C$4+E319*[1]Sheet1!$D$4+H319*[1]Sheet1!$J$4+I319*[1]Sheet1!$K$4+[1]Sheet1!$L$4,IF(AND(OR(D319="T. domingensis",D319="T. latifolia"),J319&gt;0),J319*[1]Sheet1!$G$5+K319*[1]Sheet1!$H$5+L319*[1]Sheet1!$I$5+[1]Sheet1!$L$5,0)))))))</f>
        <v>10.053639000000011</v>
      </c>
    </row>
    <row r="320" spans="1:15">
      <c r="A320" s="6">
        <v>41523</v>
      </c>
      <c r="B320" s="7" t="s">
        <v>22</v>
      </c>
      <c r="C320">
        <v>29</v>
      </c>
      <c r="D320" t="s">
        <v>19</v>
      </c>
      <c r="F320">
        <v>2.93</v>
      </c>
      <c r="J320">
        <f>165+194+245+297</f>
        <v>901</v>
      </c>
      <c r="K320">
        <v>4</v>
      </c>
      <c r="L320">
        <v>297</v>
      </c>
      <c r="N320" t="str">
        <f t="shared" si="5"/>
        <v>NA</v>
      </c>
      <c r="O320">
        <f>IF(AND(OR(D320="S. acutus",D320="S. californicus",D320="S. tabernaemontani"),G320=0),E320*[1]Sheet1!$D$7+[1]Sheet1!$L$7,IF(AND(OR(D320="S. acutus",D320="S. tabernaemontani"),G320&gt;0),E320*[1]Sheet1!$D$8+N320*[1]Sheet1!$E$8,IF(AND(D320="S. californicus",G320&gt;0),E320*[1]Sheet1!$D$9+N320*[1]Sheet1!$E$9,IF(D320="S. maritimus",F320*[1]Sheet1!$C$10+E320*[1]Sheet1!$D$10+G320*[1]Sheet1!$F$10+[1]Sheet1!$L$10,IF(D320="S. americanus",F320*[1]Sheet1!$C$6+E320*[1]Sheet1!$D$6+[1]Sheet1!$L$6,IF(AND(OR(D320="T. domingensis",D320="T. latifolia"),E320&gt;0),F320*[1]Sheet1!$C$4+E320*[1]Sheet1!$D$4+H320*[1]Sheet1!$J$4+I320*[1]Sheet1!$K$4+[1]Sheet1!$L$4,IF(AND(OR(D320="T. domingensis",D320="T. latifolia"),J320&gt;0),J320*[1]Sheet1!$G$5+K320*[1]Sheet1!$H$5+L320*[1]Sheet1!$I$5+[1]Sheet1!$L$5,0)))))))</f>
        <v>-4.8937999999985493E-2</v>
      </c>
    </row>
    <row r="321" spans="1:15">
      <c r="A321" s="6">
        <v>41523</v>
      </c>
      <c r="B321" s="7" t="s">
        <v>22</v>
      </c>
      <c r="C321">
        <v>29</v>
      </c>
      <c r="D321" t="s">
        <v>19</v>
      </c>
      <c r="F321">
        <v>1.76</v>
      </c>
      <c r="J321">
        <f>198+236+279+327</f>
        <v>1040</v>
      </c>
      <c r="K321">
        <v>4</v>
      </c>
      <c r="L321">
        <v>327</v>
      </c>
      <c r="N321" t="str">
        <f t="shared" si="5"/>
        <v>NA</v>
      </c>
      <c r="O321">
        <f>IF(AND(OR(D321="S. acutus",D321="S. californicus",D321="S. tabernaemontani"),G321=0),E321*[1]Sheet1!$D$7+[1]Sheet1!$L$7,IF(AND(OR(D321="S. acutus",D321="S. tabernaemontani"),G321&gt;0),E321*[1]Sheet1!$D$8+N321*[1]Sheet1!$E$8,IF(AND(D321="S. californicus",G321&gt;0),E321*[1]Sheet1!$D$9+N321*[1]Sheet1!$E$9,IF(D321="S. maritimus",F321*[1]Sheet1!$C$10+E321*[1]Sheet1!$D$10+G321*[1]Sheet1!$F$10+[1]Sheet1!$L$10,IF(D321="S. americanus",F321*[1]Sheet1!$C$6+E321*[1]Sheet1!$D$6+[1]Sheet1!$L$6,IF(AND(OR(D321="T. domingensis",D321="T. latifolia"),E321&gt;0),F321*[1]Sheet1!$C$4+E321*[1]Sheet1!$D$4+H321*[1]Sheet1!$J$4+I321*[1]Sheet1!$K$4+[1]Sheet1!$L$4,IF(AND(OR(D321="T. domingensis",D321="T. latifolia"),J321&gt;0),J321*[1]Sheet1!$G$5+K321*[1]Sheet1!$H$5+L321*[1]Sheet1!$I$5+[1]Sheet1!$L$5,0)))))))</f>
        <v>3.9456570000000042</v>
      </c>
    </row>
    <row r="322" spans="1:15">
      <c r="A322" s="6">
        <v>41523</v>
      </c>
      <c r="B322" s="7" t="s">
        <v>22</v>
      </c>
      <c r="C322">
        <v>45</v>
      </c>
      <c r="D322" t="s">
        <v>19</v>
      </c>
      <c r="F322">
        <v>2.34</v>
      </c>
      <c r="J322">
        <f>234+274</f>
        <v>508</v>
      </c>
      <c r="K322">
        <v>2</v>
      </c>
      <c r="L322">
        <v>274</v>
      </c>
      <c r="N322" t="str">
        <f t="shared" si="5"/>
        <v>NA</v>
      </c>
      <c r="O322">
        <f>IF(AND(OR(D322="S. acutus",D322="S. californicus",D322="S. tabernaemontani"),G322=0),E322*[1]Sheet1!$D$7+[1]Sheet1!$L$7,IF(AND(OR(D322="S. acutus",D322="S. tabernaemontani"),G322&gt;0),E322*[1]Sheet1!$D$8+N322*[1]Sheet1!$E$8,IF(AND(D322="S. californicus",G322&gt;0),E322*[1]Sheet1!$D$9+N322*[1]Sheet1!$E$9,IF(D322="S. maritimus",F322*[1]Sheet1!$C$10+E322*[1]Sheet1!$D$10+G322*[1]Sheet1!$F$10+[1]Sheet1!$L$10,IF(D322="S. americanus",F322*[1]Sheet1!$C$6+E322*[1]Sheet1!$D$6+[1]Sheet1!$L$6,IF(AND(OR(D322="T. domingensis",D322="T. latifolia"),E322&gt;0),F322*[1]Sheet1!$C$4+E322*[1]Sheet1!$D$4+H322*[1]Sheet1!$J$4+I322*[1]Sheet1!$K$4+[1]Sheet1!$L$4,IF(AND(OR(D322="T. domingensis",D322="T. latifolia"),J322&gt;0),J322*[1]Sheet1!$G$5+K322*[1]Sheet1!$H$5+L322*[1]Sheet1!$I$5+[1]Sheet1!$L$5,0)))))))</f>
        <v>-15.921311999999993</v>
      </c>
    </row>
    <row r="323" spans="1:15">
      <c r="A323" s="6">
        <v>41523</v>
      </c>
      <c r="B323" s="7" t="s">
        <v>22</v>
      </c>
      <c r="C323">
        <v>46</v>
      </c>
      <c r="D323" t="s">
        <v>19</v>
      </c>
      <c r="F323">
        <v>12.09</v>
      </c>
      <c r="J323">
        <f>239+272+265+299+319+332+324+322+318+317+330+325</f>
        <v>3662</v>
      </c>
      <c r="K323">
        <v>12</v>
      </c>
      <c r="L323">
        <v>330</v>
      </c>
      <c r="N323" t="str">
        <f t="shared" si="5"/>
        <v>NA</v>
      </c>
      <c r="O323">
        <f>IF(AND(OR(D323="S. acutus",D323="S. californicus",D323="S. tabernaemontani"),G323=0),E323*[1]Sheet1!$D$7+[1]Sheet1!$L$7,IF(AND(OR(D323="S. acutus",D323="S. tabernaemontani"),G323&gt;0),E323*[1]Sheet1!$D$8+N323*[1]Sheet1!$E$8,IF(AND(D323="S. californicus",G323&gt;0),E323*[1]Sheet1!$D$9+N323*[1]Sheet1!$E$9,IF(D323="S. maritimus",F323*[1]Sheet1!$C$10+E323*[1]Sheet1!$D$10+G323*[1]Sheet1!$F$10+[1]Sheet1!$L$10,IF(D323="S. americanus",F323*[1]Sheet1!$C$6+E323*[1]Sheet1!$D$6+[1]Sheet1!$L$6,IF(AND(OR(D323="T. domingensis",D323="T. latifolia"),E323&gt;0),F323*[1]Sheet1!$C$4+E323*[1]Sheet1!$D$4+H323*[1]Sheet1!$J$4+I323*[1]Sheet1!$K$4+[1]Sheet1!$L$4,IF(AND(OR(D323="T. domingensis",D323="T. latifolia"),J323&gt;0),J323*[1]Sheet1!$G$5+K323*[1]Sheet1!$H$5+L323*[1]Sheet1!$I$5+[1]Sheet1!$L$5,0)))))))</f>
        <v>192.68870800000005</v>
      </c>
    </row>
    <row r="324" spans="1:15">
      <c r="A324" s="6">
        <v>41523</v>
      </c>
      <c r="B324" s="7" t="s">
        <v>22</v>
      </c>
      <c r="C324">
        <v>53</v>
      </c>
      <c r="M324" t="s">
        <v>21</v>
      </c>
      <c r="N324" t="str">
        <f t="shared" si="5"/>
        <v>NA</v>
      </c>
      <c r="O324">
        <f>IF(AND(OR(D324="S. acutus",D324="S. californicus",D324="S. tabernaemontani"),G324=0),E324*[1]Sheet1!$D$7+[1]Sheet1!$L$7,IF(AND(OR(D324="S. acutus",D324="S. tabernaemontani"),G324&gt;0),E324*[1]Sheet1!$D$8+N324*[1]Sheet1!$E$8,IF(AND(D324="S. californicus",G324&gt;0),E324*[1]Sheet1!$D$9+N324*[1]Sheet1!$E$9,IF(D324="S. maritimus",F324*[1]Sheet1!$C$10+E324*[1]Sheet1!$D$10+G324*[1]Sheet1!$F$10+[1]Sheet1!$L$10,IF(D324="S. americanus",F324*[1]Sheet1!$C$6+E324*[1]Sheet1!$D$6+[1]Sheet1!$L$6,IF(AND(OR(D324="T. domingensis",D324="T. latifolia"),E324&gt;0),F324*[1]Sheet1!$C$4+E324*[1]Sheet1!$D$4+H324*[1]Sheet1!$J$4+I324*[1]Sheet1!$K$4+[1]Sheet1!$L$4,IF(AND(OR(D324="T. domingensis",D324="T. latifolia"),J324&gt;0),J324*[1]Sheet1!$G$5+K324*[1]Sheet1!$H$5+L324*[1]Sheet1!$I$5+[1]Sheet1!$L$5,0)))))))</f>
        <v>0</v>
      </c>
    </row>
    <row r="325" spans="1:15">
      <c r="A325" s="6">
        <v>41534</v>
      </c>
      <c r="B325" s="7" t="s">
        <v>35</v>
      </c>
      <c r="C325">
        <v>9</v>
      </c>
      <c r="D325" t="s">
        <v>24</v>
      </c>
      <c r="E325">
        <v>131</v>
      </c>
      <c r="F325">
        <v>0.8</v>
      </c>
      <c r="N325">
        <f t="shared" ref="N325:N388" si="6">IF(OR(D325="S. acutus", D325="S. tabernaemontani", D325="S. californicus"),(1/3)*(3.14159)*((F325/2)^2)*E325,"NA")</f>
        <v>21.949242133333335</v>
      </c>
      <c r="O325">
        <f>IF(AND(OR(D325="S. acutus",D325="S. californicus",D325="S. tabernaemontani"),G325=0),E325*[1]Sheet1!$D$7+[1]Sheet1!$L$7,IF(AND(OR(D325="S. acutus",D325="S. tabernaemontani"),G325&gt;0),E325*[1]Sheet1!$D$8+N325*[1]Sheet1!$E$8,IF(AND(D325="S. californicus",G325&gt;0),E325*[1]Sheet1!$D$9+N325*[1]Sheet1!$E$9,IF(D325="S. maritimus",F325*[1]Sheet1!$C$10+E325*[1]Sheet1!$D$10+G325*[1]Sheet1!$F$10+[1]Sheet1!$L$10,IF(D325="S. americanus",F325*[1]Sheet1!$C$6+E325*[1]Sheet1!$D$6+[1]Sheet1!$L$6,IF(AND(OR(D325="T. domingensis",D325="T. latifolia"),E325&gt;0),F325*[1]Sheet1!$C$4+E325*[1]Sheet1!$D$4+H325*[1]Sheet1!$J$4+I325*[1]Sheet1!$K$4+[1]Sheet1!$L$4,IF(AND(OR(D325="T. domingensis",D325="T. latifolia"),J325&gt;0),J325*[1]Sheet1!$G$5+K325*[1]Sheet1!$H$5+L325*[1]Sheet1!$I$5+[1]Sheet1!$L$5,0)))))))</f>
        <v>4.5931579999999999</v>
      </c>
    </row>
    <row r="326" spans="1:15">
      <c r="A326" s="6">
        <v>41534</v>
      </c>
      <c r="B326" s="7" t="s">
        <v>35</v>
      </c>
      <c r="C326">
        <v>9</v>
      </c>
      <c r="D326" t="s">
        <v>24</v>
      </c>
      <c r="E326">
        <v>271</v>
      </c>
      <c r="F326">
        <v>0.84</v>
      </c>
      <c r="N326">
        <f t="shared" si="6"/>
        <v>50.060608331999987</v>
      </c>
      <c r="O326">
        <f>IF(AND(OR(D326="S. acutus",D326="S. californicus",D326="S. tabernaemontani"),G326=0),E326*[1]Sheet1!$D$7+[1]Sheet1!$L$7,IF(AND(OR(D326="S. acutus",D326="S. tabernaemontani"),G326&gt;0),E326*[1]Sheet1!$D$8+N326*[1]Sheet1!$E$8,IF(AND(D326="S. californicus",G326&gt;0),E326*[1]Sheet1!$D$9+N326*[1]Sheet1!$E$9,IF(D326="S. maritimus",F326*[1]Sheet1!$C$10+E326*[1]Sheet1!$D$10+G326*[1]Sheet1!$F$10+[1]Sheet1!$L$10,IF(D326="S. americanus",F326*[1]Sheet1!$C$6+E326*[1]Sheet1!$D$6+[1]Sheet1!$L$6,IF(AND(OR(D326="T. domingensis",D326="T. latifolia"),E326&gt;0),F326*[1]Sheet1!$C$4+E326*[1]Sheet1!$D$4+H326*[1]Sheet1!$J$4+I326*[1]Sheet1!$K$4+[1]Sheet1!$L$4,IF(AND(OR(D326="T. domingensis",D326="T. latifolia"),J326&gt;0),J326*[1]Sheet1!$G$5+K326*[1]Sheet1!$H$5+L326*[1]Sheet1!$I$5+[1]Sheet1!$L$5,0)))))))</f>
        <v>14.407858000000001</v>
      </c>
    </row>
    <row r="327" spans="1:15">
      <c r="A327" s="6">
        <v>41534</v>
      </c>
      <c r="B327" s="7" t="s">
        <v>35</v>
      </c>
      <c r="C327">
        <v>9</v>
      </c>
      <c r="D327" t="s">
        <v>24</v>
      </c>
      <c r="E327">
        <v>374</v>
      </c>
      <c r="F327">
        <v>2.04</v>
      </c>
      <c r="N327">
        <f t="shared" si="6"/>
        <v>407.4742760879999</v>
      </c>
      <c r="O327">
        <f>IF(AND(OR(D327="S. acutus",D327="S. californicus",D327="S. tabernaemontani"),G327=0),E327*[1]Sheet1!$D$7+[1]Sheet1!$L$7,IF(AND(OR(D327="S. acutus",D327="S. tabernaemontani"),G327&gt;0),E327*[1]Sheet1!$D$8+N327*[1]Sheet1!$E$8,IF(AND(D327="S. californicus",G327&gt;0),E327*[1]Sheet1!$D$9+N327*[1]Sheet1!$E$9,IF(D327="S. maritimus",F327*[1]Sheet1!$C$10+E327*[1]Sheet1!$D$10+G327*[1]Sheet1!$F$10+[1]Sheet1!$L$10,IF(D327="S. americanus",F327*[1]Sheet1!$C$6+E327*[1]Sheet1!$D$6+[1]Sheet1!$L$6,IF(AND(OR(D327="T. domingensis",D327="T. latifolia"),E327&gt;0),F327*[1]Sheet1!$C$4+E327*[1]Sheet1!$D$4+H327*[1]Sheet1!$J$4+I327*[1]Sheet1!$K$4+[1]Sheet1!$L$4,IF(AND(OR(D327="T. domingensis",D327="T. latifolia"),J327&gt;0),J327*[1]Sheet1!$G$5+K327*[1]Sheet1!$H$5+L327*[1]Sheet1!$I$5+[1]Sheet1!$L$5,0)))))))</f>
        <v>21.628673000000003</v>
      </c>
    </row>
    <row r="328" spans="1:15">
      <c r="A328" s="6">
        <v>41534</v>
      </c>
      <c r="B328" s="7" t="s">
        <v>35</v>
      </c>
      <c r="C328">
        <v>9</v>
      </c>
      <c r="D328" t="s">
        <v>24</v>
      </c>
      <c r="E328">
        <v>109</v>
      </c>
      <c r="F328">
        <v>0.93</v>
      </c>
      <c r="N328">
        <f t="shared" si="6"/>
        <v>24.680880818250003</v>
      </c>
      <c r="O328">
        <f>IF(AND(OR(D328="S. acutus",D328="S. californicus",D328="S. tabernaemontani"),G328=0),E328*[1]Sheet1!$D$7+[1]Sheet1!$L$7,IF(AND(OR(D328="S. acutus",D328="S. tabernaemontani"),G328&gt;0),E328*[1]Sheet1!$D$8+N328*[1]Sheet1!$E$8,IF(AND(D328="S. californicus",G328&gt;0),E328*[1]Sheet1!$D$9+N328*[1]Sheet1!$E$9,IF(D328="S. maritimus",F328*[1]Sheet1!$C$10+E328*[1]Sheet1!$D$10+G328*[1]Sheet1!$F$10+[1]Sheet1!$L$10,IF(D328="S. americanus",F328*[1]Sheet1!$C$6+E328*[1]Sheet1!$D$6+[1]Sheet1!$L$6,IF(AND(OR(D328="T. domingensis",D328="T. latifolia"),E328&gt;0),F328*[1]Sheet1!$C$4+E328*[1]Sheet1!$D$4+H328*[1]Sheet1!$J$4+I328*[1]Sheet1!$K$4+[1]Sheet1!$L$4,IF(AND(OR(D328="T. domingensis",D328="T. latifolia"),J328&gt;0),J328*[1]Sheet1!$G$5+K328*[1]Sheet1!$H$5+L328*[1]Sheet1!$I$5+[1]Sheet1!$L$5,0)))))))</f>
        <v>3.0508480000000002</v>
      </c>
    </row>
    <row r="329" spans="1:15">
      <c r="A329" s="6">
        <v>41534</v>
      </c>
      <c r="B329" s="7" t="s">
        <v>35</v>
      </c>
      <c r="C329">
        <v>9</v>
      </c>
      <c r="D329" t="s">
        <v>24</v>
      </c>
      <c r="E329">
        <v>144</v>
      </c>
      <c r="F329">
        <v>1.36</v>
      </c>
      <c r="N329">
        <f t="shared" si="6"/>
        <v>69.728218368</v>
      </c>
      <c r="O329">
        <f>IF(AND(OR(D329="S. acutus",D329="S. californicus",D329="S. tabernaemontani"),G329=0),E329*[1]Sheet1!$D$7+[1]Sheet1!$L$7,IF(AND(OR(D329="S. acutus",D329="S. tabernaemontani"),G329&gt;0),E329*[1]Sheet1!$D$8+N329*[1]Sheet1!$E$8,IF(AND(D329="S. californicus",G329&gt;0),E329*[1]Sheet1!$D$9+N329*[1]Sheet1!$E$9,IF(D329="S. maritimus",F329*[1]Sheet1!$C$10+E329*[1]Sheet1!$D$10+G329*[1]Sheet1!$F$10+[1]Sheet1!$L$10,IF(D329="S. americanus",F329*[1]Sheet1!$C$6+E329*[1]Sheet1!$D$6+[1]Sheet1!$L$6,IF(AND(OR(D329="T. domingensis",D329="T. latifolia"),E329&gt;0),F329*[1]Sheet1!$C$4+E329*[1]Sheet1!$D$4+H329*[1]Sheet1!$J$4+I329*[1]Sheet1!$K$4+[1]Sheet1!$L$4,IF(AND(OR(D329="T. domingensis",D329="T. latifolia"),J329&gt;0),J329*[1]Sheet1!$G$5+K329*[1]Sheet1!$H$5+L329*[1]Sheet1!$I$5+[1]Sheet1!$L$5,0)))))))</f>
        <v>5.5045229999999998</v>
      </c>
    </row>
    <row r="330" spans="1:15">
      <c r="A330" s="6">
        <v>41534</v>
      </c>
      <c r="B330" s="7" t="s">
        <v>35</v>
      </c>
      <c r="C330">
        <v>9</v>
      </c>
      <c r="D330" t="s">
        <v>24</v>
      </c>
      <c r="E330">
        <v>294</v>
      </c>
      <c r="F330">
        <v>2.4500000000000002</v>
      </c>
      <c r="N330">
        <f t="shared" si="6"/>
        <v>462.00615238750004</v>
      </c>
      <c r="O330">
        <f>IF(AND(OR(D330="S. acutus",D330="S. californicus",D330="S. tabernaemontani"),G330=0),E330*[1]Sheet1!$D$7+[1]Sheet1!$L$7,IF(AND(OR(D330="S. acutus",D330="S. tabernaemontani"),G330&gt;0),E330*[1]Sheet1!$D$8+N330*[1]Sheet1!$E$8,IF(AND(D330="S. californicus",G330&gt;0),E330*[1]Sheet1!$D$9+N330*[1]Sheet1!$E$9,IF(D330="S. maritimus",F330*[1]Sheet1!$C$10+E330*[1]Sheet1!$D$10+G330*[1]Sheet1!$F$10+[1]Sheet1!$L$10,IF(D330="S. americanus",F330*[1]Sheet1!$C$6+E330*[1]Sheet1!$D$6+[1]Sheet1!$L$6,IF(AND(OR(D330="T. domingensis",D330="T. latifolia"),E330&gt;0),F330*[1]Sheet1!$C$4+E330*[1]Sheet1!$D$4+H330*[1]Sheet1!$J$4+I330*[1]Sheet1!$K$4+[1]Sheet1!$L$4,IF(AND(OR(D330="T. domingensis",D330="T. latifolia"),J330&gt;0),J330*[1]Sheet1!$G$5+K330*[1]Sheet1!$H$5+L330*[1]Sheet1!$I$5+[1]Sheet1!$L$5,0)))))))</f>
        <v>16.020273</v>
      </c>
    </row>
    <row r="331" spans="1:15">
      <c r="A331" s="6">
        <v>41534</v>
      </c>
      <c r="B331" s="7" t="s">
        <v>35</v>
      </c>
      <c r="C331">
        <v>9</v>
      </c>
      <c r="D331" t="s">
        <v>24</v>
      </c>
      <c r="E331">
        <v>167</v>
      </c>
      <c r="F331">
        <v>1.2</v>
      </c>
      <c r="N331">
        <f t="shared" si="6"/>
        <v>62.95746359999999</v>
      </c>
      <c r="O331">
        <f>IF(AND(OR(D331="S. acutus",D331="S. californicus",D331="S. tabernaemontani"),G331=0),E331*[1]Sheet1!$D$7+[1]Sheet1!$L$7,IF(AND(OR(D331="S. acutus",D331="S. tabernaemontani"),G331&gt;0),E331*[1]Sheet1!$D$8+N331*[1]Sheet1!$E$8,IF(AND(D331="S. californicus",G331&gt;0),E331*[1]Sheet1!$D$9+N331*[1]Sheet1!$E$9,IF(D331="S. maritimus",F331*[1]Sheet1!$C$10+E331*[1]Sheet1!$D$10+G331*[1]Sheet1!$F$10+[1]Sheet1!$L$10,IF(D331="S. americanus",F331*[1]Sheet1!$C$6+E331*[1]Sheet1!$D$6+[1]Sheet1!$L$6,IF(AND(OR(D331="T. domingensis",D331="T. latifolia"),E331&gt;0),F331*[1]Sheet1!$C$4+E331*[1]Sheet1!$D$4+H331*[1]Sheet1!$J$4+I331*[1]Sheet1!$K$4+[1]Sheet1!$L$4,IF(AND(OR(D331="T. domingensis",D331="T. latifolia"),J331&gt;0),J331*[1]Sheet1!$G$5+K331*[1]Sheet1!$H$5+L331*[1]Sheet1!$I$5+[1]Sheet1!$L$5,0)))))))</f>
        <v>7.1169380000000002</v>
      </c>
    </row>
    <row r="332" spans="1:15">
      <c r="A332" s="6">
        <v>41534</v>
      </c>
      <c r="B332" s="7" t="s">
        <v>35</v>
      </c>
      <c r="C332">
        <v>9</v>
      </c>
      <c r="D332" t="s">
        <v>24</v>
      </c>
      <c r="E332">
        <v>255</v>
      </c>
      <c r="F332">
        <v>1.95</v>
      </c>
      <c r="N332">
        <f t="shared" si="6"/>
        <v>253.85028946874993</v>
      </c>
      <c r="O332">
        <f>IF(AND(OR(D332="S. acutus",D332="S. californicus",D332="S. tabernaemontani"),G332=0),E332*[1]Sheet1!$D$7+[1]Sheet1!$L$7,IF(AND(OR(D332="S. acutus",D332="S. tabernaemontani"),G332&gt;0),E332*[1]Sheet1!$D$8+N332*[1]Sheet1!$E$8,IF(AND(D332="S. californicus",G332&gt;0),E332*[1]Sheet1!$D$9+N332*[1]Sheet1!$E$9,IF(D332="S. maritimus",F332*[1]Sheet1!$C$10+E332*[1]Sheet1!$D$10+G332*[1]Sheet1!$F$10+[1]Sheet1!$L$10,IF(D332="S. americanus",F332*[1]Sheet1!$C$6+E332*[1]Sheet1!$D$6+[1]Sheet1!$L$6,IF(AND(OR(D332="T. domingensis",D332="T. latifolia"),E332&gt;0),F332*[1]Sheet1!$C$4+E332*[1]Sheet1!$D$4+H332*[1]Sheet1!$J$4+I332*[1]Sheet1!$K$4+[1]Sheet1!$L$4,IF(AND(OR(D332="T. domingensis",D332="T. latifolia"),J332&gt;0),J332*[1]Sheet1!$G$5+K332*[1]Sheet1!$H$5+L332*[1]Sheet1!$I$5+[1]Sheet1!$L$5,0)))))))</f>
        <v>13.286178</v>
      </c>
    </row>
    <row r="333" spans="1:15">
      <c r="A333" s="6">
        <v>41534</v>
      </c>
      <c r="B333" s="7" t="s">
        <v>35</v>
      </c>
      <c r="C333">
        <v>9</v>
      </c>
      <c r="D333" t="s">
        <v>24</v>
      </c>
      <c r="E333">
        <v>122</v>
      </c>
      <c r="F333">
        <v>1.2</v>
      </c>
      <c r="N333">
        <f t="shared" si="6"/>
        <v>45.992877599999993</v>
      </c>
      <c r="O333">
        <f>IF(AND(OR(D333="S. acutus",D333="S. californicus",D333="S. tabernaemontani"),G333=0),E333*[1]Sheet1!$D$7+[1]Sheet1!$L$7,IF(AND(OR(D333="S. acutus",D333="S. tabernaemontani"),G333&gt;0),E333*[1]Sheet1!$D$8+N333*[1]Sheet1!$E$8,IF(AND(D333="S. californicus",G333&gt;0),E333*[1]Sheet1!$D$9+N333*[1]Sheet1!$E$9,IF(D333="S. maritimus",F333*[1]Sheet1!$C$10+E333*[1]Sheet1!$D$10+G333*[1]Sheet1!$F$10+[1]Sheet1!$L$10,IF(D333="S. americanus",F333*[1]Sheet1!$C$6+E333*[1]Sheet1!$D$6+[1]Sheet1!$L$6,IF(AND(OR(D333="T. domingensis",D333="T. latifolia"),E333&gt;0),F333*[1]Sheet1!$C$4+E333*[1]Sheet1!$D$4+H333*[1]Sheet1!$J$4+I333*[1]Sheet1!$K$4+[1]Sheet1!$L$4,IF(AND(OR(D333="T. domingensis",D333="T. latifolia"),J333&gt;0),J333*[1]Sheet1!$G$5+K333*[1]Sheet1!$H$5+L333*[1]Sheet1!$I$5+[1]Sheet1!$L$5,0)))))))</f>
        <v>3.9622130000000011</v>
      </c>
    </row>
    <row r="334" spans="1:15">
      <c r="A334" s="6">
        <v>41534</v>
      </c>
      <c r="B334" s="7" t="s">
        <v>35</v>
      </c>
      <c r="C334">
        <v>9</v>
      </c>
      <c r="D334" t="s">
        <v>24</v>
      </c>
      <c r="E334">
        <v>268</v>
      </c>
      <c r="F334">
        <v>1.9</v>
      </c>
      <c r="N334">
        <f t="shared" si="6"/>
        <v>253.28545776666664</v>
      </c>
      <c r="O334">
        <f>IF(AND(OR(D334="S. acutus",D334="S. californicus",D334="S. tabernaemontani"),G334=0),E334*[1]Sheet1!$D$7+[1]Sheet1!$L$7,IF(AND(OR(D334="S. acutus",D334="S. tabernaemontani"),G334&gt;0),E334*[1]Sheet1!$D$8+N334*[1]Sheet1!$E$8,IF(AND(D334="S. californicus",G334&gt;0),E334*[1]Sheet1!$D$9+N334*[1]Sheet1!$E$9,IF(D334="S. maritimus",F334*[1]Sheet1!$C$10+E334*[1]Sheet1!$D$10+G334*[1]Sheet1!$F$10+[1]Sheet1!$L$10,IF(D334="S. americanus",F334*[1]Sheet1!$C$6+E334*[1]Sheet1!$D$6+[1]Sheet1!$L$6,IF(AND(OR(D334="T. domingensis",D334="T. latifolia"),E334&gt;0),F334*[1]Sheet1!$C$4+E334*[1]Sheet1!$D$4+H334*[1]Sheet1!$J$4+I334*[1]Sheet1!$K$4+[1]Sheet1!$L$4,IF(AND(OR(D334="T. domingensis",D334="T. latifolia"),J334&gt;0),J334*[1]Sheet1!$G$5+K334*[1]Sheet1!$H$5+L334*[1]Sheet1!$I$5+[1]Sheet1!$L$5,0)))))))</f>
        <v>14.197543</v>
      </c>
    </row>
    <row r="335" spans="1:15">
      <c r="A335" s="6">
        <v>41534</v>
      </c>
      <c r="B335" s="7" t="s">
        <v>35</v>
      </c>
      <c r="C335">
        <v>9</v>
      </c>
      <c r="D335" t="s">
        <v>24</v>
      </c>
      <c r="E335">
        <v>122</v>
      </c>
      <c r="F335">
        <v>1.54</v>
      </c>
      <c r="N335">
        <f t="shared" si="6"/>
        <v>75.74771424733332</v>
      </c>
      <c r="O335">
        <f>IF(AND(OR(D335="S. acutus",D335="S. californicus",D335="S. tabernaemontani"),G335=0),E335*[1]Sheet1!$D$7+[1]Sheet1!$L$7,IF(AND(OR(D335="S. acutus",D335="S. tabernaemontani"),G335&gt;0),E335*[1]Sheet1!$D$8+N335*[1]Sheet1!$E$8,IF(AND(D335="S. californicus",G335&gt;0),E335*[1]Sheet1!$D$9+N335*[1]Sheet1!$E$9,IF(D335="S. maritimus",F335*[1]Sheet1!$C$10+E335*[1]Sheet1!$D$10+G335*[1]Sheet1!$F$10+[1]Sheet1!$L$10,IF(D335="S. americanus",F335*[1]Sheet1!$C$6+E335*[1]Sheet1!$D$6+[1]Sheet1!$L$6,IF(AND(OR(D335="T. domingensis",D335="T. latifolia"),E335&gt;0),F335*[1]Sheet1!$C$4+E335*[1]Sheet1!$D$4+H335*[1]Sheet1!$J$4+I335*[1]Sheet1!$K$4+[1]Sheet1!$L$4,IF(AND(OR(D335="T. domingensis",D335="T. latifolia"),J335&gt;0),J335*[1]Sheet1!$G$5+K335*[1]Sheet1!$H$5+L335*[1]Sheet1!$I$5+[1]Sheet1!$L$5,0)))))))</f>
        <v>3.9622130000000011</v>
      </c>
    </row>
    <row r="336" spans="1:15">
      <c r="A336" s="6">
        <v>41534</v>
      </c>
      <c r="B336" s="7" t="s">
        <v>35</v>
      </c>
      <c r="C336">
        <v>9</v>
      </c>
      <c r="D336" t="s">
        <v>24</v>
      </c>
      <c r="E336">
        <v>228</v>
      </c>
      <c r="F336">
        <v>0.74</v>
      </c>
      <c r="N336">
        <f t="shared" si="6"/>
        <v>32.686358995999996</v>
      </c>
      <c r="O336">
        <f>IF(AND(OR(D336="S. acutus",D336="S. californicus",D336="S. tabernaemontani"),G336=0),E336*[1]Sheet1!$D$7+[1]Sheet1!$L$7,IF(AND(OR(D336="S. acutus",D336="S. tabernaemontani"),G336&gt;0),E336*[1]Sheet1!$D$8+N336*[1]Sheet1!$E$8,IF(AND(D336="S. californicus",G336&gt;0),E336*[1]Sheet1!$D$9+N336*[1]Sheet1!$E$9,IF(D336="S. maritimus",F336*[1]Sheet1!$C$10+E336*[1]Sheet1!$D$10+G336*[1]Sheet1!$F$10+[1]Sheet1!$L$10,IF(D336="S. americanus",F336*[1]Sheet1!$C$6+E336*[1]Sheet1!$D$6+[1]Sheet1!$L$6,IF(AND(OR(D336="T. domingensis",D336="T. latifolia"),E336&gt;0),F336*[1]Sheet1!$C$4+E336*[1]Sheet1!$D$4+H336*[1]Sheet1!$J$4+I336*[1]Sheet1!$K$4+[1]Sheet1!$L$4,IF(AND(OR(D336="T. domingensis",D336="T. latifolia"),J336&gt;0),J336*[1]Sheet1!$G$5+K336*[1]Sheet1!$H$5+L336*[1]Sheet1!$I$5+[1]Sheet1!$L$5,0)))))))</f>
        <v>11.393343000000002</v>
      </c>
    </row>
    <row r="337" spans="1:15">
      <c r="A337" s="6">
        <v>41534</v>
      </c>
      <c r="B337" s="7" t="s">
        <v>35</v>
      </c>
      <c r="C337">
        <v>9</v>
      </c>
      <c r="D337" t="s">
        <v>24</v>
      </c>
      <c r="E337">
        <v>273</v>
      </c>
      <c r="F337">
        <v>1.53</v>
      </c>
      <c r="N337">
        <f t="shared" si="6"/>
        <v>167.30686770525</v>
      </c>
      <c r="O337">
        <f>IF(AND(OR(D337="S. acutus",D337="S. californicus",D337="S. tabernaemontani"),G337=0),E337*[1]Sheet1!$D$7+[1]Sheet1!$L$7,IF(AND(OR(D337="S. acutus",D337="S. tabernaemontani"),G337&gt;0),E337*[1]Sheet1!$D$8+N337*[1]Sheet1!$E$8,IF(AND(D337="S. californicus",G337&gt;0),E337*[1]Sheet1!$D$9+N337*[1]Sheet1!$E$9,IF(D337="S. maritimus",F337*[1]Sheet1!$C$10+E337*[1]Sheet1!$D$10+G337*[1]Sheet1!$F$10+[1]Sheet1!$L$10,IF(D337="S. americanus",F337*[1]Sheet1!$C$6+E337*[1]Sheet1!$D$6+[1]Sheet1!$L$6,IF(AND(OR(D337="T. domingensis",D337="T. latifolia"),E337&gt;0),F337*[1]Sheet1!$C$4+E337*[1]Sheet1!$D$4+H337*[1]Sheet1!$J$4+I337*[1]Sheet1!$K$4+[1]Sheet1!$L$4,IF(AND(OR(D337="T. domingensis",D337="T. latifolia"),J337&gt;0),J337*[1]Sheet1!$G$5+K337*[1]Sheet1!$H$5+L337*[1]Sheet1!$I$5+[1]Sheet1!$L$5,0)))))))</f>
        <v>14.548068000000001</v>
      </c>
    </row>
    <row r="338" spans="1:15">
      <c r="A338" s="6">
        <v>41534</v>
      </c>
      <c r="B338" s="7" t="s">
        <v>35</v>
      </c>
      <c r="C338">
        <v>9</v>
      </c>
      <c r="D338" t="s">
        <v>24</v>
      </c>
      <c r="E338">
        <v>351</v>
      </c>
      <c r="F338">
        <v>2.2000000000000002</v>
      </c>
      <c r="G338">
        <v>15</v>
      </c>
      <c r="N338">
        <f t="shared" si="6"/>
        <v>444.75489629999998</v>
      </c>
      <c r="O338">
        <f>IF(AND(OR(D338="S. acutus",D338="S. californicus",D338="S. tabernaemontani"),G338=0),E338*[1]Sheet1!$D$7+[1]Sheet1!$L$7,IF(AND(OR(D338="S. acutus",D338="S. tabernaemontani"),G338&gt;0),E338*[1]Sheet1!$D$8+N338*[1]Sheet1!$E$8,IF(AND(D338="S. californicus",G338&gt;0),E338*[1]Sheet1!$D$9+N338*[1]Sheet1!$E$9,IF(D338="S. maritimus",F338*[1]Sheet1!$C$10+E338*[1]Sheet1!$D$10+G338*[1]Sheet1!$F$10+[1]Sheet1!$L$10,IF(D338="S. americanus",F338*[1]Sheet1!$C$6+E338*[1]Sheet1!$D$6+[1]Sheet1!$L$6,IF(AND(OR(D338="T. domingensis",D338="T. latifolia"),E338&gt;0),F338*[1]Sheet1!$C$4+E338*[1]Sheet1!$D$4+H338*[1]Sheet1!$J$4+I338*[1]Sheet1!$K$4+[1]Sheet1!$L$4,IF(AND(OR(D338="T. domingensis",D338="T. latifolia"),J338&gt;0),J338*[1]Sheet1!$G$5+K338*[1]Sheet1!$H$5+L338*[1]Sheet1!$I$5+[1]Sheet1!$L$5,0)))))))</f>
        <v>27.837500040266669</v>
      </c>
    </row>
    <row r="339" spans="1:15">
      <c r="A339" s="6">
        <v>41534</v>
      </c>
      <c r="B339" s="7" t="s">
        <v>35</v>
      </c>
      <c r="C339">
        <v>9</v>
      </c>
      <c r="D339" t="s">
        <v>24</v>
      </c>
      <c r="E339">
        <v>167</v>
      </c>
      <c r="F339">
        <v>1.78</v>
      </c>
      <c r="N339">
        <f t="shared" si="6"/>
        <v>138.52390810433332</v>
      </c>
      <c r="O339">
        <f>IF(AND(OR(D339="S. acutus",D339="S. californicus",D339="S. tabernaemontani"),G339=0),E339*[1]Sheet1!$D$7+[1]Sheet1!$L$7,IF(AND(OR(D339="S. acutus",D339="S. tabernaemontani"),G339&gt;0),E339*[1]Sheet1!$D$8+N339*[1]Sheet1!$E$8,IF(AND(D339="S. californicus",G339&gt;0),E339*[1]Sheet1!$D$9+N339*[1]Sheet1!$E$9,IF(D339="S. maritimus",F339*[1]Sheet1!$C$10+E339*[1]Sheet1!$D$10+G339*[1]Sheet1!$F$10+[1]Sheet1!$L$10,IF(D339="S. americanus",F339*[1]Sheet1!$C$6+E339*[1]Sheet1!$D$6+[1]Sheet1!$L$6,IF(AND(OR(D339="T. domingensis",D339="T. latifolia"),E339&gt;0),F339*[1]Sheet1!$C$4+E339*[1]Sheet1!$D$4+H339*[1]Sheet1!$J$4+I339*[1]Sheet1!$K$4+[1]Sheet1!$L$4,IF(AND(OR(D339="T. domingensis",D339="T. latifolia"),J339&gt;0),J339*[1]Sheet1!$G$5+K339*[1]Sheet1!$H$5+L339*[1]Sheet1!$I$5+[1]Sheet1!$L$5,0)))))))</f>
        <v>7.1169380000000002</v>
      </c>
    </row>
    <row r="340" spans="1:15">
      <c r="A340" s="6">
        <v>41534</v>
      </c>
      <c r="B340" s="7" t="s">
        <v>35</v>
      </c>
      <c r="C340">
        <v>9</v>
      </c>
      <c r="D340" t="s">
        <v>24</v>
      </c>
      <c r="E340">
        <v>276</v>
      </c>
      <c r="F340">
        <v>1.92</v>
      </c>
      <c r="G340">
        <v>2</v>
      </c>
      <c r="N340">
        <f t="shared" si="6"/>
        <v>266.36661964799993</v>
      </c>
      <c r="O340">
        <f>IF(AND(OR(D340="S. acutus",D340="S. californicus",D340="S. tabernaemontani"),G340=0),E340*[1]Sheet1!$D$7+[1]Sheet1!$L$7,IF(AND(OR(D340="S. acutus",D340="S. tabernaemontani"),G340&gt;0),E340*[1]Sheet1!$D$8+N340*[1]Sheet1!$E$8,IF(AND(D340="S. californicus",G340&gt;0),E340*[1]Sheet1!$D$9+N340*[1]Sheet1!$E$9,IF(D340="S. maritimus",F340*[1]Sheet1!$C$10+E340*[1]Sheet1!$D$10+G340*[1]Sheet1!$F$10+[1]Sheet1!$L$10,IF(D340="S. americanus",F340*[1]Sheet1!$C$6+E340*[1]Sheet1!$D$6+[1]Sheet1!$L$6,IF(AND(OR(D340="T. domingensis",D340="T. latifolia"),E340&gt;0),F340*[1]Sheet1!$C$4+E340*[1]Sheet1!$D$4+H340*[1]Sheet1!$J$4+I340*[1]Sheet1!$K$4+[1]Sheet1!$L$4,IF(AND(OR(D340="T. domingensis",D340="T. latifolia"),J340&gt;0),J340*[1]Sheet1!$G$5+K340*[1]Sheet1!$H$5+L340*[1]Sheet1!$I$5+[1]Sheet1!$L$5,0)))))))</f>
        <v>19.20520448262328</v>
      </c>
    </row>
    <row r="341" spans="1:15">
      <c r="A341" s="6">
        <v>41534</v>
      </c>
      <c r="B341" s="7" t="s">
        <v>35</v>
      </c>
      <c r="C341">
        <v>9</v>
      </c>
      <c r="D341" t="s">
        <v>24</v>
      </c>
      <c r="E341">
        <v>298</v>
      </c>
      <c r="F341">
        <v>2.73</v>
      </c>
      <c r="N341">
        <f t="shared" si="6"/>
        <v>581.44657675649989</v>
      </c>
      <c r="O341">
        <f>IF(AND(OR(D341="S. acutus",D341="S. californicus",D341="S. tabernaemontani"),G341=0),E341*[1]Sheet1!$D$7+[1]Sheet1!$L$7,IF(AND(OR(D341="S. acutus",D341="S. tabernaemontani"),G341&gt;0),E341*[1]Sheet1!$D$8+N341*[1]Sheet1!$E$8,IF(AND(D341="S. californicus",G341&gt;0),E341*[1]Sheet1!$D$9+N341*[1]Sheet1!$E$9,IF(D341="S. maritimus",F341*[1]Sheet1!$C$10+E341*[1]Sheet1!$D$10+G341*[1]Sheet1!$F$10+[1]Sheet1!$L$10,IF(D341="S. americanus",F341*[1]Sheet1!$C$6+E341*[1]Sheet1!$D$6+[1]Sheet1!$L$6,IF(AND(OR(D341="T. domingensis",D341="T. latifolia"),E341&gt;0),F341*[1]Sheet1!$C$4+E341*[1]Sheet1!$D$4+H341*[1]Sheet1!$J$4+I341*[1]Sheet1!$K$4+[1]Sheet1!$L$4,IF(AND(OR(D341="T. domingensis",D341="T. latifolia"),J341&gt;0),J341*[1]Sheet1!$G$5+K341*[1]Sheet1!$H$5+L341*[1]Sheet1!$I$5+[1]Sheet1!$L$5,0)))))))</f>
        <v>16.300693000000003</v>
      </c>
    </row>
    <row r="342" spans="1:15">
      <c r="A342" s="6">
        <v>41534</v>
      </c>
      <c r="B342" s="7" t="s">
        <v>35</v>
      </c>
      <c r="C342">
        <v>9</v>
      </c>
      <c r="D342" t="s">
        <v>24</v>
      </c>
      <c r="E342">
        <v>350</v>
      </c>
      <c r="F342">
        <v>2.2200000000000002</v>
      </c>
      <c r="G342">
        <v>7</v>
      </c>
      <c r="N342">
        <f t="shared" si="6"/>
        <v>451.58785454999997</v>
      </c>
      <c r="O342">
        <f>IF(AND(OR(D342="S. acutus",D342="S. californicus",D342="S. tabernaemontani"),G342=0),E342*[1]Sheet1!$D$7+[1]Sheet1!$L$7,IF(AND(OR(D342="S. acutus",D342="S. tabernaemontani"),G342&gt;0),E342*[1]Sheet1!$D$8+N342*[1]Sheet1!$E$8,IF(AND(D342="S. californicus",G342&gt;0),E342*[1]Sheet1!$D$9+N342*[1]Sheet1!$E$9,IF(D342="S. maritimus",F342*[1]Sheet1!$C$10+E342*[1]Sheet1!$D$10+G342*[1]Sheet1!$F$10+[1]Sheet1!$L$10,IF(D342="S. americanus",F342*[1]Sheet1!$C$6+E342*[1]Sheet1!$D$6+[1]Sheet1!$L$6,IF(AND(OR(D342="T. domingensis",D342="T. latifolia"),E342&gt;0),F342*[1]Sheet1!$C$4+E342*[1]Sheet1!$D$4+H342*[1]Sheet1!$J$4+I342*[1]Sheet1!$K$4+[1]Sheet1!$L$4,IF(AND(OR(D342="T. domingensis",D342="T. latifolia"),J342&gt;0),J342*[1]Sheet1!$G$5+K342*[1]Sheet1!$H$5+L342*[1]Sheet1!$I$5+[1]Sheet1!$L$5,0)))))))</f>
        <v>28.019020345579094</v>
      </c>
    </row>
    <row r="343" spans="1:15">
      <c r="A343" s="6">
        <v>41534</v>
      </c>
      <c r="B343" s="7" t="s">
        <v>35</v>
      </c>
      <c r="C343">
        <v>9</v>
      </c>
      <c r="D343" t="s">
        <v>24</v>
      </c>
      <c r="E343">
        <v>209</v>
      </c>
      <c r="F343">
        <v>0.7</v>
      </c>
      <c r="N343">
        <f t="shared" si="6"/>
        <v>26.810852658333328</v>
      </c>
      <c r="O343">
        <f>IF(AND(OR(D343="S. acutus",D343="S. californicus",D343="S. tabernaemontani"),G343=0),E343*[1]Sheet1!$D$7+[1]Sheet1!$L$7,IF(AND(OR(D343="S. acutus",D343="S. tabernaemontani"),G343&gt;0),E343*[1]Sheet1!$D$8+N343*[1]Sheet1!$E$8,IF(AND(D343="S. californicus",G343&gt;0),E343*[1]Sheet1!$D$9+N343*[1]Sheet1!$E$9,IF(D343="S. maritimus",F343*[1]Sheet1!$C$10+E343*[1]Sheet1!$D$10+G343*[1]Sheet1!$F$10+[1]Sheet1!$L$10,IF(D343="S. americanus",F343*[1]Sheet1!$C$6+E343*[1]Sheet1!$D$6+[1]Sheet1!$L$6,IF(AND(OR(D343="T. domingensis",D343="T. latifolia"),E343&gt;0),F343*[1]Sheet1!$C$4+E343*[1]Sheet1!$D$4+H343*[1]Sheet1!$J$4+I343*[1]Sheet1!$K$4+[1]Sheet1!$L$4,IF(AND(OR(D343="T. domingensis",D343="T. latifolia"),J343&gt;0),J343*[1]Sheet1!$G$5+K343*[1]Sheet1!$H$5+L343*[1]Sheet1!$I$5+[1]Sheet1!$L$5,0)))))))</f>
        <v>10.061347999999999</v>
      </c>
    </row>
    <row r="344" spans="1:15">
      <c r="A344" s="6">
        <v>41534</v>
      </c>
      <c r="B344" s="7" t="s">
        <v>35</v>
      </c>
      <c r="C344">
        <v>9</v>
      </c>
      <c r="D344" t="s">
        <v>24</v>
      </c>
      <c r="E344">
        <v>216</v>
      </c>
      <c r="F344">
        <v>2.08</v>
      </c>
      <c r="G344">
        <v>14</v>
      </c>
      <c r="N344">
        <f t="shared" si="6"/>
        <v>244.65194956799999</v>
      </c>
      <c r="O344">
        <f>IF(AND(OR(D344="S. acutus",D344="S. californicus",D344="S. tabernaemontani"),G344=0),E344*[1]Sheet1!$D$7+[1]Sheet1!$L$7,IF(AND(OR(D344="S. acutus",D344="S. tabernaemontani"),G344&gt;0),E344*[1]Sheet1!$D$8+N344*[1]Sheet1!$E$8,IF(AND(D344="S. californicus",G344&gt;0),E344*[1]Sheet1!$D$9+N344*[1]Sheet1!$E$9,IF(D344="S. maritimus",F344*[1]Sheet1!$C$10+E344*[1]Sheet1!$D$10+G344*[1]Sheet1!$F$10+[1]Sheet1!$L$10,IF(D344="S. americanus",F344*[1]Sheet1!$C$6+E344*[1]Sheet1!$D$6+[1]Sheet1!$L$6,IF(AND(OR(D344="T. domingensis",D344="T. latifolia"),E344&gt;0),F344*[1]Sheet1!$C$4+E344*[1]Sheet1!$D$4+H344*[1]Sheet1!$J$4+I344*[1]Sheet1!$K$4+[1]Sheet1!$L$4,IF(AND(OR(D344="T. domingensis",D344="T. latifolia"),J344&gt;0),J344*[1]Sheet1!$G$5+K344*[1]Sheet1!$H$5+L344*[1]Sheet1!$I$5+[1]Sheet1!$L$5,0)))))))</f>
        <v>16.195546562844211</v>
      </c>
    </row>
    <row r="345" spans="1:15">
      <c r="A345" s="6">
        <v>41534</v>
      </c>
      <c r="B345" s="7" t="s">
        <v>35</v>
      </c>
      <c r="C345">
        <v>9</v>
      </c>
      <c r="D345" t="s">
        <v>25</v>
      </c>
      <c r="E345">
        <v>318</v>
      </c>
      <c r="F345">
        <v>2.12</v>
      </c>
      <c r="N345">
        <f t="shared" si="6"/>
        <v>374.16839554400002</v>
      </c>
      <c r="O345">
        <f>IF(AND(OR(D345="S. acutus",D345="S. californicus",D345="S. tabernaemontani"),G345=0),E345*[1]Sheet1!$D$7+[1]Sheet1!$L$7,IF(AND(OR(D345="S. acutus",D345="S. tabernaemontani"),G345&gt;0),E345*[1]Sheet1!$D$8+N345*[1]Sheet1!$E$8,IF(AND(D345="S. californicus",G345&gt;0),E345*[1]Sheet1!$D$9+N345*[1]Sheet1!$E$9,IF(D345="S. maritimus",F345*[1]Sheet1!$C$10+E345*[1]Sheet1!$D$10+G345*[1]Sheet1!$F$10+[1]Sheet1!$L$10,IF(D345="S. americanus",F345*[1]Sheet1!$C$6+E345*[1]Sheet1!$D$6+[1]Sheet1!$L$6,IF(AND(OR(D345="T. domingensis",D345="T. latifolia"),E345&gt;0),F345*[1]Sheet1!$C$4+E345*[1]Sheet1!$D$4+H345*[1]Sheet1!$J$4+I345*[1]Sheet1!$K$4+[1]Sheet1!$L$4,IF(AND(OR(D345="T. domingensis",D345="T. latifolia"),J345&gt;0),J345*[1]Sheet1!$G$5+K345*[1]Sheet1!$H$5+L345*[1]Sheet1!$I$5+[1]Sheet1!$L$5,0)))))))</f>
        <v>17.702793</v>
      </c>
    </row>
    <row r="346" spans="1:15">
      <c r="A346" s="6">
        <v>41534</v>
      </c>
      <c r="B346" s="7" t="s">
        <v>35</v>
      </c>
      <c r="C346">
        <v>18</v>
      </c>
      <c r="D346" t="s">
        <v>23</v>
      </c>
      <c r="E346">
        <v>242</v>
      </c>
      <c r="F346">
        <v>5.25</v>
      </c>
      <c r="H346">
        <v>29</v>
      </c>
      <c r="I346">
        <v>2.2000000000000002</v>
      </c>
      <c r="N346" t="str">
        <f t="shared" si="6"/>
        <v>NA</v>
      </c>
      <c r="O346">
        <f>IF(AND(OR(D346="S. acutus",D346="S. californicus",D346="S. tabernaemontani"),G346=0),E346*[1]Sheet1!$D$7+[1]Sheet1!$L$7,IF(AND(OR(D346="S. acutus",D346="S. tabernaemontani"),G346&gt;0),E346*[1]Sheet1!$D$8+N346*[1]Sheet1!$E$8,IF(AND(D346="S. californicus",G346&gt;0),E346*[1]Sheet1!$D$9+N346*[1]Sheet1!$E$9,IF(D346="S. maritimus",F346*[1]Sheet1!$C$10+E346*[1]Sheet1!$D$10+G346*[1]Sheet1!$F$10+[1]Sheet1!$L$10,IF(D346="S. americanus",F346*[1]Sheet1!$C$6+E346*[1]Sheet1!$D$6+[1]Sheet1!$L$6,IF(AND(OR(D346="T. domingensis",D346="T. latifolia"),E346&gt;0),F346*[1]Sheet1!$C$4+E346*[1]Sheet1!$D$4+H346*[1]Sheet1!$J$4+I346*[1]Sheet1!$K$4+[1]Sheet1!$L$4,IF(AND(OR(D346="T. domingensis",D346="T. latifolia"),J346&gt;0),J346*[1]Sheet1!$G$5+K346*[1]Sheet1!$H$5+L346*[1]Sheet1!$I$5+[1]Sheet1!$L$5,0)))))))</f>
        <v>141.90510705000003</v>
      </c>
    </row>
    <row r="347" spans="1:15">
      <c r="A347" s="6">
        <v>41534</v>
      </c>
      <c r="B347" s="7" t="s">
        <v>35</v>
      </c>
      <c r="C347">
        <v>18</v>
      </c>
      <c r="D347" t="s">
        <v>23</v>
      </c>
      <c r="E347">
        <v>280</v>
      </c>
      <c r="F347">
        <v>2.68</v>
      </c>
      <c r="H347">
        <v>31</v>
      </c>
      <c r="I347">
        <v>2.5</v>
      </c>
      <c r="N347" t="str">
        <f t="shared" si="6"/>
        <v>NA</v>
      </c>
      <c r="O347">
        <f>IF(AND(OR(D347="S. acutus",D347="S. californicus",D347="S. tabernaemontani"),G347=0),E347*[1]Sheet1!$D$7+[1]Sheet1!$L$7,IF(AND(OR(D347="S. acutus",D347="S. tabernaemontani"),G347&gt;0),E347*[1]Sheet1!$D$8+N347*[1]Sheet1!$E$8,IF(AND(D347="S. californicus",G347&gt;0),E347*[1]Sheet1!$D$9+N347*[1]Sheet1!$E$9,IF(D347="S. maritimus",F347*[1]Sheet1!$C$10+E347*[1]Sheet1!$D$10+G347*[1]Sheet1!$F$10+[1]Sheet1!$L$10,IF(D347="S. americanus",F347*[1]Sheet1!$C$6+E347*[1]Sheet1!$D$6+[1]Sheet1!$L$6,IF(AND(OR(D347="T. domingensis",D347="T. latifolia"),E347&gt;0),F347*[1]Sheet1!$C$4+E347*[1]Sheet1!$D$4+H347*[1]Sheet1!$J$4+I347*[1]Sheet1!$K$4+[1]Sheet1!$L$4,IF(AND(OR(D347="T. domingensis",D347="T. latifolia"),J347&gt;0),J347*[1]Sheet1!$G$5+K347*[1]Sheet1!$H$5+L347*[1]Sheet1!$I$5+[1]Sheet1!$L$5,0)))))))</f>
        <v>111.04987976000001</v>
      </c>
    </row>
    <row r="348" spans="1:15">
      <c r="A348" s="6">
        <v>41534</v>
      </c>
      <c r="B348" s="7" t="s">
        <v>35</v>
      </c>
      <c r="C348">
        <v>18</v>
      </c>
      <c r="D348" t="s">
        <v>23</v>
      </c>
      <c r="E348">
        <v>291</v>
      </c>
      <c r="F348">
        <v>3.58</v>
      </c>
      <c r="H348">
        <v>38</v>
      </c>
      <c r="I348">
        <v>2.5</v>
      </c>
      <c r="N348" t="str">
        <f t="shared" si="6"/>
        <v>NA</v>
      </c>
      <c r="O348">
        <f>IF(AND(OR(D348="S. acutus",D348="S. californicus",D348="S. tabernaemontani"),G348=0),E348*[1]Sheet1!$D$7+[1]Sheet1!$L$7,IF(AND(OR(D348="S. acutus",D348="S. tabernaemontani"),G348&gt;0),E348*[1]Sheet1!$D$8+N348*[1]Sheet1!$E$8,IF(AND(D348="S. californicus",G348&gt;0),E348*[1]Sheet1!$D$9+N348*[1]Sheet1!$E$9,IF(D348="S. maritimus",F348*[1]Sheet1!$C$10+E348*[1]Sheet1!$D$10+G348*[1]Sheet1!$F$10+[1]Sheet1!$L$10,IF(D348="S. americanus",F348*[1]Sheet1!$C$6+E348*[1]Sheet1!$D$6+[1]Sheet1!$L$6,IF(AND(OR(D348="T. domingensis",D348="T. latifolia"),E348&gt;0),F348*[1]Sheet1!$C$4+E348*[1]Sheet1!$D$4+H348*[1]Sheet1!$J$4+I348*[1]Sheet1!$K$4+[1]Sheet1!$L$4,IF(AND(OR(D348="T. domingensis",D348="T. latifolia"),J348&gt;0),J348*[1]Sheet1!$G$5+K348*[1]Sheet1!$H$5+L348*[1]Sheet1!$I$5+[1]Sheet1!$L$5,0)))))))</f>
        <v>138.24087666</v>
      </c>
    </row>
    <row r="349" spans="1:15">
      <c r="A349" s="6">
        <v>41534</v>
      </c>
      <c r="B349" s="7" t="s">
        <v>35</v>
      </c>
      <c r="C349">
        <v>18</v>
      </c>
      <c r="D349" t="s">
        <v>23</v>
      </c>
      <c r="E349">
        <v>294</v>
      </c>
      <c r="F349">
        <v>2.67</v>
      </c>
      <c r="H349">
        <v>35</v>
      </c>
      <c r="I349">
        <v>2.7</v>
      </c>
      <c r="N349" t="str">
        <f t="shared" si="6"/>
        <v>NA</v>
      </c>
      <c r="O349">
        <f>IF(AND(OR(D349="S. acutus",D349="S. californicus",D349="S. tabernaemontani"),G349=0),E349*[1]Sheet1!$D$7+[1]Sheet1!$L$7,IF(AND(OR(D349="S. acutus",D349="S. tabernaemontani"),G349&gt;0),E349*[1]Sheet1!$D$8+N349*[1]Sheet1!$E$8,IF(AND(D349="S. californicus",G349&gt;0),E349*[1]Sheet1!$D$9+N349*[1]Sheet1!$E$9,IF(D349="S. maritimus",F349*[1]Sheet1!$C$10+E349*[1]Sheet1!$D$10+G349*[1]Sheet1!$F$10+[1]Sheet1!$L$10,IF(D349="S. americanus",F349*[1]Sheet1!$C$6+E349*[1]Sheet1!$D$6+[1]Sheet1!$L$6,IF(AND(OR(D349="T. domingensis",D349="T. latifolia"),E349&gt;0),F349*[1]Sheet1!$C$4+E349*[1]Sheet1!$D$4+H349*[1]Sheet1!$J$4+I349*[1]Sheet1!$K$4+[1]Sheet1!$L$4,IF(AND(OR(D349="T. domingensis",D349="T. latifolia"),J349&gt;0),J349*[1]Sheet1!$G$5+K349*[1]Sheet1!$H$5+L349*[1]Sheet1!$I$5+[1]Sheet1!$L$5,0)))))))</f>
        <v>122.32763879000001</v>
      </c>
    </row>
    <row r="350" spans="1:15">
      <c r="A350" s="6">
        <v>41534</v>
      </c>
      <c r="B350" s="7" t="s">
        <v>35</v>
      </c>
      <c r="C350">
        <v>19</v>
      </c>
      <c r="D350" t="s">
        <v>23</v>
      </c>
      <c r="E350">
        <v>272</v>
      </c>
      <c r="F350">
        <v>3.4</v>
      </c>
      <c r="H350">
        <v>22</v>
      </c>
      <c r="I350">
        <v>2</v>
      </c>
      <c r="N350" t="str">
        <f t="shared" si="6"/>
        <v>NA</v>
      </c>
      <c r="O350">
        <f>IF(AND(OR(D350="S. acutus",D350="S. californicus",D350="S. tabernaemontani"),G350=0),E350*[1]Sheet1!$D$7+[1]Sheet1!$L$7,IF(AND(OR(D350="S. acutus",D350="S. tabernaemontani"),G350&gt;0),E350*[1]Sheet1!$D$8+N350*[1]Sheet1!$E$8,IF(AND(D350="S. californicus",G350&gt;0),E350*[1]Sheet1!$D$9+N350*[1]Sheet1!$E$9,IF(D350="S. maritimus",F350*[1]Sheet1!$C$10+E350*[1]Sheet1!$D$10+G350*[1]Sheet1!$F$10+[1]Sheet1!$L$10,IF(D350="S. americanus",F350*[1]Sheet1!$C$6+E350*[1]Sheet1!$D$6+[1]Sheet1!$L$6,IF(AND(OR(D350="T. domingensis",D350="T. latifolia"),E350&gt;0),F350*[1]Sheet1!$C$4+E350*[1]Sheet1!$D$4+H350*[1]Sheet1!$J$4+I350*[1]Sheet1!$K$4+[1]Sheet1!$L$4,IF(AND(OR(D350="T. domingensis",D350="T. latifolia"),J350&gt;0),J350*[1]Sheet1!$G$5+K350*[1]Sheet1!$H$5+L350*[1]Sheet1!$I$5+[1]Sheet1!$L$5,0)))))))</f>
        <v>105.37837459999997</v>
      </c>
    </row>
    <row r="351" spans="1:15">
      <c r="A351" s="6">
        <v>41534</v>
      </c>
      <c r="B351" s="7" t="s">
        <v>35</v>
      </c>
      <c r="C351">
        <v>19</v>
      </c>
      <c r="D351" t="s">
        <v>23</v>
      </c>
      <c r="E351">
        <v>243</v>
      </c>
      <c r="F351">
        <v>2.44</v>
      </c>
      <c r="H351">
        <v>27</v>
      </c>
      <c r="I351">
        <v>2.5</v>
      </c>
      <c r="N351" t="str">
        <f t="shared" si="6"/>
        <v>NA</v>
      </c>
      <c r="O351">
        <f>IF(AND(OR(D351="S. acutus",D351="S. californicus",D351="S. tabernaemontani"),G351=0),E351*[1]Sheet1!$D$7+[1]Sheet1!$L$7,IF(AND(OR(D351="S. acutus",D351="S. tabernaemontani"),G351&gt;0),E351*[1]Sheet1!$D$8+N351*[1]Sheet1!$E$8,IF(AND(D351="S. californicus",G351&gt;0),E351*[1]Sheet1!$D$9+N351*[1]Sheet1!$E$9,IF(D351="S. maritimus",F351*[1]Sheet1!$C$10+E351*[1]Sheet1!$D$10+G351*[1]Sheet1!$F$10+[1]Sheet1!$L$10,IF(D351="S. americanus",F351*[1]Sheet1!$C$6+E351*[1]Sheet1!$D$6+[1]Sheet1!$L$6,IF(AND(OR(D351="T. domingensis",D351="T. latifolia"),E351&gt;0),F351*[1]Sheet1!$C$4+E351*[1]Sheet1!$D$4+H351*[1]Sheet1!$J$4+I351*[1]Sheet1!$K$4+[1]Sheet1!$L$4,IF(AND(OR(D351="T. domingensis",D351="T. latifolia"),J351&gt;0),J351*[1]Sheet1!$G$5+K351*[1]Sheet1!$H$5+L351*[1]Sheet1!$I$5+[1]Sheet1!$L$5,0)))))))</f>
        <v>91.462151479999989</v>
      </c>
    </row>
    <row r="352" spans="1:15">
      <c r="A352" s="6">
        <v>41534</v>
      </c>
      <c r="B352" s="7" t="s">
        <v>35</v>
      </c>
      <c r="C352">
        <v>19</v>
      </c>
      <c r="D352" t="s">
        <v>23</v>
      </c>
      <c r="E352">
        <v>252</v>
      </c>
      <c r="F352">
        <v>3.37</v>
      </c>
      <c r="H352">
        <v>35</v>
      </c>
      <c r="I352">
        <v>3</v>
      </c>
      <c r="N352" t="str">
        <f t="shared" si="6"/>
        <v>NA</v>
      </c>
      <c r="O352">
        <f>IF(AND(OR(D352="S. acutus",D352="S. californicus",D352="S. tabernaemontani"),G352=0),E352*[1]Sheet1!$D$7+[1]Sheet1!$L$7,IF(AND(OR(D352="S. acutus",D352="S. tabernaemontani"),G352&gt;0),E352*[1]Sheet1!$D$8+N352*[1]Sheet1!$E$8,IF(AND(D352="S. californicus",G352&gt;0),E352*[1]Sheet1!$D$9+N352*[1]Sheet1!$E$9,IF(D352="S. maritimus",F352*[1]Sheet1!$C$10+E352*[1]Sheet1!$D$10+G352*[1]Sheet1!$F$10+[1]Sheet1!$L$10,IF(D352="S. americanus",F352*[1]Sheet1!$C$6+E352*[1]Sheet1!$D$6+[1]Sheet1!$L$6,IF(AND(OR(D352="T. domingensis",D352="T. latifolia"),E352&gt;0),F352*[1]Sheet1!$C$4+E352*[1]Sheet1!$D$4+H352*[1]Sheet1!$J$4+I352*[1]Sheet1!$K$4+[1]Sheet1!$L$4,IF(AND(OR(D352="T. domingensis",D352="T. latifolia"),J352&gt;0),J352*[1]Sheet1!$G$5+K352*[1]Sheet1!$H$5+L352*[1]Sheet1!$I$5+[1]Sheet1!$L$5,0)))))))</f>
        <v>128.29129669000002</v>
      </c>
    </row>
    <row r="353" spans="1:15">
      <c r="A353" s="6">
        <v>41534</v>
      </c>
      <c r="B353" s="7" t="s">
        <v>35</v>
      </c>
      <c r="C353">
        <v>19</v>
      </c>
      <c r="D353" t="s">
        <v>23</v>
      </c>
      <c r="E353">
        <v>266</v>
      </c>
      <c r="F353">
        <v>3.32</v>
      </c>
      <c r="H353">
        <v>20</v>
      </c>
      <c r="I353">
        <v>1.9</v>
      </c>
      <c r="N353" t="str">
        <f t="shared" si="6"/>
        <v>NA</v>
      </c>
      <c r="O353">
        <f>IF(AND(OR(D353="S. acutus",D353="S. californicus",D353="S. tabernaemontani"),G353=0),E353*[1]Sheet1!$D$7+[1]Sheet1!$L$7,IF(AND(OR(D353="S. acutus",D353="S. tabernaemontani"),G353&gt;0),E353*[1]Sheet1!$D$8+N353*[1]Sheet1!$E$8,IF(AND(D353="S. californicus",G353&gt;0),E353*[1]Sheet1!$D$9+N353*[1]Sheet1!$E$9,IF(D353="S. maritimus",F353*[1]Sheet1!$C$10+E353*[1]Sheet1!$D$10+G353*[1]Sheet1!$F$10+[1]Sheet1!$L$10,IF(D353="S. americanus",F353*[1]Sheet1!$C$6+E353*[1]Sheet1!$D$6+[1]Sheet1!$L$6,IF(AND(OR(D353="T. domingensis",D353="T. latifolia"),E353&gt;0),F353*[1]Sheet1!$C$4+E353*[1]Sheet1!$D$4+H353*[1]Sheet1!$J$4+I353*[1]Sheet1!$K$4+[1]Sheet1!$L$4,IF(AND(OR(D353="T. domingensis",D353="T. latifolia"),J353&gt;0),J353*[1]Sheet1!$G$5+K353*[1]Sheet1!$H$5+L353*[1]Sheet1!$I$5+[1]Sheet1!$L$5,0)))))))</f>
        <v>98.406022839999991</v>
      </c>
    </row>
    <row r="354" spans="1:15">
      <c r="A354" s="6">
        <v>41534</v>
      </c>
      <c r="B354" s="7" t="s">
        <v>35</v>
      </c>
      <c r="C354">
        <v>19</v>
      </c>
      <c r="D354" t="s">
        <v>23</v>
      </c>
      <c r="E354">
        <v>263</v>
      </c>
      <c r="F354">
        <v>2.67</v>
      </c>
      <c r="H354">
        <v>29</v>
      </c>
      <c r="I354">
        <v>2</v>
      </c>
      <c r="N354" t="str">
        <f t="shared" si="6"/>
        <v>NA</v>
      </c>
      <c r="O354">
        <f>IF(AND(OR(D354="S. acutus",D354="S. californicus",D354="S. tabernaemontani"),G354=0),E354*[1]Sheet1!$D$7+[1]Sheet1!$L$7,IF(AND(OR(D354="S. acutus",D354="S. tabernaemontani"),G354&gt;0),E354*[1]Sheet1!$D$8+N354*[1]Sheet1!$E$8,IF(AND(D354="S. californicus",G354&gt;0),E354*[1]Sheet1!$D$9+N354*[1]Sheet1!$E$9,IF(D354="S. maritimus",F354*[1]Sheet1!$C$10+E354*[1]Sheet1!$D$10+G354*[1]Sheet1!$F$10+[1]Sheet1!$L$10,IF(D354="S. americanus",F354*[1]Sheet1!$C$6+E354*[1]Sheet1!$D$6+[1]Sheet1!$L$6,IF(AND(OR(D354="T. domingensis",D354="T. latifolia"),E354&gt;0),F354*[1]Sheet1!$C$4+E354*[1]Sheet1!$D$4+H354*[1]Sheet1!$J$4+I354*[1]Sheet1!$K$4+[1]Sheet1!$L$4,IF(AND(OR(D354="T. domingensis",D354="T. latifolia"),J354&gt;0),J354*[1]Sheet1!$G$5+K354*[1]Sheet1!$H$5+L354*[1]Sheet1!$I$5+[1]Sheet1!$L$5,0)))))))</f>
        <v>95.092969789999984</v>
      </c>
    </row>
    <row r="355" spans="1:15">
      <c r="A355" s="6">
        <v>41534</v>
      </c>
      <c r="B355" s="7" t="s">
        <v>35</v>
      </c>
      <c r="C355">
        <v>19</v>
      </c>
      <c r="D355" t="s">
        <v>23</v>
      </c>
      <c r="E355">
        <v>272</v>
      </c>
      <c r="F355">
        <v>2.5299999999999998</v>
      </c>
      <c r="H355">
        <v>32</v>
      </c>
      <c r="I355">
        <v>2.7</v>
      </c>
      <c r="N355" t="str">
        <f t="shared" si="6"/>
        <v>NA</v>
      </c>
      <c r="O355">
        <f>IF(AND(OR(D355="S. acutus",D355="S. californicus",D355="S. tabernaemontani"),G355=0),E355*[1]Sheet1!$D$7+[1]Sheet1!$L$7,IF(AND(OR(D355="S. acutus",D355="S. tabernaemontani"),G355&gt;0),E355*[1]Sheet1!$D$8+N355*[1]Sheet1!$E$8,IF(AND(D355="S. californicus",G355&gt;0),E355*[1]Sheet1!$D$9+N355*[1]Sheet1!$E$9,IF(D355="S. maritimus",F355*[1]Sheet1!$C$10+E355*[1]Sheet1!$D$10+G355*[1]Sheet1!$F$10+[1]Sheet1!$L$10,IF(D355="S. americanus",F355*[1]Sheet1!$C$6+E355*[1]Sheet1!$D$6+[1]Sheet1!$L$6,IF(AND(OR(D355="T. domingensis",D355="T. latifolia"),E355&gt;0),F355*[1]Sheet1!$C$4+E355*[1]Sheet1!$D$4+H355*[1]Sheet1!$J$4+I355*[1]Sheet1!$K$4+[1]Sheet1!$L$4,IF(AND(OR(D355="T. domingensis",D355="T. latifolia"),J355&gt;0),J355*[1]Sheet1!$G$5+K355*[1]Sheet1!$H$5+L355*[1]Sheet1!$I$5+[1]Sheet1!$L$5,0)))))))</f>
        <v>110.15469741000001</v>
      </c>
    </row>
    <row r="356" spans="1:15">
      <c r="A356" s="6">
        <v>41534</v>
      </c>
      <c r="B356" s="7" t="s">
        <v>35</v>
      </c>
      <c r="C356">
        <v>19</v>
      </c>
      <c r="D356" t="s">
        <v>23</v>
      </c>
      <c r="E356">
        <v>262</v>
      </c>
      <c r="F356">
        <v>2.78</v>
      </c>
      <c r="H356">
        <v>22</v>
      </c>
      <c r="I356">
        <v>2.5</v>
      </c>
      <c r="N356" t="str">
        <f t="shared" si="6"/>
        <v>NA</v>
      </c>
      <c r="O356">
        <f>IF(AND(OR(D356="S. acutus",D356="S. californicus",D356="S. tabernaemontani"),G356=0),E356*[1]Sheet1!$D$7+[1]Sheet1!$L$7,IF(AND(OR(D356="S. acutus",D356="S. tabernaemontani"),G356&gt;0),E356*[1]Sheet1!$D$8+N356*[1]Sheet1!$E$8,IF(AND(D356="S. californicus",G356&gt;0),E356*[1]Sheet1!$D$9+N356*[1]Sheet1!$E$9,IF(D356="S. maritimus",F356*[1]Sheet1!$C$10+E356*[1]Sheet1!$D$10+G356*[1]Sheet1!$F$10+[1]Sheet1!$L$10,IF(D356="S. americanus",F356*[1]Sheet1!$C$6+E356*[1]Sheet1!$D$6+[1]Sheet1!$L$6,IF(AND(OR(D356="T. domingensis",D356="T. latifolia"),E356&gt;0),F356*[1]Sheet1!$C$4+E356*[1]Sheet1!$D$4+H356*[1]Sheet1!$J$4+I356*[1]Sheet1!$K$4+[1]Sheet1!$L$4,IF(AND(OR(D356="T. domingensis",D356="T. latifolia"),J356&gt;0),J356*[1]Sheet1!$G$5+K356*[1]Sheet1!$H$5+L356*[1]Sheet1!$I$5+[1]Sheet1!$L$5,0)))))))</f>
        <v>99.134266059999987</v>
      </c>
    </row>
    <row r="357" spans="1:15">
      <c r="A357" s="6">
        <v>41534</v>
      </c>
      <c r="B357" s="7" t="s">
        <v>35</v>
      </c>
      <c r="C357">
        <v>19</v>
      </c>
      <c r="D357" t="s">
        <v>23</v>
      </c>
      <c r="E357">
        <v>279</v>
      </c>
      <c r="F357">
        <v>3.05</v>
      </c>
      <c r="H357">
        <v>34</v>
      </c>
      <c r="I357">
        <v>2</v>
      </c>
      <c r="N357" t="str">
        <f t="shared" si="6"/>
        <v>NA</v>
      </c>
      <c r="O357">
        <f>IF(AND(OR(D357="S. acutus",D357="S. californicus",D357="S. tabernaemontani"),G357=0),E357*[1]Sheet1!$D$7+[1]Sheet1!$L$7,IF(AND(OR(D357="S. acutus",D357="S. tabernaemontani"),G357&gt;0),E357*[1]Sheet1!$D$8+N357*[1]Sheet1!$E$8,IF(AND(D357="S. californicus",G357&gt;0),E357*[1]Sheet1!$D$9+N357*[1]Sheet1!$E$9,IF(D357="S. maritimus",F357*[1]Sheet1!$C$10+E357*[1]Sheet1!$D$10+G357*[1]Sheet1!$F$10+[1]Sheet1!$L$10,IF(D357="S. americanus",F357*[1]Sheet1!$C$6+E357*[1]Sheet1!$D$6+[1]Sheet1!$L$6,IF(AND(OR(D357="T. domingensis",D357="T. latifolia"),E357&gt;0),F357*[1]Sheet1!$C$4+E357*[1]Sheet1!$D$4+H357*[1]Sheet1!$J$4+I357*[1]Sheet1!$K$4+[1]Sheet1!$L$4,IF(AND(OR(D357="T. domingensis",D357="T. latifolia"),J357&gt;0),J357*[1]Sheet1!$G$5+K357*[1]Sheet1!$H$5+L357*[1]Sheet1!$I$5+[1]Sheet1!$L$5,0)))))))</f>
        <v>111.92617444999996</v>
      </c>
    </row>
    <row r="358" spans="1:15">
      <c r="A358" s="6">
        <v>41534</v>
      </c>
      <c r="B358" s="7" t="s">
        <v>35</v>
      </c>
      <c r="C358">
        <v>19</v>
      </c>
      <c r="D358" t="s">
        <v>23</v>
      </c>
      <c r="E358">
        <v>291</v>
      </c>
      <c r="F358">
        <v>2.2999999999999998</v>
      </c>
      <c r="H358">
        <v>30</v>
      </c>
      <c r="I358">
        <v>2.8</v>
      </c>
      <c r="N358" t="str">
        <f t="shared" si="6"/>
        <v>NA</v>
      </c>
      <c r="O358">
        <f>IF(AND(OR(D358="S. acutus",D358="S. californicus",D358="S. tabernaemontani"),G358=0),E358*[1]Sheet1!$D$7+[1]Sheet1!$L$7,IF(AND(OR(D358="S. acutus",D358="S. tabernaemontani"),G358&gt;0),E358*[1]Sheet1!$D$8+N358*[1]Sheet1!$E$8,IF(AND(D358="S. californicus",G358&gt;0),E358*[1]Sheet1!$D$9+N358*[1]Sheet1!$E$9,IF(D358="S. maritimus",F358*[1]Sheet1!$C$10+E358*[1]Sheet1!$D$10+G358*[1]Sheet1!$F$10+[1]Sheet1!$L$10,IF(D358="S. americanus",F358*[1]Sheet1!$C$6+E358*[1]Sheet1!$D$6+[1]Sheet1!$L$6,IF(AND(OR(D358="T. domingensis",D358="T. latifolia"),E358&gt;0),F358*[1]Sheet1!$C$4+E358*[1]Sheet1!$D$4+H358*[1]Sheet1!$J$4+I358*[1]Sheet1!$K$4+[1]Sheet1!$L$4,IF(AND(OR(D358="T. domingensis",D358="T. latifolia"),J358&gt;0),J358*[1]Sheet1!$G$5+K358*[1]Sheet1!$H$5+L358*[1]Sheet1!$I$5+[1]Sheet1!$L$5,0)))))))</f>
        <v>111.38511969999999</v>
      </c>
    </row>
    <row r="359" spans="1:15">
      <c r="A359" s="6">
        <v>41534</v>
      </c>
      <c r="B359" s="7" t="s">
        <v>35</v>
      </c>
      <c r="C359">
        <v>26</v>
      </c>
      <c r="D359" t="s">
        <v>19</v>
      </c>
      <c r="F359">
        <v>2.2599999999999998</v>
      </c>
      <c r="J359">
        <f>195+151+137+166</f>
        <v>649</v>
      </c>
      <c r="K359">
        <v>4</v>
      </c>
      <c r="L359">
        <v>166</v>
      </c>
      <c r="N359" t="str">
        <f t="shared" si="6"/>
        <v>NA</v>
      </c>
      <c r="O359">
        <f>IF(AND(OR(D359="S. acutus",D359="S. californicus",D359="S. tabernaemontani"),G359=0),E359*[1]Sheet1!$D$7+[1]Sheet1!$L$7,IF(AND(OR(D359="S. acutus",D359="S. tabernaemontani"),G359&gt;0),E359*[1]Sheet1!$D$8+N359*[1]Sheet1!$E$8,IF(AND(D359="S. californicus",G359&gt;0),E359*[1]Sheet1!$D$9+N359*[1]Sheet1!$E$9,IF(D359="S. maritimus",F359*[1]Sheet1!$C$10+E359*[1]Sheet1!$D$10+G359*[1]Sheet1!$F$10+[1]Sheet1!$L$10,IF(D359="S. americanus",F359*[1]Sheet1!$C$6+E359*[1]Sheet1!$D$6+[1]Sheet1!$L$6,IF(AND(OR(D359="T. domingensis",D359="T. latifolia"),E359&gt;0),F359*[1]Sheet1!$C$4+E359*[1]Sheet1!$D$4+H359*[1]Sheet1!$J$4+I359*[1]Sheet1!$K$4+[1]Sheet1!$L$4,IF(AND(OR(D359="T. domingensis",D359="T. latifolia"),J359&gt;0),J359*[1]Sheet1!$G$5+K359*[1]Sheet1!$H$5+L359*[1]Sheet1!$I$5+[1]Sheet1!$L$5,0)))))))</f>
        <v>15.787896999999994</v>
      </c>
    </row>
    <row r="360" spans="1:15">
      <c r="A360" s="6">
        <v>41534</v>
      </c>
      <c r="B360" s="7" t="s">
        <v>35</v>
      </c>
      <c r="C360">
        <v>26</v>
      </c>
      <c r="D360" t="s">
        <v>19</v>
      </c>
      <c r="F360">
        <v>9.6300000000000008</v>
      </c>
      <c r="J360">
        <f>193+227+275+260+287+264+289+303</f>
        <v>2098</v>
      </c>
      <c r="K360">
        <v>8</v>
      </c>
      <c r="L360">
        <v>303</v>
      </c>
      <c r="N360" t="str">
        <f t="shared" si="6"/>
        <v>NA</v>
      </c>
      <c r="O360">
        <f>IF(AND(OR(D360="S. acutus",D360="S. californicus",D360="S. tabernaemontani"),G360=0),E360*[1]Sheet1!$D$7+[1]Sheet1!$L$7,IF(AND(OR(D360="S. acutus",D360="S. tabernaemontani"),G360&gt;0),E360*[1]Sheet1!$D$8+N360*[1]Sheet1!$E$8,IF(AND(D360="S. californicus",G360&gt;0),E360*[1]Sheet1!$D$9+N360*[1]Sheet1!$E$9,IF(D360="S. maritimus",F360*[1]Sheet1!$C$10+E360*[1]Sheet1!$D$10+G360*[1]Sheet1!$F$10+[1]Sheet1!$L$10,IF(D360="S. americanus",F360*[1]Sheet1!$C$6+E360*[1]Sheet1!$D$6+[1]Sheet1!$L$6,IF(AND(OR(D360="T. domingensis",D360="T. latifolia"),E360&gt;0),F360*[1]Sheet1!$C$4+E360*[1]Sheet1!$D$4+H360*[1]Sheet1!$J$4+I360*[1]Sheet1!$K$4+[1]Sheet1!$L$4,IF(AND(OR(D360="T. domingensis",D360="T. latifolia"),J360&gt;0),J360*[1]Sheet1!$G$5+K360*[1]Sheet1!$H$5+L360*[1]Sheet1!$I$5+[1]Sheet1!$L$5,0)))))))</f>
        <v>82.278915000000012</v>
      </c>
    </row>
    <row r="361" spans="1:15">
      <c r="A361" s="6">
        <v>41534</v>
      </c>
      <c r="B361" s="7" t="s">
        <v>35</v>
      </c>
      <c r="C361">
        <v>26</v>
      </c>
      <c r="D361" t="s">
        <v>19</v>
      </c>
      <c r="F361">
        <v>0.65</v>
      </c>
      <c r="J361">
        <f>20+48+52</f>
        <v>120</v>
      </c>
      <c r="K361">
        <v>3</v>
      </c>
      <c r="L361">
        <v>52</v>
      </c>
      <c r="N361" t="str">
        <f t="shared" si="6"/>
        <v>NA</v>
      </c>
      <c r="O361">
        <f>IF(AND(OR(D361="S. acutus",D361="S. californicus",D361="S. tabernaemontani"),G361=0),E361*[1]Sheet1!$D$7+[1]Sheet1!$L$7,IF(AND(OR(D361="S. acutus",D361="S. tabernaemontani"),G361&gt;0),E361*[1]Sheet1!$D$8+N361*[1]Sheet1!$E$8,IF(AND(D361="S. californicus",G361&gt;0),E361*[1]Sheet1!$D$9+N361*[1]Sheet1!$E$9,IF(D361="S. maritimus",F361*[1]Sheet1!$C$10+E361*[1]Sheet1!$D$10+G361*[1]Sheet1!$F$10+[1]Sheet1!$L$10,IF(D361="S. americanus",F361*[1]Sheet1!$C$6+E361*[1]Sheet1!$D$6+[1]Sheet1!$L$6,IF(AND(OR(D361="T. domingensis",D361="T. latifolia"),E361&gt;0),F361*[1]Sheet1!$C$4+E361*[1]Sheet1!$D$4+H361*[1]Sheet1!$J$4+I361*[1]Sheet1!$K$4+[1]Sheet1!$L$4,IF(AND(OR(D361="T. domingensis",D361="T. latifolia"),J361&gt;0),J361*[1]Sheet1!$G$5+K361*[1]Sheet1!$H$5+L361*[1]Sheet1!$I$5+[1]Sheet1!$L$5,0)))))))</f>
        <v>7.5557850000000002</v>
      </c>
    </row>
    <row r="362" spans="1:15">
      <c r="A362" s="6">
        <v>41534</v>
      </c>
      <c r="B362" s="7" t="s">
        <v>35</v>
      </c>
      <c r="C362">
        <v>26</v>
      </c>
      <c r="D362" t="s">
        <v>19</v>
      </c>
      <c r="F362">
        <v>4.45</v>
      </c>
      <c r="J362">
        <f>193+229+218+211+252+275+295+304</f>
        <v>1977</v>
      </c>
      <c r="K362">
        <v>8</v>
      </c>
      <c r="L362">
        <v>304</v>
      </c>
      <c r="N362" t="str">
        <f t="shared" si="6"/>
        <v>NA</v>
      </c>
      <c r="O362">
        <f>IF(AND(OR(D362="S. acutus",D362="S. californicus",D362="S. tabernaemontani"),G362=0),E362*[1]Sheet1!$D$7+[1]Sheet1!$L$7,IF(AND(OR(D362="S. acutus",D362="S. tabernaemontani"),G362&gt;0),E362*[1]Sheet1!$D$8+N362*[1]Sheet1!$E$8,IF(AND(D362="S. californicus",G362&gt;0),E362*[1]Sheet1!$D$9+N362*[1]Sheet1!$E$9,IF(D362="S. maritimus",F362*[1]Sheet1!$C$10+E362*[1]Sheet1!$D$10+G362*[1]Sheet1!$F$10+[1]Sheet1!$L$10,IF(D362="S. americanus",F362*[1]Sheet1!$C$6+E362*[1]Sheet1!$D$6+[1]Sheet1!$L$6,IF(AND(OR(D362="T. domingensis",D362="T. latifolia"),E362&gt;0),F362*[1]Sheet1!$C$4+E362*[1]Sheet1!$D$4+H362*[1]Sheet1!$J$4+I362*[1]Sheet1!$K$4+[1]Sheet1!$L$4,IF(AND(OR(D362="T. domingensis",D362="T. latifolia"),J362&gt;0),J362*[1]Sheet1!$G$5+K362*[1]Sheet1!$H$5+L362*[1]Sheet1!$I$5+[1]Sheet1!$L$5,0)))))))</f>
        <v>70.63331500000001</v>
      </c>
    </row>
    <row r="363" spans="1:15">
      <c r="A363" s="6">
        <v>41534</v>
      </c>
      <c r="B363" s="7" t="s">
        <v>35</v>
      </c>
      <c r="C363">
        <v>26</v>
      </c>
      <c r="D363" t="s">
        <v>19</v>
      </c>
      <c r="F363">
        <v>1.45</v>
      </c>
      <c r="J363">
        <f>60+90+80+115</f>
        <v>345</v>
      </c>
      <c r="K363">
        <v>4</v>
      </c>
      <c r="L363">
        <v>115</v>
      </c>
      <c r="N363" t="str">
        <f t="shared" si="6"/>
        <v>NA</v>
      </c>
      <c r="O363">
        <f>IF(AND(OR(D363="S. acutus",D363="S. californicus",D363="S. tabernaemontani"),G363=0),E363*[1]Sheet1!$D$7+[1]Sheet1!$L$7,IF(AND(OR(D363="S. acutus",D363="S. tabernaemontani"),G363&gt;0),E363*[1]Sheet1!$D$8+N363*[1]Sheet1!$E$8,IF(AND(D363="S. californicus",G363&gt;0),E363*[1]Sheet1!$D$9+N363*[1]Sheet1!$E$9,IF(D363="S. maritimus",F363*[1]Sheet1!$C$10+E363*[1]Sheet1!$D$10+G363*[1]Sheet1!$F$10+[1]Sheet1!$L$10,IF(D363="S. americanus",F363*[1]Sheet1!$C$6+E363*[1]Sheet1!$D$6+[1]Sheet1!$L$6,IF(AND(OR(D363="T. domingensis",D363="T. latifolia"),E363&gt;0),F363*[1]Sheet1!$C$4+E363*[1]Sheet1!$D$4+H363*[1]Sheet1!$J$4+I363*[1]Sheet1!$K$4+[1]Sheet1!$L$4,IF(AND(OR(D363="T. domingensis",D363="T. latifolia"),J363&gt;0),J363*[1]Sheet1!$G$5+K363*[1]Sheet1!$H$5+L363*[1]Sheet1!$I$5+[1]Sheet1!$L$5,0)))))))</f>
        <v>2.6498719999999985</v>
      </c>
    </row>
    <row r="364" spans="1:15">
      <c r="A364" s="6">
        <v>41534</v>
      </c>
      <c r="B364" s="7" t="s">
        <v>35</v>
      </c>
      <c r="C364">
        <v>26</v>
      </c>
      <c r="D364" t="s">
        <v>19</v>
      </c>
      <c r="F364">
        <v>4.8</v>
      </c>
      <c r="J364">
        <f>220+229+218+211+252+275+295+304</f>
        <v>2004</v>
      </c>
      <c r="K364">
        <v>8</v>
      </c>
      <c r="L364">
        <v>304</v>
      </c>
      <c r="N364" t="str">
        <f t="shared" si="6"/>
        <v>NA</v>
      </c>
      <c r="O364">
        <f>IF(AND(OR(D364="S. acutus",D364="S. californicus",D364="S. tabernaemontani"),G364=0),E364*[1]Sheet1!$D$7+[1]Sheet1!$L$7,IF(AND(OR(D364="S. acutus",D364="S. tabernaemontani"),G364&gt;0),E364*[1]Sheet1!$D$8+N364*[1]Sheet1!$E$8,IF(AND(D364="S. californicus",G364&gt;0),E364*[1]Sheet1!$D$9+N364*[1]Sheet1!$E$9,IF(D364="S. maritimus",F364*[1]Sheet1!$C$10+E364*[1]Sheet1!$D$10+G364*[1]Sheet1!$F$10+[1]Sheet1!$L$10,IF(D364="S. americanus",F364*[1]Sheet1!$C$6+E364*[1]Sheet1!$D$6+[1]Sheet1!$L$6,IF(AND(OR(D364="T. domingensis",D364="T. latifolia"),E364&gt;0),F364*[1]Sheet1!$C$4+E364*[1]Sheet1!$D$4+H364*[1]Sheet1!$J$4+I364*[1]Sheet1!$K$4+[1]Sheet1!$L$4,IF(AND(OR(D364="T. domingensis",D364="T. latifolia"),J364&gt;0),J364*[1]Sheet1!$G$5+K364*[1]Sheet1!$H$5+L364*[1]Sheet1!$I$5+[1]Sheet1!$L$5,0)))))))</f>
        <v>73.164700000000011</v>
      </c>
    </row>
    <row r="365" spans="1:15">
      <c r="A365" s="6">
        <v>41534</v>
      </c>
      <c r="B365" s="7" t="s">
        <v>35</v>
      </c>
      <c r="C365">
        <v>26</v>
      </c>
      <c r="D365" t="s">
        <v>19</v>
      </c>
      <c r="F365">
        <v>4.62</v>
      </c>
      <c r="J365">
        <f>180+234+250+270+276+267</f>
        <v>1477</v>
      </c>
      <c r="K365">
        <v>6</v>
      </c>
      <c r="L365">
        <v>276</v>
      </c>
      <c r="N365" t="str">
        <f t="shared" si="6"/>
        <v>NA</v>
      </c>
      <c r="O365">
        <f>IF(AND(OR(D365="S. acutus",D365="S. californicus",D365="S. tabernaemontani"),G365=0),E365*[1]Sheet1!$D$7+[1]Sheet1!$L$7,IF(AND(OR(D365="S. acutus",D365="S. tabernaemontani"),G365&gt;0),E365*[1]Sheet1!$D$8+N365*[1]Sheet1!$E$8,IF(AND(D365="S. californicus",G365&gt;0),E365*[1]Sheet1!$D$9+N365*[1]Sheet1!$E$9,IF(D365="S. maritimus",F365*[1]Sheet1!$C$10+E365*[1]Sheet1!$D$10+G365*[1]Sheet1!$F$10+[1]Sheet1!$L$10,IF(D365="S. americanus",F365*[1]Sheet1!$C$6+E365*[1]Sheet1!$D$6+[1]Sheet1!$L$6,IF(AND(OR(D365="T. domingensis",D365="T. latifolia"),E365&gt;0),F365*[1]Sheet1!$C$4+E365*[1]Sheet1!$D$4+H365*[1]Sheet1!$J$4+I365*[1]Sheet1!$K$4+[1]Sheet1!$L$4,IF(AND(OR(D365="T. domingensis",D365="T. latifolia"),J365&gt;0),J365*[1]Sheet1!$G$5+K365*[1]Sheet1!$H$5+L365*[1]Sheet1!$I$5+[1]Sheet1!$L$5,0)))))))</f>
        <v>46.235380999999997</v>
      </c>
    </row>
    <row r="366" spans="1:15">
      <c r="A366" s="6">
        <v>41534</v>
      </c>
      <c r="B366" s="7" t="s">
        <v>35</v>
      </c>
      <c r="C366">
        <v>26</v>
      </c>
      <c r="D366" t="s">
        <v>19</v>
      </c>
      <c r="F366">
        <v>7.5</v>
      </c>
      <c r="J366">
        <f>157+154+186+229+264+260+226+86+120+100+157+160+166+218+248</f>
        <v>2731</v>
      </c>
      <c r="K366">
        <v>15</v>
      </c>
      <c r="L366">
        <v>248</v>
      </c>
      <c r="N366" t="str">
        <f t="shared" si="6"/>
        <v>NA</v>
      </c>
      <c r="O366">
        <f>IF(AND(OR(D366="S. acutus",D366="S. californicus",D366="S. tabernaemontani"),G366=0),E366*[1]Sheet1!$D$7+[1]Sheet1!$L$7,IF(AND(OR(D366="S. acutus",D366="S. tabernaemontani"),G366&gt;0),E366*[1]Sheet1!$D$8+N366*[1]Sheet1!$E$8,IF(AND(D366="S. californicus",G366&gt;0),E366*[1]Sheet1!$D$9+N366*[1]Sheet1!$E$9,IF(D366="S. maritimus",F366*[1]Sheet1!$C$10+E366*[1]Sheet1!$D$10+G366*[1]Sheet1!$F$10+[1]Sheet1!$L$10,IF(D366="S. americanus",F366*[1]Sheet1!$C$6+E366*[1]Sheet1!$D$6+[1]Sheet1!$L$6,IF(AND(OR(D366="T. domingensis",D366="T. latifolia"),E366&gt;0),F366*[1]Sheet1!$C$4+E366*[1]Sheet1!$D$4+H366*[1]Sheet1!$J$4+I366*[1]Sheet1!$K$4+[1]Sheet1!$L$4,IF(AND(OR(D366="T. domingensis",D366="T. latifolia"),J366&gt;0),J366*[1]Sheet1!$G$5+K366*[1]Sheet1!$H$5+L366*[1]Sheet1!$I$5+[1]Sheet1!$L$5,0)))))))</f>
        <v>109.03783400000003</v>
      </c>
    </row>
    <row r="367" spans="1:15">
      <c r="A367" s="6">
        <v>41534</v>
      </c>
      <c r="B367" s="7" t="s">
        <v>35</v>
      </c>
      <c r="C367">
        <v>33</v>
      </c>
      <c r="D367" t="s">
        <v>23</v>
      </c>
      <c r="E367">
        <v>331</v>
      </c>
      <c r="F367">
        <v>2.84</v>
      </c>
      <c r="H367">
        <v>37</v>
      </c>
      <c r="I367">
        <v>2.4</v>
      </c>
      <c r="N367" t="str">
        <f t="shared" si="6"/>
        <v>NA</v>
      </c>
      <c r="O367">
        <f>IF(AND(OR(D367="S. acutus",D367="S. californicus",D367="S. tabernaemontani"),G367=0),E367*[1]Sheet1!$D$7+[1]Sheet1!$L$7,IF(AND(OR(D367="S. acutus",D367="S. tabernaemontani"),G367&gt;0),E367*[1]Sheet1!$D$8+N367*[1]Sheet1!$E$8,IF(AND(D367="S. californicus",G367&gt;0),E367*[1]Sheet1!$D$9+N367*[1]Sheet1!$E$9,IF(D367="S. maritimus",F367*[1]Sheet1!$C$10+E367*[1]Sheet1!$D$10+G367*[1]Sheet1!$F$10+[1]Sheet1!$L$10,IF(D367="S. americanus",F367*[1]Sheet1!$C$6+E367*[1]Sheet1!$D$6+[1]Sheet1!$L$6,IF(AND(OR(D367="T. domingensis",D367="T. latifolia"),E367&gt;0),F367*[1]Sheet1!$C$4+E367*[1]Sheet1!$D$4+H367*[1]Sheet1!$J$4+I367*[1]Sheet1!$K$4+[1]Sheet1!$L$4,IF(AND(OR(D367="T. domingensis",D367="T. latifolia"),J367&gt;0),J367*[1]Sheet1!$G$5+K367*[1]Sheet1!$H$5+L367*[1]Sheet1!$I$5+[1]Sheet1!$L$5,0)))))))</f>
        <v>133.46382907999998</v>
      </c>
    </row>
    <row r="368" spans="1:15">
      <c r="A368" s="6">
        <v>41534</v>
      </c>
      <c r="B368" s="7" t="s">
        <v>35</v>
      </c>
      <c r="C368">
        <v>33</v>
      </c>
      <c r="D368" t="s">
        <v>23</v>
      </c>
      <c r="E368">
        <v>318</v>
      </c>
      <c r="F368">
        <v>2.2400000000000002</v>
      </c>
      <c r="H368">
        <v>36</v>
      </c>
      <c r="I368">
        <v>2.2999999999999998</v>
      </c>
      <c r="N368" t="str">
        <f t="shared" si="6"/>
        <v>NA</v>
      </c>
      <c r="O368">
        <f>IF(AND(OR(D368="S. acutus",D368="S. californicus",D368="S. tabernaemontani"),G368=0),E368*[1]Sheet1!$D$7+[1]Sheet1!$L$7,IF(AND(OR(D368="S. acutus",D368="S. tabernaemontani"),G368&gt;0),E368*[1]Sheet1!$D$8+N368*[1]Sheet1!$E$8,IF(AND(D368="S. californicus",G368&gt;0),E368*[1]Sheet1!$D$9+N368*[1]Sheet1!$E$9,IF(D368="S. maritimus",F368*[1]Sheet1!$C$10+E368*[1]Sheet1!$D$10+G368*[1]Sheet1!$F$10+[1]Sheet1!$L$10,IF(D368="S. americanus",F368*[1]Sheet1!$C$6+E368*[1]Sheet1!$D$6+[1]Sheet1!$L$6,IF(AND(OR(D368="T. domingensis",D368="T. latifolia"),E368&gt;0),F368*[1]Sheet1!$C$4+E368*[1]Sheet1!$D$4+H368*[1]Sheet1!$J$4+I368*[1]Sheet1!$K$4+[1]Sheet1!$L$4,IF(AND(OR(D368="T. domingensis",D368="T. latifolia"),J368&gt;0),J368*[1]Sheet1!$G$5+K368*[1]Sheet1!$H$5+L368*[1]Sheet1!$I$5+[1]Sheet1!$L$5,0)))))))</f>
        <v>115.27774127999999</v>
      </c>
    </row>
    <row r="369" spans="1:15">
      <c r="A369" s="6">
        <v>41534</v>
      </c>
      <c r="B369" s="7" t="s">
        <v>35</v>
      </c>
      <c r="C369">
        <v>33</v>
      </c>
      <c r="D369" t="s">
        <v>23</v>
      </c>
      <c r="E369">
        <v>313</v>
      </c>
      <c r="F369">
        <v>2.4</v>
      </c>
      <c r="H369">
        <v>31</v>
      </c>
      <c r="I369">
        <v>2.4</v>
      </c>
      <c r="N369" t="str">
        <f t="shared" si="6"/>
        <v>NA</v>
      </c>
      <c r="O369">
        <f>IF(AND(OR(D369="S. acutus",D369="S. californicus",D369="S. tabernaemontani"),G369=0),E369*[1]Sheet1!$D$7+[1]Sheet1!$L$7,IF(AND(OR(D369="S. acutus",D369="S. tabernaemontani"),G369&gt;0),E369*[1]Sheet1!$D$8+N369*[1]Sheet1!$E$8,IF(AND(D369="S. californicus",G369&gt;0),E369*[1]Sheet1!$D$9+N369*[1]Sheet1!$E$9,IF(D369="S. maritimus",F369*[1]Sheet1!$C$10+E369*[1]Sheet1!$D$10+G369*[1]Sheet1!$F$10+[1]Sheet1!$L$10,IF(D369="S. americanus",F369*[1]Sheet1!$C$6+E369*[1]Sheet1!$D$6+[1]Sheet1!$L$6,IF(AND(OR(D369="T. domingensis",D369="T. latifolia"),E369&gt;0),F369*[1]Sheet1!$C$4+E369*[1]Sheet1!$D$4+H369*[1]Sheet1!$J$4+I369*[1]Sheet1!$K$4+[1]Sheet1!$L$4,IF(AND(OR(D369="T. domingensis",D369="T. latifolia"),J369&gt;0),J369*[1]Sheet1!$G$5+K369*[1]Sheet1!$H$5+L369*[1]Sheet1!$I$5+[1]Sheet1!$L$5,0)))))))</f>
        <v>113.9368528</v>
      </c>
    </row>
    <row r="370" spans="1:15">
      <c r="A370" s="6">
        <v>41534</v>
      </c>
      <c r="B370" s="7" t="s">
        <v>35</v>
      </c>
      <c r="C370">
        <v>33</v>
      </c>
      <c r="D370" t="s">
        <v>19</v>
      </c>
      <c r="F370">
        <v>4.25</v>
      </c>
      <c r="J370">
        <f>184+175+199+222+240</f>
        <v>1020</v>
      </c>
      <c r="K370">
        <v>5</v>
      </c>
      <c r="L370">
        <v>240</v>
      </c>
      <c r="N370" t="str">
        <f t="shared" si="6"/>
        <v>NA</v>
      </c>
      <c r="O370">
        <f>IF(AND(OR(D370="S. acutus",D370="S. californicus",D370="S. tabernaemontani"),G370=0),E370*[1]Sheet1!$D$7+[1]Sheet1!$L$7,IF(AND(OR(D370="S. acutus",D370="S. tabernaemontani"),G370&gt;0),E370*[1]Sheet1!$D$8+N370*[1]Sheet1!$E$8,IF(AND(D370="S. californicus",G370&gt;0),E370*[1]Sheet1!$D$9+N370*[1]Sheet1!$E$9,IF(D370="S. maritimus",F370*[1]Sheet1!$C$10+E370*[1]Sheet1!$D$10+G370*[1]Sheet1!$F$10+[1]Sheet1!$L$10,IF(D370="S. americanus",F370*[1]Sheet1!$C$6+E370*[1]Sheet1!$D$6+[1]Sheet1!$L$6,IF(AND(OR(D370="T. domingensis",D370="T. latifolia"),E370&gt;0),F370*[1]Sheet1!$C$4+E370*[1]Sheet1!$D$4+H370*[1]Sheet1!$J$4+I370*[1]Sheet1!$K$4+[1]Sheet1!$L$4,IF(AND(OR(D370="T. domingensis",D370="T. latifolia"),J370&gt;0),J370*[1]Sheet1!$G$5+K370*[1]Sheet1!$H$5+L370*[1]Sheet1!$I$5+[1]Sheet1!$L$5,0)))))))</f>
        <v>21.256518999999997</v>
      </c>
    </row>
    <row r="371" spans="1:15">
      <c r="A371" s="6">
        <v>41534</v>
      </c>
      <c r="B371" s="7" t="s">
        <v>35</v>
      </c>
      <c r="C371">
        <v>33</v>
      </c>
      <c r="D371" t="s">
        <v>19</v>
      </c>
      <c r="F371">
        <v>1.8</v>
      </c>
      <c r="J371">
        <f>111+180+256+260</f>
        <v>807</v>
      </c>
      <c r="K371">
        <v>4</v>
      </c>
      <c r="L371">
        <v>260</v>
      </c>
      <c r="N371" t="str">
        <f t="shared" si="6"/>
        <v>NA</v>
      </c>
      <c r="O371">
        <f>IF(AND(OR(D371="S. acutus",D371="S. californicus",D371="S. tabernaemontani"),G371=0),E371*[1]Sheet1!$D$7+[1]Sheet1!$L$7,IF(AND(OR(D371="S. acutus",D371="S. tabernaemontani"),G371&gt;0),E371*[1]Sheet1!$D$8+N371*[1]Sheet1!$E$8,IF(AND(D371="S. californicus",G371&gt;0),E371*[1]Sheet1!$D$9+N371*[1]Sheet1!$E$9,IF(D371="S. maritimus",F371*[1]Sheet1!$C$10+E371*[1]Sheet1!$D$10+G371*[1]Sheet1!$F$10+[1]Sheet1!$L$10,IF(D371="S. americanus",F371*[1]Sheet1!$C$6+E371*[1]Sheet1!$D$6+[1]Sheet1!$L$6,IF(AND(OR(D371="T. domingensis",D371="T. latifolia"),E371&gt;0),F371*[1]Sheet1!$C$4+E371*[1]Sheet1!$D$4+H371*[1]Sheet1!$J$4+I371*[1]Sheet1!$K$4+[1]Sheet1!$L$4,IF(AND(OR(D371="T. domingensis",D371="T. latifolia"),J371&gt;0),J371*[1]Sheet1!$G$5+K371*[1]Sheet1!$H$5+L371*[1]Sheet1!$I$5+[1]Sheet1!$L$5,0)))))))</f>
        <v>2.2841570000000004</v>
      </c>
    </row>
    <row r="372" spans="1:15">
      <c r="A372" s="6">
        <v>41534</v>
      </c>
      <c r="B372" s="7" t="s">
        <v>35</v>
      </c>
      <c r="C372">
        <v>33</v>
      </c>
      <c r="D372" t="s">
        <v>19</v>
      </c>
      <c r="F372">
        <v>1.41</v>
      </c>
      <c r="J372">
        <f>276+297+314</f>
        <v>887</v>
      </c>
      <c r="K372">
        <v>3</v>
      </c>
      <c r="L372">
        <v>314</v>
      </c>
      <c r="N372" t="str">
        <f t="shared" si="6"/>
        <v>NA</v>
      </c>
      <c r="O372">
        <f>IF(AND(OR(D372="S. acutus",D372="S. californicus",D372="S. tabernaemontani"),G372=0),E372*[1]Sheet1!$D$7+[1]Sheet1!$L$7,IF(AND(OR(D372="S. acutus",D372="S. tabernaemontani"),G372&gt;0),E372*[1]Sheet1!$D$8+N372*[1]Sheet1!$E$8,IF(AND(D372="S. californicus",G372&gt;0),E372*[1]Sheet1!$D$9+N372*[1]Sheet1!$E$9,IF(D372="S. maritimus",F372*[1]Sheet1!$C$10+E372*[1]Sheet1!$D$10+G372*[1]Sheet1!$F$10+[1]Sheet1!$L$10,IF(D372="S. americanus",F372*[1]Sheet1!$C$6+E372*[1]Sheet1!$D$6+[1]Sheet1!$L$6,IF(AND(OR(D372="T. domingensis",D372="T. latifolia"),E372&gt;0),F372*[1]Sheet1!$C$4+E372*[1]Sheet1!$D$4+H372*[1]Sheet1!$J$4+I372*[1]Sheet1!$K$4+[1]Sheet1!$L$4,IF(AND(OR(D372="T. domingensis",D372="T. latifolia"),J372&gt;0),J372*[1]Sheet1!$G$5+K372*[1]Sheet1!$H$5+L372*[1]Sheet1!$I$5+[1]Sheet1!$L$5,0)))))))</f>
        <v>0.53967999999999705</v>
      </c>
    </row>
    <row r="373" spans="1:15">
      <c r="A373" s="6">
        <v>41534</v>
      </c>
      <c r="B373" s="7" t="s">
        <v>35</v>
      </c>
      <c r="C373">
        <v>33</v>
      </c>
      <c r="D373" t="s">
        <v>19</v>
      </c>
      <c r="F373">
        <v>1.25</v>
      </c>
      <c r="J373">
        <f>254+260+259</f>
        <v>773</v>
      </c>
      <c r="K373">
        <v>3</v>
      </c>
      <c r="L373">
        <v>260</v>
      </c>
      <c r="N373" t="str">
        <f t="shared" si="6"/>
        <v>NA</v>
      </c>
      <c r="O373">
        <f>IF(AND(OR(D373="S. acutus",D373="S. californicus",D373="S. tabernaemontani"),G373=0),E373*[1]Sheet1!$D$7+[1]Sheet1!$L$7,IF(AND(OR(D373="S. acutus",D373="S. tabernaemontani"),G373&gt;0),E373*[1]Sheet1!$D$8+N373*[1]Sheet1!$E$8,IF(AND(D373="S. californicus",G373&gt;0),E373*[1]Sheet1!$D$9+N373*[1]Sheet1!$E$9,IF(D373="S. maritimus",F373*[1]Sheet1!$C$10+E373*[1]Sheet1!$D$10+G373*[1]Sheet1!$F$10+[1]Sheet1!$L$10,IF(D373="S. americanus",F373*[1]Sheet1!$C$6+E373*[1]Sheet1!$D$6+[1]Sheet1!$L$6,IF(AND(OR(D373="T. domingensis",D373="T. latifolia"),E373&gt;0),F373*[1]Sheet1!$C$4+E373*[1]Sheet1!$D$4+H373*[1]Sheet1!$J$4+I373*[1]Sheet1!$K$4+[1]Sheet1!$L$4,IF(AND(OR(D373="T. domingensis",D373="T. latifolia"),J373&gt;0),J373*[1]Sheet1!$G$5+K373*[1]Sheet1!$H$5+L373*[1]Sheet1!$I$5+[1]Sheet1!$L$5,0)))))))</f>
        <v>6.1188399999999987</v>
      </c>
    </row>
    <row r="374" spans="1:15">
      <c r="A374" s="6">
        <v>41534</v>
      </c>
      <c r="B374" s="7" t="s">
        <v>35</v>
      </c>
      <c r="C374">
        <v>33</v>
      </c>
      <c r="D374" t="s">
        <v>19</v>
      </c>
      <c r="F374">
        <v>1.1299999999999999</v>
      </c>
      <c r="J374">
        <f>52+100+102+128</f>
        <v>382</v>
      </c>
      <c r="K374">
        <v>4</v>
      </c>
      <c r="L374">
        <v>128</v>
      </c>
      <c r="N374" t="str">
        <f t="shared" si="6"/>
        <v>NA</v>
      </c>
      <c r="O374">
        <f>IF(AND(OR(D374="S. acutus",D374="S. californicus",D374="S. tabernaemontani"),G374=0),E374*[1]Sheet1!$D$7+[1]Sheet1!$L$7,IF(AND(OR(D374="S. acutus",D374="S. tabernaemontani"),G374&gt;0),E374*[1]Sheet1!$D$8+N374*[1]Sheet1!$E$8,IF(AND(D374="S. californicus",G374&gt;0),E374*[1]Sheet1!$D$9+N374*[1]Sheet1!$E$9,IF(D374="S. maritimus",F374*[1]Sheet1!$C$10+E374*[1]Sheet1!$D$10+G374*[1]Sheet1!$F$10+[1]Sheet1!$L$10,IF(D374="S. americanus",F374*[1]Sheet1!$C$6+E374*[1]Sheet1!$D$6+[1]Sheet1!$L$6,IF(AND(OR(D374="T. domingensis",D374="T. latifolia"),E374&gt;0),F374*[1]Sheet1!$C$4+E374*[1]Sheet1!$D$4+H374*[1]Sheet1!$J$4+I374*[1]Sheet1!$K$4+[1]Sheet1!$L$4,IF(AND(OR(D374="T. domingensis",D374="T. latifolia"),J374&gt;0),J374*[1]Sheet1!$G$5+K374*[1]Sheet1!$H$5+L374*[1]Sheet1!$I$5+[1]Sheet1!$L$5,0)))))))</f>
        <v>2.2026220000000016</v>
      </c>
    </row>
    <row r="375" spans="1:15">
      <c r="A375" s="6">
        <v>41534</v>
      </c>
      <c r="B375" s="7" t="s">
        <v>35</v>
      </c>
      <c r="C375">
        <v>7</v>
      </c>
      <c r="D375" t="s">
        <v>24</v>
      </c>
      <c r="E375">
        <v>245</v>
      </c>
      <c r="F375">
        <v>1.58</v>
      </c>
      <c r="N375">
        <f t="shared" si="6"/>
        <v>160.12108271833335</v>
      </c>
      <c r="O375">
        <f>IF(AND(OR(D375="S. acutus",D375="S. californicus",D375="S. tabernaemontani"),G375=0),E375*[1]Sheet1!$D$7+[1]Sheet1!$L$7,IF(AND(OR(D375="S. acutus",D375="S. tabernaemontani"),G375&gt;0),E375*[1]Sheet1!$D$8+N375*[1]Sheet1!$E$8,IF(AND(D375="S. californicus",G375&gt;0),E375*[1]Sheet1!$D$9+N375*[1]Sheet1!$E$9,IF(D375="S. maritimus",F375*[1]Sheet1!$C$10+E375*[1]Sheet1!$D$10+G375*[1]Sheet1!$F$10+[1]Sheet1!$L$10,IF(D375="S. americanus",F375*[1]Sheet1!$C$6+E375*[1]Sheet1!$D$6+[1]Sheet1!$L$6,IF(AND(OR(D375="T. domingensis",D375="T. latifolia"),E375&gt;0),F375*[1]Sheet1!$C$4+E375*[1]Sheet1!$D$4+H375*[1]Sheet1!$J$4+I375*[1]Sheet1!$K$4+[1]Sheet1!$L$4,IF(AND(OR(D375="T. domingensis",D375="T. latifolia"),J375&gt;0),J375*[1]Sheet1!$G$5+K375*[1]Sheet1!$H$5+L375*[1]Sheet1!$I$5+[1]Sheet1!$L$5,0)))))))</f>
        <v>12.585128000000001</v>
      </c>
    </row>
    <row r="376" spans="1:15">
      <c r="A376" s="6">
        <v>41534</v>
      </c>
      <c r="B376" s="7" t="s">
        <v>35</v>
      </c>
      <c r="C376">
        <v>7</v>
      </c>
      <c r="D376" t="s">
        <v>24</v>
      </c>
      <c r="E376">
        <v>213</v>
      </c>
      <c r="F376">
        <v>2.35</v>
      </c>
      <c r="N376">
        <f t="shared" si="6"/>
        <v>307.95239625624998</v>
      </c>
      <c r="O376">
        <f>IF(AND(OR(D376="S. acutus",D376="S. californicus",D376="S. tabernaemontani"),G376=0),E376*[1]Sheet1!$D$7+[1]Sheet1!$L$7,IF(AND(OR(D376="S. acutus",D376="S. tabernaemontani"),G376&gt;0),E376*[1]Sheet1!$D$8+N376*[1]Sheet1!$E$8,IF(AND(D376="S. californicus",G376&gt;0),E376*[1]Sheet1!$D$9+N376*[1]Sheet1!$E$9,IF(D376="S. maritimus",F376*[1]Sheet1!$C$10+E376*[1]Sheet1!$D$10+G376*[1]Sheet1!$F$10+[1]Sheet1!$L$10,IF(D376="S. americanus",F376*[1]Sheet1!$C$6+E376*[1]Sheet1!$D$6+[1]Sheet1!$L$6,IF(AND(OR(D376="T. domingensis",D376="T. latifolia"),E376&gt;0),F376*[1]Sheet1!$C$4+E376*[1]Sheet1!$D$4+H376*[1]Sheet1!$J$4+I376*[1]Sheet1!$K$4+[1]Sheet1!$L$4,IF(AND(OR(D376="T. domingensis",D376="T. latifolia"),J376&gt;0),J376*[1]Sheet1!$G$5+K376*[1]Sheet1!$H$5+L376*[1]Sheet1!$I$5+[1]Sheet1!$L$5,0)))))))</f>
        <v>10.341768000000002</v>
      </c>
    </row>
    <row r="377" spans="1:15">
      <c r="A377" s="6">
        <v>41534</v>
      </c>
      <c r="B377" s="7" t="s">
        <v>35</v>
      </c>
      <c r="C377">
        <v>7</v>
      </c>
      <c r="D377" t="s">
        <v>24</v>
      </c>
      <c r="E377">
        <v>234</v>
      </c>
      <c r="F377">
        <v>1.9</v>
      </c>
      <c r="N377">
        <f t="shared" si="6"/>
        <v>221.15222804999996</v>
      </c>
      <c r="O377">
        <f>IF(AND(OR(D377="S. acutus",D377="S. californicus",D377="S. tabernaemontani"),G377=0),E377*[1]Sheet1!$D$7+[1]Sheet1!$L$7,IF(AND(OR(D377="S. acutus",D377="S. tabernaemontani"),G377&gt;0),E377*[1]Sheet1!$D$8+N377*[1]Sheet1!$E$8,IF(AND(D377="S. californicus",G377&gt;0),E377*[1]Sheet1!$D$9+N377*[1]Sheet1!$E$9,IF(D377="S. maritimus",F377*[1]Sheet1!$C$10+E377*[1]Sheet1!$D$10+G377*[1]Sheet1!$F$10+[1]Sheet1!$L$10,IF(D377="S. americanus",F377*[1]Sheet1!$C$6+E377*[1]Sheet1!$D$6+[1]Sheet1!$L$6,IF(AND(OR(D377="T. domingensis",D377="T. latifolia"),E377&gt;0),F377*[1]Sheet1!$C$4+E377*[1]Sheet1!$D$4+H377*[1]Sheet1!$J$4+I377*[1]Sheet1!$K$4+[1]Sheet1!$L$4,IF(AND(OR(D377="T. domingensis",D377="T. latifolia"),J377&gt;0),J377*[1]Sheet1!$G$5+K377*[1]Sheet1!$H$5+L377*[1]Sheet1!$I$5+[1]Sheet1!$L$5,0)))))))</f>
        <v>11.813973000000001</v>
      </c>
    </row>
    <row r="378" spans="1:15">
      <c r="A378" s="6">
        <v>41534</v>
      </c>
      <c r="B378" s="7" t="s">
        <v>35</v>
      </c>
      <c r="C378">
        <v>7</v>
      </c>
      <c r="D378" t="s">
        <v>24</v>
      </c>
      <c r="E378">
        <v>250</v>
      </c>
      <c r="F378">
        <v>1.67</v>
      </c>
      <c r="G378">
        <v>4</v>
      </c>
      <c r="N378">
        <f t="shared" si="6"/>
        <v>182.53292397916664</v>
      </c>
      <c r="O378">
        <f>IF(AND(OR(D378="S. acutus",D378="S. californicus",D378="S. tabernaemontani"),G378=0),E378*[1]Sheet1!$D$7+[1]Sheet1!$L$7,IF(AND(OR(D378="S. acutus",D378="S. tabernaemontani"),G378&gt;0),E378*[1]Sheet1!$D$8+N378*[1]Sheet1!$E$8,IF(AND(D378="S. californicus",G378&gt;0),E378*[1]Sheet1!$D$9+N378*[1]Sheet1!$E$9,IF(D378="S. maritimus",F378*[1]Sheet1!$C$10+E378*[1]Sheet1!$D$10+G378*[1]Sheet1!$F$10+[1]Sheet1!$L$10,IF(D378="S. americanus",F378*[1]Sheet1!$C$6+E378*[1]Sheet1!$D$6+[1]Sheet1!$L$6,IF(AND(OR(D378="T. domingensis",D378="T. latifolia"),E378&gt;0),F378*[1]Sheet1!$C$4+E378*[1]Sheet1!$D$4+H378*[1]Sheet1!$J$4+I378*[1]Sheet1!$K$4+[1]Sheet1!$L$4,IF(AND(OR(D378="T. domingensis",D378="T. latifolia"),J378&gt;0),J378*[1]Sheet1!$G$5+K378*[1]Sheet1!$H$5+L378*[1]Sheet1!$I$5+[1]Sheet1!$L$5,0)))))))</f>
        <v>15.504499431760747</v>
      </c>
    </row>
    <row r="379" spans="1:15">
      <c r="A379" s="6">
        <v>41534</v>
      </c>
      <c r="B379" s="7" t="s">
        <v>35</v>
      </c>
      <c r="C379">
        <v>7</v>
      </c>
      <c r="D379" t="s">
        <v>24</v>
      </c>
      <c r="E379">
        <v>314</v>
      </c>
      <c r="F379">
        <v>2.16</v>
      </c>
      <c r="G379">
        <v>8</v>
      </c>
      <c r="N379">
        <f t="shared" si="6"/>
        <v>383.53536028799999</v>
      </c>
      <c r="O379">
        <f>IF(AND(OR(D379="S. acutus",D379="S. californicus",D379="S. tabernaemontani"),G379=0),E379*[1]Sheet1!$D$7+[1]Sheet1!$L$7,IF(AND(OR(D379="S. acutus",D379="S. tabernaemontani"),G379&gt;0),E379*[1]Sheet1!$D$8+N379*[1]Sheet1!$E$8,IF(AND(D379="S. californicus",G379&gt;0),E379*[1]Sheet1!$D$9+N379*[1]Sheet1!$E$9,IF(D379="S. maritimus",F379*[1]Sheet1!$C$10+E379*[1]Sheet1!$D$10+G379*[1]Sheet1!$F$10+[1]Sheet1!$L$10,IF(D379="S. americanus",F379*[1]Sheet1!$C$6+E379*[1]Sheet1!$D$6+[1]Sheet1!$L$6,IF(AND(OR(D379="T. domingensis",D379="T. latifolia"),E379&gt;0),F379*[1]Sheet1!$C$4+E379*[1]Sheet1!$D$4+H379*[1]Sheet1!$J$4+I379*[1]Sheet1!$K$4+[1]Sheet1!$L$4,IF(AND(OR(D379="T. domingensis",D379="T. latifolia"),J379&gt;0),J379*[1]Sheet1!$G$5+K379*[1]Sheet1!$H$5+L379*[1]Sheet1!$I$5+[1]Sheet1!$L$5,0)))))))</f>
        <v>24.441413183097858</v>
      </c>
    </row>
    <row r="380" spans="1:15">
      <c r="A380" s="6">
        <v>41534</v>
      </c>
      <c r="B380" s="7" t="s">
        <v>35</v>
      </c>
      <c r="C380">
        <v>7</v>
      </c>
      <c r="D380" t="s">
        <v>24</v>
      </c>
      <c r="E380">
        <v>303</v>
      </c>
      <c r="F380">
        <v>2</v>
      </c>
      <c r="N380">
        <f t="shared" si="6"/>
        <v>317.30058999999994</v>
      </c>
      <c r="O380">
        <f>IF(AND(OR(D380="S. acutus",D380="S. californicus",D380="S. tabernaemontani"),G380=0),E380*[1]Sheet1!$D$7+[1]Sheet1!$L$7,IF(AND(OR(D380="S. acutus",D380="S. tabernaemontani"),G380&gt;0),E380*[1]Sheet1!$D$8+N380*[1]Sheet1!$E$8,IF(AND(D380="S. californicus",G380&gt;0),E380*[1]Sheet1!$D$9+N380*[1]Sheet1!$E$9,IF(D380="S. maritimus",F380*[1]Sheet1!$C$10+E380*[1]Sheet1!$D$10+G380*[1]Sheet1!$F$10+[1]Sheet1!$L$10,IF(D380="S. americanus",F380*[1]Sheet1!$C$6+E380*[1]Sheet1!$D$6+[1]Sheet1!$L$6,IF(AND(OR(D380="T. domingensis",D380="T. latifolia"),E380&gt;0),F380*[1]Sheet1!$C$4+E380*[1]Sheet1!$D$4+H380*[1]Sheet1!$J$4+I380*[1]Sheet1!$K$4+[1]Sheet1!$L$4,IF(AND(OR(D380="T. domingensis",D380="T. latifolia"),J380&gt;0),J380*[1]Sheet1!$G$5+K380*[1]Sheet1!$H$5+L380*[1]Sheet1!$I$5+[1]Sheet1!$L$5,0)))))))</f>
        <v>16.651218</v>
      </c>
    </row>
    <row r="381" spans="1:15">
      <c r="A381" s="6">
        <v>41534</v>
      </c>
      <c r="B381" s="7" t="s">
        <v>35</v>
      </c>
      <c r="C381">
        <v>7</v>
      </c>
      <c r="D381" t="s">
        <v>24</v>
      </c>
      <c r="E381">
        <v>300</v>
      </c>
      <c r="F381">
        <v>2.3199999999999998</v>
      </c>
      <c r="G381">
        <v>20</v>
      </c>
      <c r="N381">
        <f t="shared" si="6"/>
        <v>422.73235039999992</v>
      </c>
      <c r="O381">
        <f>IF(AND(OR(D381="S. acutus",D381="S. californicus",D381="S. tabernaemontani"),G381=0),E381*[1]Sheet1!$D$7+[1]Sheet1!$L$7,IF(AND(OR(D381="S. acutus",D381="S. tabernaemontani"),G381&gt;0),E381*[1]Sheet1!$D$8+N381*[1]Sheet1!$E$8,IF(AND(D381="S. californicus",G381&gt;0),E381*[1]Sheet1!$D$9+N381*[1]Sheet1!$E$9,IF(D381="S. maritimus",F381*[1]Sheet1!$C$10+E381*[1]Sheet1!$D$10+G381*[1]Sheet1!$F$10+[1]Sheet1!$L$10,IF(D381="S. americanus",F381*[1]Sheet1!$C$6+E381*[1]Sheet1!$D$6+[1]Sheet1!$L$6,IF(AND(OR(D381="T. domingensis",D381="T. latifolia"),E381&gt;0),F381*[1]Sheet1!$C$4+E381*[1]Sheet1!$D$4+H381*[1]Sheet1!$J$4+I381*[1]Sheet1!$K$4+[1]Sheet1!$L$4,IF(AND(OR(D381="T. domingensis",D381="T. latifolia"),J381&gt;0),J381*[1]Sheet1!$G$5+K381*[1]Sheet1!$H$5+L381*[1]Sheet1!$I$5+[1]Sheet1!$L$5,0)))))))</f>
        <v>25.164492141995357</v>
      </c>
    </row>
    <row r="382" spans="1:15">
      <c r="A382" s="6">
        <v>41534</v>
      </c>
      <c r="B382" s="7" t="s">
        <v>35</v>
      </c>
      <c r="C382">
        <v>7</v>
      </c>
      <c r="D382" t="s">
        <v>24</v>
      </c>
      <c r="E382">
        <v>320</v>
      </c>
      <c r="F382">
        <v>1.35</v>
      </c>
      <c r="N382">
        <f t="shared" si="6"/>
        <v>152.681274</v>
      </c>
      <c r="O382">
        <f>IF(AND(OR(D382="S. acutus",D382="S. californicus",D382="S. tabernaemontani"),G382=0),E382*[1]Sheet1!$D$7+[1]Sheet1!$L$7,IF(AND(OR(D382="S. acutus",D382="S. tabernaemontani"),G382&gt;0),E382*[1]Sheet1!$D$8+N382*[1]Sheet1!$E$8,IF(AND(D382="S. californicus",G382&gt;0),E382*[1]Sheet1!$D$9+N382*[1]Sheet1!$E$9,IF(D382="S. maritimus",F382*[1]Sheet1!$C$10+E382*[1]Sheet1!$D$10+G382*[1]Sheet1!$F$10+[1]Sheet1!$L$10,IF(D382="S. americanus",F382*[1]Sheet1!$C$6+E382*[1]Sheet1!$D$6+[1]Sheet1!$L$6,IF(AND(OR(D382="T. domingensis",D382="T. latifolia"),E382&gt;0),F382*[1]Sheet1!$C$4+E382*[1]Sheet1!$D$4+H382*[1]Sheet1!$J$4+I382*[1]Sheet1!$K$4+[1]Sheet1!$L$4,IF(AND(OR(D382="T. domingensis",D382="T. latifolia"),J382&gt;0),J382*[1]Sheet1!$G$5+K382*[1]Sheet1!$H$5+L382*[1]Sheet1!$I$5+[1]Sheet1!$L$5,0)))))))</f>
        <v>17.843003</v>
      </c>
    </row>
    <row r="383" spans="1:15">
      <c r="A383" s="6">
        <v>41534</v>
      </c>
      <c r="B383" s="7" t="s">
        <v>35</v>
      </c>
      <c r="C383">
        <v>7</v>
      </c>
      <c r="D383" t="s">
        <v>24</v>
      </c>
      <c r="E383">
        <v>390</v>
      </c>
      <c r="F383">
        <v>1.9</v>
      </c>
      <c r="N383">
        <f t="shared" si="6"/>
        <v>368.58704674999996</v>
      </c>
      <c r="O383">
        <f>IF(AND(OR(D383="S. acutus",D383="S. californicus",D383="S. tabernaemontani"),G383=0),E383*[1]Sheet1!$D$7+[1]Sheet1!$L$7,IF(AND(OR(D383="S. acutus",D383="S. tabernaemontani"),G383&gt;0),E383*[1]Sheet1!$D$8+N383*[1]Sheet1!$E$8,IF(AND(D383="S. californicus",G383&gt;0),E383*[1]Sheet1!$D$9+N383*[1]Sheet1!$E$9,IF(D383="S. maritimus",F383*[1]Sheet1!$C$10+E383*[1]Sheet1!$D$10+G383*[1]Sheet1!$F$10+[1]Sheet1!$L$10,IF(D383="S. americanus",F383*[1]Sheet1!$C$6+E383*[1]Sheet1!$D$6+[1]Sheet1!$L$6,IF(AND(OR(D383="T. domingensis",D383="T. latifolia"),E383&gt;0),F383*[1]Sheet1!$C$4+E383*[1]Sheet1!$D$4+H383*[1]Sheet1!$J$4+I383*[1]Sheet1!$K$4+[1]Sheet1!$L$4,IF(AND(OR(D383="T. domingensis",D383="T. latifolia"),J383&gt;0),J383*[1]Sheet1!$G$5+K383*[1]Sheet1!$H$5+L383*[1]Sheet1!$I$5+[1]Sheet1!$L$5,0)))))))</f>
        <v>22.750353</v>
      </c>
    </row>
    <row r="384" spans="1:15">
      <c r="A384" s="6">
        <v>41534</v>
      </c>
      <c r="B384" s="7" t="s">
        <v>35</v>
      </c>
      <c r="C384">
        <v>7</v>
      </c>
      <c r="D384" t="s">
        <v>24</v>
      </c>
      <c r="E384">
        <v>257</v>
      </c>
      <c r="F384">
        <v>1</v>
      </c>
      <c r="N384">
        <f t="shared" si="6"/>
        <v>67.282385833333322</v>
      </c>
      <c r="O384">
        <f>IF(AND(OR(D384="S. acutus",D384="S. californicus",D384="S. tabernaemontani"),G384=0),E384*[1]Sheet1!$D$7+[1]Sheet1!$L$7,IF(AND(OR(D384="S. acutus",D384="S. tabernaemontani"),G384&gt;0),E384*[1]Sheet1!$D$8+N384*[1]Sheet1!$E$8,IF(AND(D384="S. californicus",G384&gt;0),E384*[1]Sheet1!$D$9+N384*[1]Sheet1!$E$9,IF(D384="S. maritimus",F384*[1]Sheet1!$C$10+E384*[1]Sheet1!$D$10+G384*[1]Sheet1!$F$10+[1]Sheet1!$L$10,IF(D384="S. americanus",F384*[1]Sheet1!$C$6+E384*[1]Sheet1!$D$6+[1]Sheet1!$L$6,IF(AND(OR(D384="T. domingensis",D384="T. latifolia"),E384&gt;0),F384*[1]Sheet1!$C$4+E384*[1]Sheet1!$D$4+H384*[1]Sheet1!$J$4+I384*[1]Sheet1!$K$4+[1]Sheet1!$L$4,IF(AND(OR(D384="T. domingensis",D384="T. latifolia"),J384&gt;0),J384*[1]Sheet1!$G$5+K384*[1]Sheet1!$H$5+L384*[1]Sheet1!$I$5+[1]Sheet1!$L$5,0)))))))</f>
        <v>13.426388000000003</v>
      </c>
    </row>
    <row r="385" spans="1:15">
      <c r="A385" s="6">
        <v>41534</v>
      </c>
      <c r="B385" s="7" t="s">
        <v>35</v>
      </c>
      <c r="C385">
        <v>7</v>
      </c>
      <c r="D385" t="s">
        <v>24</v>
      </c>
      <c r="E385">
        <v>252</v>
      </c>
      <c r="F385">
        <v>1.63</v>
      </c>
      <c r="N385">
        <f t="shared" si="6"/>
        <v>175.28469989099997</v>
      </c>
      <c r="O385">
        <f>IF(AND(OR(D385="S. acutus",D385="S. californicus",D385="S. tabernaemontani"),G385=0),E385*[1]Sheet1!$D$7+[1]Sheet1!$L$7,IF(AND(OR(D385="S. acutus",D385="S. tabernaemontani"),G385&gt;0),E385*[1]Sheet1!$D$8+N385*[1]Sheet1!$E$8,IF(AND(D385="S. californicus",G385&gt;0),E385*[1]Sheet1!$D$9+N385*[1]Sheet1!$E$9,IF(D385="S. maritimus",F385*[1]Sheet1!$C$10+E385*[1]Sheet1!$D$10+G385*[1]Sheet1!$F$10+[1]Sheet1!$L$10,IF(D385="S. americanus",F385*[1]Sheet1!$C$6+E385*[1]Sheet1!$D$6+[1]Sheet1!$L$6,IF(AND(OR(D385="T. domingensis",D385="T. latifolia"),E385&gt;0),F385*[1]Sheet1!$C$4+E385*[1]Sheet1!$D$4+H385*[1]Sheet1!$J$4+I385*[1]Sheet1!$K$4+[1]Sheet1!$L$4,IF(AND(OR(D385="T. domingensis",D385="T. latifolia"),J385&gt;0),J385*[1]Sheet1!$G$5+K385*[1]Sheet1!$H$5+L385*[1]Sheet1!$I$5+[1]Sheet1!$L$5,0)))))))</f>
        <v>13.075863000000002</v>
      </c>
    </row>
    <row r="386" spans="1:15">
      <c r="A386" s="6">
        <v>41534</v>
      </c>
      <c r="B386" s="7" t="s">
        <v>34</v>
      </c>
      <c r="C386">
        <v>7</v>
      </c>
      <c r="D386" t="s">
        <v>24</v>
      </c>
      <c r="E386">
        <v>1.87</v>
      </c>
      <c r="F386">
        <v>1.84</v>
      </c>
      <c r="N386">
        <f t="shared" si="6"/>
        <v>1.6574693737066668</v>
      </c>
      <c r="O386">
        <f>IF(AND(OR(D386="S. acutus",D386="S. californicus",D386="S. tabernaemontani"),G386=0),E386*[1]Sheet1!$D$7+[1]Sheet1!$L$7,IF(AND(OR(D386="S. acutus",D386="S. tabernaemontani"),G386&gt;0),E386*[1]Sheet1!$D$8+N386*[1]Sheet1!$E$8,IF(AND(D386="S. californicus",G386&gt;0),E386*[1]Sheet1!$D$9+N386*[1]Sheet1!$E$9,IF(D386="S. maritimus",F386*[1]Sheet1!$C$10+E386*[1]Sheet1!$D$10+G386*[1]Sheet1!$F$10+[1]Sheet1!$L$10,IF(D386="S. americanus",F386*[1]Sheet1!$C$6+E386*[1]Sheet1!$D$6+[1]Sheet1!$L$6,IF(AND(OR(D386="T. domingensis",D386="T. latifolia"),E386&gt;0),F386*[1]Sheet1!$C$4+E386*[1]Sheet1!$D$4+H386*[1]Sheet1!$J$4+I386*[1]Sheet1!$K$4+[1]Sheet1!$L$4,IF(AND(OR(D386="T. domingensis",D386="T. latifolia"),J386&gt;0),J386*[1]Sheet1!$G$5+K386*[1]Sheet1!$H$5+L386*[1]Sheet1!$I$5+[1]Sheet1!$L$5,0)))))))</f>
        <v>-4.4595006499999998</v>
      </c>
    </row>
    <row r="387" spans="1:15">
      <c r="A387" s="6">
        <v>41534</v>
      </c>
      <c r="B387" s="7" t="s">
        <v>34</v>
      </c>
      <c r="C387">
        <v>7</v>
      </c>
      <c r="D387" t="s">
        <v>24</v>
      </c>
      <c r="E387">
        <v>1.92</v>
      </c>
      <c r="F387">
        <v>1.92</v>
      </c>
      <c r="G387">
        <v>10</v>
      </c>
      <c r="N387">
        <f t="shared" si="6"/>
        <v>1.8529851801599997</v>
      </c>
      <c r="O387">
        <f>IF(AND(OR(D387="S. acutus",D387="S. californicus",D387="S. tabernaemontani"),G387=0),E387*[1]Sheet1!$D$7+[1]Sheet1!$L$7,IF(AND(OR(D387="S. acutus",D387="S. tabernaemontani"),G387&gt;0),E387*[1]Sheet1!$D$8+N387*[1]Sheet1!$E$8,IF(AND(D387="S. californicus",G387&gt;0),E387*[1]Sheet1!$D$9+N387*[1]Sheet1!$E$9,IF(D387="S. maritimus",F387*[1]Sheet1!$C$10+E387*[1]Sheet1!$D$10+G387*[1]Sheet1!$F$10+[1]Sheet1!$L$10,IF(D387="S. americanus",F387*[1]Sheet1!$C$6+E387*[1]Sheet1!$D$6+[1]Sheet1!$L$6,IF(AND(OR(D387="T. domingensis",D387="T. latifolia"),E387&gt;0),F387*[1]Sheet1!$C$4+E387*[1]Sheet1!$D$4+H387*[1]Sheet1!$J$4+I387*[1]Sheet1!$K$4+[1]Sheet1!$L$4,IF(AND(OR(D387="T. domingensis",D387="T. latifolia"),J387&gt;0),J387*[1]Sheet1!$G$5+K387*[1]Sheet1!$H$5+L387*[1]Sheet1!$I$5+[1]Sheet1!$L$5,0)))))))</f>
        <v>0.13360142248781412</v>
      </c>
    </row>
    <row r="388" spans="1:15">
      <c r="A388" s="6">
        <v>41534</v>
      </c>
      <c r="B388" s="7" t="s">
        <v>34</v>
      </c>
      <c r="C388">
        <v>7</v>
      </c>
      <c r="D388" t="s">
        <v>24</v>
      </c>
      <c r="E388">
        <v>2.0499999999999998</v>
      </c>
      <c r="F388">
        <v>2.0499999999999998</v>
      </c>
      <c r="N388">
        <f t="shared" si="6"/>
        <v>2.2554325457291662</v>
      </c>
      <c r="O388">
        <f>IF(AND(OR(D388="S. acutus",D388="S. californicus",D388="S. tabernaemontani"),G388=0),E388*[1]Sheet1!$D$7+[1]Sheet1!$L$7,IF(AND(OR(D388="S. acutus",D388="S. tabernaemontani"),G388&gt;0),E388*[1]Sheet1!$D$8+N388*[1]Sheet1!$E$8,IF(AND(D388="S. californicus",G388&gt;0),E388*[1]Sheet1!$D$9+N388*[1]Sheet1!$E$9,IF(D388="S. maritimus",F388*[1]Sheet1!$C$10+E388*[1]Sheet1!$D$10+G388*[1]Sheet1!$F$10+[1]Sheet1!$L$10,IF(D388="S. americanus",F388*[1]Sheet1!$C$6+E388*[1]Sheet1!$D$6+[1]Sheet1!$L$6,IF(AND(OR(D388="T. domingensis",D388="T. latifolia"),E388&gt;0),F388*[1]Sheet1!$C$4+E388*[1]Sheet1!$D$4+H388*[1]Sheet1!$J$4+I388*[1]Sheet1!$K$4+[1]Sheet1!$L$4,IF(AND(OR(D388="T. domingensis",D388="T. latifolia"),J388&gt;0),J388*[1]Sheet1!$G$5+K388*[1]Sheet1!$H$5+L388*[1]Sheet1!$I$5+[1]Sheet1!$L$5,0)))))))</f>
        <v>-4.4468817500000002</v>
      </c>
    </row>
    <row r="389" spans="1:15">
      <c r="A389" s="6">
        <v>41534</v>
      </c>
      <c r="B389" s="7" t="s">
        <v>34</v>
      </c>
      <c r="C389">
        <v>7</v>
      </c>
      <c r="D389" t="s">
        <v>24</v>
      </c>
      <c r="E389">
        <v>2.12</v>
      </c>
      <c r="F389">
        <v>2.12</v>
      </c>
      <c r="G389">
        <v>13</v>
      </c>
      <c r="N389">
        <f t="shared" ref="N389:N452" si="7">IF(OR(D389="S. acutus", D389="S. tabernaemontani", D389="S. californicus"),(1/3)*(3.14159)*((F389/2)^2)*E389,"NA")</f>
        <v>2.4944559702933335</v>
      </c>
      <c r="O389">
        <f>IF(AND(OR(D389="S. acutus",D389="S. californicus",D389="S. tabernaemontani"),G389=0),E389*[1]Sheet1!$D$7+[1]Sheet1!$L$7,IF(AND(OR(D389="S. acutus",D389="S. tabernaemontani"),G389&gt;0),E389*[1]Sheet1!$D$8+N389*[1]Sheet1!$E$8,IF(AND(D389="S. californicus",G389&gt;0),E389*[1]Sheet1!$D$9+N389*[1]Sheet1!$E$9,IF(D389="S. maritimus",F389*[1]Sheet1!$C$10+E389*[1]Sheet1!$D$10+G389*[1]Sheet1!$F$10+[1]Sheet1!$L$10,IF(D389="S. americanus",F389*[1]Sheet1!$C$6+E389*[1]Sheet1!$D$6+[1]Sheet1!$L$6,IF(AND(OR(D389="T. domingensis",D389="T. latifolia"),E389&gt;0),F389*[1]Sheet1!$C$4+E389*[1]Sheet1!$D$4+H389*[1]Sheet1!$J$4+I389*[1]Sheet1!$K$4+[1]Sheet1!$L$4,IF(AND(OR(D389="T. domingensis",D389="T. latifolia"),J389&gt;0),J389*[1]Sheet1!$G$5+K389*[1]Sheet1!$H$5+L389*[1]Sheet1!$I$5+[1]Sheet1!$L$5,0)))))))</f>
        <v>0.16195877925381863</v>
      </c>
    </row>
    <row r="390" spans="1:15">
      <c r="A390" s="6">
        <v>41534</v>
      </c>
      <c r="B390" s="7" t="s">
        <v>34</v>
      </c>
      <c r="C390">
        <v>7</v>
      </c>
      <c r="D390" t="s">
        <v>24</v>
      </c>
      <c r="E390">
        <v>1.47</v>
      </c>
      <c r="F390">
        <v>1.47</v>
      </c>
      <c r="N390">
        <f t="shared" si="7"/>
        <v>0.83161107429749981</v>
      </c>
      <c r="O390">
        <f>IF(AND(OR(D390="S. acutus",D390="S. californicus",D390="S. tabernaemontani"),G390=0),E390*[1]Sheet1!$D$7+[1]Sheet1!$L$7,IF(AND(OR(D390="S. acutus",D390="S. tabernaemontani"),G390&gt;0),E390*[1]Sheet1!$D$8+N390*[1]Sheet1!$E$8,IF(AND(D390="S. californicus",G390&gt;0),E390*[1]Sheet1!$D$9+N390*[1]Sheet1!$E$9,IF(D390="S. maritimus",F390*[1]Sheet1!$C$10+E390*[1]Sheet1!$D$10+G390*[1]Sheet1!$F$10+[1]Sheet1!$L$10,IF(D390="S. americanus",F390*[1]Sheet1!$C$6+E390*[1]Sheet1!$D$6+[1]Sheet1!$L$6,IF(AND(OR(D390="T. domingensis",D390="T. latifolia"),E390&gt;0),F390*[1]Sheet1!$C$4+E390*[1]Sheet1!$D$4+H390*[1]Sheet1!$J$4+I390*[1]Sheet1!$K$4+[1]Sheet1!$L$4,IF(AND(OR(D390="T. domingensis",D390="T. latifolia"),J390&gt;0),J390*[1]Sheet1!$G$5+K390*[1]Sheet1!$H$5+L390*[1]Sheet1!$I$5+[1]Sheet1!$L$5,0)))))))</f>
        <v>-4.48754265</v>
      </c>
    </row>
    <row r="391" spans="1:15">
      <c r="A391" s="6">
        <v>41534</v>
      </c>
      <c r="B391" s="7" t="s">
        <v>34</v>
      </c>
      <c r="C391">
        <v>7</v>
      </c>
      <c r="D391" t="s">
        <v>24</v>
      </c>
      <c r="E391">
        <v>2.5</v>
      </c>
      <c r="F391">
        <v>2.5</v>
      </c>
      <c r="G391">
        <v>8</v>
      </c>
      <c r="N391">
        <f t="shared" si="7"/>
        <v>4.090611979166666</v>
      </c>
      <c r="O391">
        <f>IF(AND(OR(D391="S. acutus",D391="S. californicus",D391="S. tabernaemontani"),G391=0),E391*[1]Sheet1!$D$7+[1]Sheet1!$L$7,IF(AND(OR(D391="S. acutus",D391="S. tabernaemontani"),G391&gt;0),E391*[1]Sheet1!$D$8+N391*[1]Sheet1!$E$8,IF(AND(D391="S. californicus",G391&gt;0),E391*[1]Sheet1!$D$9+N391*[1]Sheet1!$E$9,IF(D391="S. maritimus",F391*[1]Sheet1!$C$10+E391*[1]Sheet1!$D$10+G391*[1]Sheet1!$F$10+[1]Sheet1!$L$10,IF(D391="S. americanus",F391*[1]Sheet1!$C$6+E391*[1]Sheet1!$D$6+[1]Sheet1!$L$6,IF(AND(OR(D391="T. domingensis",D391="T. latifolia"),E391&gt;0),F391*[1]Sheet1!$C$4+E391*[1]Sheet1!$D$4+H391*[1]Sheet1!$J$4+I391*[1]Sheet1!$K$4+[1]Sheet1!$L$4,IF(AND(OR(D391="T. domingensis",D391="T. latifolia"),J391&gt;0),J391*[1]Sheet1!$G$5+K391*[1]Sheet1!$H$5+L391*[1]Sheet1!$I$5+[1]Sheet1!$L$5,0)))))))</f>
        <v>0.22798913727994791</v>
      </c>
    </row>
    <row r="392" spans="1:15">
      <c r="A392" s="6">
        <v>41534</v>
      </c>
      <c r="B392" s="7" t="s">
        <v>34</v>
      </c>
      <c r="C392">
        <v>7</v>
      </c>
      <c r="D392" t="s">
        <v>24</v>
      </c>
      <c r="E392">
        <v>1.57</v>
      </c>
      <c r="F392">
        <v>1.57</v>
      </c>
      <c r="G392">
        <v>4</v>
      </c>
      <c r="N392">
        <f t="shared" si="7"/>
        <v>1.0131347624891667</v>
      </c>
      <c r="O392">
        <f>IF(AND(OR(D392="S. acutus",D392="S. californicus",D392="S. tabernaemontani"),G392=0),E392*[1]Sheet1!$D$7+[1]Sheet1!$L$7,IF(AND(OR(D392="S. acutus",D392="S. tabernaemontani"),G392&gt;0),E392*[1]Sheet1!$D$8+N392*[1]Sheet1!$E$8,IF(AND(D392="S. californicus",G392&gt;0),E392*[1]Sheet1!$D$9+N392*[1]Sheet1!$E$9,IF(D392="S. maritimus",F392*[1]Sheet1!$C$10+E392*[1]Sheet1!$D$10+G392*[1]Sheet1!$F$10+[1]Sheet1!$L$10,IF(D392="S. americanus",F392*[1]Sheet1!$C$6+E392*[1]Sheet1!$D$6+[1]Sheet1!$L$6,IF(AND(OR(D392="T. domingensis",D392="T. latifolia"),E392&gt;0),F392*[1]Sheet1!$C$4+E392*[1]Sheet1!$D$4+H392*[1]Sheet1!$J$4+I392*[1]Sheet1!$K$4+[1]Sheet1!$L$4,IF(AND(OR(D392="T. domingensis",D392="T. latifolia"),J392&gt;0),J392*[1]Sheet1!$G$5+K392*[1]Sheet1!$H$5+L392*[1]Sheet1!$I$5+[1]Sheet1!$L$5,0)))))))</f>
        <v>9.3079998173437414E-2</v>
      </c>
    </row>
    <row r="393" spans="1:15">
      <c r="A393" s="6">
        <v>41534</v>
      </c>
      <c r="B393" s="7" t="s">
        <v>34</v>
      </c>
      <c r="C393">
        <v>7</v>
      </c>
      <c r="D393" t="s">
        <v>24</v>
      </c>
      <c r="E393">
        <v>1</v>
      </c>
      <c r="F393">
        <v>1</v>
      </c>
      <c r="N393">
        <f t="shared" si="7"/>
        <v>0.26179916666666664</v>
      </c>
      <c r="O393">
        <f>IF(AND(OR(D393="S. acutus",D393="S. californicus",D393="S. tabernaemontani"),G393=0),E393*[1]Sheet1!$D$7+[1]Sheet1!$L$7,IF(AND(OR(D393="S. acutus",D393="S. tabernaemontani"),G393&gt;0),E393*[1]Sheet1!$D$8+N393*[1]Sheet1!$E$8,IF(AND(D393="S. californicus",G393&gt;0),E393*[1]Sheet1!$D$9+N393*[1]Sheet1!$E$9,IF(D393="S. maritimus",F393*[1]Sheet1!$C$10+E393*[1]Sheet1!$D$10+G393*[1]Sheet1!$F$10+[1]Sheet1!$L$10,IF(D393="S. americanus",F393*[1]Sheet1!$C$6+E393*[1]Sheet1!$D$6+[1]Sheet1!$L$6,IF(AND(OR(D393="T. domingensis",D393="T. latifolia"),E393&gt;0),F393*[1]Sheet1!$C$4+E393*[1]Sheet1!$D$4+H393*[1]Sheet1!$J$4+I393*[1]Sheet1!$K$4+[1]Sheet1!$L$4,IF(AND(OR(D393="T. domingensis",D393="T. latifolia"),J393&gt;0),J393*[1]Sheet1!$G$5+K393*[1]Sheet1!$H$5+L393*[1]Sheet1!$I$5+[1]Sheet1!$L$5,0)))))))</f>
        <v>-4.520492</v>
      </c>
    </row>
    <row r="394" spans="1:15">
      <c r="A394" s="6">
        <v>41534</v>
      </c>
      <c r="B394" s="7" t="s">
        <v>34</v>
      </c>
      <c r="C394">
        <v>7</v>
      </c>
      <c r="D394" t="s">
        <v>24</v>
      </c>
      <c r="E394">
        <v>2.9</v>
      </c>
      <c r="F394">
        <v>2.9</v>
      </c>
      <c r="G394">
        <v>12</v>
      </c>
      <c r="N394">
        <f t="shared" si="7"/>
        <v>6.3850198758333327</v>
      </c>
      <c r="O394">
        <f>IF(AND(OR(D394="S. acutus",D394="S. californicus",D394="S. tabernaemontani"),G394=0),E394*[1]Sheet1!$D$7+[1]Sheet1!$L$7,IF(AND(OR(D394="S. acutus",D394="S. tabernaemontani"),G394&gt;0),E394*[1]Sheet1!$D$8+N394*[1]Sheet1!$E$8,IF(AND(D394="S. californicus",G394&gt;0),E394*[1]Sheet1!$D$9+N394*[1]Sheet1!$E$9,IF(D394="S. maritimus",F394*[1]Sheet1!$C$10+E394*[1]Sheet1!$D$10+G394*[1]Sheet1!$F$10+[1]Sheet1!$L$10,IF(D394="S. americanus",F394*[1]Sheet1!$C$6+E394*[1]Sheet1!$D$6+[1]Sheet1!$L$6,IF(AND(OR(D394="T. domingensis",D394="T. latifolia"),E394&gt;0),F394*[1]Sheet1!$C$4+E394*[1]Sheet1!$D$4+H394*[1]Sheet1!$J$4+I394*[1]Sheet1!$K$4+[1]Sheet1!$L$4,IF(AND(OR(D394="T. domingensis",D394="T. latifolia"),J394&gt;0),J394*[1]Sheet1!$G$5+K394*[1]Sheet1!$H$5+L394*[1]Sheet1!$I$5+[1]Sheet1!$L$5,0)))))))</f>
        <v>0.31727397651972156</v>
      </c>
    </row>
    <row r="395" spans="1:15">
      <c r="A395" s="6">
        <v>41534</v>
      </c>
      <c r="B395" s="7" t="s">
        <v>34</v>
      </c>
      <c r="C395">
        <v>7</v>
      </c>
      <c r="D395" t="s">
        <v>24</v>
      </c>
      <c r="E395">
        <v>2.5</v>
      </c>
      <c r="F395">
        <v>2.5</v>
      </c>
      <c r="N395">
        <f t="shared" si="7"/>
        <v>4.090611979166666</v>
      </c>
      <c r="O395">
        <f>IF(AND(OR(D395="S. acutus",D395="S. californicus",D395="S. tabernaemontani"),G395=0),E395*[1]Sheet1!$D$7+[1]Sheet1!$L$7,IF(AND(OR(D395="S. acutus",D395="S. tabernaemontani"),G395&gt;0),E395*[1]Sheet1!$D$8+N395*[1]Sheet1!$E$8,IF(AND(D395="S. californicus",G395&gt;0),E395*[1]Sheet1!$D$9+N395*[1]Sheet1!$E$9,IF(D395="S. maritimus",F395*[1]Sheet1!$C$10+E395*[1]Sheet1!$D$10+G395*[1]Sheet1!$F$10+[1]Sheet1!$L$10,IF(D395="S. americanus",F395*[1]Sheet1!$C$6+E395*[1]Sheet1!$D$6+[1]Sheet1!$L$6,IF(AND(OR(D395="T. domingensis",D395="T. latifolia"),E395&gt;0),F395*[1]Sheet1!$C$4+E395*[1]Sheet1!$D$4+H395*[1]Sheet1!$J$4+I395*[1]Sheet1!$K$4+[1]Sheet1!$L$4,IF(AND(OR(D395="T. domingensis",D395="T. latifolia"),J395&gt;0),J395*[1]Sheet1!$G$5+K395*[1]Sheet1!$H$5+L395*[1]Sheet1!$I$5+[1]Sheet1!$L$5,0)))))))</f>
        <v>-4.4153345000000002</v>
      </c>
    </row>
    <row r="396" spans="1:15">
      <c r="A396" s="6">
        <v>41534</v>
      </c>
      <c r="B396" s="7" t="s">
        <v>34</v>
      </c>
      <c r="C396">
        <v>7</v>
      </c>
      <c r="D396" t="s">
        <v>24</v>
      </c>
      <c r="E396">
        <v>1.35</v>
      </c>
      <c r="F396">
        <v>1.35</v>
      </c>
      <c r="N396">
        <f t="shared" si="7"/>
        <v>0.64412412468750013</v>
      </c>
      <c r="O396">
        <f>IF(AND(OR(D396="S. acutus",D396="S. californicus",D396="S. tabernaemontani"),G396=0),E396*[1]Sheet1!$D$7+[1]Sheet1!$L$7,IF(AND(OR(D396="S. acutus",D396="S. tabernaemontani"),G396&gt;0),E396*[1]Sheet1!$D$8+N396*[1]Sheet1!$E$8,IF(AND(D396="S. californicus",G396&gt;0),E396*[1]Sheet1!$D$9+N396*[1]Sheet1!$E$9,IF(D396="S. maritimus",F396*[1]Sheet1!$C$10+E396*[1]Sheet1!$D$10+G396*[1]Sheet1!$F$10+[1]Sheet1!$L$10,IF(D396="S. americanus",F396*[1]Sheet1!$C$6+E396*[1]Sheet1!$D$6+[1]Sheet1!$L$6,IF(AND(OR(D396="T. domingensis",D396="T. latifolia"),E396&gt;0),F396*[1]Sheet1!$C$4+E396*[1]Sheet1!$D$4+H396*[1]Sheet1!$J$4+I396*[1]Sheet1!$K$4+[1]Sheet1!$L$4,IF(AND(OR(D396="T. domingensis",D396="T. latifolia"),J396&gt;0),J396*[1]Sheet1!$G$5+K396*[1]Sheet1!$H$5+L396*[1]Sheet1!$I$5+[1]Sheet1!$L$5,0)))))))</f>
        <v>-4.4959552499999997</v>
      </c>
    </row>
    <row r="397" spans="1:15">
      <c r="A397" s="6">
        <v>41534</v>
      </c>
      <c r="B397" s="7" t="s">
        <v>34</v>
      </c>
      <c r="C397">
        <v>7</v>
      </c>
      <c r="D397" t="s">
        <v>24</v>
      </c>
      <c r="E397">
        <v>2.02</v>
      </c>
      <c r="F397">
        <v>2.02</v>
      </c>
      <c r="N397">
        <f t="shared" si="7"/>
        <v>2.1578555457266666</v>
      </c>
      <c r="O397">
        <f>IF(AND(OR(D397="S. acutus",D397="S. californicus",D397="S. tabernaemontani"),G397=0),E397*[1]Sheet1!$D$7+[1]Sheet1!$L$7,IF(AND(OR(D397="S. acutus",D397="S. tabernaemontani"),G397&gt;0),E397*[1]Sheet1!$D$8+N397*[1]Sheet1!$E$8,IF(AND(D397="S. californicus",G397&gt;0),E397*[1]Sheet1!$D$9+N397*[1]Sheet1!$E$9,IF(D397="S. maritimus",F397*[1]Sheet1!$C$10+E397*[1]Sheet1!$D$10+G397*[1]Sheet1!$F$10+[1]Sheet1!$L$10,IF(D397="S. americanus",F397*[1]Sheet1!$C$6+E397*[1]Sheet1!$D$6+[1]Sheet1!$L$6,IF(AND(OR(D397="T. domingensis",D397="T. latifolia"),E397&gt;0),F397*[1]Sheet1!$C$4+E397*[1]Sheet1!$D$4+H397*[1]Sheet1!$J$4+I397*[1]Sheet1!$K$4+[1]Sheet1!$L$4,IF(AND(OR(D397="T. domingensis",D397="T. latifolia"),J397&gt;0),J397*[1]Sheet1!$G$5+K397*[1]Sheet1!$H$5+L397*[1]Sheet1!$I$5+[1]Sheet1!$L$5,0)))))))</f>
        <v>-4.4489849000000001</v>
      </c>
    </row>
    <row r="398" spans="1:15">
      <c r="A398" s="6">
        <v>41534</v>
      </c>
      <c r="B398" s="7" t="s">
        <v>34</v>
      </c>
      <c r="C398">
        <v>7</v>
      </c>
      <c r="D398" t="s">
        <v>24</v>
      </c>
      <c r="E398">
        <v>308</v>
      </c>
      <c r="F398">
        <v>2.42</v>
      </c>
      <c r="N398">
        <f t="shared" si="7"/>
        <v>472.22579701733326</v>
      </c>
      <c r="O398">
        <f>IF(AND(OR(D398="S. acutus",D398="S. californicus",D398="S. tabernaemontani"),G398=0),E398*[1]Sheet1!$D$7+[1]Sheet1!$L$7,IF(AND(OR(D398="S. acutus",D398="S. tabernaemontani"),G398&gt;0),E398*[1]Sheet1!$D$8+N398*[1]Sheet1!$E$8,IF(AND(D398="S. californicus",G398&gt;0),E398*[1]Sheet1!$D$9+N398*[1]Sheet1!$E$9,IF(D398="S. maritimus",F398*[1]Sheet1!$C$10+E398*[1]Sheet1!$D$10+G398*[1]Sheet1!$F$10+[1]Sheet1!$L$10,IF(D398="S. americanus",F398*[1]Sheet1!$C$6+E398*[1]Sheet1!$D$6+[1]Sheet1!$L$6,IF(AND(OR(D398="T. domingensis",D398="T. latifolia"),E398&gt;0),F398*[1]Sheet1!$C$4+E398*[1]Sheet1!$D$4+H398*[1]Sheet1!$J$4+I398*[1]Sheet1!$K$4+[1]Sheet1!$L$4,IF(AND(OR(D398="T. domingensis",D398="T. latifolia"),J398&gt;0),J398*[1]Sheet1!$G$5+K398*[1]Sheet1!$H$5+L398*[1]Sheet1!$I$5+[1]Sheet1!$L$5,0)))))))</f>
        <v>17.001743000000001</v>
      </c>
    </row>
    <row r="399" spans="1:15">
      <c r="A399" s="6">
        <v>41534</v>
      </c>
      <c r="B399" s="7" t="s">
        <v>34</v>
      </c>
      <c r="C399">
        <v>7</v>
      </c>
      <c r="D399" t="s">
        <v>24</v>
      </c>
      <c r="E399">
        <v>192</v>
      </c>
      <c r="F399">
        <v>1.68</v>
      </c>
      <c r="G399">
        <v>7</v>
      </c>
      <c r="N399">
        <f t="shared" si="7"/>
        <v>141.86917785599996</v>
      </c>
      <c r="O399">
        <f>IF(AND(OR(D399="S. acutus",D399="S. californicus",D399="S. tabernaemontani"),G399=0),E399*[1]Sheet1!$D$7+[1]Sheet1!$L$7,IF(AND(OR(D399="S. acutus",D399="S. tabernaemontani"),G399&gt;0),E399*[1]Sheet1!$D$8+N399*[1]Sheet1!$E$8,IF(AND(D399="S. californicus",G399&gt;0),E399*[1]Sheet1!$D$9+N399*[1]Sheet1!$E$9,IF(D399="S. maritimus",F399*[1]Sheet1!$C$10+E399*[1]Sheet1!$D$10+G399*[1]Sheet1!$F$10+[1]Sheet1!$L$10,IF(D399="S. americanus",F399*[1]Sheet1!$C$6+E399*[1]Sheet1!$D$6+[1]Sheet1!$L$6,IF(AND(OR(D399="T. domingensis",D399="T. latifolia"),E399&gt;0),F399*[1]Sheet1!$C$4+E399*[1]Sheet1!$D$4+H399*[1]Sheet1!$J$4+I399*[1]Sheet1!$K$4+[1]Sheet1!$L$4,IF(AND(OR(D399="T. domingensis",D399="T. latifolia"),J399&gt;0),J399*[1]Sheet1!$G$5+K399*[1]Sheet1!$H$5+L399*[1]Sheet1!$I$5+[1]Sheet1!$L$5,0)))))))</f>
        <v>11.96167840922327</v>
      </c>
    </row>
    <row r="400" spans="1:15">
      <c r="A400" s="6">
        <v>41534</v>
      </c>
      <c r="B400" s="7" t="s">
        <v>34</v>
      </c>
      <c r="C400">
        <v>7</v>
      </c>
      <c r="D400" t="s">
        <v>24</v>
      </c>
      <c r="E400">
        <v>137</v>
      </c>
      <c r="F400">
        <v>0.8</v>
      </c>
      <c r="N400">
        <f t="shared" si="7"/>
        <v>22.954550933333334</v>
      </c>
      <c r="O400">
        <f>IF(AND(OR(D400="S. acutus",D400="S. californicus",D400="S. tabernaemontani"),G400=0),E400*[1]Sheet1!$D$7+[1]Sheet1!$L$7,IF(AND(OR(D400="S. acutus",D400="S. tabernaemontani"),G400&gt;0),E400*[1]Sheet1!$D$8+N400*[1]Sheet1!$E$8,IF(AND(D400="S. californicus",G400&gt;0),E400*[1]Sheet1!$D$9+N400*[1]Sheet1!$E$9,IF(D400="S. maritimus",F400*[1]Sheet1!$C$10+E400*[1]Sheet1!$D$10+G400*[1]Sheet1!$F$10+[1]Sheet1!$L$10,IF(D400="S. americanus",F400*[1]Sheet1!$C$6+E400*[1]Sheet1!$D$6+[1]Sheet1!$L$6,IF(AND(OR(D400="T. domingensis",D400="T. latifolia"),E400&gt;0),F400*[1]Sheet1!$C$4+E400*[1]Sheet1!$D$4+H400*[1]Sheet1!$J$4+I400*[1]Sheet1!$K$4+[1]Sheet1!$L$4,IF(AND(OR(D400="T. domingensis",D400="T. latifolia"),J400&gt;0),J400*[1]Sheet1!$G$5+K400*[1]Sheet1!$H$5+L400*[1]Sheet1!$I$5+[1]Sheet1!$L$5,0)))))))</f>
        <v>5.0137880000000008</v>
      </c>
    </row>
    <row r="401" spans="1:15">
      <c r="A401" s="6">
        <v>41534</v>
      </c>
      <c r="B401" s="7" t="s">
        <v>34</v>
      </c>
      <c r="C401">
        <v>7</v>
      </c>
      <c r="D401" t="s">
        <v>24</v>
      </c>
      <c r="E401">
        <v>186</v>
      </c>
      <c r="F401">
        <v>1.65</v>
      </c>
      <c r="G401">
        <v>6</v>
      </c>
      <c r="N401">
        <f t="shared" si="7"/>
        <v>132.57117101249997</v>
      </c>
      <c r="O401">
        <f>IF(AND(OR(D401="S. acutus",D401="S. californicus",D401="S. tabernaemontani"),G401=0),E401*[1]Sheet1!$D$7+[1]Sheet1!$L$7,IF(AND(OR(D401="S. acutus",D401="S. tabernaemontani"),G401&gt;0),E401*[1]Sheet1!$D$8+N401*[1]Sheet1!$E$8,IF(AND(D401="S. californicus",G401&gt;0),E401*[1]Sheet1!$D$9+N401*[1]Sheet1!$E$9,IF(D401="S. maritimus",F401*[1]Sheet1!$C$10+E401*[1]Sheet1!$D$10+G401*[1]Sheet1!$F$10+[1]Sheet1!$L$10,IF(D401="S. americanus",F401*[1]Sheet1!$C$6+E401*[1]Sheet1!$D$6+[1]Sheet1!$L$6,IF(AND(OR(D401="T. domingensis",D401="T. latifolia"),E401&gt;0),F401*[1]Sheet1!$C$4+E401*[1]Sheet1!$D$4+H401*[1]Sheet1!$J$4+I401*[1]Sheet1!$K$4+[1]Sheet1!$L$4,IF(AND(OR(D401="T. domingensis",D401="T. latifolia"),J401&gt;0),J401*[1]Sheet1!$G$5+K401*[1]Sheet1!$H$5+L401*[1]Sheet1!$I$5+[1]Sheet1!$L$5,0)))))))</f>
        <v>11.43123162065641</v>
      </c>
    </row>
    <row r="402" spans="1:15">
      <c r="A402" s="6">
        <v>41534</v>
      </c>
      <c r="B402" s="7" t="s">
        <v>34</v>
      </c>
      <c r="C402">
        <v>7</v>
      </c>
      <c r="D402" t="s">
        <v>24</v>
      </c>
      <c r="E402">
        <v>253</v>
      </c>
      <c r="F402">
        <v>2.19</v>
      </c>
      <c r="G402">
        <v>11</v>
      </c>
      <c r="N402">
        <f t="shared" si="7"/>
        <v>317.67059076224996</v>
      </c>
      <c r="O402">
        <f>IF(AND(OR(D402="S. acutus",D402="S. californicus",D402="S. tabernaemontani"),G402=0),E402*[1]Sheet1!$D$7+[1]Sheet1!$L$7,IF(AND(OR(D402="S. acutus",D402="S. tabernaemontani"),G402&gt;0),E402*[1]Sheet1!$D$8+N402*[1]Sheet1!$E$8,IF(AND(D402="S. californicus",G402&gt;0),E402*[1]Sheet1!$D$9+N402*[1]Sheet1!$E$9,IF(D402="S. maritimus",F402*[1]Sheet1!$C$10+E402*[1]Sheet1!$D$10+G402*[1]Sheet1!$F$10+[1]Sheet1!$L$10,IF(D402="S. americanus",F402*[1]Sheet1!$C$6+E402*[1]Sheet1!$D$6+[1]Sheet1!$L$6,IF(AND(OR(D402="T. domingensis",D402="T. latifolia"),E402&gt;0),F402*[1]Sheet1!$C$4+E402*[1]Sheet1!$D$4+H402*[1]Sheet1!$J$4+I402*[1]Sheet1!$K$4+[1]Sheet1!$L$4,IF(AND(OR(D402="T. domingensis",D402="T. latifolia"),J402&gt;0),J402*[1]Sheet1!$G$5+K402*[1]Sheet1!$H$5+L402*[1]Sheet1!$I$5+[1]Sheet1!$L$5,0)))))))</f>
        <v>19.971575226076133</v>
      </c>
    </row>
    <row r="403" spans="1:15">
      <c r="A403" s="6">
        <v>41534</v>
      </c>
      <c r="B403" s="7" t="s">
        <v>34</v>
      </c>
      <c r="C403">
        <v>7</v>
      </c>
      <c r="D403" t="s">
        <v>24</v>
      </c>
      <c r="E403">
        <v>214</v>
      </c>
      <c r="F403">
        <v>1.8</v>
      </c>
      <c r="G403">
        <v>10</v>
      </c>
      <c r="N403">
        <f t="shared" si="7"/>
        <v>181.5210702</v>
      </c>
      <c r="O403">
        <f>IF(AND(OR(D403="S. acutus",D403="S. californicus",D403="S. tabernaemontani"),G403=0),E403*[1]Sheet1!$D$7+[1]Sheet1!$L$7,IF(AND(OR(D403="S. acutus",D403="S. tabernaemontani"),G403&gt;0),E403*[1]Sheet1!$D$8+N403*[1]Sheet1!$E$8,IF(AND(D403="S. californicus",G403&gt;0),E403*[1]Sheet1!$D$9+N403*[1]Sheet1!$E$9,IF(D403="S. maritimus",F403*[1]Sheet1!$C$10+E403*[1]Sheet1!$D$10+G403*[1]Sheet1!$F$10+[1]Sheet1!$L$10,IF(D403="S. americanus",F403*[1]Sheet1!$C$6+E403*[1]Sheet1!$D$6+[1]Sheet1!$L$6,IF(AND(OR(D403="T. domingensis",D403="T. latifolia"),E403&gt;0),F403*[1]Sheet1!$C$4+E403*[1]Sheet1!$D$4+H403*[1]Sheet1!$J$4+I403*[1]Sheet1!$K$4+[1]Sheet1!$L$4,IF(AND(OR(D403="T. domingensis",D403="T. latifolia"),J403&gt;0),J403*[1]Sheet1!$G$5+K403*[1]Sheet1!$H$5+L403*[1]Sheet1!$I$5+[1]Sheet1!$L$5,0)))))))</f>
        <v>14.085661229403179</v>
      </c>
    </row>
    <row r="404" spans="1:15">
      <c r="A404" s="6">
        <v>41534</v>
      </c>
      <c r="B404" s="7" t="s">
        <v>34</v>
      </c>
      <c r="C404">
        <v>7</v>
      </c>
      <c r="D404" t="s">
        <v>24</v>
      </c>
      <c r="E404">
        <v>277</v>
      </c>
      <c r="F404">
        <v>1.92</v>
      </c>
      <c r="N404">
        <f t="shared" si="7"/>
        <v>267.33171609599998</v>
      </c>
      <c r="O404">
        <f>IF(AND(OR(D404="S. acutus",D404="S. californicus",D404="S. tabernaemontani"),G404=0),E404*[1]Sheet1!$D$7+[1]Sheet1!$L$7,IF(AND(OR(D404="S. acutus",D404="S. tabernaemontani"),G404&gt;0),E404*[1]Sheet1!$D$8+N404*[1]Sheet1!$E$8,IF(AND(D404="S. californicus",G404&gt;0),E404*[1]Sheet1!$D$9+N404*[1]Sheet1!$E$9,IF(D404="S. maritimus",F404*[1]Sheet1!$C$10+E404*[1]Sheet1!$D$10+G404*[1]Sheet1!$F$10+[1]Sheet1!$L$10,IF(D404="S. americanus",F404*[1]Sheet1!$C$6+E404*[1]Sheet1!$D$6+[1]Sheet1!$L$6,IF(AND(OR(D404="T. domingensis",D404="T. latifolia"),E404&gt;0),F404*[1]Sheet1!$C$4+E404*[1]Sheet1!$D$4+H404*[1]Sheet1!$J$4+I404*[1]Sheet1!$K$4+[1]Sheet1!$L$4,IF(AND(OR(D404="T. domingensis",D404="T. latifolia"),J404&gt;0),J404*[1]Sheet1!$G$5+K404*[1]Sheet1!$H$5+L404*[1]Sheet1!$I$5+[1]Sheet1!$L$5,0)))))))</f>
        <v>14.828488</v>
      </c>
    </row>
    <row r="405" spans="1:15">
      <c r="A405" s="6">
        <v>41534</v>
      </c>
      <c r="B405" s="7" t="s">
        <v>34</v>
      </c>
      <c r="C405">
        <v>7</v>
      </c>
      <c r="D405" t="s">
        <v>24</v>
      </c>
      <c r="E405">
        <v>211</v>
      </c>
      <c r="F405">
        <v>1.78</v>
      </c>
      <c r="G405">
        <v>7</v>
      </c>
      <c r="N405">
        <f t="shared" si="7"/>
        <v>175.02122520966665</v>
      </c>
      <c r="O405">
        <f>IF(AND(OR(D405="S. acutus",D405="S. californicus",D405="S. tabernaemontani"),G405=0),E405*[1]Sheet1!$D$7+[1]Sheet1!$L$7,IF(AND(OR(D405="S. acutus",D405="S. tabernaemontani"),G405&gt;0),E405*[1]Sheet1!$D$8+N405*[1]Sheet1!$E$8,IF(AND(D405="S. californicus",G405&gt;0),E405*[1]Sheet1!$D$9+N405*[1]Sheet1!$E$9,IF(D405="S. maritimus",F405*[1]Sheet1!$C$10+E405*[1]Sheet1!$D$10+G405*[1]Sheet1!$F$10+[1]Sheet1!$L$10,IF(D405="S. americanus",F405*[1]Sheet1!$C$6+E405*[1]Sheet1!$D$6+[1]Sheet1!$L$6,IF(AND(OR(D405="T. domingensis",D405="T. latifolia"),E405&gt;0),F405*[1]Sheet1!$C$4+E405*[1]Sheet1!$D$4+H405*[1]Sheet1!$J$4+I405*[1]Sheet1!$K$4+[1]Sheet1!$L$4,IF(AND(OR(D405="T. domingensis",D405="T. latifolia"),J405&gt;0),J405*[1]Sheet1!$G$5+K405*[1]Sheet1!$H$5+L405*[1]Sheet1!$I$5+[1]Sheet1!$L$5,0)))))))</f>
        <v>13.760839070853955</v>
      </c>
    </row>
    <row r="406" spans="1:15">
      <c r="A406" s="6">
        <v>41534</v>
      </c>
      <c r="B406" s="7" t="s">
        <v>34</v>
      </c>
      <c r="C406">
        <v>7</v>
      </c>
      <c r="D406" t="s">
        <v>24</v>
      </c>
      <c r="E406">
        <v>265</v>
      </c>
      <c r="F406">
        <v>2.42</v>
      </c>
      <c r="N406">
        <f t="shared" si="7"/>
        <v>406.29816951166663</v>
      </c>
      <c r="O406">
        <f>IF(AND(OR(D406="S. acutus",D406="S. californicus",D406="S. tabernaemontani"),G406=0),E406*[1]Sheet1!$D$7+[1]Sheet1!$L$7,IF(AND(OR(D406="S. acutus",D406="S. tabernaemontani"),G406&gt;0),E406*[1]Sheet1!$D$8+N406*[1]Sheet1!$E$8,IF(AND(D406="S. californicus",G406&gt;0),E406*[1]Sheet1!$D$9+N406*[1]Sheet1!$E$9,IF(D406="S. maritimus",F406*[1]Sheet1!$C$10+E406*[1]Sheet1!$D$10+G406*[1]Sheet1!$F$10+[1]Sheet1!$L$10,IF(D406="S. americanus",F406*[1]Sheet1!$C$6+E406*[1]Sheet1!$D$6+[1]Sheet1!$L$6,IF(AND(OR(D406="T. domingensis",D406="T. latifolia"),E406&gt;0),F406*[1]Sheet1!$C$4+E406*[1]Sheet1!$D$4+H406*[1]Sheet1!$J$4+I406*[1]Sheet1!$K$4+[1]Sheet1!$L$4,IF(AND(OR(D406="T. domingensis",D406="T. latifolia"),J406&gt;0),J406*[1]Sheet1!$G$5+K406*[1]Sheet1!$H$5+L406*[1]Sheet1!$I$5+[1]Sheet1!$L$5,0)))))))</f>
        <v>13.987228000000002</v>
      </c>
    </row>
    <row r="407" spans="1:15">
      <c r="A407" s="6">
        <v>41534</v>
      </c>
      <c r="B407" s="7" t="s">
        <v>34</v>
      </c>
      <c r="C407">
        <v>7</v>
      </c>
      <c r="D407" t="s">
        <v>24</v>
      </c>
      <c r="E407">
        <v>284</v>
      </c>
      <c r="F407">
        <v>2.2000000000000002</v>
      </c>
      <c r="G407">
        <v>17</v>
      </c>
      <c r="N407">
        <f t="shared" si="7"/>
        <v>359.85866253333336</v>
      </c>
      <c r="O407">
        <f>IF(AND(OR(D407="S. acutus",D407="S. californicus",D407="S. tabernaemontani"),G407=0),E407*[1]Sheet1!$D$7+[1]Sheet1!$L$7,IF(AND(OR(D407="S. acutus",D407="S. tabernaemontani"),G407&gt;0),E407*[1]Sheet1!$D$8+N407*[1]Sheet1!$E$8,IF(AND(D407="S. californicus",G407&gt;0),E407*[1]Sheet1!$D$9+N407*[1]Sheet1!$E$9,IF(D407="S. maritimus",F407*[1]Sheet1!$C$10+E407*[1]Sheet1!$D$10+G407*[1]Sheet1!$F$10+[1]Sheet1!$L$10,IF(D407="S. americanus",F407*[1]Sheet1!$C$6+E407*[1]Sheet1!$D$6+[1]Sheet1!$L$6,IF(AND(OR(D407="T. domingensis",D407="T. latifolia"),E407&gt;0),F407*[1]Sheet1!$C$4+E407*[1]Sheet1!$D$4+H407*[1]Sheet1!$J$4+I407*[1]Sheet1!$K$4+[1]Sheet1!$L$4,IF(AND(OR(D407="T. domingensis",D407="T. latifolia"),J407&gt;0),J407*[1]Sheet1!$G$5+K407*[1]Sheet1!$H$5+L407*[1]Sheet1!$I$5+[1]Sheet1!$L$5,0)))))))</f>
        <v>22.523789206369614</v>
      </c>
    </row>
    <row r="408" spans="1:15">
      <c r="A408" s="6">
        <v>41534</v>
      </c>
      <c r="B408" s="7" t="s">
        <v>34</v>
      </c>
      <c r="C408">
        <v>7</v>
      </c>
      <c r="D408" t="s">
        <v>25</v>
      </c>
      <c r="E408">
        <v>1.22</v>
      </c>
      <c r="F408">
        <v>1.22</v>
      </c>
      <c r="N408">
        <f t="shared" si="7"/>
        <v>0.47538749319333323</v>
      </c>
      <c r="O408">
        <f>IF(AND(OR(D408="S. acutus",D408="S. californicus",D408="S. tabernaemontani"),G408=0),E408*[1]Sheet1!$D$7+[1]Sheet1!$L$7,IF(AND(OR(D408="S. acutus",D408="S. tabernaemontani"),G408&gt;0),E408*[1]Sheet1!$D$8+N408*[1]Sheet1!$E$8,IF(AND(D408="S. californicus",G408&gt;0),E408*[1]Sheet1!$D$9+N408*[1]Sheet1!$E$9,IF(D408="S. maritimus",F408*[1]Sheet1!$C$10+E408*[1]Sheet1!$D$10+G408*[1]Sheet1!$F$10+[1]Sheet1!$L$10,IF(D408="S. americanus",F408*[1]Sheet1!$C$6+E408*[1]Sheet1!$D$6+[1]Sheet1!$L$6,IF(AND(OR(D408="T. domingensis",D408="T. latifolia"),E408&gt;0),F408*[1]Sheet1!$C$4+E408*[1]Sheet1!$D$4+H408*[1]Sheet1!$J$4+I408*[1]Sheet1!$K$4+[1]Sheet1!$L$4,IF(AND(OR(D408="T. domingensis",D408="T. latifolia"),J408&gt;0),J408*[1]Sheet1!$G$5+K408*[1]Sheet1!$H$5+L408*[1]Sheet1!$I$5+[1]Sheet1!$L$5,0)))))))</f>
        <v>-4.5050688999999995</v>
      </c>
    </row>
    <row r="409" spans="1:15">
      <c r="A409" s="6">
        <v>41534</v>
      </c>
      <c r="B409" s="7" t="s">
        <v>34</v>
      </c>
      <c r="C409">
        <v>7</v>
      </c>
      <c r="D409" t="s">
        <v>25</v>
      </c>
      <c r="E409">
        <v>1.27</v>
      </c>
      <c r="F409">
        <v>1.27</v>
      </c>
      <c r="N409">
        <f t="shared" si="7"/>
        <v>0.53626496241416666</v>
      </c>
      <c r="O409">
        <f>IF(AND(OR(D409="S. acutus",D409="S. californicus",D409="S. tabernaemontani"),G409=0),E409*[1]Sheet1!$D$7+[1]Sheet1!$L$7,IF(AND(OR(D409="S. acutus",D409="S. tabernaemontani"),G409&gt;0),E409*[1]Sheet1!$D$8+N409*[1]Sheet1!$E$8,IF(AND(D409="S. californicus",G409&gt;0),E409*[1]Sheet1!$D$9+N409*[1]Sheet1!$E$9,IF(D409="S. maritimus",F409*[1]Sheet1!$C$10+E409*[1]Sheet1!$D$10+G409*[1]Sheet1!$F$10+[1]Sheet1!$L$10,IF(D409="S. americanus",F409*[1]Sheet1!$C$6+E409*[1]Sheet1!$D$6+[1]Sheet1!$L$6,IF(AND(OR(D409="T. domingensis",D409="T. latifolia"),E409&gt;0),F409*[1]Sheet1!$C$4+E409*[1]Sheet1!$D$4+H409*[1]Sheet1!$J$4+I409*[1]Sheet1!$K$4+[1]Sheet1!$L$4,IF(AND(OR(D409="T. domingensis",D409="T. latifolia"),J409&gt;0),J409*[1]Sheet1!$G$5+K409*[1]Sheet1!$H$5+L409*[1]Sheet1!$I$5+[1]Sheet1!$L$5,0)))))))</f>
        <v>-4.5015636499999996</v>
      </c>
    </row>
    <row r="410" spans="1:15">
      <c r="A410" s="6">
        <v>41534</v>
      </c>
      <c r="B410" s="7" t="s">
        <v>34</v>
      </c>
      <c r="C410">
        <v>7</v>
      </c>
      <c r="D410" t="s">
        <v>25</v>
      </c>
      <c r="E410">
        <v>1.7</v>
      </c>
      <c r="F410">
        <v>1.7</v>
      </c>
      <c r="G410">
        <v>1</v>
      </c>
      <c r="N410">
        <f t="shared" si="7"/>
        <v>1.2862193058333329</v>
      </c>
      <c r="O410">
        <f>IF(AND(OR(D410="S. acutus",D410="S. californicus",D410="S. tabernaemontani"),G410=0),E410*[1]Sheet1!$D$7+[1]Sheet1!$L$7,IF(AND(OR(D410="S. acutus",D410="S. tabernaemontani"),G410&gt;0),E410*[1]Sheet1!$D$8+N410*[1]Sheet1!$E$8,IF(AND(D410="S. californicus",G410&gt;0),E410*[1]Sheet1!$D$9+N410*[1]Sheet1!$E$9,IF(D410="S. maritimus",F410*[1]Sheet1!$C$10+E410*[1]Sheet1!$D$10+G410*[1]Sheet1!$F$10+[1]Sheet1!$L$10,IF(D410="S. americanus",F410*[1]Sheet1!$C$6+E410*[1]Sheet1!$D$6+[1]Sheet1!$L$6,IF(AND(OR(D410="T. domingensis",D410="T. latifolia"),E410&gt;0),F410*[1]Sheet1!$C$4+E410*[1]Sheet1!$D$4+H410*[1]Sheet1!$J$4+I410*[1]Sheet1!$K$4+[1]Sheet1!$L$4,IF(AND(OR(D410="T. domingensis",D410="T. latifolia"),J410&gt;0),J410*[1]Sheet1!$G$5+K410*[1]Sheet1!$H$5+L410*[1]Sheet1!$I$5+[1]Sheet1!$L$5,0)))))))</f>
        <v>0.11582053224463165</v>
      </c>
    </row>
    <row r="411" spans="1:15">
      <c r="A411" s="6">
        <v>41534</v>
      </c>
      <c r="B411" s="7" t="s">
        <v>34</v>
      </c>
      <c r="C411">
        <v>7</v>
      </c>
      <c r="D411" t="s">
        <v>25</v>
      </c>
      <c r="E411">
        <v>1.6</v>
      </c>
      <c r="F411">
        <v>1.6</v>
      </c>
      <c r="G411">
        <v>7</v>
      </c>
      <c r="N411">
        <f t="shared" si="7"/>
        <v>1.0723293866666668</v>
      </c>
      <c r="O411">
        <f>IF(AND(OR(D411="S. acutus",D411="S. californicus",D411="S. tabernaemontani"),G411=0),E411*[1]Sheet1!$D$7+[1]Sheet1!$L$7,IF(AND(OR(D411="S. acutus",D411="S. tabernaemontani"),G411&gt;0),E411*[1]Sheet1!$D$8+N411*[1]Sheet1!$E$8,IF(AND(D411="S. californicus",G411&gt;0),E411*[1]Sheet1!$D$9+N411*[1]Sheet1!$E$9,IF(D411="S. maritimus",F411*[1]Sheet1!$C$10+E411*[1]Sheet1!$D$10+G411*[1]Sheet1!$F$10+[1]Sheet1!$L$10,IF(D411="S. americanus",F411*[1]Sheet1!$C$6+E411*[1]Sheet1!$D$6+[1]Sheet1!$L$6,IF(AND(OR(D411="T. domingensis",D411="T. latifolia"),E411&gt;0),F411*[1]Sheet1!$C$4+E411*[1]Sheet1!$D$4+H411*[1]Sheet1!$J$4+I411*[1]Sheet1!$K$4+[1]Sheet1!$L$4,IF(AND(OR(D411="T. domingensis",D411="T. latifolia"),J411&gt;0),J411*[1]Sheet1!$G$5+K411*[1]Sheet1!$H$5+L411*[1]Sheet1!$I$5+[1]Sheet1!$L$5,0)))))))</f>
        <v>0.10103528504661335</v>
      </c>
    </row>
    <row r="412" spans="1:15">
      <c r="A412" s="6">
        <v>41534</v>
      </c>
      <c r="B412" s="7" t="s">
        <v>34</v>
      </c>
      <c r="C412">
        <v>7</v>
      </c>
      <c r="D412" t="s">
        <v>25</v>
      </c>
      <c r="E412">
        <v>1.38</v>
      </c>
      <c r="F412">
        <v>1.38</v>
      </c>
      <c r="N412">
        <f t="shared" si="7"/>
        <v>0.68802705953999976</v>
      </c>
      <c r="O412">
        <f>IF(AND(OR(D412="S. acutus",D412="S. californicus",D412="S. tabernaemontani"),G412=0),E412*[1]Sheet1!$D$7+[1]Sheet1!$L$7,IF(AND(OR(D412="S. acutus",D412="S. tabernaemontani"),G412&gt;0),E412*[1]Sheet1!$D$8+N412*[1]Sheet1!$E$8,IF(AND(D412="S. californicus",G412&gt;0),E412*[1]Sheet1!$D$9+N412*[1]Sheet1!$E$9,IF(D412="S. maritimus",F412*[1]Sheet1!$C$10+E412*[1]Sheet1!$D$10+G412*[1]Sheet1!$F$10+[1]Sheet1!$L$10,IF(D412="S. americanus",F412*[1]Sheet1!$C$6+E412*[1]Sheet1!$D$6+[1]Sheet1!$L$6,IF(AND(OR(D412="T. domingensis",D412="T. latifolia"),E412&gt;0),F412*[1]Sheet1!$C$4+E412*[1]Sheet1!$D$4+H412*[1]Sheet1!$J$4+I412*[1]Sheet1!$K$4+[1]Sheet1!$L$4,IF(AND(OR(D412="T. domingensis",D412="T. latifolia"),J412&gt;0),J412*[1]Sheet1!$G$5+K412*[1]Sheet1!$H$5+L412*[1]Sheet1!$I$5+[1]Sheet1!$L$5,0)))))))</f>
        <v>-4.4938520999999998</v>
      </c>
    </row>
    <row r="413" spans="1:15">
      <c r="A413" s="6">
        <v>41534</v>
      </c>
      <c r="B413" s="7" t="s">
        <v>34</v>
      </c>
      <c r="C413">
        <v>7</v>
      </c>
      <c r="D413" t="s">
        <v>25</v>
      </c>
      <c r="E413">
        <v>1.98</v>
      </c>
      <c r="F413">
        <v>1.98</v>
      </c>
      <c r="G413">
        <v>3</v>
      </c>
      <c r="N413">
        <f t="shared" si="7"/>
        <v>2.03218775694</v>
      </c>
      <c r="O413">
        <f>IF(AND(OR(D413="S. acutus",D413="S. californicus",D413="S. tabernaemontani"),G413=0),E413*[1]Sheet1!$D$7+[1]Sheet1!$L$7,IF(AND(OR(D413="S. acutus",D413="S. tabernaemontani"),G413&gt;0),E413*[1]Sheet1!$D$8+N413*[1]Sheet1!$E$8,IF(AND(D413="S. californicus",G413&gt;0),E413*[1]Sheet1!$D$9+N413*[1]Sheet1!$E$9,IF(D413="S. maritimus",F413*[1]Sheet1!$C$10+E413*[1]Sheet1!$D$10+G413*[1]Sheet1!$F$10+[1]Sheet1!$L$10,IF(D413="S. americanus",F413*[1]Sheet1!$C$6+E413*[1]Sheet1!$D$6+[1]Sheet1!$L$6,IF(AND(OR(D413="T. domingensis",D413="T. latifolia"),E413&gt;0),F413*[1]Sheet1!$C$4+E413*[1]Sheet1!$D$4+H413*[1]Sheet1!$J$4+I413*[1]Sheet1!$K$4+[1]Sheet1!$L$4,IF(AND(OR(D413="T. domingensis",D413="T. latifolia"),J413&gt;0),J413*[1]Sheet1!$G$5+K413*[1]Sheet1!$H$5+L413*[1]Sheet1!$I$5+[1]Sheet1!$L$5,0)))))))</f>
        <v>0.16570172469375757</v>
      </c>
    </row>
    <row r="414" spans="1:15">
      <c r="A414" s="6">
        <v>41534</v>
      </c>
      <c r="B414" s="7" t="s">
        <v>34</v>
      </c>
      <c r="C414">
        <v>7</v>
      </c>
      <c r="D414" t="s">
        <v>25</v>
      </c>
      <c r="E414">
        <v>1.58</v>
      </c>
      <c r="F414">
        <v>1.58</v>
      </c>
      <c r="N414">
        <f t="shared" si="7"/>
        <v>1.0326175946733336</v>
      </c>
      <c r="O414">
        <f>IF(AND(OR(D414="S. acutus",D414="S. californicus",D414="S. tabernaemontani"),G414=0),E414*[1]Sheet1!$D$7+[1]Sheet1!$L$7,IF(AND(OR(D414="S. acutus",D414="S. tabernaemontani"),G414&gt;0),E414*[1]Sheet1!$D$8+N414*[1]Sheet1!$E$8,IF(AND(D414="S. californicus",G414&gt;0),E414*[1]Sheet1!$D$9+N414*[1]Sheet1!$E$9,IF(D414="S. maritimus",F414*[1]Sheet1!$C$10+E414*[1]Sheet1!$D$10+G414*[1]Sheet1!$F$10+[1]Sheet1!$L$10,IF(D414="S. americanus",F414*[1]Sheet1!$C$6+E414*[1]Sheet1!$D$6+[1]Sheet1!$L$6,IF(AND(OR(D414="T. domingensis",D414="T. latifolia"),E414&gt;0),F414*[1]Sheet1!$C$4+E414*[1]Sheet1!$D$4+H414*[1]Sheet1!$J$4+I414*[1]Sheet1!$K$4+[1]Sheet1!$L$4,IF(AND(OR(D414="T. domingensis",D414="T. latifolia"),J414&gt;0),J414*[1]Sheet1!$G$5+K414*[1]Sheet1!$H$5+L414*[1]Sheet1!$I$5+[1]Sheet1!$L$5,0)))))))</f>
        <v>-4.4798311000000002</v>
      </c>
    </row>
    <row r="415" spans="1:15">
      <c r="A415" s="6">
        <v>41534</v>
      </c>
      <c r="B415" s="7" t="s">
        <v>34</v>
      </c>
      <c r="C415">
        <v>7</v>
      </c>
      <c r="D415" t="s">
        <v>25</v>
      </c>
      <c r="E415">
        <v>1.82</v>
      </c>
      <c r="F415">
        <v>1.82</v>
      </c>
      <c r="N415">
        <f t="shared" si="7"/>
        <v>1.5782740785933334</v>
      </c>
      <c r="O415">
        <f>IF(AND(OR(D415="S. acutus",D415="S. californicus",D415="S. tabernaemontani"),G415=0),E415*[1]Sheet1!$D$7+[1]Sheet1!$L$7,IF(AND(OR(D415="S. acutus",D415="S. tabernaemontani"),G415&gt;0),E415*[1]Sheet1!$D$8+N415*[1]Sheet1!$E$8,IF(AND(D415="S. californicus",G415&gt;0),E415*[1]Sheet1!$D$9+N415*[1]Sheet1!$E$9,IF(D415="S. maritimus",F415*[1]Sheet1!$C$10+E415*[1]Sheet1!$D$10+G415*[1]Sheet1!$F$10+[1]Sheet1!$L$10,IF(D415="S. americanus",F415*[1]Sheet1!$C$6+E415*[1]Sheet1!$D$6+[1]Sheet1!$L$6,IF(AND(OR(D415="T. domingensis",D415="T. latifolia"),E415&gt;0),F415*[1]Sheet1!$C$4+E415*[1]Sheet1!$D$4+H415*[1]Sheet1!$J$4+I415*[1]Sheet1!$K$4+[1]Sheet1!$L$4,IF(AND(OR(D415="T. domingensis",D415="T. latifolia"),J415&gt;0),J415*[1]Sheet1!$G$5+K415*[1]Sheet1!$H$5+L415*[1]Sheet1!$I$5+[1]Sheet1!$L$5,0)))))))</f>
        <v>-4.4630058999999997</v>
      </c>
    </row>
    <row r="416" spans="1:15">
      <c r="A416" s="6">
        <v>41534</v>
      </c>
      <c r="B416" s="7" t="s">
        <v>34</v>
      </c>
      <c r="C416">
        <v>7</v>
      </c>
      <c r="D416" t="s">
        <v>25</v>
      </c>
      <c r="E416">
        <v>219</v>
      </c>
      <c r="F416">
        <v>1.32</v>
      </c>
      <c r="N416">
        <f t="shared" si="7"/>
        <v>99.898792091999994</v>
      </c>
      <c r="O416">
        <f>IF(AND(OR(D416="S. acutus",D416="S. californicus",D416="S. tabernaemontani"),G416=0),E416*[1]Sheet1!$D$7+[1]Sheet1!$L$7,IF(AND(OR(D416="S. acutus",D416="S. tabernaemontani"),G416&gt;0),E416*[1]Sheet1!$D$8+N416*[1]Sheet1!$E$8,IF(AND(D416="S. californicus",G416&gt;0),E416*[1]Sheet1!$D$9+N416*[1]Sheet1!$E$9,IF(D416="S. maritimus",F416*[1]Sheet1!$C$10+E416*[1]Sheet1!$D$10+G416*[1]Sheet1!$F$10+[1]Sheet1!$L$10,IF(D416="S. americanus",F416*[1]Sheet1!$C$6+E416*[1]Sheet1!$D$6+[1]Sheet1!$L$6,IF(AND(OR(D416="T. domingensis",D416="T. latifolia"),E416&gt;0),F416*[1]Sheet1!$C$4+E416*[1]Sheet1!$D$4+H416*[1]Sheet1!$J$4+I416*[1]Sheet1!$K$4+[1]Sheet1!$L$4,IF(AND(OR(D416="T. domingensis",D416="T. latifolia"),J416&gt;0),J416*[1]Sheet1!$G$5+K416*[1]Sheet1!$H$5+L416*[1]Sheet1!$I$5+[1]Sheet1!$L$5,0)))))))</f>
        <v>10.762398000000001</v>
      </c>
    </row>
    <row r="417" spans="1:15">
      <c r="A417" s="6">
        <v>41534</v>
      </c>
      <c r="B417" s="7" t="s">
        <v>34</v>
      </c>
      <c r="C417">
        <v>7</v>
      </c>
      <c r="D417" t="s">
        <v>25</v>
      </c>
      <c r="E417">
        <v>334</v>
      </c>
      <c r="F417">
        <v>2.3199999999999998</v>
      </c>
      <c r="G417">
        <v>3</v>
      </c>
      <c r="N417">
        <f t="shared" si="7"/>
        <v>470.64201677866657</v>
      </c>
      <c r="O417">
        <f>IF(AND(OR(D417="S. acutus",D417="S. californicus",D417="S. tabernaemontani"),G417=0),E417*[1]Sheet1!$D$7+[1]Sheet1!$L$7,IF(AND(OR(D417="S. acutus",D417="S. tabernaemontani"),G417&gt;0),E417*[1]Sheet1!$D$8+N417*[1]Sheet1!$E$8,IF(AND(D417="S. californicus",G417&gt;0),E417*[1]Sheet1!$D$9+N417*[1]Sheet1!$E$9,IF(D417="S. maritimus",F417*[1]Sheet1!$C$10+E417*[1]Sheet1!$D$10+G417*[1]Sheet1!$F$10+[1]Sheet1!$L$10,IF(D417="S. americanus",F417*[1]Sheet1!$C$6+E417*[1]Sheet1!$D$6+[1]Sheet1!$L$6,IF(AND(OR(D417="T. domingensis",D417="T. latifolia"),E417&gt;0),F417*[1]Sheet1!$C$4+E417*[1]Sheet1!$D$4+H417*[1]Sheet1!$J$4+I417*[1]Sheet1!$K$4+[1]Sheet1!$L$4,IF(AND(OR(D417="T. domingensis",D417="T. latifolia"),J417&gt;0),J417*[1]Sheet1!$G$5+K417*[1]Sheet1!$H$5+L417*[1]Sheet1!$I$5+[1]Sheet1!$L$5,0)))))))</f>
        <v>35.324670075692815</v>
      </c>
    </row>
    <row r="418" spans="1:15">
      <c r="A418" s="6">
        <v>41534</v>
      </c>
      <c r="B418" s="7" t="s">
        <v>34</v>
      </c>
      <c r="C418">
        <v>7</v>
      </c>
      <c r="D418" t="s">
        <v>25</v>
      </c>
      <c r="E418">
        <v>294</v>
      </c>
      <c r="F418">
        <v>1.9</v>
      </c>
      <c r="G418">
        <v>6</v>
      </c>
      <c r="N418">
        <f t="shared" si="7"/>
        <v>277.85792754999994</v>
      </c>
      <c r="O418">
        <f>IF(AND(OR(D418="S. acutus",D418="S. californicus",D418="S. tabernaemontani"),G418=0),E418*[1]Sheet1!$D$7+[1]Sheet1!$L$7,IF(AND(OR(D418="S. acutus",D418="S. tabernaemontani"),G418&gt;0),E418*[1]Sheet1!$D$8+N418*[1]Sheet1!$E$8,IF(AND(D418="S. californicus",G418&gt;0),E418*[1]Sheet1!$D$9+N418*[1]Sheet1!$E$9,IF(D418="S. maritimus",F418*[1]Sheet1!$C$10+E418*[1]Sheet1!$D$10+G418*[1]Sheet1!$F$10+[1]Sheet1!$L$10,IF(D418="S. americanus",F418*[1]Sheet1!$C$6+E418*[1]Sheet1!$D$6+[1]Sheet1!$L$6,IF(AND(OR(D418="T. domingensis",D418="T. latifolia"),E418&gt;0),F418*[1]Sheet1!$C$4+E418*[1]Sheet1!$D$4+H418*[1]Sheet1!$J$4+I418*[1]Sheet1!$K$4+[1]Sheet1!$L$4,IF(AND(OR(D418="T. domingensis",D418="T. latifolia"),J418&gt;0),J418*[1]Sheet1!$G$5+K418*[1]Sheet1!$H$5+L418*[1]Sheet1!$I$5+[1]Sheet1!$L$5,0)))))))</f>
        <v>23.226296513518697</v>
      </c>
    </row>
    <row r="419" spans="1:15">
      <c r="A419" s="6">
        <v>41534</v>
      </c>
      <c r="B419" s="7" t="s">
        <v>34</v>
      </c>
      <c r="C419">
        <v>7</v>
      </c>
      <c r="D419" t="s">
        <v>25</v>
      </c>
      <c r="E419">
        <v>141</v>
      </c>
      <c r="F419">
        <v>1.2</v>
      </c>
      <c r="N419">
        <f t="shared" si="7"/>
        <v>53.155702799999993</v>
      </c>
      <c r="O419">
        <f>IF(AND(OR(D419="S. acutus",D419="S. californicus",D419="S. tabernaemontani"),G419=0),E419*[1]Sheet1!$D$7+[1]Sheet1!$L$7,IF(AND(OR(D419="S. acutus",D419="S. tabernaemontani"),G419&gt;0),E419*[1]Sheet1!$D$8+N419*[1]Sheet1!$E$8,IF(AND(D419="S. californicus",G419&gt;0),E419*[1]Sheet1!$D$9+N419*[1]Sheet1!$E$9,IF(D419="S. maritimus",F419*[1]Sheet1!$C$10+E419*[1]Sheet1!$D$10+G419*[1]Sheet1!$F$10+[1]Sheet1!$L$10,IF(D419="S. americanus",F419*[1]Sheet1!$C$6+E419*[1]Sheet1!$D$6+[1]Sheet1!$L$6,IF(AND(OR(D419="T. domingensis",D419="T. latifolia"),E419&gt;0),F419*[1]Sheet1!$C$4+E419*[1]Sheet1!$D$4+H419*[1]Sheet1!$J$4+I419*[1]Sheet1!$K$4+[1]Sheet1!$L$4,IF(AND(OR(D419="T. domingensis",D419="T. latifolia"),J419&gt;0),J419*[1]Sheet1!$G$5+K419*[1]Sheet1!$H$5+L419*[1]Sheet1!$I$5+[1]Sheet1!$L$5,0)))))))</f>
        <v>5.2942080000000002</v>
      </c>
    </row>
    <row r="420" spans="1:15">
      <c r="A420" s="6">
        <v>41534</v>
      </c>
      <c r="B420" s="7" t="s">
        <v>34</v>
      </c>
      <c r="C420">
        <v>7</v>
      </c>
      <c r="D420" t="s">
        <v>25</v>
      </c>
      <c r="E420">
        <v>206</v>
      </c>
      <c r="F420">
        <v>1.3</v>
      </c>
      <c r="N420">
        <f t="shared" si="7"/>
        <v>91.142761883333336</v>
      </c>
      <c r="O420">
        <f>IF(AND(OR(D420="S. acutus",D420="S. californicus",D420="S. tabernaemontani"),G420=0),E420*[1]Sheet1!$D$7+[1]Sheet1!$L$7,IF(AND(OR(D420="S. acutus",D420="S. tabernaemontani"),G420&gt;0),E420*[1]Sheet1!$D$8+N420*[1]Sheet1!$E$8,IF(AND(D420="S. californicus",G420&gt;0),E420*[1]Sheet1!$D$9+N420*[1]Sheet1!$E$9,IF(D420="S. maritimus",F420*[1]Sheet1!$C$10+E420*[1]Sheet1!$D$10+G420*[1]Sheet1!$F$10+[1]Sheet1!$L$10,IF(D420="S. americanus",F420*[1]Sheet1!$C$6+E420*[1]Sheet1!$D$6+[1]Sheet1!$L$6,IF(AND(OR(D420="T. domingensis",D420="T. latifolia"),E420&gt;0),F420*[1]Sheet1!$C$4+E420*[1]Sheet1!$D$4+H420*[1]Sheet1!$J$4+I420*[1]Sheet1!$K$4+[1]Sheet1!$L$4,IF(AND(OR(D420="T. domingensis",D420="T. latifolia"),J420&gt;0),J420*[1]Sheet1!$G$5+K420*[1]Sheet1!$H$5+L420*[1]Sheet1!$I$5+[1]Sheet1!$L$5,0)))))))</f>
        <v>9.851033000000001</v>
      </c>
    </row>
    <row r="421" spans="1:15">
      <c r="A421" s="6">
        <v>41534</v>
      </c>
      <c r="B421" s="7" t="s">
        <v>34</v>
      </c>
      <c r="C421">
        <v>7</v>
      </c>
      <c r="D421" t="s">
        <v>25</v>
      </c>
      <c r="E421">
        <v>248</v>
      </c>
      <c r="F421">
        <v>1.2</v>
      </c>
      <c r="N421">
        <f t="shared" si="7"/>
        <v>93.493718399999992</v>
      </c>
      <c r="O421">
        <f>IF(AND(OR(D421="S. acutus",D421="S. californicus",D421="S. tabernaemontani"),G421=0),E421*[1]Sheet1!$D$7+[1]Sheet1!$L$7,IF(AND(OR(D421="S. acutus",D421="S. tabernaemontani"),G421&gt;0),E421*[1]Sheet1!$D$8+N421*[1]Sheet1!$E$8,IF(AND(D421="S. californicus",G421&gt;0),E421*[1]Sheet1!$D$9+N421*[1]Sheet1!$E$9,IF(D421="S. maritimus",F421*[1]Sheet1!$C$10+E421*[1]Sheet1!$D$10+G421*[1]Sheet1!$F$10+[1]Sheet1!$L$10,IF(D421="S. americanus",F421*[1]Sheet1!$C$6+E421*[1]Sheet1!$D$6+[1]Sheet1!$L$6,IF(AND(OR(D421="T. domingensis",D421="T. latifolia"),E421&gt;0),F421*[1]Sheet1!$C$4+E421*[1]Sheet1!$D$4+H421*[1]Sheet1!$J$4+I421*[1]Sheet1!$K$4+[1]Sheet1!$L$4,IF(AND(OR(D421="T. domingensis",D421="T. latifolia"),J421&gt;0),J421*[1]Sheet1!$G$5+K421*[1]Sheet1!$H$5+L421*[1]Sheet1!$I$5+[1]Sheet1!$L$5,0)))))))</f>
        <v>12.795443000000002</v>
      </c>
    </row>
    <row r="422" spans="1:15">
      <c r="A422" s="6">
        <v>41534</v>
      </c>
      <c r="B422" s="7" t="s">
        <v>34</v>
      </c>
      <c r="C422">
        <v>7</v>
      </c>
      <c r="D422" t="s">
        <v>25</v>
      </c>
      <c r="E422">
        <v>230</v>
      </c>
      <c r="F422">
        <v>2.36</v>
      </c>
      <c r="N422">
        <f t="shared" si="7"/>
        <v>335.36682689333327</v>
      </c>
      <c r="O422">
        <f>IF(AND(OR(D422="S. acutus",D422="S. californicus",D422="S. tabernaemontani"),G422=0),E422*[1]Sheet1!$D$7+[1]Sheet1!$L$7,IF(AND(OR(D422="S. acutus",D422="S. tabernaemontani"),G422&gt;0),E422*[1]Sheet1!$D$8+N422*[1]Sheet1!$E$8,IF(AND(D422="S. californicus",G422&gt;0),E422*[1]Sheet1!$D$9+N422*[1]Sheet1!$E$9,IF(D422="S. maritimus",F422*[1]Sheet1!$C$10+E422*[1]Sheet1!$D$10+G422*[1]Sheet1!$F$10+[1]Sheet1!$L$10,IF(D422="S. americanus",F422*[1]Sheet1!$C$6+E422*[1]Sheet1!$D$6+[1]Sheet1!$L$6,IF(AND(OR(D422="T. domingensis",D422="T. latifolia"),E422&gt;0),F422*[1]Sheet1!$C$4+E422*[1]Sheet1!$D$4+H422*[1]Sheet1!$J$4+I422*[1]Sheet1!$K$4+[1]Sheet1!$L$4,IF(AND(OR(D422="T. domingensis",D422="T. latifolia"),J422&gt;0),J422*[1]Sheet1!$G$5+K422*[1]Sheet1!$H$5+L422*[1]Sheet1!$I$5+[1]Sheet1!$L$5,0)))))))</f>
        <v>11.533553000000001</v>
      </c>
    </row>
    <row r="423" spans="1:15">
      <c r="A423" s="6">
        <v>41534</v>
      </c>
      <c r="B423" s="7" t="s">
        <v>34</v>
      </c>
      <c r="C423">
        <v>7</v>
      </c>
      <c r="D423" t="s">
        <v>25</v>
      </c>
      <c r="E423">
        <v>90</v>
      </c>
      <c r="F423">
        <v>0.66</v>
      </c>
      <c r="N423">
        <f t="shared" si="7"/>
        <v>10.26357453</v>
      </c>
      <c r="O423">
        <f>IF(AND(OR(D423="S. acutus",D423="S. californicus",D423="S. tabernaemontani"),G423=0),E423*[1]Sheet1!$D$7+[1]Sheet1!$L$7,IF(AND(OR(D423="S. acutus",D423="S. tabernaemontani"),G423&gt;0),E423*[1]Sheet1!$D$8+N423*[1]Sheet1!$E$8,IF(AND(D423="S. californicus",G423&gt;0),E423*[1]Sheet1!$D$9+N423*[1]Sheet1!$E$9,IF(D423="S. maritimus",F423*[1]Sheet1!$C$10+E423*[1]Sheet1!$D$10+G423*[1]Sheet1!$F$10+[1]Sheet1!$L$10,IF(D423="S. americanus",F423*[1]Sheet1!$C$6+E423*[1]Sheet1!$D$6+[1]Sheet1!$L$6,IF(AND(OR(D423="T. domingensis",D423="T. latifolia"),E423&gt;0),F423*[1]Sheet1!$C$4+E423*[1]Sheet1!$D$4+H423*[1]Sheet1!$J$4+I423*[1]Sheet1!$K$4+[1]Sheet1!$L$4,IF(AND(OR(D423="T. domingensis",D423="T. latifolia"),J423&gt;0),J423*[1]Sheet1!$G$5+K423*[1]Sheet1!$H$5+L423*[1]Sheet1!$I$5+[1]Sheet1!$L$5,0)))))))</f>
        <v>1.7188530000000002</v>
      </c>
    </row>
    <row r="424" spans="1:15">
      <c r="A424" s="6">
        <v>41534</v>
      </c>
      <c r="B424" s="7" t="s">
        <v>34</v>
      </c>
      <c r="C424">
        <v>7</v>
      </c>
      <c r="D424" t="s">
        <v>25</v>
      </c>
      <c r="E424">
        <v>185</v>
      </c>
      <c r="F424">
        <v>0.92</v>
      </c>
      <c r="N424">
        <f t="shared" si="7"/>
        <v>40.993560713333331</v>
      </c>
      <c r="O424">
        <f>IF(AND(OR(D424="S. acutus",D424="S. californicus",D424="S. tabernaemontani"),G424=0),E424*[1]Sheet1!$D$7+[1]Sheet1!$L$7,IF(AND(OR(D424="S. acutus",D424="S. tabernaemontani"),G424&gt;0),E424*[1]Sheet1!$D$8+N424*[1]Sheet1!$E$8,IF(AND(D424="S. californicus",G424&gt;0),E424*[1]Sheet1!$D$9+N424*[1]Sheet1!$E$9,IF(D424="S. maritimus",F424*[1]Sheet1!$C$10+E424*[1]Sheet1!$D$10+G424*[1]Sheet1!$F$10+[1]Sheet1!$L$10,IF(D424="S. americanus",F424*[1]Sheet1!$C$6+E424*[1]Sheet1!$D$6+[1]Sheet1!$L$6,IF(AND(OR(D424="T. domingensis",D424="T. latifolia"),E424&gt;0),F424*[1]Sheet1!$C$4+E424*[1]Sheet1!$D$4+H424*[1]Sheet1!$J$4+I424*[1]Sheet1!$K$4+[1]Sheet1!$L$4,IF(AND(OR(D424="T. domingensis",D424="T. latifolia"),J424&gt;0),J424*[1]Sheet1!$G$5+K424*[1]Sheet1!$H$5+L424*[1]Sheet1!$I$5+[1]Sheet1!$L$5,0)))))))</f>
        <v>8.3788279999999986</v>
      </c>
    </row>
    <row r="425" spans="1:15">
      <c r="A425" s="6">
        <v>41534</v>
      </c>
      <c r="B425" s="7" t="s">
        <v>34</v>
      </c>
      <c r="C425">
        <v>7</v>
      </c>
      <c r="D425" t="s">
        <v>19</v>
      </c>
      <c r="F425">
        <v>0.7</v>
      </c>
      <c r="J425">
        <f>39+42</f>
        <v>81</v>
      </c>
      <c r="K425">
        <v>2</v>
      </c>
      <c r="L425">
        <v>42</v>
      </c>
      <c r="N425" t="str">
        <f t="shared" si="7"/>
        <v>NA</v>
      </c>
      <c r="O425">
        <f>IF(AND(OR(D425="S. acutus",D425="S. californicus",D425="S. tabernaemontani"),G425=0),E425*[1]Sheet1!$D$7+[1]Sheet1!$L$7,IF(AND(OR(D425="S. acutus",D425="S. tabernaemontani"),G425&gt;0),E425*[1]Sheet1!$D$8+N425*[1]Sheet1!$E$8,IF(AND(D425="S. californicus",G425&gt;0),E425*[1]Sheet1!$D$9+N425*[1]Sheet1!$E$9,IF(D425="S. maritimus",F425*[1]Sheet1!$C$10+E425*[1]Sheet1!$D$10+G425*[1]Sheet1!$F$10+[1]Sheet1!$L$10,IF(D425="S. americanus",F425*[1]Sheet1!$C$6+E425*[1]Sheet1!$D$6+[1]Sheet1!$L$6,IF(AND(OR(D425="T. domingensis",D425="T. latifolia"),E425&gt;0),F425*[1]Sheet1!$C$4+E425*[1]Sheet1!$D$4+H425*[1]Sheet1!$J$4+I425*[1]Sheet1!$K$4+[1]Sheet1!$L$4,IF(AND(OR(D425="T. domingensis",D425="T. latifolia"),J425&gt;0),J425*[1]Sheet1!$G$5+K425*[1]Sheet1!$H$5+L425*[1]Sheet1!$I$5+[1]Sheet1!$L$5,0)))))))</f>
        <v>13.934142999999999</v>
      </c>
    </row>
    <row r="426" spans="1:15">
      <c r="A426" s="6">
        <v>41534</v>
      </c>
      <c r="B426" s="7" t="s">
        <v>34</v>
      </c>
      <c r="C426">
        <v>7</v>
      </c>
      <c r="D426" t="s">
        <v>19</v>
      </c>
      <c r="F426">
        <v>10.24</v>
      </c>
      <c r="J426">
        <f>219+310+340+347+335+353+358+376+376+396+388</f>
        <v>3798</v>
      </c>
      <c r="K426">
        <v>11</v>
      </c>
      <c r="L426">
        <v>396</v>
      </c>
      <c r="N426" t="str">
        <f t="shared" si="7"/>
        <v>NA</v>
      </c>
      <c r="O426">
        <f>IF(AND(OR(D426="S. acutus",D426="S. californicus",D426="S. tabernaemontani"),G426=0),E426*[1]Sheet1!$D$7+[1]Sheet1!$L$7,IF(AND(OR(D426="S. acutus",D426="S. tabernaemontani"),G426&gt;0),E426*[1]Sheet1!$D$8+N426*[1]Sheet1!$E$8,IF(AND(D426="S. californicus",G426&gt;0),E426*[1]Sheet1!$D$9+N426*[1]Sheet1!$E$9,IF(D426="S. maritimus",F426*[1]Sheet1!$C$10+E426*[1]Sheet1!$D$10+G426*[1]Sheet1!$F$10+[1]Sheet1!$L$10,IF(D426="S. americanus",F426*[1]Sheet1!$C$6+E426*[1]Sheet1!$D$6+[1]Sheet1!$L$6,IF(AND(OR(D426="T. domingensis",D426="T. latifolia"),E426&gt;0),F426*[1]Sheet1!$C$4+E426*[1]Sheet1!$D$4+H426*[1]Sheet1!$J$4+I426*[1]Sheet1!$K$4+[1]Sheet1!$L$4,IF(AND(OR(D426="T. domingensis",D426="T. latifolia"),J426&gt;0),J426*[1]Sheet1!$G$5+K426*[1]Sheet1!$H$5+L426*[1]Sheet1!$I$5+[1]Sheet1!$L$5,0)))))))</f>
        <v>192.57957100000002</v>
      </c>
    </row>
    <row r="427" spans="1:15">
      <c r="A427" s="6">
        <v>41534</v>
      </c>
      <c r="B427" s="7" t="s">
        <v>34</v>
      </c>
      <c r="C427">
        <v>17</v>
      </c>
      <c r="D427" t="s">
        <v>19</v>
      </c>
      <c r="F427">
        <v>1.31</v>
      </c>
      <c r="J427">
        <f>49+84+90+106</f>
        <v>329</v>
      </c>
      <c r="K427">
        <v>4</v>
      </c>
      <c r="L427">
        <v>106</v>
      </c>
      <c r="N427" t="str">
        <f t="shared" si="7"/>
        <v>NA</v>
      </c>
      <c r="O427">
        <f>IF(AND(OR(D427="S. acutus",D427="S. californicus",D427="S. tabernaemontani"),G427=0),E427*[1]Sheet1!$D$7+[1]Sheet1!$L$7,IF(AND(OR(D427="S. acutus",D427="S. tabernaemontani"),G427&gt;0),E427*[1]Sheet1!$D$8+N427*[1]Sheet1!$E$8,IF(AND(D427="S. californicus",G427&gt;0),E427*[1]Sheet1!$D$9+N427*[1]Sheet1!$E$9,IF(D427="S. maritimus",F427*[1]Sheet1!$C$10+E427*[1]Sheet1!$D$10+G427*[1]Sheet1!$F$10+[1]Sheet1!$L$10,IF(D427="S. americanus",F427*[1]Sheet1!$C$6+E427*[1]Sheet1!$D$6+[1]Sheet1!$L$6,IF(AND(OR(D427="T. domingensis",D427="T. latifolia"),E427&gt;0),F427*[1]Sheet1!$C$4+E427*[1]Sheet1!$D$4+H427*[1]Sheet1!$J$4+I427*[1]Sheet1!$K$4+[1]Sheet1!$L$4,IF(AND(OR(D427="T. domingensis",D427="T. latifolia"),J427&gt;0),J427*[1]Sheet1!$G$5+K427*[1]Sheet1!$H$5+L427*[1]Sheet1!$I$5+[1]Sheet1!$L$5,0)))))))</f>
        <v>3.8609969999999976</v>
      </c>
    </row>
    <row r="428" spans="1:15">
      <c r="A428" s="6">
        <v>41534</v>
      </c>
      <c r="B428" s="7" t="s">
        <v>34</v>
      </c>
      <c r="C428">
        <v>17</v>
      </c>
      <c r="D428" t="s">
        <v>19</v>
      </c>
      <c r="F428">
        <v>10.88</v>
      </c>
      <c r="J428">
        <f>59+140+129+283+301+350+390+394+390+382+371</f>
        <v>3189</v>
      </c>
      <c r="K428">
        <v>11</v>
      </c>
      <c r="L428">
        <v>394</v>
      </c>
      <c r="N428" t="str">
        <f t="shared" si="7"/>
        <v>NA</v>
      </c>
      <c r="O428">
        <f>IF(AND(OR(D428="S. acutus",D428="S. californicus",D428="S. tabernaemontani"),G428=0),E428*[1]Sheet1!$D$7+[1]Sheet1!$L$7,IF(AND(OR(D428="S. acutus",D428="S. tabernaemontani"),G428&gt;0),E428*[1]Sheet1!$D$8+N428*[1]Sheet1!$E$8,IF(AND(D428="S. californicus",G428&gt;0),E428*[1]Sheet1!$D$9+N428*[1]Sheet1!$E$9,IF(D428="S. maritimus",F428*[1]Sheet1!$C$10+E428*[1]Sheet1!$D$10+G428*[1]Sheet1!$F$10+[1]Sheet1!$L$10,IF(D428="S. americanus",F428*[1]Sheet1!$C$6+E428*[1]Sheet1!$D$6+[1]Sheet1!$L$6,IF(AND(OR(D428="T. domingensis",D428="T. latifolia"),E428&gt;0),F428*[1]Sheet1!$C$4+E428*[1]Sheet1!$D$4+H428*[1]Sheet1!$J$4+I428*[1]Sheet1!$K$4+[1]Sheet1!$L$4,IF(AND(OR(D428="T. domingensis",D428="T. latifolia"),J428&gt;0),J428*[1]Sheet1!$G$5+K428*[1]Sheet1!$H$5+L428*[1]Sheet1!$I$5+[1]Sheet1!$L$5,0)))))))</f>
        <v>136.08526599999999</v>
      </c>
    </row>
    <row r="429" spans="1:15">
      <c r="A429" s="6">
        <v>41534</v>
      </c>
      <c r="B429" s="7" t="s">
        <v>34</v>
      </c>
      <c r="C429">
        <v>17</v>
      </c>
      <c r="D429" t="s">
        <v>19</v>
      </c>
      <c r="F429">
        <v>6.25</v>
      </c>
      <c r="J429">
        <f>101+136+158+181+192+208+225+243+248</f>
        <v>1692</v>
      </c>
      <c r="K429">
        <v>9</v>
      </c>
      <c r="L429">
        <v>248</v>
      </c>
      <c r="N429" t="str">
        <f t="shared" si="7"/>
        <v>NA</v>
      </c>
      <c r="O429">
        <f>IF(AND(OR(D429="S. acutus",D429="S. californicus",D429="S. tabernaemontani"),G429=0),E429*[1]Sheet1!$D$7+[1]Sheet1!$L$7,IF(AND(OR(D429="S. acutus",D429="S. tabernaemontani"),G429&gt;0),E429*[1]Sheet1!$D$8+N429*[1]Sheet1!$E$8,IF(AND(D429="S. californicus",G429&gt;0),E429*[1]Sheet1!$D$9+N429*[1]Sheet1!$E$9,IF(D429="S. maritimus",F429*[1]Sheet1!$C$10+E429*[1]Sheet1!$D$10+G429*[1]Sheet1!$F$10+[1]Sheet1!$L$10,IF(D429="S. americanus",F429*[1]Sheet1!$C$6+E429*[1]Sheet1!$D$6+[1]Sheet1!$L$6,IF(AND(OR(D429="T. domingensis",D429="T. latifolia"),E429&gt;0),F429*[1]Sheet1!$C$4+E429*[1]Sheet1!$D$4+H429*[1]Sheet1!$J$4+I429*[1]Sheet1!$K$4+[1]Sheet1!$L$4,IF(AND(OR(D429="T. domingensis",D429="T. latifolia"),J429&gt;0),J429*[1]Sheet1!$G$5+K429*[1]Sheet1!$H$5+L429*[1]Sheet1!$I$5+[1]Sheet1!$L$5,0)))))))</f>
        <v>53.760507000000011</v>
      </c>
    </row>
    <row r="430" spans="1:15">
      <c r="A430" s="6">
        <v>41534</v>
      </c>
      <c r="B430" s="7" t="s">
        <v>34</v>
      </c>
      <c r="C430">
        <v>17</v>
      </c>
      <c r="D430" t="s">
        <v>19</v>
      </c>
      <c r="F430">
        <v>7.65</v>
      </c>
      <c r="J430">
        <f>109+161+165+220+238+270+267+276</f>
        <v>1706</v>
      </c>
      <c r="K430">
        <v>8</v>
      </c>
      <c r="L430">
        <v>276</v>
      </c>
      <c r="N430" t="str">
        <f t="shared" si="7"/>
        <v>NA</v>
      </c>
      <c r="O430">
        <f>IF(AND(OR(D430="S. acutus",D430="S. californicus",D430="S. tabernaemontani"),G430=0),E430*[1]Sheet1!$D$7+[1]Sheet1!$L$7,IF(AND(OR(D430="S. acutus",D430="S. tabernaemontani"),G430&gt;0),E430*[1]Sheet1!$D$8+N430*[1]Sheet1!$E$8,IF(AND(D430="S. californicus",G430&gt;0),E430*[1]Sheet1!$D$9+N430*[1]Sheet1!$E$9,IF(D430="S. maritimus",F430*[1]Sheet1!$C$10+E430*[1]Sheet1!$D$10+G430*[1]Sheet1!$F$10+[1]Sheet1!$L$10,IF(D430="S. americanus",F430*[1]Sheet1!$C$6+E430*[1]Sheet1!$D$6+[1]Sheet1!$L$6,IF(AND(OR(D430="T. domingensis",D430="T. latifolia"),E430&gt;0),F430*[1]Sheet1!$C$4+E430*[1]Sheet1!$D$4+H430*[1]Sheet1!$J$4+I430*[1]Sheet1!$K$4+[1]Sheet1!$L$4,IF(AND(OR(D430="T. domingensis",D430="T. latifolia"),J430&gt;0),J430*[1]Sheet1!$G$5+K430*[1]Sheet1!$H$5+L430*[1]Sheet1!$I$5+[1]Sheet1!$L$5,0)))))))</f>
        <v>53.660570000000014</v>
      </c>
    </row>
    <row r="431" spans="1:15">
      <c r="A431" s="6">
        <v>41534</v>
      </c>
      <c r="B431" s="7" t="s">
        <v>34</v>
      </c>
      <c r="C431">
        <v>19</v>
      </c>
      <c r="D431" t="s">
        <v>24</v>
      </c>
      <c r="E431">
        <v>182</v>
      </c>
      <c r="F431">
        <v>1.77</v>
      </c>
      <c r="N431">
        <f t="shared" si="7"/>
        <v>149.2746908835</v>
      </c>
      <c r="O431">
        <f>IF(AND(OR(D431="S. acutus",D431="S. californicus",D431="S. tabernaemontani"),G431=0),E431*[1]Sheet1!$D$7+[1]Sheet1!$L$7,IF(AND(OR(D431="S. acutus",D431="S. tabernaemontani"),G431&gt;0),E431*[1]Sheet1!$D$8+N431*[1]Sheet1!$E$8,IF(AND(D431="S. californicus",G431&gt;0),E431*[1]Sheet1!$D$9+N431*[1]Sheet1!$E$9,IF(D431="S. maritimus",F431*[1]Sheet1!$C$10+E431*[1]Sheet1!$D$10+G431*[1]Sheet1!$F$10+[1]Sheet1!$L$10,IF(D431="S. americanus",F431*[1]Sheet1!$C$6+E431*[1]Sheet1!$D$6+[1]Sheet1!$L$6,IF(AND(OR(D431="T. domingensis",D431="T. latifolia"),E431&gt;0),F431*[1]Sheet1!$C$4+E431*[1]Sheet1!$D$4+H431*[1]Sheet1!$J$4+I431*[1]Sheet1!$K$4+[1]Sheet1!$L$4,IF(AND(OR(D431="T. domingensis",D431="T. latifolia"),J431&gt;0),J431*[1]Sheet1!$G$5+K431*[1]Sheet1!$H$5+L431*[1]Sheet1!$I$5+[1]Sheet1!$L$5,0)))))))</f>
        <v>8.1685130000000008</v>
      </c>
    </row>
    <row r="432" spans="1:15">
      <c r="A432" s="6">
        <v>41534</v>
      </c>
      <c r="B432" s="7" t="s">
        <v>34</v>
      </c>
      <c r="C432">
        <v>19</v>
      </c>
      <c r="D432" t="s">
        <v>24</v>
      </c>
      <c r="E432">
        <v>123</v>
      </c>
      <c r="F432">
        <v>1.3</v>
      </c>
      <c r="N432">
        <f t="shared" si="7"/>
        <v>54.420192774999997</v>
      </c>
      <c r="O432">
        <f>IF(AND(OR(D432="S. acutus",D432="S. californicus",D432="S. tabernaemontani"),G432=0),E432*[1]Sheet1!$D$7+[1]Sheet1!$L$7,IF(AND(OR(D432="S. acutus",D432="S. tabernaemontani"),G432&gt;0),E432*[1]Sheet1!$D$8+N432*[1]Sheet1!$E$8,IF(AND(D432="S. californicus",G432&gt;0),E432*[1]Sheet1!$D$9+N432*[1]Sheet1!$E$9,IF(D432="S. maritimus",F432*[1]Sheet1!$C$10+E432*[1]Sheet1!$D$10+G432*[1]Sheet1!$F$10+[1]Sheet1!$L$10,IF(D432="S. americanus",F432*[1]Sheet1!$C$6+E432*[1]Sheet1!$D$6+[1]Sheet1!$L$6,IF(AND(OR(D432="T. domingensis",D432="T. latifolia"),E432&gt;0),F432*[1]Sheet1!$C$4+E432*[1]Sheet1!$D$4+H432*[1]Sheet1!$J$4+I432*[1]Sheet1!$K$4+[1]Sheet1!$L$4,IF(AND(OR(D432="T. domingensis",D432="T. latifolia"),J432&gt;0),J432*[1]Sheet1!$G$5+K432*[1]Sheet1!$H$5+L432*[1]Sheet1!$I$5+[1]Sheet1!$L$5,0)))))))</f>
        <v>4.032318000000001</v>
      </c>
    </row>
    <row r="433" spans="1:15">
      <c r="A433" s="6">
        <v>41534</v>
      </c>
      <c r="B433" s="7" t="s">
        <v>34</v>
      </c>
      <c r="C433">
        <v>19</v>
      </c>
      <c r="D433" t="s">
        <v>24</v>
      </c>
      <c r="E433">
        <v>93</v>
      </c>
      <c r="F433">
        <v>1.2</v>
      </c>
      <c r="N433">
        <f t="shared" si="7"/>
        <v>35.060144399999999</v>
      </c>
      <c r="O433">
        <f>IF(AND(OR(D433="S. acutus",D433="S. californicus",D433="S. tabernaemontani"),G433=0),E433*[1]Sheet1!$D$7+[1]Sheet1!$L$7,IF(AND(OR(D433="S. acutus",D433="S. tabernaemontani"),G433&gt;0),E433*[1]Sheet1!$D$8+N433*[1]Sheet1!$E$8,IF(AND(D433="S. californicus",G433&gt;0),E433*[1]Sheet1!$D$9+N433*[1]Sheet1!$E$9,IF(D433="S. maritimus",F433*[1]Sheet1!$C$10+E433*[1]Sheet1!$D$10+G433*[1]Sheet1!$F$10+[1]Sheet1!$L$10,IF(D433="S. americanus",F433*[1]Sheet1!$C$6+E433*[1]Sheet1!$D$6+[1]Sheet1!$L$6,IF(AND(OR(D433="T. domingensis",D433="T. latifolia"),E433&gt;0),F433*[1]Sheet1!$C$4+E433*[1]Sheet1!$D$4+H433*[1]Sheet1!$J$4+I433*[1]Sheet1!$K$4+[1]Sheet1!$L$4,IF(AND(OR(D433="T. domingensis",D433="T. latifolia"),J433&gt;0),J433*[1]Sheet1!$G$5+K433*[1]Sheet1!$H$5+L433*[1]Sheet1!$I$5+[1]Sheet1!$L$5,0)))))))</f>
        <v>1.9291680000000007</v>
      </c>
    </row>
    <row r="434" spans="1:15">
      <c r="A434" s="6">
        <v>41534</v>
      </c>
      <c r="B434" s="7" t="s">
        <v>34</v>
      </c>
      <c r="C434">
        <v>19</v>
      </c>
      <c r="D434" t="s">
        <v>19</v>
      </c>
      <c r="F434">
        <v>2.39</v>
      </c>
      <c r="J434">
        <f>167+170+181+184</f>
        <v>702</v>
      </c>
      <c r="K434">
        <v>4</v>
      </c>
      <c r="L434">
        <v>184</v>
      </c>
      <c r="N434" t="str">
        <f t="shared" si="7"/>
        <v>NA</v>
      </c>
      <c r="O434">
        <f>IF(AND(OR(D434="S. acutus",D434="S. californicus",D434="S. tabernaemontani"),G434=0),E434*[1]Sheet1!$D$7+[1]Sheet1!$L$7,IF(AND(OR(D434="S. acutus",D434="S. tabernaemontani"),G434&gt;0),E434*[1]Sheet1!$D$8+N434*[1]Sheet1!$E$8,IF(AND(D434="S. californicus",G434&gt;0),E434*[1]Sheet1!$D$9+N434*[1]Sheet1!$E$9,IF(D434="S. maritimus",F434*[1]Sheet1!$C$10+E434*[1]Sheet1!$D$10+G434*[1]Sheet1!$F$10+[1]Sheet1!$L$10,IF(D434="S. americanus",F434*[1]Sheet1!$C$6+E434*[1]Sheet1!$D$6+[1]Sheet1!$L$6,IF(AND(OR(D434="T. domingensis",D434="T. latifolia"),E434&gt;0),F434*[1]Sheet1!$C$4+E434*[1]Sheet1!$D$4+H434*[1]Sheet1!$J$4+I434*[1]Sheet1!$K$4+[1]Sheet1!$L$4,IF(AND(OR(D434="T. domingensis",D434="T. latifolia"),J434&gt;0),J434*[1]Sheet1!$G$5+K434*[1]Sheet1!$H$5+L434*[1]Sheet1!$I$5+[1]Sheet1!$L$5,0)))))))</f>
        <v>15.334502000000008</v>
      </c>
    </row>
    <row r="435" spans="1:15">
      <c r="A435" s="6">
        <v>41534</v>
      </c>
      <c r="B435" s="7" t="s">
        <v>34</v>
      </c>
      <c r="C435">
        <v>19</v>
      </c>
      <c r="D435" t="s">
        <v>19</v>
      </c>
      <c r="F435">
        <v>10.11</v>
      </c>
      <c r="J435">
        <f>189+296+225+241+250+257+252+225+227+248+246+247+260+258</f>
        <v>3421</v>
      </c>
      <c r="K435">
        <v>14</v>
      </c>
      <c r="L435">
        <v>296</v>
      </c>
      <c r="N435" t="str">
        <f t="shared" si="7"/>
        <v>NA</v>
      </c>
      <c r="O435">
        <f>IF(AND(OR(D435="S. acutus",D435="S. californicus",D435="S. tabernaemontani"),G435=0),E435*[1]Sheet1!$D$7+[1]Sheet1!$L$7,IF(AND(OR(D435="S. acutus",D435="S. tabernaemontani"),G435&gt;0),E435*[1]Sheet1!$D$8+N435*[1]Sheet1!$E$8,IF(AND(D435="S. californicus",G435&gt;0),E435*[1]Sheet1!$D$9+N435*[1]Sheet1!$E$9,IF(D435="S. maritimus",F435*[1]Sheet1!$C$10+E435*[1]Sheet1!$D$10+G435*[1]Sheet1!$F$10+[1]Sheet1!$L$10,IF(D435="S. americanus",F435*[1]Sheet1!$C$6+E435*[1]Sheet1!$D$6+[1]Sheet1!$L$6,IF(AND(OR(D435="T. domingensis",D435="T. latifolia"),E435&gt;0),F435*[1]Sheet1!$C$4+E435*[1]Sheet1!$D$4+H435*[1]Sheet1!$J$4+I435*[1]Sheet1!$K$4+[1]Sheet1!$L$4,IF(AND(OR(D435="T. domingensis",D435="T. latifolia"),J435&gt;0),J435*[1]Sheet1!$G$5+K435*[1]Sheet1!$H$5+L435*[1]Sheet1!$I$5+[1]Sheet1!$L$5,0)))))))</f>
        <v>166.29137700000001</v>
      </c>
    </row>
    <row r="436" spans="1:15">
      <c r="A436" s="6">
        <v>41534</v>
      </c>
      <c r="B436" s="7" t="s">
        <v>34</v>
      </c>
      <c r="C436">
        <v>19</v>
      </c>
      <c r="D436" t="s">
        <v>19</v>
      </c>
      <c r="F436">
        <v>8.67</v>
      </c>
      <c r="J436">
        <f>90+133+151+191+212+262+278+292+293+301</f>
        <v>2203</v>
      </c>
      <c r="K436">
        <v>10</v>
      </c>
      <c r="L436">
        <v>301</v>
      </c>
      <c r="N436" t="str">
        <f t="shared" si="7"/>
        <v>NA</v>
      </c>
      <c r="O436">
        <f>IF(AND(OR(D436="S. acutus",D436="S. californicus",D436="S. tabernaemontani"),G436=0),E436*[1]Sheet1!$D$7+[1]Sheet1!$L$7,IF(AND(OR(D436="S. acutus",D436="S. tabernaemontani"),G436&gt;0),E436*[1]Sheet1!$D$8+N436*[1]Sheet1!$E$8,IF(AND(D436="S. californicus",G436&gt;0),E436*[1]Sheet1!$D$9+N436*[1]Sheet1!$E$9,IF(D436="S. maritimus",F436*[1]Sheet1!$C$10+E436*[1]Sheet1!$D$10+G436*[1]Sheet1!$F$10+[1]Sheet1!$L$10,IF(D436="S. americanus",F436*[1]Sheet1!$C$6+E436*[1]Sheet1!$D$6+[1]Sheet1!$L$6,IF(AND(OR(D436="T. domingensis",D436="T. latifolia"),E436&gt;0),F436*[1]Sheet1!$C$4+E436*[1]Sheet1!$D$4+H436*[1]Sheet1!$J$4+I436*[1]Sheet1!$K$4+[1]Sheet1!$L$4,IF(AND(OR(D436="T. domingensis",D436="T. latifolia"),J436&gt;0),J436*[1]Sheet1!$G$5+K436*[1]Sheet1!$H$5+L436*[1]Sheet1!$I$5+[1]Sheet1!$L$5,0)))))))</f>
        <v>78.680973999999992</v>
      </c>
    </row>
    <row r="437" spans="1:15">
      <c r="A437" s="6">
        <v>41534</v>
      </c>
      <c r="B437" s="7" t="s">
        <v>34</v>
      </c>
      <c r="C437">
        <v>23</v>
      </c>
      <c r="D437" t="s">
        <v>24</v>
      </c>
      <c r="E437">
        <v>263</v>
      </c>
      <c r="F437">
        <v>2.0499999999999998</v>
      </c>
      <c r="G437">
        <v>13</v>
      </c>
      <c r="N437">
        <f t="shared" si="7"/>
        <v>289.3554924520833</v>
      </c>
      <c r="O437">
        <f>IF(AND(OR(D437="S. acutus",D437="S. californicus",D437="S. tabernaemontani"),G437=0),E437*[1]Sheet1!$D$7+[1]Sheet1!$L$7,IF(AND(OR(D437="S. acutus",D437="S. tabernaemontani"),G437&gt;0),E437*[1]Sheet1!$D$8+N437*[1]Sheet1!$E$8,IF(AND(D437="S. californicus",G437&gt;0),E437*[1]Sheet1!$D$9+N437*[1]Sheet1!$E$9,IF(D437="S. maritimus",F437*[1]Sheet1!$C$10+E437*[1]Sheet1!$D$10+G437*[1]Sheet1!$F$10+[1]Sheet1!$L$10,IF(D437="S. americanus",F437*[1]Sheet1!$C$6+E437*[1]Sheet1!$D$6+[1]Sheet1!$L$6,IF(AND(OR(D437="T. domingensis",D437="T. latifolia"),E437&gt;0),F437*[1]Sheet1!$C$4+E437*[1]Sheet1!$D$4+H437*[1]Sheet1!$J$4+I437*[1]Sheet1!$K$4+[1]Sheet1!$L$4,IF(AND(OR(D437="T. domingensis",D437="T. latifolia"),J437&gt;0),J437*[1]Sheet1!$G$5+K437*[1]Sheet1!$H$5+L437*[1]Sheet1!$I$5+[1]Sheet1!$L$5,0)))))))</f>
        <v>19.44487457690029</v>
      </c>
    </row>
    <row r="438" spans="1:15">
      <c r="A438" s="6">
        <v>41534</v>
      </c>
      <c r="B438" s="7" t="s">
        <v>34</v>
      </c>
      <c r="C438">
        <v>23</v>
      </c>
      <c r="D438" t="s">
        <v>24</v>
      </c>
      <c r="E438">
        <v>151</v>
      </c>
      <c r="F438">
        <v>1.3</v>
      </c>
      <c r="N438">
        <f t="shared" si="7"/>
        <v>66.80852934166667</v>
      </c>
      <c r="O438">
        <f>IF(AND(OR(D438="S. acutus",D438="S. californicus",D438="S. tabernaemontani"),G438=0),E438*[1]Sheet1!$D$7+[1]Sheet1!$L$7,IF(AND(OR(D438="S. acutus",D438="S. tabernaemontani"),G438&gt;0),E438*[1]Sheet1!$D$8+N438*[1]Sheet1!$E$8,IF(AND(D438="S. californicus",G438&gt;0),E438*[1]Sheet1!$D$9+N438*[1]Sheet1!$E$9,IF(D438="S. maritimus",F438*[1]Sheet1!$C$10+E438*[1]Sheet1!$D$10+G438*[1]Sheet1!$F$10+[1]Sheet1!$L$10,IF(D438="S. americanus",F438*[1]Sheet1!$C$6+E438*[1]Sheet1!$D$6+[1]Sheet1!$L$6,IF(AND(OR(D438="T. domingensis",D438="T. latifolia"),E438&gt;0),F438*[1]Sheet1!$C$4+E438*[1]Sheet1!$D$4+H438*[1]Sheet1!$J$4+I438*[1]Sheet1!$K$4+[1]Sheet1!$L$4,IF(AND(OR(D438="T. domingensis",D438="T. latifolia"),J438&gt;0),J438*[1]Sheet1!$G$5+K438*[1]Sheet1!$H$5+L438*[1]Sheet1!$I$5+[1]Sheet1!$L$5,0)))))))</f>
        <v>5.9952580000000006</v>
      </c>
    </row>
    <row r="439" spans="1:15">
      <c r="A439" s="6">
        <v>41534</v>
      </c>
      <c r="B439" s="7" t="s">
        <v>34</v>
      </c>
      <c r="C439">
        <v>23</v>
      </c>
      <c r="D439" t="s">
        <v>24</v>
      </c>
      <c r="E439">
        <v>247</v>
      </c>
      <c r="F439">
        <v>1.23</v>
      </c>
      <c r="N439">
        <f t="shared" si="7"/>
        <v>97.830761934749987</v>
      </c>
      <c r="O439">
        <f>IF(AND(OR(D439="S. acutus",D439="S. californicus",D439="S. tabernaemontani"),G439=0),E439*[1]Sheet1!$D$7+[1]Sheet1!$L$7,IF(AND(OR(D439="S. acutus",D439="S. tabernaemontani"),G439&gt;0),E439*[1]Sheet1!$D$8+N439*[1]Sheet1!$E$8,IF(AND(D439="S. californicus",G439&gt;0),E439*[1]Sheet1!$D$9+N439*[1]Sheet1!$E$9,IF(D439="S. maritimus",F439*[1]Sheet1!$C$10+E439*[1]Sheet1!$D$10+G439*[1]Sheet1!$F$10+[1]Sheet1!$L$10,IF(D439="S. americanus",F439*[1]Sheet1!$C$6+E439*[1]Sheet1!$D$6+[1]Sheet1!$L$6,IF(AND(OR(D439="T. domingensis",D439="T. latifolia"),E439&gt;0),F439*[1]Sheet1!$C$4+E439*[1]Sheet1!$D$4+H439*[1]Sheet1!$J$4+I439*[1]Sheet1!$K$4+[1]Sheet1!$L$4,IF(AND(OR(D439="T. domingensis",D439="T. latifolia"),J439&gt;0),J439*[1]Sheet1!$G$5+K439*[1]Sheet1!$H$5+L439*[1]Sheet1!$I$5+[1]Sheet1!$L$5,0)))))))</f>
        <v>12.725338000000001</v>
      </c>
    </row>
    <row r="440" spans="1:15">
      <c r="A440" s="6">
        <v>41534</v>
      </c>
      <c r="B440" s="7" t="s">
        <v>34</v>
      </c>
      <c r="C440">
        <v>23</v>
      </c>
      <c r="D440" t="s">
        <v>24</v>
      </c>
      <c r="E440">
        <v>321</v>
      </c>
      <c r="F440">
        <v>2.2799999999999998</v>
      </c>
      <c r="G440">
        <v>22</v>
      </c>
      <c r="N440">
        <f t="shared" si="7"/>
        <v>436.86070894799985</v>
      </c>
      <c r="O440">
        <f>IF(AND(OR(D440="S. acutus",D440="S. californicus",D440="S. tabernaemontani"),G440=0),E440*[1]Sheet1!$D$7+[1]Sheet1!$L$7,IF(AND(OR(D440="S. acutus",D440="S. tabernaemontani"),G440&gt;0),E440*[1]Sheet1!$D$8+N440*[1]Sheet1!$E$8,IF(AND(D440="S. californicus",G440&gt;0),E440*[1]Sheet1!$D$9+N440*[1]Sheet1!$E$9,IF(D440="S. maritimus",F440*[1]Sheet1!$C$10+E440*[1]Sheet1!$D$10+G440*[1]Sheet1!$F$10+[1]Sheet1!$L$10,IF(D440="S. americanus",F440*[1]Sheet1!$C$6+E440*[1]Sheet1!$D$6+[1]Sheet1!$L$6,IF(AND(OR(D440="T. domingensis",D440="T. latifolia"),E440&gt;0),F440*[1]Sheet1!$C$4+E440*[1]Sheet1!$D$4+H440*[1]Sheet1!$J$4+I440*[1]Sheet1!$K$4+[1]Sheet1!$L$4,IF(AND(OR(D440="T. domingensis",D440="T. latifolia"),J440&gt;0),J440*[1]Sheet1!$G$5+K440*[1]Sheet1!$H$5+L440*[1]Sheet1!$I$5+[1]Sheet1!$L$5,0)))))))</f>
        <v>26.428087102763648</v>
      </c>
    </row>
    <row r="441" spans="1:15">
      <c r="A441" s="6">
        <v>41534</v>
      </c>
      <c r="B441" s="7" t="s">
        <v>34</v>
      </c>
      <c r="C441">
        <v>23</v>
      </c>
      <c r="D441" t="s">
        <v>24</v>
      </c>
      <c r="E441">
        <v>226</v>
      </c>
      <c r="F441">
        <v>2.0099999999999998</v>
      </c>
      <c r="N441">
        <f t="shared" si="7"/>
        <v>239.03902779449993</v>
      </c>
      <c r="O441">
        <f>IF(AND(OR(D441="S. acutus",D441="S. californicus",D441="S. tabernaemontani"),G441=0),E441*[1]Sheet1!$D$7+[1]Sheet1!$L$7,IF(AND(OR(D441="S. acutus",D441="S. tabernaemontani"),G441&gt;0),E441*[1]Sheet1!$D$8+N441*[1]Sheet1!$E$8,IF(AND(D441="S. californicus",G441&gt;0),E441*[1]Sheet1!$D$9+N441*[1]Sheet1!$E$9,IF(D441="S. maritimus",F441*[1]Sheet1!$C$10+E441*[1]Sheet1!$D$10+G441*[1]Sheet1!$F$10+[1]Sheet1!$L$10,IF(D441="S. americanus",F441*[1]Sheet1!$C$6+E441*[1]Sheet1!$D$6+[1]Sheet1!$L$6,IF(AND(OR(D441="T. domingensis",D441="T. latifolia"),E441&gt;0),F441*[1]Sheet1!$C$4+E441*[1]Sheet1!$D$4+H441*[1]Sheet1!$J$4+I441*[1]Sheet1!$K$4+[1]Sheet1!$L$4,IF(AND(OR(D441="T. domingensis",D441="T. latifolia"),J441&gt;0),J441*[1]Sheet1!$G$5+K441*[1]Sheet1!$H$5+L441*[1]Sheet1!$I$5+[1]Sheet1!$L$5,0)))))))</f>
        <v>11.253133000000002</v>
      </c>
    </row>
    <row r="442" spans="1:15">
      <c r="A442" s="6">
        <v>41534</v>
      </c>
      <c r="B442" s="7" t="s">
        <v>34</v>
      </c>
      <c r="C442">
        <v>23</v>
      </c>
      <c r="D442" t="s">
        <v>24</v>
      </c>
      <c r="E442">
        <v>270</v>
      </c>
      <c r="F442">
        <v>2.4</v>
      </c>
      <c r="N442">
        <f t="shared" si="7"/>
        <v>407.15006399999993</v>
      </c>
      <c r="O442">
        <f>IF(AND(OR(D442="S. acutus",D442="S. californicus",D442="S. tabernaemontani"),G442=0),E442*[1]Sheet1!$D$7+[1]Sheet1!$L$7,IF(AND(OR(D442="S. acutus",D442="S. tabernaemontani"),G442&gt;0),E442*[1]Sheet1!$D$8+N442*[1]Sheet1!$E$8,IF(AND(D442="S. californicus",G442&gt;0),E442*[1]Sheet1!$D$9+N442*[1]Sheet1!$E$9,IF(D442="S. maritimus",F442*[1]Sheet1!$C$10+E442*[1]Sheet1!$D$10+G442*[1]Sheet1!$F$10+[1]Sheet1!$L$10,IF(D442="S. americanus",F442*[1]Sheet1!$C$6+E442*[1]Sheet1!$D$6+[1]Sheet1!$L$6,IF(AND(OR(D442="T. domingensis",D442="T. latifolia"),E442&gt;0),F442*[1]Sheet1!$C$4+E442*[1]Sheet1!$D$4+H442*[1]Sheet1!$J$4+I442*[1]Sheet1!$K$4+[1]Sheet1!$L$4,IF(AND(OR(D442="T. domingensis",D442="T. latifolia"),J442&gt;0),J442*[1]Sheet1!$G$5+K442*[1]Sheet1!$H$5+L442*[1]Sheet1!$I$5+[1]Sheet1!$L$5,0)))))))</f>
        <v>14.337753000000003</v>
      </c>
    </row>
    <row r="443" spans="1:15">
      <c r="A443" s="6">
        <v>41534</v>
      </c>
      <c r="B443" s="7" t="s">
        <v>34</v>
      </c>
      <c r="C443">
        <v>23</v>
      </c>
      <c r="D443" t="s">
        <v>24</v>
      </c>
      <c r="E443">
        <v>282</v>
      </c>
      <c r="F443">
        <v>2.29</v>
      </c>
      <c r="G443">
        <v>17</v>
      </c>
      <c r="N443">
        <f t="shared" si="7"/>
        <v>387.15808479649996</v>
      </c>
      <c r="O443">
        <f>IF(AND(OR(D443="S. acutus",D443="S. californicus",D443="S. tabernaemontani"),G443=0),E443*[1]Sheet1!$D$7+[1]Sheet1!$L$7,IF(AND(OR(D443="S. acutus",D443="S. tabernaemontani"),G443&gt;0),E443*[1]Sheet1!$D$8+N443*[1]Sheet1!$E$8,IF(AND(D443="S. californicus",G443&gt;0),E443*[1]Sheet1!$D$9+N443*[1]Sheet1!$E$9,IF(D443="S. maritimus",F443*[1]Sheet1!$C$10+E443*[1]Sheet1!$D$10+G443*[1]Sheet1!$F$10+[1]Sheet1!$L$10,IF(D443="S. americanus",F443*[1]Sheet1!$C$6+E443*[1]Sheet1!$D$6+[1]Sheet1!$L$6,IF(AND(OR(D443="T. domingensis",D443="T. latifolia"),E443&gt;0),F443*[1]Sheet1!$C$4+E443*[1]Sheet1!$D$4+H443*[1]Sheet1!$J$4+I443*[1]Sheet1!$K$4+[1]Sheet1!$L$4,IF(AND(OR(D443="T. domingensis",D443="T. latifolia"),J443&gt;0),J443*[1]Sheet1!$G$5+K443*[1]Sheet1!$H$5+L443*[1]Sheet1!$I$5+[1]Sheet1!$L$5,0)))))))</f>
        <v>23.325840972723615</v>
      </c>
    </row>
    <row r="444" spans="1:15">
      <c r="A444" s="6">
        <v>41534</v>
      </c>
      <c r="B444" s="7" t="s">
        <v>34</v>
      </c>
      <c r="C444">
        <v>23</v>
      </c>
      <c r="D444" t="s">
        <v>24</v>
      </c>
      <c r="E444">
        <v>227</v>
      </c>
      <c r="F444">
        <v>1.69</v>
      </c>
      <c r="N444">
        <f t="shared" si="7"/>
        <v>169.7334841810833</v>
      </c>
      <c r="O444">
        <f>IF(AND(OR(D444="S. acutus",D444="S. californicus",D444="S. tabernaemontani"),G444=0),E444*[1]Sheet1!$D$7+[1]Sheet1!$L$7,IF(AND(OR(D444="S. acutus",D444="S. tabernaemontani"),G444&gt;0),E444*[1]Sheet1!$D$8+N444*[1]Sheet1!$E$8,IF(AND(D444="S. californicus",G444&gt;0),E444*[1]Sheet1!$D$9+N444*[1]Sheet1!$E$9,IF(D444="S. maritimus",F444*[1]Sheet1!$C$10+E444*[1]Sheet1!$D$10+G444*[1]Sheet1!$F$10+[1]Sheet1!$L$10,IF(D444="S. americanus",F444*[1]Sheet1!$C$6+E444*[1]Sheet1!$D$6+[1]Sheet1!$L$6,IF(AND(OR(D444="T. domingensis",D444="T. latifolia"),E444&gt;0),F444*[1]Sheet1!$C$4+E444*[1]Sheet1!$D$4+H444*[1]Sheet1!$J$4+I444*[1]Sheet1!$K$4+[1]Sheet1!$L$4,IF(AND(OR(D444="T. domingensis",D444="T. latifolia"),J444&gt;0),J444*[1]Sheet1!$G$5+K444*[1]Sheet1!$H$5+L444*[1]Sheet1!$I$5+[1]Sheet1!$L$5,0)))))))</f>
        <v>11.323238</v>
      </c>
    </row>
    <row r="445" spans="1:15">
      <c r="A445" s="6">
        <v>41534</v>
      </c>
      <c r="B445" s="7" t="s">
        <v>34</v>
      </c>
      <c r="C445">
        <v>23</v>
      </c>
      <c r="D445" t="s">
        <v>24</v>
      </c>
      <c r="E445">
        <v>280</v>
      </c>
      <c r="F445">
        <v>2.34</v>
      </c>
      <c r="N445">
        <f t="shared" si="7"/>
        <v>401.38210475999989</v>
      </c>
      <c r="O445">
        <f>IF(AND(OR(D445="S. acutus",D445="S. californicus",D445="S. tabernaemontani"),G445=0),E445*[1]Sheet1!$D$7+[1]Sheet1!$L$7,IF(AND(OR(D445="S. acutus",D445="S. tabernaemontani"),G445&gt;0),E445*[1]Sheet1!$D$8+N445*[1]Sheet1!$E$8,IF(AND(D445="S. californicus",G445&gt;0),E445*[1]Sheet1!$D$9+N445*[1]Sheet1!$E$9,IF(D445="S. maritimus",F445*[1]Sheet1!$C$10+E445*[1]Sheet1!$D$10+G445*[1]Sheet1!$F$10+[1]Sheet1!$L$10,IF(D445="S. americanus",F445*[1]Sheet1!$C$6+E445*[1]Sheet1!$D$6+[1]Sheet1!$L$6,IF(AND(OR(D445="T. domingensis",D445="T. latifolia"),E445&gt;0),F445*[1]Sheet1!$C$4+E445*[1]Sheet1!$D$4+H445*[1]Sheet1!$J$4+I445*[1]Sheet1!$K$4+[1]Sheet1!$L$4,IF(AND(OR(D445="T. domingensis",D445="T. latifolia"),J445&gt;0),J445*[1]Sheet1!$G$5+K445*[1]Sheet1!$H$5+L445*[1]Sheet1!$I$5+[1]Sheet1!$L$5,0)))))))</f>
        <v>15.038803000000001</v>
      </c>
    </row>
    <row r="446" spans="1:15">
      <c r="A446" s="6">
        <v>41534</v>
      </c>
      <c r="B446" s="7" t="s">
        <v>34</v>
      </c>
      <c r="C446">
        <v>23</v>
      </c>
      <c r="D446" t="s">
        <v>24</v>
      </c>
      <c r="E446">
        <v>253</v>
      </c>
      <c r="F446">
        <v>1.58</v>
      </c>
      <c r="N446">
        <f t="shared" si="7"/>
        <v>165.34952623566667</v>
      </c>
      <c r="O446">
        <f>IF(AND(OR(D446="S. acutus",D446="S. californicus",D446="S. tabernaemontani"),G446=0),E446*[1]Sheet1!$D$7+[1]Sheet1!$L$7,IF(AND(OR(D446="S. acutus",D446="S. tabernaemontani"),G446&gt;0),E446*[1]Sheet1!$D$8+N446*[1]Sheet1!$E$8,IF(AND(D446="S. californicus",G446&gt;0),E446*[1]Sheet1!$D$9+N446*[1]Sheet1!$E$9,IF(D446="S. maritimus",F446*[1]Sheet1!$C$10+E446*[1]Sheet1!$D$10+G446*[1]Sheet1!$F$10+[1]Sheet1!$L$10,IF(D446="S. americanus",F446*[1]Sheet1!$C$6+E446*[1]Sheet1!$D$6+[1]Sheet1!$L$6,IF(AND(OR(D446="T. domingensis",D446="T. latifolia"),E446&gt;0),F446*[1]Sheet1!$C$4+E446*[1]Sheet1!$D$4+H446*[1]Sheet1!$J$4+I446*[1]Sheet1!$K$4+[1]Sheet1!$L$4,IF(AND(OR(D446="T. domingensis",D446="T. latifolia"),J446&gt;0),J446*[1]Sheet1!$G$5+K446*[1]Sheet1!$H$5+L446*[1]Sheet1!$I$5+[1]Sheet1!$L$5,0)))))))</f>
        <v>13.145968</v>
      </c>
    </row>
    <row r="447" spans="1:15">
      <c r="A447" s="6">
        <v>41534</v>
      </c>
      <c r="B447" s="7" t="s">
        <v>34</v>
      </c>
      <c r="C447">
        <v>23</v>
      </c>
      <c r="D447" t="s">
        <v>24</v>
      </c>
      <c r="E447">
        <v>207</v>
      </c>
      <c r="F447">
        <v>0.78</v>
      </c>
      <c r="N447">
        <f t="shared" si="7"/>
        <v>32.970672891</v>
      </c>
      <c r="O447">
        <f>IF(AND(OR(D447="S. acutus",D447="S. californicus",D447="S. tabernaemontani"),G447=0),E447*[1]Sheet1!$D$7+[1]Sheet1!$L$7,IF(AND(OR(D447="S. acutus",D447="S. tabernaemontani"),G447&gt;0),E447*[1]Sheet1!$D$8+N447*[1]Sheet1!$E$8,IF(AND(D447="S. californicus",G447&gt;0),E447*[1]Sheet1!$D$9+N447*[1]Sheet1!$E$9,IF(D447="S. maritimus",F447*[1]Sheet1!$C$10+E447*[1]Sheet1!$D$10+G447*[1]Sheet1!$F$10+[1]Sheet1!$L$10,IF(D447="S. americanus",F447*[1]Sheet1!$C$6+E447*[1]Sheet1!$D$6+[1]Sheet1!$L$6,IF(AND(OR(D447="T. domingensis",D447="T. latifolia"),E447&gt;0),F447*[1]Sheet1!$C$4+E447*[1]Sheet1!$D$4+H447*[1]Sheet1!$J$4+I447*[1]Sheet1!$K$4+[1]Sheet1!$L$4,IF(AND(OR(D447="T. domingensis",D447="T. latifolia"),J447&gt;0),J447*[1]Sheet1!$G$5+K447*[1]Sheet1!$H$5+L447*[1]Sheet1!$I$5+[1]Sheet1!$L$5,0)))))))</f>
        <v>9.9211379999999991</v>
      </c>
    </row>
    <row r="448" spans="1:15">
      <c r="A448" s="6">
        <v>41534</v>
      </c>
      <c r="B448" s="7" t="s">
        <v>34</v>
      </c>
      <c r="C448">
        <v>23</v>
      </c>
      <c r="D448" t="s">
        <v>24</v>
      </c>
      <c r="E448">
        <v>271</v>
      </c>
      <c r="F448">
        <v>1.45</v>
      </c>
      <c r="N448">
        <f t="shared" si="7"/>
        <v>149.16727468541666</v>
      </c>
      <c r="O448">
        <f>IF(AND(OR(D448="S. acutus",D448="S. californicus",D448="S. tabernaemontani"),G448=0),E448*[1]Sheet1!$D$7+[1]Sheet1!$L$7,IF(AND(OR(D448="S. acutus",D448="S. tabernaemontani"),G448&gt;0),E448*[1]Sheet1!$D$8+N448*[1]Sheet1!$E$8,IF(AND(D448="S. californicus",G448&gt;0),E448*[1]Sheet1!$D$9+N448*[1]Sheet1!$E$9,IF(D448="S. maritimus",F448*[1]Sheet1!$C$10+E448*[1]Sheet1!$D$10+G448*[1]Sheet1!$F$10+[1]Sheet1!$L$10,IF(D448="S. americanus",F448*[1]Sheet1!$C$6+E448*[1]Sheet1!$D$6+[1]Sheet1!$L$6,IF(AND(OR(D448="T. domingensis",D448="T. latifolia"),E448&gt;0),F448*[1]Sheet1!$C$4+E448*[1]Sheet1!$D$4+H448*[1]Sheet1!$J$4+I448*[1]Sheet1!$K$4+[1]Sheet1!$L$4,IF(AND(OR(D448="T. domingensis",D448="T. latifolia"),J448&gt;0),J448*[1]Sheet1!$G$5+K448*[1]Sheet1!$H$5+L448*[1]Sheet1!$I$5+[1]Sheet1!$L$5,0)))))))</f>
        <v>14.407858000000001</v>
      </c>
    </row>
    <row r="449" spans="1:15">
      <c r="A449" s="6">
        <v>41534</v>
      </c>
      <c r="B449" s="7" t="s">
        <v>34</v>
      </c>
      <c r="C449">
        <v>23</v>
      </c>
      <c r="D449" t="s">
        <v>25</v>
      </c>
      <c r="E449">
        <v>134</v>
      </c>
      <c r="F449">
        <v>0.9</v>
      </c>
      <c r="N449">
        <f t="shared" si="7"/>
        <v>28.415681549999999</v>
      </c>
      <c r="O449">
        <f>IF(AND(OR(D449="S. acutus",D449="S. californicus",D449="S. tabernaemontani"),G449=0),E449*[1]Sheet1!$D$7+[1]Sheet1!$L$7,IF(AND(OR(D449="S. acutus",D449="S. tabernaemontani"),G449&gt;0),E449*[1]Sheet1!$D$8+N449*[1]Sheet1!$E$8,IF(AND(D449="S. californicus",G449&gt;0),E449*[1]Sheet1!$D$9+N449*[1]Sheet1!$E$9,IF(D449="S. maritimus",F449*[1]Sheet1!$C$10+E449*[1]Sheet1!$D$10+G449*[1]Sheet1!$F$10+[1]Sheet1!$L$10,IF(D449="S. americanus",F449*[1]Sheet1!$C$6+E449*[1]Sheet1!$D$6+[1]Sheet1!$L$6,IF(AND(OR(D449="T. domingensis",D449="T. latifolia"),E449&gt;0),F449*[1]Sheet1!$C$4+E449*[1]Sheet1!$D$4+H449*[1]Sheet1!$J$4+I449*[1]Sheet1!$K$4+[1]Sheet1!$L$4,IF(AND(OR(D449="T. domingensis",D449="T. latifolia"),J449&gt;0),J449*[1]Sheet1!$G$5+K449*[1]Sheet1!$H$5+L449*[1]Sheet1!$I$5+[1]Sheet1!$L$5,0)))))))</f>
        <v>4.8034729999999994</v>
      </c>
    </row>
    <row r="450" spans="1:15">
      <c r="A450" s="6">
        <v>41534</v>
      </c>
      <c r="B450" s="7" t="s">
        <v>34</v>
      </c>
      <c r="C450">
        <v>23</v>
      </c>
      <c r="D450" t="s">
        <v>19</v>
      </c>
      <c r="F450">
        <v>1.82</v>
      </c>
      <c r="J450">
        <f>74+100+99</f>
        <v>273</v>
      </c>
      <c r="K450">
        <v>3</v>
      </c>
      <c r="L450">
        <v>100</v>
      </c>
      <c r="N450" t="str">
        <f t="shared" si="7"/>
        <v>NA</v>
      </c>
      <c r="O450">
        <f>IF(AND(OR(D450="S. acutus",D450="S. californicus",D450="S. tabernaemontani"),G450=0),E450*[1]Sheet1!$D$7+[1]Sheet1!$L$7,IF(AND(OR(D450="S. acutus",D450="S. tabernaemontani"),G450&gt;0),E450*[1]Sheet1!$D$8+N450*[1]Sheet1!$E$8,IF(AND(D450="S. californicus",G450&gt;0),E450*[1]Sheet1!$D$9+N450*[1]Sheet1!$E$9,IF(D450="S. maritimus",F450*[1]Sheet1!$C$10+E450*[1]Sheet1!$D$10+G450*[1]Sheet1!$F$10+[1]Sheet1!$L$10,IF(D450="S. americanus",F450*[1]Sheet1!$C$6+E450*[1]Sheet1!$D$6+[1]Sheet1!$L$6,IF(AND(OR(D450="T. domingensis",D450="T. latifolia"),E450&gt;0),F450*[1]Sheet1!$C$4+E450*[1]Sheet1!$D$4+H450*[1]Sheet1!$J$4+I450*[1]Sheet1!$K$4+[1]Sheet1!$L$4,IF(AND(OR(D450="T. domingensis",D450="T. latifolia"),J450&gt;0),J450*[1]Sheet1!$G$5+K450*[1]Sheet1!$H$5+L450*[1]Sheet1!$I$5+[1]Sheet1!$L$5,0)))))))</f>
        <v>7.4405399999999986</v>
      </c>
    </row>
    <row r="451" spans="1:15">
      <c r="A451" s="6">
        <v>41534</v>
      </c>
      <c r="B451" s="7" t="s">
        <v>34</v>
      </c>
      <c r="C451">
        <v>51</v>
      </c>
      <c r="D451" t="s">
        <v>24</v>
      </c>
      <c r="E451">
        <v>364</v>
      </c>
      <c r="F451">
        <v>2.7</v>
      </c>
      <c r="N451">
        <f t="shared" si="7"/>
        <v>694.69979670000009</v>
      </c>
      <c r="O451">
        <f>IF(AND(OR(D451="S. acutus",D451="S. californicus",D451="S. tabernaemontani"),G451=0),E451*[1]Sheet1!$D$7+[1]Sheet1!$L$7,IF(AND(OR(D451="S. acutus",D451="S. tabernaemontani"),G451&gt;0),E451*[1]Sheet1!$D$8+N451*[1]Sheet1!$E$8,IF(AND(D451="S. californicus",G451&gt;0),E451*[1]Sheet1!$D$9+N451*[1]Sheet1!$E$9,IF(D451="S. maritimus",F451*[1]Sheet1!$C$10+E451*[1]Sheet1!$D$10+G451*[1]Sheet1!$F$10+[1]Sheet1!$L$10,IF(D451="S. americanus",F451*[1]Sheet1!$C$6+E451*[1]Sheet1!$D$6+[1]Sheet1!$L$6,IF(AND(OR(D451="T. domingensis",D451="T. latifolia"),E451&gt;0),F451*[1]Sheet1!$C$4+E451*[1]Sheet1!$D$4+H451*[1]Sheet1!$J$4+I451*[1]Sheet1!$K$4+[1]Sheet1!$L$4,IF(AND(OR(D451="T. domingensis",D451="T. latifolia"),J451&gt;0),J451*[1]Sheet1!$G$5+K451*[1]Sheet1!$H$5+L451*[1]Sheet1!$I$5+[1]Sheet1!$L$5,0)))))))</f>
        <v>20.927623000000001</v>
      </c>
    </row>
    <row r="452" spans="1:15">
      <c r="A452" s="6">
        <v>41534</v>
      </c>
      <c r="B452" s="7" t="s">
        <v>34</v>
      </c>
      <c r="C452">
        <v>51</v>
      </c>
      <c r="D452" t="s">
        <v>24</v>
      </c>
      <c r="E452">
        <v>332</v>
      </c>
      <c r="F452">
        <v>2.14</v>
      </c>
      <c r="N452">
        <f t="shared" si="7"/>
        <v>398.04657393733328</v>
      </c>
      <c r="O452">
        <f>IF(AND(OR(D452="S. acutus",D452="S. californicus",D452="S. tabernaemontani"),G452=0),E452*[1]Sheet1!$D$7+[1]Sheet1!$L$7,IF(AND(OR(D452="S. acutus",D452="S. tabernaemontani"),G452&gt;0),E452*[1]Sheet1!$D$8+N452*[1]Sheet1!$E$8,IF(AND(D452="S. californicus",G452&gt;0),E452*[1]Sheet1!$D$9+N452*[1]Sheet1!$E$9,IF(D452="S. maritimus",F452*[1]Sheet1!$C$10+E452*[1]Sheet1!$D$10+G452*[1]Sheet1!$F$10+[1]Sheet1!$L$10,IF(D452="S. americanus",F452*[1]Sheet1!$C$6+E452*[1]Sheet1!$D$6+[1]Sheet1!$L$6,IF(AND(OR(D452="T. domingensis",D452="T. latifolia"),E452&gt;0),F452*[1]Sheet1!$C$4+E452*[1]Sheet1!$D$4+H452*[1]Sheet1!$J$4+I452*[1]Sheet1!$K$4+[1]Sheet1!$L$4,IF(AND(OR(D452="T. domingensis",D452="T. latifolia"),J452&gt;0),J452*[1]Sheet1!$G$5+K452*[1]Sheet1!$H$5+L452*[1]Sheet1!$I$5+[1]Sheet1!$L$5,0)))))))</f>
        <v>18.684263000000001</v>
      </c>
    </row>
    <row r="453" spans="1:15">
      <c r="A453" s="6">
        <v>41534</v>
      </c>
      <c r="B453" s="7" t="s">
        <v>34</v>
      </c>
      <c r="C453">
        <v>51</v>
      </c>
      <c r="D453" t="s">
        <v>24</v>
      </c>
      <c r="E453">
        <v>330</v>
      </c>
      <c r="F453">
        <v>1.75</v>
      </c>
      <c r="N453">
        <f t="shared" ref="N453:N516" si="8">IF(OR(D453="S. acutus", D453="S. tabernaemontani", D453="S. californicus"),(1/3)*(3.14159)*((F453/2)^2)*E453,"NA")</f>
        <v>264.58078281249999</v>
      </c>
      <c r="O453">
        <f>IF(AND(OR(D453="S. acutus",D453="S. californicus",D453="S. tabernaemontani"),G453=0),E453*[1]Sheet1!$D$7+[1]Sheet1!$L$7,IF(AND(OR(D453="S. acutus",D453="S. tabernaemontani"),G453&gt;0),E453*[1]Sheet1!$D$8+N453*[1]Sheet1!$E$8,IF(AND(D453="S. californicus",G453&gt;0),E453*[1]Sheet1!$D$9+N453*[1]Sheet1!$E$9,IF(D453="S. maritimus",F453*[1]Sheet1!$C$10+E453*[1]Sheet1!$D$10+G453*[1]Sheet1!$F$10+[1]Sheet1!$L$10,IF(D453="S. americanus",F453*[1]Sheet1!$C$6+E453*[1]Sheet1!$D$6+[1]Sheet1!$L$6,IF(AND(OR(D453="T. domingensis",D453="T. latifolia"),E453&gt;0),F453*[1]Sheet1!$C$4+E453*[1]Sheet1!$D$4+H453*[1]Sheet1!$J$4+I453*[1]Sheet1!$K$4+[1]Sheet1!$L$4,IF(AND(OR(D453="T. domingensis",D453="T. latifolia"),J453&gt;0),J453*[1]Sheet1!$G$5+K453*[1]Sheet1!$H$5+L453*[1]Sheet1!$I$5+[1]Sheet1!$L$5,0)))))))</f>
        <v>18.544053000000002</v>
      </c>
    </row>
    <row r="454" spans="1:15">
      <c r="A454" s="6">
        <v>41534</v>
      </c>
      <c r="B454" s="7" t="s">
        <v>34</v>
      </c>
      <c r="C454">
        <v>51</v>
      </c>
      <c r="D454" t="s">
        <v>25</v>
      </c>
      <c r="E454">
        <v>304</v>
      </c>
      <c r="F454">
        <v>1.53</v>
      </c>
      <c r="N454">
        <f t="shared" si="8"/>
        <v>186.30508345199999</v>
      </c>
      <c r="O454">
        <f>IF(AND(OR(D454="S. acutus",D454="S. californicus",D454="S. tabernaemontani"),G454=0),E454*[1]Sheet1!$D$7+[1]Sheet1!$L$7,IF(AND(OR(D454="S. acutus",D454="S. tabernaemontani"),G454&gt;0),E454*[1]Sheet1!$D$8+N454*[1]Sheet1!$E$8,IF(AND(D454="S. californicus",G454&gt;0),E454*[1]Sheet1!$D$9+N454*[1]Sheet1!$E$9,IF(D454="S. maritimus",F454*[1]Sheet1!$C$10+E454*[1]Sheet1!$D$10+G454*[1]Sheet1!$F$10+[1]Sheet1!$L$10,IF(D454="S. americanus",F454*[1]Sheet1!$C$6+E454*[1]Sheet1!$D$6+[1]Sheet1!$L$6,IF(AND(OR(D454="T. domingensis",D454="T. latifolia"),E454&gt;0),F454*[1]Sheet1!$C$4+E454*[1]Sheet1!$D$4+H454*[1]Sheet1!$J$4+I454*[1]Sheet1!$K$4+[1]Sheet1!$L$4,IF(AND(OR(D454="T. domingensis",D454="T. latifolia"),J454&gt;0),J454*[1]Sheet1!$G$5+K454*[1]Sheet1!$H$5+L454*[1]Sheet1!$I$5+[1]Sheet1!$L$5,0)))))))</f>
        <v>16.721323000000002</v>
      </c>
    </row>
    <row r="455" spans="1:15">
      <c r="A455" s="6">
        <v>41534</v>
      </c>
      <c r="B455" s="7" t="s">
        <v>34</v>
      </c>
      <c r="C455">
        <v>51</v>
      </c>
      <c r="D455" t="s">
        <v>19</v>
      </c>
      <c r="F455">
        <v>5.82</v>
      </c>
      <c r="J455">
        <f>261+296+302+313+316+325+334</f>
        <v>2147</v>
      </c>
      <c r="K455">
        <v>7</v>
      </c>
      <c r="L455">
        <v>334</v>
      </c>
      <c r="N455" t="str">
        <f t="shared" si="8"/>
        <v>NA</v>
      </c>
      <c r="O455">
        <f>IF(AND(OR(D455="S. acutus",D455="S. californicus",D455="S. tabernaemontani"),G455=0),E455*[1]Sheet1!$D$7+[1]Sheet1!$L$7,IF(AND(OR(D455="S. acutus",D455="S. tabernaemontani"),G455&gt;0),E455*[1]Sheet1!$D$8+N455*[1]Sheet1!$E$8,IF(AND(D455="S. californicus",G455&gt;0),E455*[1]Sheet1!$D$9+N455*[1]Sheet1!$E$9,IF(D455="S. maritimus",F455*[1]Sheet1!$C$10+E455*[1]Sheet1!$D$10+G455*[1]Sheet1!$F$10+[1]Sheet1!$L$10,IF(D455="S. americanus",F455*[1]Sheet1!$C$6+E455*[1]Sheet1!$D$6+[1]Sheet1!$L$6,IF(AND(OR(D455="T. domingensis",D455="T. latifolia"),E455&gt;0),F455*[1]Sheet1!$C$4+E455*[1]Sheet1!$D$4+H455*[1]Sheet1!$J$4+I455*[1]Sheet1!$K$4+[1]Sheet1!$L$4,IF(AND(OR(D455="T. domingensis",D455="T. latifolia"),J455&gt;0),J455*[1]Sheet1!$G$5+K455*[1]Sheet1!$H$5+L455*[1]Sheet1!$I$5+[1]Sheet1!$L$5,0)))))))</f>
        <v>84.556668000000002</v>
      </c>
    </row>
    <row r="456" spans="1:15">
      <c r="A456" s="6">
        <v>41534</v>
      </c>
      <c r="B456" s="7" t="s">
        <v>34</v>
      </c>
      <c r="C456">
        <v>51</v>
      </c>
      <c r="D456" t="s">
        <v>19</v>
      </c>
      <c r="F456">
        <v>2.98</v>
      </c>
      <c r="J456">
        <f>254+322</f>
        <v>576</v>
      </c>
      <c r="K456">
        <v>2</v>
      </c>
      <c r="L456">
        <v>322</v>
      </c>
      <c r="N456" t="str">
        <f t="shared" si="8"/>
        <v>NA</v>
      </c>
      <c r="O456">
        <f>IF(AND(OR(D456="S. acutus",D456="S. californicus",D456="S. tabernaemontani"),G456=0),E456*[1]Sheet1!$D$7+[1]Sheet1!$L$7,IF(AND(OR(D456="S. acutus",D456="S. tabernaemontani"),G456&gt;0),E456*[1]Sheet1!$D$8+N456*[1]Sheet1!$E$8,IF(AND(D456="S. californicus",G456&gt;0),E456*[1]Sheet1!$D$9+N456*[1]Sheet1!$E$9,IF(D456="S. maritimus",F456*[1]Sheet1!$C$10+E456*[1]Sheet1!$D$10+G456*[1]Sheet1!$F$10+[1]Sheet1!$L$10,IF(D456="S. americanus",F456*[1]Sheet1!$C$6+E456*[1]Sheet1!$D$6+[1]Sheet1!$L$6,IF(AND(OR(D456="T. domingensis",D456="T. latifolia"),E456&gt;0),F456*[1]Sheet1!$C$4+E456*[1]Sheet1!$D$4+H456*[1]Sheet1!$J$4+I456*[1]Sheet1!$K$4+[1]Sheet1!$L$4,IF(AND(OR(D456="T. domingensis",D456="T. latifolia"),J456&gt;0),J456*[1]Sheet1!$G$5+K456*[1]Sheet1!$H$5+L456*[1]Sheet1!$I$5+[1]Sheet1!$L$5,0)))))))</f>
        <v>-24.005731999999995</v>
      </c>
    </row>
    <row r="457" spans="1:15">
      <c r="A457" s="6">
        <v>41523</v>
      </c>
      <c r="B457" s="7" t="s">
        <v>20</v>
      </c>
      <c r="C457">
        <v>20</v>
      </c>
      <c r="D457" t="s">
        <v>23</v>
      </c>
      <c r="E457">
        <v>290</v>
      </c>
      <c r="F457">
        <v>2.75</v>
      </c>
      <c r="H457">
        <v>31</v>
      </c>
      <c r="I457">
        <v>2.5</v>
      </c>
      <c r="N457" t="str">
        <f t="shared" si="8"/>
        <v>NA</v>
      </c>
      <c r="O457">
        <f>IF(AND(OR(D457="S. acutus",D457="S. californicus",D457="S. tabernaemontani"),G457=0),E457*[1]Sheet1!$D$7+[1]Sheet1!$L$7,IF(AND(OR(D457="S. acutus",D457="S. tabernaemontani"),G457&gt;0),E457*[1]Sheet1!$D$8+N457*[1]Sheet1!$E$8,IF(AND(D457="S. californicus",G457&gt;0),E457*[1]Sheet1!$D$9+N457*[1]Sheet1!$E$9,IF(D457="S. maritimus",F457*[1]Sheet1!$C$10+E457*[1]Sheet1!$D$10+G457*[1]Sheet1!$F$10+[1]Sheet1!$L$10,IF(D457="S. americanus",F457*[1]Sheet1!$C$6+E457*[1]Sheet1!$D$6+[1]Sheet1!$L$6,IF(AND(OR(D457="T. domingensis",D457="T. latifolia"),E457&gt;0),F457*[1]Sheet1!$C$4+E457*[1]Sheet1!$D$4+H457*[1]Sheet1!$J$4+I457*[1]Sheet1!$K$4+[1]Sheet1!$L$4,IF(AND(OR(D457="T. domingensis",D457="T. latifolia"),J457&gt;0),J457*[1]Sheet1!$G$5+K457*[1]Sheet1!$H$5+L457*[1]Sheet1!$I$5+[1]Sheet1!$L$5,0)))))))</f>
        <v>115.43713295000001</v>
      </c>
    </row>
    <row r="458" spans="1:15">
      <c r="A458" s="6">
        <v>41523</v>
      </c>
      <c r="B458" s="7" t="s">
        <v>20</v>
      </c>
      <c r="C458">
        <v>20</v>
      </c>
      <c r="D458" t="s">
        <v>23</v>
      </c>
      <c r="E458">
        <v>331</v>
      </c>
      <c r="F458">
        <v>3.73</v>
      </c>
      <c r="H458">
        <v>38</v>
      </c>
      <c r="I458">
        <v>2.5</v>
      </c>
      <c r="N458" t="str">
        <f t="shared" si="8"/>
        <v>NA</v>
      </c>
      <c r="O458">
        <f>IF(AND(OR(D458="S. acutus",D458="S. californicus",D458="S. tabernaemontani"),G458=0),E458*[1]Sheet1!$D$7+[1]Sheet1!$L$7,IF(AND(OR(D458="S. acutus",D458="S. tabernaemontani"),G458&gt;0),E458*[1]Sheet1!$D$8+N458*[1]Sheet1!$E$8,IF(AND(D458="S. californicus",G458&gt;0),E458*[1]Sheet1!$D$9+N458*[1]Sheet1!$E$9,IF(D458="S. maritimus",F458*[1]Sheet1!$C$10+E458*[1]Sheet1!$D$10+G458*[1]Sheet1!$F$10+[1]Sheet1!$L$10,IF(D458="S. americanus",F458*[1]Sheet1!$C$6+E458*[1]Sheet1!$D$6+[1]Sheet1!$L$6,IF(AND(OR(D458="T. domingensis",D458="T. latifolia"),E458&gt;0),F458*[1]Sheet1!$C$4+E458*[1]Sheet1!$D$4+H458*[1]Sheet1!$J$4+I458*[1]Sheet1!$K$4+[1]Sheet1!$L$4,IF(AND(OR(D458="T. domingensis",D458="T. latifolia"),J458&gt;0),J458*[1]Sheet1!$G$5+K458*[1]Sheet1!$H$5+L458*[1]Sheet1!$I$5+[1]Sheet1!$L$5,0)))))))</f>
        <v>153.28569721</v>
      </c>
    </row>
    <row r="459" spans="1:15">
      <c r="A459" s="6">
        <v>41523</v>
      </c>
      <c r="B459" s="7" t="s">
        <v>20</v>
      </c>
      <c r="C459">
        <v>20</v>
      </c>
      <c r="D459" t="s">
        <v>23</v>
      </c>
      <c r="F459">
        <v>3.31</v>
      </c>
      <c r="J459">
        <f>206+277+247+295</f>
        <v>1025</v>
      </c>
      <c r="K459">
        <v>4</v>
      </c>
      <c r="L459">
        <v>295</v>
      </c>
      <c r="N459" t="str">
        <f t="shared" si="8"/>
        <v>NA</v>
      </c>
      <c r="O459">
        <f>IF(AND(OR(D459="S. acutus",D459="S. californicus",D459="S. tabernaemontani"),G459=0),E459*[1]Sheet1!$D$7+[1]Sheet1!$L$7,IF(AND(OR(D459="S. acutus",D459="S. tabernaemontani"),G459&gt;0),E459*[1]Sheet1!$D$8+N459*[1]Sheet1!$E$8,IF(AND(D459="S. californicus",G459&gt;0),E459*[1]Sheet1!$D$9+N459*[1]Sheet1!$E$9,IF(D459="S. maritimus",F459*[1]Sheet1!$C$10+E459*[1]Sheet1!$D$10+G459*[1]Sheet1!$F$10+[1]Sheet1!$L$10,IF(D459="S. americanus",F459*[1]Sheet1!$C$6+E459*[1]Sheet1!$D$6+[1]Sheet1!$L$6,IF(AND(OR(D459="T. domingensis",D459="T. latifolia"),E459&gt;0),F459*[1]Sheet1!$C$4+E459*[1]Sheet1!$D$4+H459*[1]Sheet1!$J$4+I459*[1]Sheet1!$K$4+[1]Sheet1!$L$4,IF(AND(OR(D459="T. domingensis",D459="T. latifolia"),J459&gt;0),J459*[1]Sheet1!$G$5+K459*[1]Sheet1!$H$5+L459*[1]Sheet1!$I$5+[1]Sheet1!$L$5,0)))))))</f>
        <v>12.179172000000015</v>
      </c>
    </row>
    <row r="460" spans="1:15">
      <c r="A460" s="6">
        <v>41523</v>
      </c>
      <c r="B460" s="7" t="s">
        <v>20</v>
      </c>
      <c r="C460">
        <v>20</v>
      </c>
      <c r="D460" t="s">
        <v>23</v>
      </c>
      <c r="F460">
        <v>2.91</v>
      </c>
      <c r="J460">
        <f>273+257+278+281</f>
        <v>1089</v>
      </c>
      <c r="K460">
        <v>4</v>
      </c>
      <c r="L460">
        <v>281</v>
      </c>
      <c r="N460" t="str">
        <f t="shared" si="8"/>
        <v>NA</v>
      </c>
      <c r="O460">
        <f>IF(AND(OR(D460="S. acutus",D460="S. californicus",D460="S. tabernaemontani"),G460=0),E460*[1]Sheet1!$D$7+[1]Sheet1!$L$7,IF(AND(OR(D460="S. acutus",D460="S. tabernaemontani"),G460&gt;0),E460*[1]Sheet1!$D$8+N460*[1]Sheet1!$E$8,IF(AND(D460="S. californicus",G460&gt;0),E460*[1]Sheet1!$D$9+N460*[1]Sheet1!$E$9,IF(D460="S. maritimus",F460*[1]Sheet1!$C$10+E460*[1]Sheet1!$D$10+G460*[1]Sheet1!$F$10+[1]Sheet1!$L$10,IF(D460="S. americanus",F460*[1]Sheet1!$C$6+E460*[1]Sheet1!$D$6+[1]Sheet1!$L$6,IF(AND(OR(D460="T. domingensis",D460="T. latifolia"),E460&gt;0),F460*[1]Sheet1!$C$4+E460*[1]Sheet1!$D$4+H460*[1]Sheet1!$J$4+I460*[1]Sheet1!$K$4+[1]Sheet1!$L$4,IF(AND(OR(D460="T. domingensis",D460="T. latifolia"),J460&gt;0),J460*[1]Sheet1!$G$5+K460*[1]Sheet1!$H$5+L460*[1]Sheet1!$I$5+[1]Sheet1!$L$5,0)))))))</f>
        <v>22.396922000000011</v>
      </c>
    </row>
    <row r="461" spans="1:15">
      <c r="A461" s="6">
        <v>41523</v>
      </c>
      <c r="B461" s="7" t="s">
        <v>20</v>
      </c>
      <c r="C461">
        <v>20</v>
      </c>
      <c r="D461" t="s">
        <v>23</v>
      </c>
      <c r="F461">
        <v>2</v>
      </c>
      <c r="J461">
        <f>157+239+268+271+270</f>
        <v>1205</v>
      </c>
      <c r="K461">
        <v>5</v>
      </c>
      <c r="L461">
        <v>271</v>
      </c>
      <c r="N461" t="str">
        <f t="shared" si="8"/>
        <v>NA</v>
      </c>
      <c r="O461">
        <f>IF(AND(OR(D461="S. acutus",D461="S. californicus",D461="S. tabernaemontani"),G461=0),E461*[1]Sheet1!$D$7+[1]Sheet1!$L$7,IF(AND(OR(D461="S. acutus",D461="S. tabernaemontani"),G461&gt;0),E461*[1]Sheet1!$D$8+N461*[1]Sheet1!$E$8,IF(AND(D461="S. californicus",G461&gt;0),E461*[1]Sheet1!$D$9+N461*[1]Sheet1!$E$9,IF(D461="S. maritimus",F461*[1]Sheet1!$C$10+E461*[1]Sheet1!$D$10+G461*[1]Sheet1!$F$10+[1]Sheet1!$L$10,IF(D461="S. americanus",F461*[1]Sheet1!$C$6+E461*[1]Sheet1!$D$6+[1]Sheet1!$L$6,IF(AND(OR(D461="T. domingensis",D461="T. latifolia"),E461&gt;0),F461*[1]Sheet1!$C$4+E461*[1]Sheet1!$D$4+H461*[1]Sheet1!$J$4+I461*[1]Sheet1!$K$4+[1]Sheet1!$L$4,IF(AND(OR(D461="T. domingensis",D461="T. latifolia"),J461&gt;0),J461*[1]Sheet1!$G$5+K461*[1]Sheet1!$H$5+L461*[1]Sheet1!$I$5+[1]Sheet1!$L$5,0)))))))</f>
        <v>29.262599000000002</v>
      </c>
    </row>
    <row r="462" spans="1:15">
      <c r="A462" s="6">
        <v>41523</v>
      </c>
      <c r="B462" s="7" t="s">
        <v>20</v>
      </c>
      <c r="C462">
        <v>20</v>
      </c>
      <c r="D462" t="s">
        <v>23</v>
      </c>
      <c r="F462">
        <v>3.05</v>
      </c>
      <c r="J462">
        <f>214+267+288+291+301+320</f>
        <v>1681</v>
      </c>
      <c r="K462">
        <v>6</v>
      </c>
      <c r="L462">
        <v>320</v>
      </c>
      <c r="N462" t="str">
        <f t="shared" si="8"/>
        <v>NA</v>
      </c>
      <c r="O462">
        <f>IF(AND(OR(D462="S. acutus",D462="S. californicus",D462="S. tabernaemontani"),G462=0),E462*[1]Sheet1!$D$7+[1]Sheet1!$L$7,IF(AND(OR(D462="S. acutus",D462="S. tabernaemontani"),G462&gt;0),E462*[1]Sheet1!$D$8+N462*[1]Sheet1!$E$8,IF(AND(D462="S. californicus",G462&gt;0),E462*[1]Sheet1!$D$9+N462*[1]Sheet1!$E$9,IF(D462="S. maritimus",F462*[1]Sheet1!$C$10+E462*[1]Sheet1!$D$10+G462*[1]Sheet1!$F$10+[1]Sheet1!$L$10,IF(D462="S. americanus",F462*[1]Sheet1!$C$6+E462*[1]Sheet1!$D$6+[1]Sheet1!$L$6,IF(AND(OR(D462="T. domingensis",D462="T. latifolia"),E462&gt;0),F462*[1]Sheet1!$C$4+E462*[1]Sheet1!$D$4+H462*[1]Sheet1!$J$4+I462*[1]Sheet1!$K$4+[1]Sheet1!$L$4,IF(AND(OR(D462="T. domingensis",D462="T. latifolia"),J462&gt;0),J462*[1]Sheet1!$G$5+K462*[1]Sheet1!$H$5+L462*[1]Sheet1!$I$5+[1]Sheet1!$L$5,0)))))))</f>
        <v>52.106621000000011</v>
      </c>
    </row>
    <row r="463" spans="1:15">
      <c r="A463" s="6">
        <v>41523</v>
      </c>
      <c r="B463" s="7" t="s">
        <v>20</v>
      </c>
      <c r="C463">
        <v>20</v>
      </c>
      <c r="D463" t="s">
        <v>23</v>
      </c>
      <c r="F463">
        <v>1.72</v>
      </c>
      <c r="J463">
        <f>287+324+330+318</f>
        <v>1259</v>
      </c>
      <c r="K463">
        <v>4</v>
      </c>
      <c r="L463">
        <v>330</v>
      </c>
      <c r="N463" t="str">
        <f t="shared" si="8"/>
        <v>NA</v>
      </c>
      <c r="O463">
        <f>IF(AND(OR(D463="S. acutus",D463="S. californicus",D463="S. tabernaemontani"),G463=0),E463*[1]Sheet1!$D$7+[1]Sheet1!$L$7,IF(AND(OR(D463="S. acutus",D463="S. tabernaemontani"),G463&gt;0),E463*[1]Sheet1!$D$8+N463*[1]Sheet1!$E$8,IF(AND(D463="S. californicus",G463&gt;0),E463*[1]Sheet1!$D$9+N463*[1]Sheet1!$E$9,IF(D463="S. maritimus",F463*[1]Sheet1!$C$10+E463*[1]Sheet1!$D$10+G463*[1]Sheet1!$F$10+[1]Sheet1!$L$10,IF(D463="S. americanus",F463*[1]Sheet1!$C$6+E463*[1]Sheet1!$D$6+[1]Sheet1!$L$6,IF(AND(OR(D463="T. domingensis",D463="T. latifolia"),E463&gt;0),F463*[1]Sheet1!$C$4+E463*[1]Sheet1!$D$4+H463*[1]Sheet1!$J$4+I463*[1]Sheet1!$K$4+[1]Sheet1!$L$4,IF(AND(OR(D463="T. domingensis",D463="T. latifolia"),J463&gt;0),J463*[1]Sheet1!$G$5+K463*[1]Sheet1!$H$5+L463*[1]Sheet1!$I$5+[1]Sheet1!$L$5,0)))))))</f>
        <v>23.574267000000013</v>
      </c>
    </row>
    <row r="464" spans="1:15">
      <c r="A464" s="6">
        <v>41523</v>
      </c>
      <c r="B464" s="7" t="s">
        <v>20</v>
      </c>
      <c r="C464">
        <v>20</v>
      </c>
      <c r="D464" t="s">
        <v>23</v>
      </c>
      <c r="F464">
        <v>2.0499999999999998</v>
      </c>
      <c r="J464">
        <f>114+121+153+153+169</f>
        <v>710</v>
      </c>
      <c r="K464">
        <v>5</v>
      </c>
      <c r="L464">
        <v>169</v>
      </c>
      <c r="N464" t="str">
        <f t="shared" si="8"/>
        <v>NA</v>
      </c>
      <c r="O464">
        <f>IF(AND(OR(D464="S. acutus",D464="S. californicus",D464="S. tabernaemontani"),G464=0),E464*[1]Sheet1!$D$7+[1]Sheet1!$L$7,IF(AND(OR(D464="S. acutus",D464="S. tabernaemontani"),G464&gt;0),E464*[1]Sheet1!$D$8+N464*[1]Sheet1!$E$8,IF(AND(D464="S. californicus",G464&gt;0),E464*[1]Sheet1!$D$9+N464*[1]Sheet1!$E$9,IF(D464="S. maritimus",F464*[1]Sheet1!$C$10+E464*[1]Sheet1!$D$10+G464*[1]Sheet1!$F$10+[1]Sheet1!$L$10,IF(D464="S. americanus",F464*[1]Sheet1!$C$6+E464*[1]Sheet1!$D$6+[1]Sheet1!$L$6,IF(AND(OR(D464="T. domingensis",D464="T. latifolia"),E464&gt;0),F464*[1]Sheet1!$C$4+E464*[1]Sheet1!$D$4+H464*[1]Sheet1!$J$4+I464*[1]Sheet1!$K$4+[1]Sheet1!$L$4,IF(AND(OR(D464="T. domingensis",D464="T. latifolia"),J464&gt;0),J464*[1]Sheet1!$G$5+K464*[1]Sheet1!$H$5+L464*[1]Sheet1!$I$5+[1]Sheet1!$L$5,0)))))))</f>
        <v>13.580864000000005</v>
      </c>
    </row>
    <row r="465" spans="1:15">
      <c r="A465" s="6">
        <v>41523</v>
      </c>
      <c r="B465" s="7" t="s">
        <v>20</v>
      </c>
      <c r="C465">
        <v>20</v>
      </c>
      <c r="D465" t="s">
        <v>19</v>
      </c>
      <c r="F465">
        <v>0.94</v>
      </c>
      <c r="J465">
        <f>71+122+180+206</f>
        <v>579</v>
      </c>
      <c r="K465">
        <v>4</v>
      </c>
      <c r="L465">
        <v>206</v>
      </c>
      <c r="N465" t="str">
        <f t="shared" si="8"/>
        <v>NA</v>
      </c>
      <c r="O465">
        <f>IF(AND(OR(D465="S. acutus",D465="S. californicus",D465="S. tabernaemontani"),G465=0),E465*[1]Sheet1!$D$7+[1]Sheet1!$L$7,IF(AND(OR(D465="S. acutus",D465="S. tabernaemontani"),G465&gt;0),E465*[1]Sheet1!$D$8+N465*[1]Sheet1!$E$8,IF(AND(D465="S. californicus",G465&gt;0),E465*[1]Sheet1!$D$9+N465*[1]Sheet1!$E$9,IF(D465="S. maritimus",F465*[1]Sheet1!$C$10+E465*[1]Sheet1!$D$10+G465*[1]Sheet1!$F$10+[1]Sheet1!$L$10,IF(D465="S. americanus",F465*[1]Sheet1!$C$6+E465*[1]Sheet1!$D$6+[1]Sheet1!$L$6,IF(AND(OR(D465="T. domingensis",D465="T. latifolia"),E465&gt;0),F465*[1]Sheet1!$C$4+E465*[1]Sheet1!$D$4+H465*[1]Sheet1!$J$4+I465*[1]Sheet1!$K$4+[1]Sheet1!$L$4,IF(AND(OR(D465="T. domingensis",D465="T. latifolia"),J465&gt;0),J465*[1]Sheet1!$G$5+K465*[1]Sheet1!$H$5+L465*[1]Sheet1!$I$5+[1]Sheet1!$L$5,0)))))))</f>
        <v>-2.8247529999999941</v>
      </c>
    </row>
    <row r="466" spans="1:15">
      <c r="A466" s="6">
        <v>41523</v>
      </c>
      <c r="B466" s="7" t="s">
        <v>20</v>
      </c>
      <c r="C466">
        <v>20</v>
      </c>
      <c r="D466" t="s">
        <v>19</v>
      </c>
      <c r="F466">
        <v>0.95</v>
      </c>
      <c r="J466">
        <f>155+164</f>
        <v>319</v>
      </c>
      <c r="K466">
        <v>2</v>
      </c>
      <c r="L466">
        <v>164</v>
      </c>
      <c r="N466" t="str">
        <f t="shared" si="8"/>
        <v>NA</v>
      </c>
      <c r="O466">
        <f>IF(AND(OR(D466="S. acutus",D466="S. californicus",D466="S. tabernaemontani"),G466=0),E466*[1]Sheet1!$D$7+[1]Sheet1!$L$7,IF(AND(OR(D466="S. acutus",D466="S. tabernaemontani"),G466&gt;0),E466*[1]Sheet1!$D$8+N466*[1]Sheet1!$E$8,IF(AND(D466="S. californicus",G466&gt;0),E466*[1]Sheet1!$D$9+N466*[1]Sheet1!$E$9,IF(D466="S. maritimus",F466*[1]Sheet1!$C$10+E466*[1]Sheet1!$D$10+G466*[1]Sheet1!$F$10+[1]Sheet1!$L$10,IF(D466="S. americanus",F466*[1]Sheet1!$C$6+E466*[1]Sheet1!$D$6+[1]Sheet1!$L$6,IF(AND(OR(D466="T. domingensis",D466="T. latifolia"),E466&gt;0),F466*[1]Sheet1!$C$4+E466*[1]Sheet1!$D$4+H466*[1]Sheet1!$J$4+I466*[1]Sheet1!$K$4+[1]Sheet1!$L$4,IF(AND(OR(D466="T. domingensis",D466="T. latifolia"),J466&gt;0),J466*[1]Sheet1!$G$5+K466*[1]Sheet1!$H$5+L466*[1]Sheet1!$I$5+[1]Sheet1!$L$5,0)))))))</f>
        <v>-0.50405699999999598</v>
      </c>
    </row>
    <row r="467" spans="1:15">
      <c r="A467" s="6">
        <v>41523</v>
      </c>
      <c r="B467" s="7" t="s">
        <v>20</v>
      </c>
      <c r="C467">
        <v>20</v>
      </c>
      <c r="D467" t="s">
        <v>19</v>
      </c>
      <c r="F467">
        <v>1.21</v>
      </c>
      <c r="J467">
        <f>220+277+242</f>
        <v>739</v>
      </c>
      <c r="K467">
        <v>3</v>
      </c>
      <c r="L467">
        <v>277</v>
      </c>
      <c r="N467" t="str">
        <f t="shared" si="8"/>
        <v>NA</v>
      </c>
      <c r="O467">
        <f>IF(AND(OR(D467="S. acutus",D467="S. californicus",D467="S. tabernaemontani"),G467=0),E467*[1]Sheet1!$D$7+[1]Sheet1!$L$7,IF(AND(OR(D467="S. acutus",D467="S. tabernaemontani"),G467&gt;0),E467*[1]Sheet1!$D$8+N467*[1]Sheet1!$E$8,IF(AND(D467="S. californicus",G467&gt;0),E467*[1]Sheet1!$D$9+N467*[1]Sheet1!$E$9,IF(D467="S. maritimus",F467*[1]Sheet1!$C$10+E467*[1]Sheet1!$D$10+G467*[1]Sheet1!$F$10+[1]Sheet1!$L$10,IF(D467="S. americanus",F467*[1]Sheet1!$C$6+E467*[1]Sheet1!$D$6+[1]Sheet1!$L$6,IF(AND(OR(D467="T. domingensis",D467="T. latifolia"),E467&gt;0),F467*[1]Sheet1!$C$4+E467*[1]Sheet1!$D$4+H467*[1]Sheet1!$J$4+I467*[1]Sheet1!$K$4+[1]Sheet1!$L$4,IF(AND(OR(D467="T. domingensis",D467="T. latifolia"),J467&gt;0),J467*[1]Sheet1!$G$5+K467*[1]Sheet1!$H$5+L467*[1]Sheet1!$I$5+[1]Sheet1!$L$5,0)))))))</f>
        <v>-2.189994999999989</v>
      </c>
    </row>
    <row r="468" spans="1:15">
      <c r="A468" s="6">
        <v>41523</v>
      </c>
      <c r="B468" s="7" t="s">
        <v>20</v>
      </c>
      <c r="C468">
        <v>20</v>
      </c>
      <c r="D468" t="s">
        <v>19</v>
      </c>
      <c r="F468">
        <v>0.85</v>
      </c>
      <c r="J468">
        <f>171+209+224+226</f>
        <v>830</v>
      </c>
      <c r="K468">
        <v>4</v>
      </c>
      <c r="L468">
        <v>226</v>
      </c>
      <c r="N468" t="str">
        <f t="shared" si="8"/>
        <v>NA</v>
      </c>
      <c r="O468">
        <f>IF(AND(OR(D468="S. acutus",D468="S. californicus",D468="S. tabernaemontani"),G468=0),E468*[1]Sheet1!$D$7+[1]Sheet1!$L$7,IF(AND(OR(D468="S. acutus",D468="S. tabernaemontani"),G468&gt;0),E468*[1]Sheet1!$D$8+N468*[1]Sheet1!$E$8,IF(AND(D468="S. californicus",G468&gt;0),E468*[1]Sheet1!$D$9+N468*[1]Sheet1!$E$9,IF(D468="S. maritimus",F468*[1]Sheet1!$C$10+E468*[1]Sheet1!$D$10+G468*[1]Sheet1!$F$10+[1]Sheet1!$L$10,IF(D468="S. americanus",F468*[1]Sheet1!$C$6+E468*[1]Sheet1!$D$6+[1]Sheet1!$L$6,IF(AND(OR(D468="T. domingensis",D468="T. latifolia"),E468&gt;0),F468*[1]Sheet1!$C$4+E468*[1]Sheet1!$D$4+H468*[1]Sheet1!$J$4+I468*[1]Sheet1!$K$4+[1]Sheet1!$L$4,IF(AND(OR(D468="T. domingensis",D468="T. latifolia"),J468&gt;0),J468*[1]Sheet1!$G$5+K468*[1]Sheet1!$H$5+L468*[1]Sheet1!$I$5+[1]Sheet1!$L$5,0)))))))</f>
        <v>14.682852000000018</v>
      </c>
    </row>
    <row r="469" spans="1:15">
      <c r="A469" s="6">
        <v>41523</v>
      </c>
      <c r="B469" s="7" t="s">
        <v>20</v>
      </c>
      <c r="C469">
        <v>22</v>
      </c>
      <c r="D469" t="s">
        <v>23</v>
      </c>
      <c r="E469">
        <v>301</v>
      </c>
      <c r="F469">
        <v>3.98</v>
      </c>
      <c r="H469">
        <v>33</v>
      </c>
      <c r="I469">
        <v>2</v>
      </c>
      <c r="N469" t="str">
        <f t="shared" si="8"/>
        <v>NA</v>
      </c>
      <c r="O469">
        <f>IF(AND(OR(D469="S. acutus",D469="S. californicus",D469="S. tabernaemontani"),G469=0),E469*[1]Sheet1!$D$7+[1]Sheet1!$L$7,IF(AND(OR(D469="S. acutus",D469="S. tabernaemontani"),G469&gt;0),E469*[1]Sheet1!$D$8+N469*[1]Sheet1!$E$8,IF(AND(D469="S. californicus",G469&gt;0),E469*[1]Sheet1!$D$9+N469*[1]Sheet1!$E$9,IF(D469="S. maritimus",F469*[1]Sheet1!$C$10+E469*[1]Sheet1!$D$10+G469*[1]Sheet1!$F$10+[1]Sheet1!$L$10,IF(D469="S. americanus",F469*[1]Sheet1!$C$6+E469*[1]Sheet1!$D$6+[1]Sheet1!$L$6,IF(AND(OR(D469="T. domingensis",D469="T. latifolia"),E469&gt;0),F469*[1]Sheet1!$C$4+E469*[1]Sheet1!$D$4+H469*[1]Sheet1!$J$4+I469*[1]Sheet1!$K$4+[1]Sheet1!$L$4,IF(AND(OR(D469="T. domingensis",D469="T. latifolia"),J469&gt;0),J469*[1]Sheet1!$G$5+K469*[1]Sheet1!$H$5+L469*[1]Sheet1!$I$5+[1]Sheet1!$L$5,0)))))))</f>
        <v>135.59601046</v>
      </c>
    </row>
    <row r="470" spans="1:15">
      <c r="A470" s="6">
        <v>41523</v>
      </c>
      <c r="B470" s="7" t="s">
        <v>20</v>
      </c>
      <c r="C470">
        <v>22</v>
      </c>
      <c r="D470" t="s">
        <v>23</v>
      </c>
      <c r="F470">
        <v>2.2400000000000002</v>
      </c>
      <c r="J470">
        <f>62+95+133+157+166+175</f>
        <v>788</v>
      </c>
      <c r="K470">
        <v>6</v>
      </c>
      <c r="L470">
        <v>175</v>
      </c>
      <c r="N470" t="str">
        <f t="shared" si="8"/>
        <v>NA</v>
      </c>
      <c r="O470">
        <f>IF(AND(OR(D470="S. acutus",D470="S. californicus",D470="S. tabernaemontani"),G470=0),E470*[1]Sheet1!$D$7+[1]Sheet1!$L$7,IF(AND(OR(D470="S. acutus",D470="S. tabernaemontani"),G470&gt;0),E470*[1]Sheet1!$D$8+N470*[1]Sheet1!$E$8,IF(AND(D470="S. californicus",G470&gt;0),E470*[1]Sheet1!$D$9+N470*[1]Sheet1!$E$9,IF(D470="S. maritimus",F470*[1]Sheet1!$C$10+E470*[1]Sheet1!$D$10+G470*[1]Sheet1!$F$10+[1]Sheet1!$L$10,IF(D470="S. americanus",F470*[1]Sheet1!$C$6+E470*[1]Sheet1!$D$6+[1]Sheet1!$L$6,IF(AND(OR(D470="T. domingensis",D470="T. latifolia"),E470&gt;0),F470*[1]Sheet1!$C$4+E470*[1]Sheet1!$D$4+H470*[1]Sheet1!$J$4+I470*[1]Sheet1!$K$4+[1]Sheet1!$L$4,IF(AND(OR(D470="T. domingensis",D470="T. latifolia"),J470&gt;0),J470*[1]Sheet1!$G$5+K470*[1]Sheet1!$H$5+L470*[1]Sheet1!$I$5+[1]Sheet1!$L$5,0)))))))</f>
        <v>12.063930999999997</v>
      </c>
    </row>
    <row r="471" spans="1:15">
      <c r="A471" s="6">
        <v>41523</v>
      </c>
      <c r="B471" s="7" t="s">
        <v>20</v>
      </c>
      <c r="C471">
        <v>22</v>
      </c>
      <c r="D471" t="s">
        <v>19</v>
      </c>
      <c r="F471">
        <v>1.86</v>
      </c>
      <c r="J471">
        <f>73+75+146+168+194</f>
        <v>656</v>
      </c>
      <c r="K471">
        <v>5</v>
      </c>
      <c r="L471">
        <v>194</v>
      </c>
      <c r="N471" t="str">
        <f t="shared" si="8"/>
        <v>NA</v>
      </c>
      <c r="O471">
        <f>IF(AND(OR(D471="S. acutus",D471="S. californicus",D471="S. tabernaemontani"),G471=0),E471*[1]Sheet1!$D$7+[1]Sheet1!$L$7,IF(AND(OR(D471="S. acutus",D471="S. tabernaemontani"),G471&gt;0),E471*[1]Sheet1!$D$8+N471*[1]Sheet1!$E$8,IF(AND(D471="S. californicus",G471&gt;0),E471*[1]Sheet1!$D$9+N471*[1]Sheet1!$E$9,IF(D471="S. maritimus",F471*[1]Sheet1!$C$10+E471*[1]Sheet1!$D$10+G471*[1]Sheet1!$F$10+[1]Sheet1!$L$10,IF(D471="S. americanus",F471*[1]Sheet1!$C$6+E471*[1]Sheet1!$D$6+[1]Sheet1!$L$6,IF(AND(OR(D471="T. domingensis",D471="T. latifolia"),E471&gt;0),F471*[1]Sheet1!$C$4+E471*[1]Sheet1!$D$4+H471*[1]Sheet1!$J$4+I471*[1]Sheet1!$K$4+[1]Sheet1!$L$4,IF(AND(OR(D471="T. domingensis",D471="T. latifolia"),J471&gt;0),J471*[1]Sheet1!$G$5+K471*[1]Sheet1!$H$5+L471*[1]Sheet1!$I$5+[1]Sheet1!$L$5,0)))))))</f>
        <v>0.98696900000000198</v>
      </c>
    </row>
    <row r="472" spans="1:15">
      <c r="A472" s="6">
        <v>41523</v>
      </c>
      <c r="B472" s="7" t="s">
        <v>20</v>
      </c>
      <c r="C472">
        <v>22</v>
      </c>
      <c r="D472" t="s">
        <v>19</v>
      </c>
      <c r="F472">
        <v>4.88</v>
      </c>
      <c r="J472">
        <f>123+133+270+334</f>
        <v>860</v>
      </c>
      <c r="K472">
        <v>4</v>
      </c>
      <c r="L472">
        <v>334</v>
      </c>
      <c r="N472" t="str">
        <f t="shared" si="8"/>
        <v>NA</v>
      </c>
      <c r="O472">
        <f>IF(AND(OR(D472="S. acutus",D472="S. californicus",D472="S. tabernaemontani"),G472=0),E472*[1]Sheet1!$D$7+[1]Sheet1!$L$7,IF(AND(OR(D472="S. acutus",D472="S. tabernaemontani"),G472&gt;0),E472*[1]Sheet1!$D$8+N472*[1]Sheet1!$E$8,IF(AND(D472="S. californicus",G472&gt;0),E472*[1]Sheet1!$D$9+N472*[1]Sheet1!$E$9,IF(D472="S. maritimus",F472*[1]Sheet1!$C$10+E472*[1]Sheet1!$D$10+G472*[1]Sheet1!$F$10+[1]Sheet1!$L$10,IF(D472="S. americanus",F472*[1]Sheet1!$C$6+E472*[1]Sheet1!$D$6+[1]Sheet1!$L$6,IF(AND(OR(D472="T. domingensis",D472="T. latifolia"),E472&gt;0),F472*[1]Sheet1!$C$4+E472*[1]Sheet1!$D$4+H472*[1]Sheet1!$J$4+I472*[1]Sheet1!$K$4+[1]Sheet1!$L$4,IF(AND(OR(D472="T. domingensis",D472="T. latifolia"),J472&gt;0),J472*[1]Sheet1!$G$5+K472*[1]Sheet1!$H$5+L472*[1]Sheet1!$I$5+[1]Sheet1!$L$5,0)))))))</f>
        <v>-15.038957999999987</v>
      </c>
    </row>
    <row r="473" spans="1:15">
      <c r="A473" s="6">
        <v>41523</v>
      </c>
      <c r="B473" s="7" t="s">
        <v>20</v>
      </c>
      <c r="C473">
        <v>22</v>
      </c>
      <c r="D473" t="s">
        <v>19</v>
      </c>
      <c r="F473">
        <v>5.53</v>
      </c>
      <c r="J473">
        <f>248+311+326+335</f>
        <v>1220</v>
      </c>
      <c r="K473">
        <v>4</v>
      </c>
      <c r="L473">
        <v>335</v>
      </c>
      <c r="N473" t="str">
        <f t="shared" si="8"/>
        <v>NA</v>
      </c>
      <c r="O473">
        <f>IF(AND(OR(D473="S. acutus",D473="S. californicus",D473="S. tabernaemontani"),G473=0),E473*[1]Sheet1!$D$7+[1]Sheet1!$L$7,IF(AND(OR(D473="S. acutus",D473="S. tabernaemontani"),G473&gt;0),E473*[1]Sheet1!$D$8+N473*[1]Sheet1!$E$8,IF(AND(D473="S. californicus",G473&gt;0),E473*[1]Sheet1!$D$9+N473*[1]Sheet1!$E$9,IF(D473="S. maritimus",F473*[1]Sheet1!$C$10+E473*[1]Sheet1!$D$10+G473*[1]Sheet1!$F$10+[1]Sheet1!$L$10,IF(D473="S. americanus",F473*[1]Sheet1!$C$6+E473*[1]Sheet1!$D$6+[1]Sheet1!$L$6,IF(AND(OR(D473="T. domingensis",D473="T. latifolia"),E473&gt;0),F473*[1]Sheet1!$C$4+E473*[1]Sheet1!$D$4+H473*[1]Sheet1!$J$4+I473*[1]Sheet1!$K$4+[1]Sheet1!$L$4,IF(AND(OR(D473="T. domingensis",D473="T. latifolia"),J473&gt;0),J473*[1]Sheet1!$G$5+K473*[1]Sheet1!$H$5+L473*[1]Sheet1!$I$5+[1]Sheet1!$L$5,0)))))))</f>
        <v>18.411597000000008</v>
      </c>
    </row>
    <row r="474" spans="1:15">
      <c r="A474" s="6">
        <v>41523</v>
      </c>
      <c r="B474" s="7" t="s">
        <v>20</v>
      </c>
      <c r="C474">
        <v>22</v>
      </c>
      <c r="D474" t="s">
        <v>19</v>
      </c>
      <c r="F474">
        <v>4.79</v>
      </c>
      <c r="J474">
        <f>235+282+300+310</f>
        <v>1127</v>
      </c>
      <c r="K474">
        <v>4</v>
      </c>
      <c r="L474">
        <v>310</v>
      </c>
      <c r="N474" t="str">
        <f t="shared" si="8"/>
        <v>NA</v>
      </c>
      <c r="O474">
        <f>IF(AND(OR(D474="S. acutus",D474="S. californicus",D474="S. tabernaemontani"),G474=0),E474*[1]Sheet1!$D$7+[1]Sheet1!$L$7,IF(AND(OR(D474="S. acutus",D474="S. tabernaemontani"),G474&gt;0),E474*[1]Sheet1!$D$8+N474*[1]Sheet1!$E$8,IF(AND(D474="S. californicus",G474&gt;0),E474*[1]Sheet1!$D$9+N474*[1]Sheet1!$E$9,IF(D474="S. maritimus",F474*[1]Sheet1!$C$10+E474*[1]Sheet1!$D$10+G474*[1]Sheet1!$F$10+[1]Sheet1!$L$10,IF(D474="S. americanus",F474*[1]Sheet1!$C$6+E474*[1]Sheet1!$D$6+[1]Sheet1!$L$6,IF(AND(OR(D474="T. domingensis",D474="T. latifolia"),E474&gt;0),F474*[1]Sheet1!$C$4+E474*[1]Sheet1!$D$4+H474*[1]Sheet1!$J$4+I474*[1]Sheet1!$K$4+[1]Sheet1!$L$4,IF(AND(OR(D474="T. domingensis",D474="T. latifolia"),J474&gt;0),J474*[1]Sheet1!$G$5+K474*[1]Sheet1!$H$5+L474*[1]Sheet1!$I$5+[1]Sheet1!$L$5,0)))))))</f>
        <v>17.223507000000019</v>
      </c>
    </row>
    <row r="475" spans="1:15">
      <c r="A475" s="6">
        <v>41523</v>
      </c>
      <c r="B475" s="7" t="s">
        <v>20</v>
      </c>
      <c r="C475">
        <v>22</v>
      </c>
      <c r="D475" t="s">
        <v>19</v>
      </c>
      <c r="F475">
        <v>1.53</v>
      </c>
      <c r="J475">
        <f>60+56+93+119+138+168</f>
        <v>634</v>
      </c>
      <c r="K475">
        <v>6</v>
      </c>
      <c r="L475">
        <v>168</v>
      </c>
      <c r="N475" t="str">
        <f t="shared" si="8"/>
        <v>NA</v>
      </c>
      <c r="O475">
        <f>IF(AND(OR(D475="S. acutus",D475="S. californicus",D475="S. tabernaemontani"),G475=0),E475*[1]Sheet1!$D$7+[1]Sheet1!$L$7,IF(AND(OR(D475="S. acutus",D475="S. tabernaemontani"),G475&gt;0),E475*[1]Sheet1!$D$8+N475*[1]Sheet1!$E$8,IF(AND(D475="S. californicus",G475&gt;0),E475*[1]Sheet1!$D$9+N475*[1]Sheet1!$E$9,IF(D475="S. maritimus",F475*[1]Sheet1!$C$10+E475*[1]Sheet1!$D$10+G475*[1]Sheet1!$F$10+[1]Sheet1!$L$10,IF(D475="S. americanus",F475*[1]Sheet1!$C$6+E475*[1]Sheet1!$D$6+[1]Sheet1!$L$6,IF(AND(OR(D475="T. domingensis",D475="T. latifolia"),E475&gt;0),F475*[1]Sheet1!$C$4+E475*[1]Sheet1!$D$4+H475*[1]Sheet1!$J$4+I475*[1]Sheet1!$K$4+[1]Sheet1!$L$4,IF(AND(OR(D475="T. domingensis",D475="T. latifolia"),J475&gt;0),J475*[1]Sheet1!$G$5+K475*[1]Sheet1!$H$5+L475*[1]Sheet1!$I$5+[1]Sheet1!$L$5,0)))))))</f>
        <v>-0.26562399999999542</v>
      </c>
    </row>
    <row r="476" spans="1:15">
      <c r="A476" s="6">
        <v>41523</v>
      </c>
      <c r="B476" s="7" t="s">
        <v>20</v>
      </c>
      <c r="C476">
        <v>26</v>
      </c>
      <c r="D476" t="s">
        <v>23</v>
      </c>
      <c r="E476">
        <v>300</v>
      </c>
      <c r="F476">
        <v>3.6</v>
      </c>
      <c r="H476">
        <v>31</v>
      </c>
      <c r="I476">
        <v>2</v>
      </c>
      <c r="N476" t="str">
        <f t="shared" si="8"/>
        <v>NA</v>
      </c>
      <c r="O476">
        <f>IF(AND(OR(D476="S. acutus",D476="S. californicus",D476="S. tabernaemontani"),G476=0),E476*[1]Sheet1!$D$7+[1]Sheet1!$L$7,IF(AND(OR(D476="S. acutus",D476="S. tabernaemontani"),G476&gt;0),E476*[1]Sheet1!$D$8+N476*[1]Sheet1!$E$8,IF(AND(D476="S. californicus",G476&gt;0),E476*[1]Sheet1!$D$9+N476*[1]Sheet1!$E$9,IF(D476="S. maritimus",F476*[1]Sheet1!$C$10+E476*[1]Sheet1!$D$10+G476*[1]Sheet1!$F$10+[1]Sheet1!$L$10,IF(D476="S. americanus",F476*[1]Sheet1!$C$6+E476*[1]Sheet1!$D$6+[1]Sheet1!$L$6,IF(AND(OR(D476="T. domingensis",D476="T. latifolia"),E476&gt;0),F476*[1]Sheet1!$C$4+E476*[1]Sheet1!$D$4+H476*[1]Sheet1!$J$4+I476*[1]Sheet1!$K$4+[1]Sheet1!$L$4,IF(AND(OR(D476="T. domingensis",D476="T. latifolia"),J476&gt;0),J476*[1]Sheet1!$G$5+K476*[1]Sheet1!$H$5+L476*[1]Sheet1!$I$5+[1]Sheet1!$L$5,0)))))))</f>
        <v>126.11173540000004</v>
      </c>
    </row>
    <row r="477" spans="1:15">
      <c r="A477" s="6">
        <v>41523</v>
      </c>
      <c r="B477" s="7" t="s">
        <v>20</v>
      </c>
      <c r="C477">
        <v>26</v>
      </c>
      <c r="D477" t="s">
        <v>23</v>
      </c>
      <c r="E477">
        <v>254</v>
      </c>
      <c r="F477">
        <v>2.34</v>
      </c>
      <c r="H477">
        <v>27</v>
      </c>
      <c r="I477">
        <v>2</v>
      </c>
      <c r="N477" t="str">
        <f t="shared" si="8"/>
        <v>NA</v>
      </c>
      <c r="O477">
        <f>IF(AND(OR(D477="S. acutus",D477="S. californicus",D477="S. tabernaemontani"),G477=0),E477*[1]Sheet1!$D$7+[1]Sheet1!$L$7,IF(AND(OR(D477="S. acutus",D477="S. tabernaemontani"),G477&gt;0),E477*[1]Sheet1!$D$8+N477*[1]Sheet1!$E$8,IF(AND(D477="S. californicus",G477&gt;0),E477*[1]Sheet1!$D$9+N477*[1]Sheet1!$E$9,IF(D477="S. maritimus",F477*[1]Sheet1!$C$10+E477*[1]Sheet1!$D$10+G477*[1]Sheet1!$F$10+[1]Sheet1!$L$10,IF(D477="S. americanus",F477*[1]Sheet1!$C$6+E477*[1]Sheet1!$D$6+[1]Sheet1!$L$6,IF(AND(OR(D477="T. domingensis",D477="T. latifolia"),E477&gt;0),F477*[1]Sheet1!$C$4+E477*[1]Sheet1!$D$4+H477*[1]Sheet1!$J$4+I477*[1]Sheet1!$K$4+[1]Sheet1!$L$4,IF(AND(OR(D477="T. domingensis",D477="T. latifolia"),J477&gt;0),J477*[1]Sheet1!$G$5+K477*[1]Sheet1!$H$5+L477*[1]Sheet1!$I$5+[1]Sheet1!$L$5,0)))))))</f>
        <v>84.140771980000011</v>
      </c>
    </row>
    <row r="478" spans="1:15">
      <c r="A478" s="6">
        <v>41523</v>
      </c>
      <c r="B478" s="7" t="s">
        <v>20</v>
      </c>
      <c r="C478">
        <v>26</v>
      </c>
      <c r="D478" t="s">
        <v>23</v>
      </c>
      <c r="E478">
        <v>251</v>
      </c>
      <c r="F478">
        <v>2.6</v>
      </c>
      <c r="H478">
        <v>28</v>
      </c>
      <c r="I478">
        <v>3</v>
      </c>
      <c r="N478" t="str">
        <f t="shared" si="8"/>
        <v>NA</v>
      </c>
      <c r="O478">
        <f>IF(AND(OR(D478="S. acutus",D478="S. californicus",D478="S. tabernaemontani"),G478=0),E478*[1]Sheet1!$D$7+[1]Sheet1!$L$7,IF(AND(OR(D478="S. acutus",D478="S. tabernaemontani"),G478&gt;0),E478*[1]Sheet1!$D$8+N478*[1]Sheet1!$E$8,IF(AND(D478="S. californicus",G478&gt;0),E478*[1]Sheet1!$D$9+N478*[1]Sheet1!$E$9,IF(D478="S. maritimus",F478*[1]Sheet1!$C$10+E478*[1]Sheet1!$D$10+G478*[1]Sheet1!$F$10+[1]Sheet1!$L$10,IF(D478="S. americanus",F478*[1]Sheet1!$C$6+E478*[1]Sheet1!$D$6+[1]Sheet1!$L$6,IF(AND(OR(D478="T. domingensis",D478="T. latifolia"),E478&gt;0),F478*[1]Sheet1!$C$4+E478*[1]Sheet1!$D$4+H478*[1]Sheet1!$J$4+I478*[1]Sheet1!$K$4+[1]Sheet1!$L$4,IF(AND(OR(D478="T. domingensis",D478="T. latifolia"),J478&gt;0),J478*[1]Sheet1!$G$5+K478*[1]Sheet1!$H$5+L478*[1]Sheet1!$I$5+[1]Sheet1!$L$5,0)))))))</f>
        <v>106.64333400000001</v>
      </c>
    </row>
    <row r="479" spans="1:15">
      <c r="A479" s="6">
        <v>41523</v>
      </c>
      <c r="B479" s="7" t="s">
        <v>20</v>
      </c>
      <c r="C479">
        <v>26</v>
      </c>
      <c r="D479" t="s">
        <v>23</v>
      </c>
      <c r="F479">
        <v>1.04</v>
      </c>
      <c r="J479">
        <f>43+68+85+118+129+155</f>
        <v>598</v>
      </c>
      <c r="K479">
        <v>6</v>
      </c>
      <c r="L479">
        <v>155</v>
      </c>
      <c r="N479" t="str">
        <f t="shared" si="8"/>
        <v>NA</v>
      </c>
      <c r="O479">
        <f>IF(AND(OR(D479="S. acutus",D479="S. californicus",D479="S. tabernaemontani"),G479=0),E479*[1]Sheet1!$D$7+[1]Sheet1!$L$7,IF(AND(OR(D479="S. acutus",D479="S. tabernaemontani"),G479&gt;0),E479*[1]Sheet1!$D$8+N479*[1]Sheet1!$E$8,IF(AND(D479="S. californicus",G479&gt;0),E479*[1]Sheet1!$D$9+N479*[1]Sheet1!$E$9,IF(D479="S. maritimus",F479*[1]Sheet1!$C$10+E479*[1]Sheet1!$D$10+G479*[1]Sheet1!$F$10+[1]Sheet1!$L$10,IF(D479="S. americanus",F479*[1]Sheet1!$C$6+E479*[1]Sheet1!$D$6+[1]Sheet1!$L$6,IF(AND(OR(D479="T. domingensis",D479="T. latifolia"),E479&gt;0),F479*[1]Sheet1!$C$4+E479*[1]Sheet1!$D$4+H479*[1]Sheet1!$J$4+I479*[1]Sheet1!$K$4+[1]Sheet1!$L$4,IF(AND(OR(D479="T. domingensis",D479="T. latifolia"),J479&gt;0),J479*[1]Sheet1!$G$5+K479*[1]Sheet1!$H$5+L479*[1]Sheet1!$I$5+[1]Sheet1!$L$5,0)))))))</f>
        <v>0.27538100000000298</v>
      </c>
    </row>
    <row r="480" spans="1:15">
      <c r="A480" s="6">
        <v>41523</v>
      </c>
      <c r="B480" s="7" t="s">
        <v>20</v>
      </c>
      <c r="C480">
        <v>26</v>
      </c>
      <c r="D480" t="s">
        <v>23</v>
      </c>
      <c r="E480">
        <v>272</v>
      </c>
      <c r="F480">
        <v>3.02</v>
      </c>
      <c r="H480">
        <v>32</v>
      </c>
      <c r="I480">
        <v>2.5</v>
      </c>
      <c r="N480" t="str">
        <f t="shared" si="8"/>
        <v>NA</v>
      </c>
      <c r="O480">
        <f>IF(AND(OR(D480="S. acutus",D480="S. californicus",D480="S. tabernaemontani"),G480=0),E480*[1]Sheet1!$D$7+[1]Sheet1!$L$7,IF(AND(OR(D480="S. acutus",D480="S. tabernaemontani"),G480&gt;0),E480*[1]Sheet1!$D$8+N480*[1]Sheet1!$E$8,IF(AND(D480="S. californicus",G480&gt;0),E480*[1]Sheet1!$D$9+N480*[1]Sheet1!$E$9,IF(D480="S. maritimus",F480*[1]Sheet1!$C$10+E480*[1]Sheet1!$D$10+G480*[1]Sheet1!$F$10+[1]Sheet1!$L$10,IF(D480="S. americanus",F480*[1]Sheet1!$C$6+E480*[1]Sheet1!$D$6+[1]Sheet1!$L$6,IF(AND(OR(D480="T. domingensis",D480="T. latifolia"),E480&gt;0),F480*[1]Sheet1!$C$4+E480*[1]Sheet1!$D$4+H480*[1]Sheet1!$J$4+I480*[1]Sheet1!$K$4+[1]Sheet1!$L$4,IF(AND(OR(D480="T. domingensis",D480="T. latifolia"),J480&gt;0),J480*[1]Sheet1!$G$5+K480*[1]Sheet1!$H$5+L480*[1]Sheet1!$I$5+[1]Sheet1!$L$5,0)))))))</f>
        <v>116.09845414</v>
      </c>
    </row>
    <row r="481" spans="1:15">
      <c r="A481" s="6">
        <v>41523</v>
      </c>
      <c r="B481" s="7" t="s">
        <v>20</v>
      </c>
      <c r="C481">
        <v>26</v>
      </c>
      <c r="D481" t="s">
        <v>23</v>
      </c>
      <c r="E481">
        <v>340</v>
      </c>
      <c r="F481">
        <v>4.7699999999999996</v>
      </c>
      <c r="H481">
        <v>44</v>
      </c>
      <c r="I481">
        <v>2.5</v>
      </c>
      <c r="N481" t="str">
        <f t="shared" si="8"/>
        <v>NA</v>
      </c>
      <c r="O481">
        <f>IF(AND(OR(D481="S. acutus",D481="S. californicus",D481="S. tabernaemontani"),G481=0),E481*[1]Sheet1!$D$7+[1]Sheet1!$L$7,IF(AND(OR(D481="S. acutus",D481="S. tabernaemontani"),G481&gt;0),E481*[1]Sheet1!$D$8+N481*[1]Sheet1!$E$8,IF(AND(D481="S. californicus",G481&gt;0),E481*[1]Sheet1!$D$9+N481*[1]Sheet1!$E$9,IF(D481="S. maritimus",F481*[1]Sheet1!$C$10+E481*[1]Sheet1!$D$10+G481*[1]Sheet1!$F$10+[1]Sheet1!$L$10,IF(D481="S. americanus",F481*[1]Sheet1!$C$6+E481*[1]Sheet1!$D$6+[1]Sheet1!$L$6,IF(AND(OR(D481="T. domingensis",D481="T. latifolia"),E481&gt;0),F481*[1]Sheet1!$C$4+E481*[1]Sheet1!$D$4+H481*[1]Sheet1!$J$4+I481*[1]Sheet1!$K$4+[1]Sheet1!$L$4,IF(AND(OR(D481="T. domingensis",D481="T. latifolia"),J481&gt;0),J481*[1]Sheet1!$G$5+K481*[1]Sheet1!$H$5+L481*[1]Sheet1!$I$5+[1]Sheet1!$L$5,0)))))))</f>
        <v>181.63552589000005</v>
      </c>
    </row>
    <row r="482" spans="1:15">
      <c r="A482" s="6">
        <v>41523</v>
      </c>
      <c r="B482" s="7" t="s">
        <v>20</v>
      </c>
      <c r="C482">
        <v>26</v>
      </c>
      <c r="D482" t="s">
        <v>23</v>
      </c>
      <c r="E482">
        <v>255</v>
      </c>
      <c r="F482">
        <v>3.19</v>
      </c>
      <c r="H482">
        <v>33</v>
      </c>
      <c r="I482">
        <v>2.5</v>
      </c>
      <c r="N482" t="str">
        <f t="shared" si="8"/>
        <v>NA</v>
      </c>
      <c r="O482">
        <f>IF(AND(OR(D482="S. acutus",D482="S. californicus",D482="S. tabernaemontani"),G482=0),E482*[1]Sheet1!$D$7+[1]Sheet1!$L$7,IF(AND(OR(D482="S. acutus",D482="S. tabernaemontani"),G482&gt;0),E482*[1]Sheet1!$D$8+N482*[1]Sheet1!$E$8,IF(AND(D482="S. californicus",G482&gt;0),E482*[1]Sheet1!$D$9+N482*[1]Sheet1!$E$9,IF(D482="S. maritimus",F482*[1]Sheet1!$C$10+E482*[1]Sheet1!$D$10+G482*[1]Sheet1!$F$10+[1]Sheet1!$L$10,IF(D482="S. americanus",F482*[1]Sheet1!$C$6+E482*[1]Sheet1!$D$6+[1]Sheet1!$L$6,IF(AND(OR(D482="T. domingensis",D482="T. latifolia"),E482&gt;0),F482*[1]Sheet1!$C$4+E482*[1]Sheet1!$D$4+H482*[1]Sheet1!$J$4+I482*[1]Sheet1!$K$4+[1]Sheet1!$L$4,IF(AND(OR(D482="T. domingensis",D482="T. latifolia"),J482&gt;0),J482*[1]Sheet1!$G$5+K482*[1]Sheet1!$H$5+L482*[1]Sheet1!$I$5+[1]Sheet1!$L$5,0)))))))</f>
        <v>115.13735783000001</v>
      </c>
    </row>
    <row r="483" spans="1:15">
      <c r="A483" s="6">
        <v>41523</v>
      </c>
      <c r="B483" s="7" t="s">
        <v>20</v>
      </c>
      <c r="C483">
        <v>26</v>
      </c>
      <c r="D483" t="s">
        <v>23</v>
      </c>
      <c r="E483">
        <v>317</v>
      </c>
      <c r="F483">
        <v>4.08</v>
      </c>
      <c r="H483">
        <v>35</v>
      </c>
      <c r="I483">
        <v>2</v>
      </c>
      <c r="N483" t="str">
        <f t="shared" si="8"/>
        <v>NA</v>
      </c>
      <c r="O483">
        <f>IF(AND(OR(D483="S. acutus",D483="S. californicus",D483="S. tabernaemontani"),G483=0),E483*[1]Sheet1!$D$7+[1]Sheet1!$L$7,IF(AND(OR(D483="S. acutus",D483="S. tabernaemontani"),G483&gt;0),E483*[1]Sheet1!$D$8+N483*[1]Sheet1!$E$8,IF(AND(D483="S. californicus",G483&gt;0),E483*[1]Sheet1!$D$9+N483*[1]Sheet1!$E$9,IF(D483="S. maritimus",F483*[1]Sheet1!$C$10+E483*[1]Sheet1!$D$10+G483*[1]Sheet1!$F$10+[1]Sheet1!$L$10,IF(D483="S. americanus",F483*[1]Sheet1!$C$6+E483*[1]Sheet1!$D$6+[1]Sheet1!$L$6,IF(AND(OR(D483="T. domingensis",D483="T. latifolia"),E483&gt;0),F483*[1]Sheet1!$C$4+E483*[1]Sheet1!$D$4+H483*[1]Sheet1!$J$4+I483*[1]Sheet1!$K$4+[1]Sheet1!$L$4,IF(AND(OR(D483="T. domingensis",D483="T. latifolia"),J483&gt;0),J483*[1]Sheet1!$G$5+K483*[1]Sheet1!$H$5+L483*[1]Sheet1!$I$5+[1]Sheet1!$L$5,0)))))))</f>
        <v>144.24490376</v>
      </c>
    </row>
    <row r="484" spans="1:15">
      <c r="A484" s="6">
        <v>41523</v>
      </c>
      <c r="B484" s="7" t="s">
        <v>20</v>
      </c>
      <c r="C484">
        <v>26</v>
      </c>
      <c r="D484" t="s">
        <v>19</v>
      </c>
      <c r="F484">
        <v>9</v>
      </c>
      <c r="J484">
        <f>224+284+330+360+361+376+388+390</f>
        <v>2713</v>
      </c>
      <c r="K484">
        <v>8</v>
      </c>
      <c r="L484">
        <v>390</v>
      </c>
      <c r="N484" t="str">
        <f t="shared" si="8"/>
        <v>NA</v>
      </c>
      <c r="O484">
        <f>IF(AND(OR(D484="S. acutus",D484="S. californicus",D484="S. tabernaemontani"),G484=0),E484*[1]Sheet1!$D$7+[1]Sheet1!$L$7,IF(AND(OR(D484="S. acutus",D484="S. tabernaemontani"),G484&gt;0),E484*[1]Sheet1!$D$8+N484*[1]Sheet1!$E$8,IF(AND(D484="S. californicus",G484&gt;0),E484*[1]Sheet1!$D$9+N484*[1]Sheet1!$E$9,IF(D484="S. maritimus",F484*[1]Sheet1!$C$10+E484*[1]Sheet1!$D$10+G484*[1]Sheet1!$F$10+[1]Sheet1!$L$10,IF(D484="S. americanus",F484*[1]Sheet1!$C$6+E484*[1]Sheet1!$D$6+[1]Sheet1!$L$6,IF(AND(OR(D484="T. domingensis",D484="T. latifolia"),E484&gt;0),F484*[1]Sheet1!$C$4+E484*[1]Sheet1!$D$4+H484*[1]Sheet1!$J$4+I484*[1]Sheet1!$K$4+[1]Sheet1!$L$4,IF(AND(OR(D484="T. domingensis",D484="T. latifolia"),J484&gt;0),J484*[1]Sheet1!$G$5+K484*[1]Sheet1!$H$5+L484*[1]Sheet1!$I$5+[1]Sheet1!$L$5,0)))))))</f>
        <v>113.72992500000001</v>
      </c>
    </row>
    <row r="485" spans="1:15">
      <c r="A485" s="6">
        <v>41523</v>
      </c>
      <c r="B485" s="7" t="s">
        <v>20</v>
      </c>
      <c r="C485">
        <v>26</v>
      </c>
      <c r="D485" t="s">
        <v>19</v>
      </c>
      <c r="F485">
        <v>6.9</v>
      </c>
      <c r="J485">
        <f>117+106+233+263+311+337+349+375+375</f>
        <v>2466</v>
      </c>
      <c r="K485">
        <v>9</v>
      </c>
      <c r="L485">
        <v>375</v>
      </c>
      <c r="N485" t="str">
        <f t="shared" si="8"/>
        <v>NA</v>
      </c>
      <c r="O485">
        <f>IF(AND(OR(D485="S. acutus",D485="S. californicus",D485="S. tabernaemontani"),G485=0),E485*[1]Sheet1!$D$7+[1]Sheet1!$L$7,IF(AND(OR(D485="S. acutus",D485="S. tabernaemontani"),G485&gt;0),E485*[1]Sheet1!$D$8+N485*[1]Sheet1!$E$8,IF(AND(D485="S. californicus",G485&gt;0),E485*[1]Sheet1!$D$9+N485*[1]Sheet1!$E$9,IF(D485="S. maritimus",F485*[1]Sheet1!$C$10+E485*[1]Sheet1!$D$10+G485*[1]Sheet1!$F$10+[1]Sheet1!$L$10,IF(D485="S. americanus",F485*[1]Sheet1!$C$6+E485*[1]Sheet1!$D$6+[1]Sheet1!$L$6,IF(AND(OR(D485="T. domingensis",D485="T. latifolia"),E485&gt;0),F485*[1]Sheet1!$C$4+E485*[1]Sheet1!$D$4+H485*[1]Sheet1!$J$4+I485*[1]Sheet1!$K$4+[1]Sheet1!$L$4,IF(AND(OR(D485="T. domingensis",D485="T. latifolia"),J485&gt;0),J485*[1]Sheet1!$G$5+K485*[1]Sheet1!$H$5+L485*[1]Sheet1!$I$5+[1]Sheet1!$L$5,0)))))))</f>
        <v>88.068762000000021</v>
      </c>
    </row>
    <row r="486" spans="1:15">
      <c r="A486" s="6">
        <v>41523</v>
      </c>
      <c r="B486" s="7" t="s">
        <v>20</v>
      </c>
      <c r="C486">
        <v>26</v>
      </c>
      <c r="D486" t="s">
        <v>19</v>
      </c>
      <c r="F486">
        <v>9.31</v>
      </c>
      <c r="J486">
        <f>116+133+182+223+233+269+271+294+324+314+347+397+373+389+382</f>
        <v>4247</v>
      </c>
      <c r="K486">
        <v>15</v>
      </c>
      <c r="L486">
        <v>389</v>
      </c>
      <c r="N486" t="str">
        <f t="shared" si="8"/>
        <v>NA</v>
      </c>
      <c r="O486">
        <f>IF(AND(OR(D486="S. acutus",D486="S. californicus",D486="S. tabernaemontani"),G486=0),E486*[1]Sheet1!$D$7+[1]Sheet1!$L$7,IF(AND(OR(D486="S. acutus",D486="S. tabernaemontani"),G486&gt;0),E486*[1]Sheet1!$D$8+N486*[1]Sheet1!$E$8,IF(AND(D486="S. californicus",G486&gt;0),E486*[1]Sheet1!$D$9+N486*[1]Sheet1!$E$9,IF(D486="S. maritimus",F486*[1]Sheet1!$C$10+E486*[1]Sheet1!$D$10+G486*[1]Sheet1!$F$10+[1]Sheet1!$L$10,IF(D486="S. americanus",F486*[1]Sheet1!$C$6+E486*[1]Sheet1!$D$6+[1]Sheet1!$L$6,IF(AND(OR(D486="T. domingensis",D486="T. latifolia"),E486&gt;0),F486*[1]Sheet1!$C$4+E486*[1]Sheet1!$D$4+H486*[1]Sheet1!$J$4+I486*[1]Sheet1!$K$4+[1]Sheet1!$L$4,IF(AND(OR(D486="T. domingensis",D486="T. latifolia"),J486&gt;0),J486*[1]Sheet1!$G$5+K486*[1]Sheet1!$H$5+L486*[1]Sheet1!$I$5+[1]Sheet1!$L$5,0)))))))</f>
        <v>208.69486900000007</v>
      </c>
    </row>
    <row r="487" spans="1:15">
      <c r="A487" s="6">
        <v>41523</v>
      </c>
      <c r="B487" s="7" t="s">
        <v>20</v>
      </c>
      <c r="C487">
        <v>28</v>
      </c>
      <c r="D487" t="s">
        <v>23</v>
      </c>
      <c r="E487">
        <v>229</v>
      </c>
      <c r="F487">
        <v>2.94</v>
      </c>
      <c r="H487">
        <v>31</v>
      </c>
      <c r="I487">
        <v>2.5</v>
      </c>
      <c r="N487" t="str">
        <f t="shared" si="8"/>
        <v>NA</v>
      </c>
      <c r="O487">
        <f>IF(AND(OR(D487="S. acutus",D487="S. californicus",D487="S. tabernaemontani"),G487=0),E487*[1]Sheet1!$D$7+[1]Sheet1!$L$7,IF(AND(OR(D487="S. acutus",D487="S. tabernaemontani"),G487&gt;0),E487*[1]Sheet1!$D$8+N487*[1]Sheet1!$E$8,IF(AND(D487="S. californicus",G487&gt;0),E487*[1]Sheet1!$D$9+N487*[1]Sheet1!$E$9,IF(D487="S. maritimus",F487*[1]Sheet1!$C$10+E487*[1]Sheet1!$D$10+G487*[1]Sheet1!$F$10+[1]Sheet1!$L$10,IF(D487="S. americanus",F487*[1]Sheet1!$C$6+E487*[1]Sheet1!$D$6+[1]Sheet1!$L$6,IF(AND(OR(D487="T. domingensis",D487="T. latifolia"),E487&gt;0),F487*[1]Sheet1!$C$4+E487*[1]Sheet1!$D$4+H487*[1]Sheet1!$J$4+I487*[1]Sheet1!$K$4+[1]Sheet1!$L$4,IF(AND(OR(D487="T. domingensis",D487="T. latifolia"),J487&gt;0),J487*[1]Sheet1!$G$5+K487*[1]Sheet1!$H$5+L487*[1]Sheet1!$I$5+[1]Sheet1!$L$5,0)))))))</f>
        <v>100.56016998000001</v>
      </c>
    </row>
    <row r="488" spans="1:15">
      <c r="A488" s="6">
        <v>41523</v>
      </c>
      <c r="B488" s="7" t="s">
        <v>20</v>
      </c>
      <c r="C488">
        <v>28</v>
      </c>
      <c r="D488" t="s">
        <v>23</v>
      </c>
      <c r="F488">
        <v>2.09</v>
      </c>
      <c r="J488">
        <f>181+219+248+287+295+285+299</f>
        <v>1814</v>
      </c>
      <c r="K488">
        <v>7</v>
      </c>
      <c r="L488">
        <v>299</v>
      </c>
      <c r="N488" t="str">
        <f t="shared" si="8"/>
        <v>NA</v>
      </c>
      <c r="O488">
        <f>IF(AND(OR(D488="S. acutus",D488="S. californicus",D488="S. tabernaemontani"),G488=0),E488*[1]Sheet1!$D$7+[1]Sheet1!$L$7,IF(AND(OR(D488="S. acutus",D488="S. tabernaemontani"),G488&gt;0),E488*[1]Sheet1!$D$8+N488*[1]Sheet1!$E$8,IF(AND(D488="S. californicus",G488&gt;0),E488*[1]Sheet1!$D$9+N488*[1]Sheet1!$E$9,IF(D488="S. maritimus",F488*[1]Sheet1!$C$10+E488*[1]Sheet1!$D$10+G488*[1]Sheet1!$F$10+[1]Sheet1!$L$10,IF(D488="S. americanus",F488*[1]Sheet1!$C$6+E488*[1]Sheet1!$D$6+[1]Sheet1!$L$6,IF(AND(OR(D488="T. domingensis",D488="T. latifolia"),E488&gt;0),F488*[1]Sheet1!$C$4+E488*[1]Sheet1!$D$4+H488*[1]Sheet1!$J$4+I488*[1]Sheet1!$K$4+[1]Sheet1!$L$4,IF(AND(OR(D488="T. domingensis",D488="T. latifolia"),J488&gt;0),J488*[1]Sheet1!$G$5+K488*[1]Sheet1!$H$5+L488*[1]Sheet1!$I$5+[1]Sheet1!$L$5,0)))))))</f>
        <v>63.87982800000001</v>
      </c>
    </row>
    <row r="489" spans="1:15">
      <c r="A489" s="6">
        <v>41523</v>
      </c>
      <c r="B489" s="7" t="s">
        <v>20</v>
      </c>
      <c r="C489">
        <v>28</v>
      </c>
      <c r="D489" t="s">
        <v>23</v>
      </c>
      <c r="E489">
        <v>301</v>
      </c>
      <c r="F489">
        <v>2.56</v>
      </c>
      <c r="H489">
        <v>31</v>
      </c>
      <c r="I489">
        <v>2.5</v>
      </c>
      <c r="N489" t="str">
        <f t="shared" si="8"/>
        <v>NA</v>
      </c>
      <c r="O489">
        <f>IF(AND(OR(D489="S. acutus",D489="S. californicus",D489="S. tabernaemontani"),G489=0),E489*[1]Sheet1!$D$7+[1]Sheet1!$L$7,IF(AND(OR(D489="S. acutus",D489="S. tabernaemontani"),G489&gt;0),E489*[1]Sheet1!$D$8+N489*[1]Sheet1!$E$8,IF(AND(D489="S. californicus",G489&gt;0),E489*[1]Sheet1!$D$9+N489*[1]Sheet1!$E$9,IF(D489="S. maritimus",F489*[1]Sheet1!$C$10+E489*[1]Sheet1!$D$10+G489*[1]Sheet1!$F$10+[1]Sheet1!$L$10,IF(D489="S. americanus",F489*[1]Sheet1!$C$6+E489*[1]Sheet1!$D$6+[1]Sheet1!$L$6,IF(AND(OR(D489="T. domingensis",D489="T. latifolia"),E489&gt;0),F489*[1]Sheet1!$C$4+E489*[1]Sheet1!$D$4+H489*[1]Sheet1!$J$4+I489*[1]Sheet1!$K$4+[1]Sheet1!$L$4,IF(AND(OR(D489="T. domingensis",D489="T. latifolia"),J489&gt;0),J489*[1]Sheet1!$G$5+K489*[1]Sheet1!$H$5+L489*[1]Sheet1!$I$5+[1]Sheet1!$L$5,0)))))))</f>
        <v>115.11988592</v>
      </c>
    </row>
    <row r="490" spans="1:15">
      <c r="A490" s="6">
        <v>41523</v>
      </c>
      <c r="B490" s="7" t="s">
        <v>20</v>
      </c>
      <c r="C490">
        <v>28</v>
      </c>
      <c r="D490" t="s">
        <v>23</v>
      </c>
      <c r="F490">
        <v>1.5</v>
      </c>
      <c r="J490">
        <f>38+55+74+113+115+135</f>
        <v>530</v>
      </c>
      <c r="K490">
        <v>6</v>
      </c>
      <c r="L490">
        <v>135</v>
      </c>
      <c r="N490" t="str">
        <f t="shared" si="8"/>
        <v>NA</v>
      </c>
      <c r="O490">
        <f>IF(AND(OR(D490="S. acutus",D490="S. californicus",D490="S. tabernaemontani"),G490=0),E490*[1]Sheet1!$D$7+[1]Sheet1!$L$7,IF(AND(OR(D490="S. acutus",D490="S. tabernaemontani"),G490&gt;0),E490*[1]Sheet1!$D$8+N490*[1]Sheet1!$E$8,IF(AND(D490="S. californicus",G490&gt;0),E490*[1]Sheet1!$D$9+N490*[1]Sheet1!$E$9,IF(D490="S. maritimus",F490*[1]Sheet1!$C$10+E490*[1]Sheet1!$D$10+G490*[1]Sheet1!$F$10+[1]Sheet1!$L$10,IF(D490="S. americanus",F490*[1]Sheet1!$C$6+E490*[1]Sheet1!$D$6+[1]Sheet1!$L$6,IF(AND(OR(D490="T. domingensis",D490="T. latifolia"),E490&gt;0),F490*[1]Sheet1!$C$4+E490*[1]Sheet1!$D$4+H490*[1]Sheet1!$J$4+I490*[1]Sheet1!$K$4+[1]Sheet1!$L$4,IF(AND(OR(D490="T. domingensis",D490="T. latifolia"),J490&gt;0),J490*[1]Sheet1!$G$5+K490*[1]Sheet1!$H$5+L490*[1]Sheet1!$I$5+[1]Sheet1!$L$5,0)))))))</f>
        <v>-7.505899999999599E-2</v>
      </c>
    </row>
    <row r="491" spans="1:15">
      <c r="A491" s="6">
        <v>41523</v>
      </c>
      <c r="B491" s="7" t="s">
        <v>20</v>
      </c>
      <c r="C491">
        <v>28</v>
      </c>
      <c r="D491" t="s">
        <v>23</v>
      </c>
      <c r="E491">
        <v>289</v>
      </c>
      <c r="F491">
        <v>3.2</v>
      </c>
      <c r="H491">
        <v>29</v>
      </c>
      <c r="I491">
        <v>2</v>
      </c>
      <c r="N491" t="str">
        <f t="shared" si="8"/>
        <v>NA</v>
      </c>
      <c r="O491">
        <f>IF(AND(OR(D491="S. acutus",D491="S. californicus",D491="S. tabernaemontani"),G491=0),E491*[1]Sheet1!$D$7+[1]Sheet1!$L$7,IF(AND(OR(D491="S. acutus",D491="S. tabernaemontani"),G491&gt;0),E491*[1]Sheet1!$D$8+N491*[1]Sheet1!$E$8,IF(AND(D491="S. californicus",G491&gt;0),E491*[1]Sheet1!$D$9+N491*[1]Sheet1!$E$9,IF(D491="S. maritimus",F491*[1]Sheet1!$C$10+E491*[1]Sheet1!$D$10+G491*[1]Sheet1!$F$10+[1]Sheet1!$L$10,IF(D491="S. americanus",F491*[1]Sheet1!$C$6+E491*[1]Sheet1!$D$6+[1]Sheet1!$L$6,IF(AND(OR(D491="T. domingensis",D491="T. latifolia"),E491&gt;0),F491*[1]Sheet1!$C$4+E491*[1]Sheet1!$D$4+H491*[1]Sheet1!$J$4+I491*[1]Sheet1!$K$4+[1]Sheet1!$L$4,IF(AND(OR(D491="T. domingensis",D491="T. latifolia"),J491&gt;0),J491*[1]Sheet1!$G$5+K491*[1]Sheet1!$H$5+L491*[1]Sheet1!$I$5+[1]Sheet1!$L$5,0)))))))</f>
        <v>113.20335800000004</v>
      </c>
    </row>
    <row r="492" spans="1:15">
      <c r="A492" s="6">
        <v>41523</v>
      </c>
      <c r="B492" s="7" t="s">
        <v>20</v>
      </c>
      <c r="C492">
        <v>28</v>
      </c>
      <c r="D492" t="s">
        <v>23</v>
      </c>
      <c r="E492">
        <v>277</v>
      </c>
      <c r="F492">
        <v>2.2799999999999998</v>
      </c>
      <c r="H492">
        <v>26</v>
      </c>
      <c r="I492">
        <v>2.5</v>
      </c>
      <c r="N492" t="str">
        <f t="shared" si="8"/>
        <v>NA</v>
      </c>
      <c r="O492">
        <f>IF(AND(OR(D492="S. acutus",D492="S. californicus",D492="S. tabernaemontani"),G492=0),E492*[1]Sheet1!$D$7+[1]Sheet1!$L$7,IF(AND(OR(D492="S. acutus",D492="S. tabernaemontani"),G492&gt;0),E492*[1]Sheet1!$D$8+N492*[1]Sheet1!$E$8,IF(AND(D492="S. californicus",G492&gt;0),E492*[1]Sheet1!$D$9+N492*[1]Sheet1!$E$9,IF(D492="S. maritimus",F492*[1]Sheet1!$C$10+E492*[1]Sheet1!$D$10+G492*[1]Sheet1!$F$10+[1]Sheet1!$L$10,IF(D492="S. americanus",F492*[1]Sheet1!$C$6+E492*[1]Sheet1!$D$6+[1]Sheet1!$L$6,IF(AND(OR(D492="T. domingensis",D492="T. latifolia"),E492&gt;0),F492*[1]Sheet1!$C$4+E492*[1]Sheet1!$D$4+H492*[1]Sheet1!$J$4+I492*[1]Sheet1!$K$4+[1]Sheet1!$L$4,IF(AND(OR(D492="T. domingensis",D492="T. latifolia"),J492&gt;0),J492*[1]Sheet1!$G$5+K492*[1]Sheet1!$H$5+L492*[1]Sheet1!$I$5+[1]Sheet1!$L$5,0)))))))</f>
        <v>97.781909359999986</v>
      </c>
    </row>
    <row r="493" spans="1:15">
      <c r="A493" s="6">
        <v>41523</v>
      </c>
      <c r="B493" s="7" t="s">
        <v>20</v>
      </c>
      <c r="C493">
        <v>28</v>
      </c>
      <c r="D493" t="s">
        <v>23</v>
      </c>
      <c r="E493">
        <v>237</v>
      </c>
      <c r="F493">
        <v>2.0699999999999998</v>
      </c>
      <c r="H493">
        <v>24</v>
      </c>
      <c r="I493">
        <v>2</v>
      </c>
      <c r="N493" t="str">
        <f t="shared" si="8"/>
        <v>NA</v>
      </c>
      <c r="O493">
        <f>IF(AND(OR(D493="S. acutus",D493="S. californicus",D493="S. tabernaemontani"),G493=0),E493*[1]Sheet1!$D$7+[1]Sheet1!$L$7,IF(AND(OR(D493="S. acutus",D493="S. tabernaemontani"),G493&gt;0),E493*[1]Sheet1!$D$8+N493*[1]Sheet1!$E$8,IF(AND(D493="S. californicus",G493&gt;0),E493*[1]Sheet1!$D$9+N493*[1]Sheet1!$E$9,IF(D493="S. maritimus",F493*[1]Sheet1!$C$10+E493*[1]Sheet1!$D$10+G493*[1]Sheet1!$F$10+[1]Sheet1!$L$10,IF(D493="S. americanus",F493*[1]Sheet1!$C$6+E493*[1]Sheet1!$D$6+[1]Sheet1!$L$6,IF(AND(OR(D493="T. domingensis",D493="T. latifolia"),E493&gt;0),F493*[1]Sheet1!$C$4+E493*[1]Sheet1!$D$4+H493*[1]Sheet1!$J$4+I493*[1]Sheet1!$K$4+[1]Sheet1!$L$4,IF(AND(OR(D493="T. domingensis",D493="T. latifolia"),J493&gt;0),J493*[1]Sheet1!$G$5+K493*[1]Sheet1!$H$5+L493*[1]Sheet1!$I$5+[1]Sheet1!$L$5,0)))))))</f>
        <v>70.983059389999994</v>
      </c>
    </row>
    <row r="494" spans="1:15">
      <c r="A494" s="6">
        <v>41523</v>
      </c>
      <c r="B494" s="7" t="s">
        <v>20</v>
      </c>
      <c r="C494">
        <v>28</v>
      </c>
      <c r="D494" t="s">
        <v>19</v>
      </c>
      <c r="F494">
        <v>2.82</v>
      </c>
      <c r="J494">
        <f>231+258+285+276</f>
        <v>1050</v>
      </c>
      <c r="K494">
        <v>4</v>
      </c>
      <c r="L494">
        <v>285</v>
      </c>
      <c r="N494" t="str">
        <f t="shared" si="8"/>
        <v>NA</v>
      </c>
      <c r="O494">
        <f>IF(AND(OR(D494="S. acutus",D494="S. californicus",D494="S. tabernaemontani"),G494=0),E494*[1]Sheet1!$D$7+[1]Sheet1!$L$7,IF(AND(OR(D494="S. acutus",D494="S. tabernaemontani"),G494&gt;0),E494*[1]Sheet1!$D$8+N494*[1]Sheet1!$E$8,IF(AND(D494="S. californicus",G494&gt;0),E494*[1]Sheet1!$D$9+N494*[1]Sheet1!$E$9,IF(D494="S. maritimus",F494*[1]Sheet1!$C$10+E494*[1]Sheet1!$D$10+G494*[1]Sheet1!$F$10+[1]Sheet1!$L$10,IF(D494="S. americanus",F494*[1]Sheet1!$C$6+E494*[1]Sheet1!$D$6+[1]Sheet1!$L$6,IF(AND(OR(D494="T. domingensis",D494="T. latifolia"),E494&gt;0),F494*[1]Sheet1!$C$4+E494*[1]Sheet1!$D$4+H494*[1]Sheet1!$J$4+I494*[1]Sheet1!$K$4+[1]Sheet1!$L$4,IF(AND(OR(D494="T. domingensis",D494="T. latifolia"),J494&gt;0),J494*[1]Sheet1!$G$5+K494*[1]Sheet1!$H$5+L494*[1]Sheet1!$I$5+[1]Sheet1!$L$5,0)))))))</f>
        <v>17.535497000000014</v>
      </c>
    </row>
    <row r="495" spans="1:15">
      <c r="A495" s="6">
        <v>41523</v>
      </c>
      <c r="B495" s="7" t="s">
        <v>20</v>
      </c>
      <c r="C495">
        <v>28</v>
      </c>
      <c r="D495" t="s">
        <v>19</v>
      </c>
      <c r="F495">
        <v>10.16</v>
      </c>
      <c r="J495">
        <f>256+283+297+329+340+350+341+349+358+349</f>
        <v>3252</v>
      </c>
      <c r="K495">
        <v>10</v>
      </c>
      <c r="L495">
        <v>358</v>
      </c>
      <c r="N495" t="str">
        <f t="shared" si="8"/>
        <v>NA</v>
      </c>
      <c r="O495">
        <f>IF(AND(OR(D495="S. acutus",D495="S. californicus",D495="S. tabernaemontani"),G495=0),E495*[1]Sheet1!$D$7+[1]Sheet1!$L$7,IF(AND(OR(D495="S. acutus",D495="S. tabernaemontani"),G495&gt;0),E495*[1]Sheet1!$D$8+N495*[1]Sheet1!$E$8,IF(AND(D495="S. californicus",G495&gt;0),E495*[1]Sheet1!$D$9+N495*[1]Sheet1!$E$9,IF(D495="S. maritimus",F495*[1]Sheet1!$C$10+E495*[1]Sheet1!$D$10+G495*[1]Sheet1!$F$10+[1]Sheet1!$L$10,IF(D495="S. americanus",F495*[1]Sheet1!$C$6+E495*[1]Sheet1!$D$6+[1]Sheet1!$L$6,IF(AND(OR(D495="T. domingensis",D495="T. latifolia"),E495&gt;0),F495*[1]Sheet1!$C$4+E495*[1]Sheet1!$D$4+H495*[1]Sheet1!$J$4+I495*[1]Sheet1!$K$4+[1]Sheet1!$L$4,IF(AND(OR(D495="T. domingensis",D495="T. latifolia"),J495&gt;0),J495*[1]Sheet1!$G$5+K495*[1]Sheet1!$H$5+L495*[1]Sheet1!$I$5+[1]Sheet1!$L$5,0)))))))</f>
        <v>159.859004</v>
      </c>
    </row>
    <row r="496" spans="1:15">
      <c r="A496" s="6">
        <v>41523</v>
      </c>
      <c r="B496" s="7" t="s">
        <v>20</v>
      </c>
      <c r="C496">
        <v>28</v>
      </c>
      <c r="D496" t="s">
        <v>19</v>
      </c>
      <c r="F496">
        <v>3.8</v>
      </c>
      <c r="J496">
        <f>210+232+238+279+259</f>
        <v>1218</v>
      </c>
      <c r="K496">
        <v>5</v>
      </c>
      <c r="L496">
        <v>279</v>
      </c>
      <c r="N496" t="str">
        <f t="shared" si="8"/>
        <v>NA</v>
      </c>
      <c r="O496">
        <f>IF(AND(OR(D496="S. acutus",D496="S. californicus",D496="S. tabernaemontani"),G496=0),E496*[1]Sheet1!$D$7+[1]Sheet1!$L$7,IF(AND(OR(D496="S. acutus",D496="S. tabernaemontani"),G496&gt;0),E496*[1]Sheet1!$D$8+N496*[1]Sheet1!$E$8,IF(AND(D496="S. californicus",G496&gt;0),E496*[1]Sheet1!$D$9+N496*[1]Sheet1!$E$9,IF(D496="S. maritimus",F496*[1]Sheet1!$C$10+E496*[1]Sheet1!$D$10+G496*[1]Sheet1!$F$10+[1]Sheet1!$L$10,IF(D496="S. americanus",F496*[1]Sheet1!$C$6+E496*[1]Sheet1!$D$6+[1]Sheet1!$L$6,IF(AND(OR(D496="T. domingensis",D496="T. latifolia"),E496&gt;0),F496*[1]Sheet1!$C$4+E496*[1]Sheet1!$D$4+H496*[1]Sheet1!$J$4+I496*[1]Sheet1!$K$4+[1]Sheet1!$L$4,IF(AND(OR(D496="T. domingensis",D496="T. latifolia"),J496&gt;0),J496*[1]Sheet1!$G$5+K496*[1]Sheet1!$H$5+L496*[1]Sheet1!$I$5+[1]Sheet1!$L$5,0)))))))</f>
        <v>28.07145400000001</v>
      </c>
    </row>
    <row r="497" spans="1:15">
      <c r="A497" s="6">
        <v>41523</v>
      </c>
      <c r="B497" s="7" t="s">
        <v>20</v>
      </c>
      <c r="C497">
        <v>42</v>
      </c>
      <c r="D497" t="s">
        <v>19</v>
      </c>
      <c r="E497">
        <v>302</v>
      </c>
      <c r="F497">
        <v>3.12</v>
      </c>
      <c r="H497">
        <v>29</v>
      </c>
      <c r="I497">
        <v>2.5</v>
      </c>
      <c r="N497" t="str">
        <f t="shared" si="8"/>
        <v>NA</v>
      </c>
      <c r="O497">
        <f>IF(AND(OR(D497="S. acutus",D497="S. californicus",D497="S. tabernaemontani"),G497=0),E497*[1]Sheet1!$D$7+[1]Sheet1!$L$7,IF(AND(OR(D497="S. acutus",D497="S. tabernaemontani"),G497&gt;0),E497*[1]Sheet1!$D$8+N497*[1]Sheet1!$E$8,IF(AND(D497="S. californicus",G497&gt;0),E497*[1]Sheet1!$D$9+N497*[1]Sheet1!$E$9,IF(D497="S. maritimus",F497*[1]Sheet1!$C$10+E497*[1]Sheet1!$D$10+G497*[1]Sheet1!$F$10+[1]Sheet1!$L$10,IF(D497="S. americanus",F497*[1]Sheet1!$C$6+E497*[1]Sheet1!$D$6+[1]Sheet1!$L$6,IF(AND(OR(D497="T. domingensis",D497="T. latifolia"),E497&gt;0),F497*[1]Sheet1!$C$4+E497*[1]Sheet1!$D$4+H497*[1]Sheet1!$J$4+I497*[1]Sheet1!$K$4+[1]Sheet1!$L$4,IF(AND(OR(D497="T. domingensis",D497="T. latifolia"),J497&gt;0),J497*[1]Sheet1!$G$5+K497*[1]Sheet1!$H$5+L497*[1]Sheet1!$I$5+[1]Sheet1!$L$5,0)))))))</f>
        <v>124.35061524</v>
      </c>
    </row>
    <row r="498" spans="1:15">
      <c r="A498" s="6">
        <v>41523</v>
      </c>
      <c r="B498" s="7" t="s">
        <v>20</v>
      </c>
      <c r="C498">
        <v>42</v>
      </c>
      <c r="D498" t="s">
        <v>19</v>
      </c>
      <c r="F498">
        <v>5.39</v>
      </c>
      <c r="J498">
        <f>104+161+221+246+251+283+304+171+317</f>
        <v>2058</v>
      </c>
      <c r="K498">
        <v>9</v>
      </c>
      <c r="L498">
        <v>317</v>
      </c>
      <c r="N498" t="str">
        <f t="shared" si="8"/>
        <v>NA</v>
      </c>
      <c r="O498">
        <f>IF(AND(OR(D498="S. acutus",D498="S. californicus",D498="S. tabernaemontani"),G498=0),E498*[1]Sheet1!$D$7+[1]Sheet1!$L$7,IF(AND(OR(D498="S. acutus",D498="S. tabernaemontani"),G498&gt;0),E498*[1]Sheet1!$D$8+N498*[1]Sheet1!$E$8,IF(AND(D498="S. californicus",G498&gt;0),E498*[1]Sheet1!$D$9+N498*[1]Sheet1!$E$9,IF(D498="S. maritimus",F498*[1]Sheet1!$C$10+E498*[1]Sheet1!$D$10+G498*[1]Sheet1!$F$10+[1]Sheet1!$L$10,IF(D498="S. americanus",F498*[1]Sheet1!$C$6+E498*[1]Sheet1!$D$6+[1]Sheet1!$L$6,IF(AND(OR(D498="T. domingensis",D498="T. latifolia"),E498&gt;0),F498*[1]Sheet1!$C$4+E498*[1]Sheet1!$D$4+H498*[1]Sheet1!$J$4+I498*[1]Sheet1!$K$4+[1]Sheet1!$L$4,IF(AND(OR(D498="T. domingensis",D498="T. latifolia"),J498&gt;0),J498*[1]Sheet1!$G$5+K498*[1]Sheet1!$H$5+L498*[1]Sheet1!$I$5+[1]Sheet1!$L$5,0)))))))</f>
        <v>67.288931999999988</v>
      </c>
    </row>
    <row r="499" spans="1:15">
      <c r="A499" s="6">
        <v>41523</v>
      </c>
      <c r="B499" s="7" t="s">
        <v>20</v>
      </c>
      <c r="C499">
        <v>42</v>
      </c>
      <c r="D499" t="s">
        <v>19</v>
      </c>
      <c r="F499">
        <v>1.97</v>
      </c>
      <c r="J499">
        <f>73+102+132+155+191+201</f>
        <v>854</v>
      </c>
      <c r="K499">
        <v>6</v>
      </c>
      <c r="L499">
        <v>201</v>
      </c>
      <c r="N499" t="str">
        <f t="shared" si="8"/>
        <v>NA</v>
      </c>
      <c r="O499">
        <f>IF(AND(OR(D499="S. acutus",D499="S. californicus",D499="S. tabernaemontani"),G499=0),E499*[1]Sheet1!$D$7+[1]Sheet1!$L$7,IF(AND(OR(D499="S. acutus",D499="S. tabernaemontani"),G499&gt;0),E499*[1]Sheet1!$D$8+N499*[1]Sheet1!$E$8,IF(AND(D499="S. californicus",G499&gt;0),E499*[1]Sheet1!$D$9+N499*[1]Sheet1!$E$9,IF(D499="S. maritimus",F499*[1]Sheet1!$C$10+E499*[1]Sheet1!$D$10+G499*[1]Sheet1!$F$10+[1]Sheet1!$L$10,IF(D499="S. americanus",F499*[1]Sheet1!$C$6+E499*[1]Sheet1!$D$6+[1]Sheet1!$L$6,IF(AND(OR(D499="T. domingensis",D499="T. latifolia"),E499&gt;0),F499*[1]Sheet1!$C$4+E499*[1]Sheet1!$D$4+H499*[1]Sheet1!$J$4+I499*[1]Sheet1!$K$4+[1]Sheet1!$L$4,IF(AND(OR(D499="T. domingensis",D499="T. latifolia"),J499&gt;0),J499*[1]Sheet1!$G$5+K499*[1]Sheet1!$H$5+L499*[1]Sheet1!$I$5+[1]Sheet1!$L$5,0)))))))</f>
        <v>10.419391000000005</v>
      </c>
    </row>
    <row r="500" spans="1:15">
      <c r="A500" s="6">
        <v>41523</v>
      </c>
      <c r="B500" s="7" t="s">
        <v>20</v>
      </c>
      <c r="C500">
        <v>42</v>
      </c>
      <c r="D500" t="s">
        <v>19</v>
      </c>
      <c r="F500">
        <v>1.33</v>
      </c>
      <c r="J500">
        <f>44+61+139+147+203+203</f>
        <v>797</v>
      </c>
      <c r="K500">
        <v>6</v>
      </c>
      <c r="L500">
        <v>203</v>
      </c>
      <c r="N500" t="str">
        <f t="shared" si="8"/>
        <v>NA</v>
      </c>
      <c r="O500">
        <f>IF(AND(OR(D500="S. acutus",D500="S. californicus",D500="S. tabernaemontani"),G500=0),E500*[1]Sheet1!$D$7+[1]Sheet1!$L$7,IF(AND(OR(D500="S. acutus",D500="S. tabernaemontani"),G500&gt;0),E500*[1]Sheet1!$D$8+N500*[1]Sheet1!$E$8,IF(AND(D500="S. californicus",G500&gt;0),E500*[1]Sheet1!$D$9+N500*[1]Sheet1!$E$9,IF(D500="S. maritimus",F500*[1]Sheet1!$C$10+E500*[1]Sheet1!$D$10+G500*[1]Sheet1!$F$10+[1]Sheet1!$L$10,IF(D500="S. americanus",F500*[1]Sheet1!$C$6+E500*[1]Sheet1!$D$6+[1]Sheet1!$L$6,IF(AND(OR(D500="T. domingensis",D500="T. latifolia"),E500&gt;0),F500*[1]Sheet1!$C$4+E500*[1]Sheet1!$D$4+H500*[1]Sheet1!$J$4+I500*[1]Sheet1!$K$4+[1]Sheet1!$L$4,IF(AND(OR(D500="T. domingensis",D500="T. latifolia"),J500&gt;0),J500*[1]Sheet1!$G$5+K500*[1]Sheet1!$H$5+L500*[1]Sheet1!$I$5+[1]Sheet1!$L$5,0)))))))</f>
        <v>4.4728659999999962</v>
      </c>
    </row>
    <row r="501" spans="1:15">
      <c r="A501" s="6">
        <v>41523</v>
      </c>
      <c r="B501" s="7" t="s">
        <v>20</v>
      </c>
      <c r="C501">
        <v>42</v>
      </c>
      <c r="D501" t="s">
        <v>19</v>
      </c>
      <c r="E501">
        <v>229</v>
      </c>
      <c r="F501">
        <v>3.3</v>
      </c>
      <c r="H501">
        <v>29</v>
      </c>
      <c r="I501">
        <v>3</v>
      </c>
      <c r="N501" t="str">
        <f t="shared" si="8"/>
        <v>NA</v>
      </c>
      <c r="O501">
        <f>IF(AND(OR(D501="S. acutus",D501="S. californicus",D501="S. tabernaemontani"),G501=0),E501*[1]Sheet1!$D$7+[1]Sheet1!$L$7,IF(AND(OR(D501="S. acutus",D501="S. tabernaemontani"),G501&gt;0),E501*[1]Sheet1!$D$8+N501*[1]Sheet1!$E$8,IF(AND(D501="S. californicus",G501&gt;0),E501*[1]Sheet1!$D$9+N501*[1]Sheet1!$E$9,IF(D501="S. maritimus",F501*[1]Sheet1!$C$10+E501*[1]Sheet1!$D$10+G501*[1]Sheet1!$F$10+[1]Sheet1!$L$10,IF(D501="S. americanus",F501*[1]Sheet1!$C$6+E501*[1]Sheet1!$D$6+[1]Sheet1!$L$6,IF(AND(OR(D501="T. domingensis",D501="T. latifolia"),E501&gt;0),F501*[1]Sheet1!$C$4+E501*[1]Sheet1!$D$4+H501*[1]Sheet1!$J$4+I501*[1]Sheet1!$K$4+[1]Sheet1!$L$4,IF(AND(OR(D501="T. domingensis",D501="T. latifolia"),J501&gt;0),J501*[1]Sheet1!$G$5+K501*[1]Sheet1!$H$5+L501*[1]Sheet1!$I$5+[1]Sheet1!$L$5,0)))))))</f>
        <v>114.3722157</v>
      </c>
    </row>
    <row r="502" spans="1:15">
      <c r="A502" s="6">
        <v>41523</v>
      </c>
      <c r="B502" s="7" t="s">
        <v>20</v>
      </c>
      <c r="C502">
        <v>42</v>
      </c>
      <c r="D502" t="s">
        <v>19</v>
      </c>
      <c r="E502">
        <v>287</v>
      </c>
      <c r="F502">
        <v>3.5</v>
      </c>
      <c r="H502">
        <v>31</v>
      </c>
      <c r="I502">
        <v>2.5</v>
      </c>
      <c r="N502" t="str">
        <f t="shared" si="8"/>
        <v>NA</v>
      </c>
      <c r="O502">
        <f>IF(AND(OR(D502="S. acutus",D502="S. californicus",D502="S. tabernaemontani"),G502=0),E502*[1]Sheet1!$D$7+[1]Sheet1!$L$7,IF(AND(OR(D502="S. acutus",D502="S. tabernaemontani"),G502&gt;0),E502*[1]Sheet1!$D$8+N502*[1]Sheet1!$E$8,IF(AND(D502="S. californicus",G502&gt;0),E502*[1]Sheet1!$D$9+N502*[1]Sheet1!$E$9,IF(D502="S. maritimus",F502*[1]Sheet1!$C$10+E502*[1]Sheet1!$D$10+G502*[1]Sheet1!$F$10+[1]Sheet1!$L$10,IF(D502="S. americanus",F502*[1]Sheet1!$C$6+E502*[1]Sheet1!$D$6+[1]Sheet1!$L$6,IF(AND(OR(D502="T. domingensis",D502="T. latifolia"),E502&gt;0),F502*[1]Sheet1!$C$4+E502*[1]Sheet1!$D$4+H502*[1]Sheet1!$J$4+I502*[1]Sheet1!$K$4+[1]Sheet1!$L$4,IF(AND(OR(D502="T. domingensis",D502="T. latifolia"),J502&gt;0),J502*[1]Sheet1!$G$5+K502*[1]Sheet1!$H$5+L502*[1]Sheet1!$I$5+[1]Sheet1!$L$5,0)))))))</f>
        <v>128.9727431</v>
      </c>
    </row>
    <row r="503" spans="1:15">
      <c r="A503" s="6">
        <v>41523</v>
      </c>
      <c r="B503" s="7" t="s">
        <v>20</v>
      </c>
      <c r="C503">
        <v>42</v>
      </c>
      <c r="D503" t="s">
        <v>19</v>
      </c>
      <c r="F503">
        <v>1.65</v>
      </c>
      <c r="J503">
        <f>59+92+113+119</f>
        <v>383</v>
      </c>
      <c r="K503">
        <v>4</v>
      </c>
      <c r="L503">
        <v>119</v>
      </c>
      <c r="N503" t="str">
        <f t="shared" si="8"/>
        <v>NA</v>
      </c>
      <c r="O503">
        <f>IF(AND(OR(D503="S. acutus",D503="S. californicus",D503="S. tabernaemontani"),G503=0),E503*[1]Sheet1!$D$7+[1]Sheet1!$L$7,IF(AND(OR(D503="S. acutus",D503="S. tabernaemontani"),G503&gt;0),E503*[1]Sheet1!$D$8+N503*[1]Sheet1!$E$8,IF(AND(D503="S. californicus",G503&gt;0),E503*[1]Sheet1!$D$9+N503*[1]Sheet1!$E$9,IF(D503="S. maritimus",F503*[1]Sheet1!$C$10+E503*[1]Sheet1!$D$10+G503*[1]Sheet1!$F$10+[1]Sheet1!$L$10,IF(D503="S. americanus",F503*[1]Sheet1!$C$6+E503*[1]Sheet1!$D$6+[1]Sheet1!$L$6,IF(AND(OR(D503="T. domingensis",D503="T. latifolia"),E503&gt;0),F503*[1]Sheet1!$C$4+E503*[1]Sheet1!$D$4+H503*[1]Sheet1!$J$4+I503*[1]Sheet1!$K$4+[1]Sheet1!$L$4,IF(AND(OR(D503="T. domingensis",D503="T. latifolia"),J503&gt;0),J503*[1]Sheet1!$G$5+K503*[1]Sheet1!$H$5+L503*[1]Sheet1!$I$5+[1]Sheet1!$L$5,0)))))))</f>
        <v>5.0075820000000029</v>
      </c>
    </row>
    <row r="504" spans="1:15">
      <c r="A504" s="6">
        <v>41523</v>
      </c>
      <c r="B504" s="7" t="s">
        <v>20</v>
      </c>
      <c r="C504">
        <v>42</v>
      </c>
      <c r="D504" t="s">
        <v>19</v>
      </c>
      <c r="E504">
        <v>291</v>
      </c>
      <c r="F504">
        <v>3.14</v>
      </c>
      <c r="H504">
        <v>35</v>
      </c>
      <c r="I504">
        <v>2.5</v>
      </c>
      <c r="N504" t="str">
        <f t="shared" si="8"/>
        <v>NA</v>
      </c>
      <c r="O504">
        <f>IF(AND(OR(D504="S. acutus",D504="S. californicus",D504="S. tabernaemontani"),G504=0),E504*[1]Sheet1!$D$7+[1]Sheet1!$L$7,IF(AND(OR(D504="S. acutus",D504="S. tabernaemontani"),G504&gt;0),E504*[1]Sheet1!$D$8+N504*[1]Sheet1!$E$8,IF(AND(D504="S. californicus",G504&gt;0),E504*[1]Sheet1!$D$9+N504*[1]Sheet1!$E$9,IF(D504="S. maritimus",F504*[1]Sheet1!$C$10+E504*[1]Sheet1!$D$10+G504*[1]Sheet1!$F$10+[1]Sheet1!$L$10,IF(D504="S. americanus",F504*[1]Sheet1!$C$6+E504*[1]Sheet1!$D$6+[1]Sheet1!$L$6,IF(AND(OR(D504="T. domingensis",D504="T. latifolia"),E504&gt;0),F504*[1]Sheet1!$C$4+E504*[1]Sheet1!$D$4+H504*[1]Sheet1!$J$4+I504*[1]Sheet1!$K$4+[1]Sheet1!$L$4,IF(AND(OR(D504="T. domingensis",D504="T. latifolia"),J504&gt;0),J504*[1]Sheet1!$G$5+K504*[1]Sheet1!$H$5+L504*[1]Sheet1!$I$5+[1]Sheet1!$L$5,0)))))))</f>
        <v>126.97448258</v>
      </c>
    </row>
    <row r="505" spans="1:15">
      <c r="A505" s="6">
        <v>41523</v>
      </c>
      <c r="B505" s="7" t="s">
        <v>20</v>
      </c>
      <c r="C505">
        <v>42</v>
      </c>
      <c r="D505" t="s">
        <v>19</v>
      </c>
      <c r="E505">
        <v>306</v>
      </c>
      <c r="F505">
        <v>2.75</v>
      </c>
      <c r="H505">
        <v>21</v>
      </c>
      <c r="I505">
        <v>2</v>
      </c>
      <c r="N505" t="str">
        <f t="shared" si="8"/>
        <v>NA</v>
      </c>
      <c r="O505">
        <f>IF(AND(OR(D505="S. acutus",D505="S. californicus",D505="S. tabernaemontani"),G505=0),E505*[1]Sheet1!$D$7+[1]Sheet1!$L$7,IF(AND(OR(D505="S. acutus",D505="S. tabernaemontani"),G505&gt;0),E505*[1]Sheet1!$D$8+N505*[1]Sheet1!$E$8,IF(AND(D505="S. californicus",G505&gt;0),E505*[1]Sheet1!$D$9+N505*[1]Sheet1!$E$9,IF(D505="S. maritimus",F505*[1]Sheet1!$C$10+E505*[1]Sheet1!$D$10+G505*[1]Sheet1!$F$10+[1]Sheet1!$L$10,IF(D505="S. americanus",F505*[1]Sheet1!$C$6+E505*[1]Sheet1!$D$6+[1]Sheet1!$L$6,IF(AND(OR(D505="T. domingensis",D505="T. latifolia"),E505&gt;0),F505*[1]Sheet1!$C$4+E505*[1]Sheet1!$D$4+H505*[1]Sheet1!$J$4+I505*[1]Sheet1!$K$4+[1]Sheet1!$L$4,IF(AND(OR(D505="T. domingensis",D505="T. latifolia"),J505&gt;0),J505*[1]Sheet1!$G$5+K505*[1]Sheet1!$H$5+L505*[1]Sheet1!$I$5+[1]Sheet1!$L$5,0)))))))</f>
        <v>102.25925415</v>
      </c>
    </row>
    <row r="506" spans="1:15">
      <c r="A506" s="6">
        <v>41534</v>
      </c>
      <c r="B506" s="7" t="s">
        <v>32</v>
      </c>
      <c r="C506">
        <v>8</v>
      </c>
      <c r="D506" t="s">
        <v>25</v>
      </c>
      <c r="E506">
        <v>128</v>
      </c>
      <c r="F506">
        <v>1.06</v>
      </c>
      <c r="N506">
        <f t="shared" si="8"/>
        <v>37.652165589333336</v>
      </c>
      <c r="O506">
        <f>IF(AND(OR(D506="S. acutus",D506="S. californicus",D506="S. tabernaemontani"),G506=0),E506*[1]Sheet1!$D$7+[1]Sheet1!$L$7,IF(AND(OR(D506="S. acutus",D506="S. tabernaemontani"),G506&gt;0),E506*[1]Sheet1!$D$8+N506*[1]Sheet1!$E$8,IF(AND(D506="S. californicus",G506&gt;0),E506*[1]Sheet1!$D$9+N506*[1]Sheet1!$E$9,IF(D506="S. maritimus",F506*[1]Sheet1!$C$10+E506*[1]Sheet1!$D$10+G506*[1]Sheet1!$F$10+[1]Sheet1!$L$10,IF(D506="S. americanus",F506*[1]Sheet1!$C$6+E506*[1]Sheet1!$D$6+[1]Sheet1!$L$6,IF(AND(OR(D506="T. domingensis",D506="T. latifolia"),E506&gt;0),F506*[1]Sheet1!$C$4+E506*[1]Sheet1!$D$4+H506*[1]Sheet1!$J$4+I506*[1]Sheet1!$K$4+[1]Sheet1!$L$4,IF(AND(OR(D506="T. domingensis",D506="T. latifolia"),J506&gt;0),J506*[1]Sheet1!$G$5+K506*[1]Sheet1!$H$5+L506*[1]Sheet1!$I$5+[1]Sheet1!$L$5,0)))))))</f>
        <v>4.3828430000000003</v>
      </c>
    </row>
    <row r="507" spans="1:15">
      <c r="A507" s="6">
        <v>41534</v>
      </c>
      <c r="B507" s="7" t="s">
        <v>32</v>
      </c>
      <c r="C507">
        <v>8</v>
      </c>
      <c r="D507" t="s">
        <v>25</v>
      </c>
      <c r="E507">
        <v>127</v>
      </c>
      <c r="F507">
        <v>2.64</v>
      </c>
      <c r="N507">
        <f t="shared" si="8"/>
        <v>231.72870494399999</v>
      </c>
      <c r="O507">
        <f>IF(AND(OR(D507="S. acutus",D507="S. californicus",D507="S. tabernaemontani"),G507=0),E507*[1]Sheet1!$D$7+[1]Sheet1!$L$7,IF(AND(OR(D507="S. acutus",D507="S. tabernaemontani"),G507&gt;0),E507*[1]Sheet1!$D$8+N507*[1]Sheet1!$E$8,IF(AND(D507="S. californicus",G507&gt;0),E507*[1]Sheet1!$D$9+N507*[1]Sheet1!$E$9,IF(D507="S. maritimus",F507*[1]Sheet1!$C$10+E507*[1]Sheet1!$D$10+G507*[1]Sheet1!$F$10+[1]Sheet1!$L$10,IF(D507="S. americanus",F507*[1]Sheet1!$C$6+E507*[1]Sheet1!$D$6+[1]Sheet1!$L$6,IF(AND(OR(D507="T. domingensis",D507="T. latifolia"),E507&gt;0),F507*[1]Sheet1!$C$4+E507*[1]Sheet1!$D$4+H507*[1]Sheet1!$J$4+I507*[1]Sheet1!$K$4+[1]Sheet1!$L$4,IF(AND(OR(D507="T. domingensis",D507="T. latifolia"),J507&gt;0),J507*[1]Sheet1!$G$5+K507*[1]Sheet1!$H$5+L507*[1]Sheet1!$I$5+[1]Sheet1!$L$5,0)))))))</f>
        <v>4.3127380000000004</v>
      </c>
    </row>
    <row r="508" spans="1:15">
      <c r="A508" s="6">
        <v>41534</v>
      </c>
      <c r="B508" s="7" t="s">
        <v>32</v>
      </c>
      <c r="C508">
        <v>8</v>
      </c>
      <c r="D508" t="s">
        <v>25</v>
      </c>
      <c r="E508">
        <v>132</v>
      </c>
      <c r="F508">
        <v>1.1000000000000001</v>
      </c>
      <c r="N508">
        <f t="shared" si="8"/>
        <v>41.814562899999999</v>
      </c>
      <c r="O508">
        <f>IF(AND(OR(D508="S. acutus",D508="S. californicus",D508="S. tabernaemontani"),G508=0),E508*[1]Sheet1!$D$7+[1]Sheet1!$L$7,IF(AND(OR(D508="S. acutus",D508="S. tabernaemontani"),G508&gt;0),E508*[1]Sheet1!$D$8+N508*[1]Sheet1!$E$8,IF(AND(D508="S. californicus",G508&gt;0),E508*[1]Sheet1!$D$9+N508*[1]Sheet1!$E$9,IF(D508="S. maritimus",F508*[1]Sheet1!$C$10+E508*[1]Sheet1!$D$10+G508*[1]Sheet1!$F$10+[1]Sheet1!$L$10,IF(D508="S. americanus",F508*[1]Sheet1!$C$6+E508*[1]Sheet1!$D$6+[1]Sheet1!$L$6,IF(AND(OR(D508="T. domingensis",D508="T. latifolia"),E508&gt;0),F508*[1]Sheet1!$C$4+E508*[1]Sheet1!$D$4+H508*[1]Sheet1!$J$4+I508*[1]Sheet1!$K$4+[1]Sheet1!$L$4,IF(AND(OR(D508="T. domingensis",D508="T. latifolia"),J508&gt;0),J508*[1]Sheet1!$G$5+K508*[1]Sheet1!$H$5+L508*[1]Sheet1!$I$5+[1]Sheet1!$L$5,0)))))))</f>
        <v>4.6632629999999997</v>
      </c>
    </row>
    <row r="509" spans="1:15">
      <c r="A509" s="6">
        <v>41534</v>
      </c>
      <c r="B509" s="7" t="s">
        <v>32</v>
      </c>
      <c r="C509">
        <v>8</v>
      </c>
      <c r="D509" t="s">
        <v>25</v>
      </c>
      <c r="E509">
        <v>38</v>
      </c>
      <c r="F509">
        <v>0.6</v>
      </c>
      <c r="N509">
        <f t="shared" si="8"/>
        <v>3.5814125999999997</v>
      </c>
      <c r="O509">
        <f>IF(AND(OR(D509="S. acutus",D509="S. californicus",D509="S. tabernaemontani"),G509=0),E509*[1]Sheet1!$D$7+[1]Sheet1!$L$7,IF(AND(OR(D509="S. acutus",D509="S. tabernaemontani"),G509&gt;0),E509*[1]Sheet1!$D$8+N509*[1]Sheet1!$E$8,IF(AND(D509="S. californicus",G509&gt;0),E509*[1]Sheet1!$D$9+N509*[1]Sheet1!$E$9,IF(D509="S. maritimus",F509*[1]Sheet1!$C$10+E509*[1]Sheet1!$D$10+G509*[1]Sheet1!$F$10+[1]Sheet1!$L$10,IF(D509="S. americanus",F509*[1]Sheet1!$C$6+E509*[1]Sheet1!$D$6+[1]Sheet1!$L$6,IF(AND(OR(D509="T. domingensis",D509="T. latifolia"),E509&gt;0),F509*[1]Sheet1!$C$4+E509*[1]Sheet1!$D$4+H509*[1]Sheet1!$J$4+I509*[1]Sheet1!$K$4+[1]Sheet1!$L$4,IF(AND(OR(D509="T. domingensis",D509="T. latifolia"),J509&gt;0),J509*[1]Sheet1!$G$5+K509*[1]Sheet1!$H$5+L509*[1]Sheet1!$I$5+[1]Sheet1!$L$5,0)))))))</f>
        <v>-1.9266069999999997</v>
      </c>
    </row>
    <row r="510" spans="1:15">
      <c r="A510" s="6">
        <v>41534</v>
      </c>
      <c r="B510" s="7" t="s">
        <v>32</v>
      </c>
      <c r="C510">
        <v>8</v>
      </c>
      <c r="D510" t="s">
        <v>25</v>
      </c>
      <c r="E510">
        <v>259</v>
      </c>
      <c r="F510">
        <v>1.87</v>
      </c>
      <c r="N510">
        <f t="shared" si="8"/>
        <v>237.11074603241667</v>
      </c>
      <c r="O510">
        <f>IF(AND(OR(D510="S. acutus",D510="S. californicus",D510="S. tabernaemontani"),G510=0),E510*[1]Sheet1!$D$7+[1]Sheet1!$L$7,IF(AND(OR(D510="S. acutus",D510="S. tabernaemontani"),G510&gt;0),E510*[1]Sheet1!$D$8+N510*[1]Sheet1!$E$8,IF(AND(D510="S. californicus",G510&gt;0),E510*[1]Sheet1!$D$9+N510*[1]Sheet1!$E$9,IF(D510="S. maritimus",F510*[1]Sheet1!$C$10+E510*[1]Sheet1!$D$10+G510*[1]Sheet1!$F$10+[1]Sheet1!$L$10,IF(D510="S. americanus",F510*[1]Sheet1!$C$6+E510*[1]Sheet1!$D$6+[1]Sheet1!$L$6,IF(AND(OR(D510="T. domingensis",D510="T. latifolia"),E510&gt;0),F510*[1]Sheet1!$C$4+E510*[1]Sheet1!$D$4+H510*[1]Sheet1!$J$4+I510*[1]Sheet1!$K$4+[1]Sheet1!$L$4,IF(AND(OR(D510="T. domingensis",D510="T. latifolia"),J510&gt;0),J510*[1]Sheet1!$G$5+K510*[1]Sheet1!$H$5+L510*[1]Sheet1!$I$5+[1]Sheet1!$L$5,0)))))))</f>
        <v>13.566598000000003</v>
      </c>
    </row>
    <row r="511" spans="1:15">
      <c r="A511" s="6">
        <v>41534</v>
      </c>
      <c r="B511" s="7" t="s">
        <v>32</v>
      </c>
      <c r="C511">
        <v>8</v>
      </c>
      <c r="D511" t="s">
        <v>25</v>
      </c>
      <c r="E511">
        <v>194</v>
      </c>
      <c r="F511">
        <v>1.25</v>
      </c>
      <c r="N511">
        <f t="shared" si="8"/>
        <v>79.357872395833326</v>
      </c>
      <c r="O511">
        <f>IF(AND(OR(D511="S. acutus",D511="S. californicus",D511="S. tabernaemontani"),G511=0),E511*[1]Sheet1!$D$7+[1]Sheet1!$L$7,IF(AND(OR(D511="S. acutus",D511="S. tabernaemontani"),G511&gt;0),E511*[1]Sheet1!$D$8+N511*[1]Sheet1!$E$8,IF(AND(D511="S. californicus",G511&gt;0),E511*[1]Sheet1!$D$9+N511*[1]Sheet1!$E$9,IF(D511="S. maritimus",F511*[1]Sheet1!$C$10+E511*[1]Sheet1!$D$10+G511*[1]Sheet1!$F$10+[1]Sheet1!$L$10,IF(D511="S. americanus",F511*[1]Sheet1!$C$6+E511*[1]Sheet1!$D$6+[1]Sheet1!$L$6,IF(AND(OR(D511="T. domingensis",D511="T. latifolia"),E511&gt;0),F511*[1]Sheet1!$C$4+E511*[1]Sheet1!$D$4+H511*[1]Sheet1!$J$4+I511*[1]Sheet1!$K$4+[1]Sheet1!$L$4,IF(AND(OR(D511="T. domingensis",D511="T. latifolia"),J511&gt;0),J511*[1]Sheet1!$G$5+K511*[1]Sheet1!$H$5+L511*[1]Sheet1!$I$5+[1]Sheet1!$L$5,0)))))))</f>
        <v>9.0097729999999991</v>
      </c>
    </row>
    <row r="512" spans="1:15">
      <c r="A512" s="6">
        <v>41534</v>
      </c>
      <c r="B512" s="7" t="s">
        <v>32</v>
      </c>
      <c r="C512">
        <v>8</v>
      </c>
      <c r="D512" t="s">
        <v>23</v>
      </c>
      <c r="E512">
        <v>216</v>
      </c>
      <c r="F512">
        <v>2.42</v>
      </c>
      <c r="H512">
        <v>28</v>
      </c>
      <c r="I512">
        <v>2.5</v>
      </c>
      <c r="N512" t="str">
        <f t="shared" si="8"/>
        <v>NA</v>
      </c>
      <c r="O512">
        <f>IF(AND(OR(D512="S. acutus",D512="S. californicus",D512="S. tabernaemontani"),G512=0),E512*[1]Sheet1!$D$7+[1]Sheet1!$L$7,IF(AND(OR(D512="S. acutus",D512="S. tabernaemontani"),G512&gt;0),E512*[1]Sheet1!$D$8+N512*[1]Sheet1!$E$8,IF(AND(D512="S. californicus",G512&gt;0),E512*[1]Sheet1!$D$9+N512*[1]Sheet1!$E$9,IF(D512="S. maritimus",F512*[1]Sheet1!$C$10+E512*[1]Sheet1!$D$10+G512*[1]Sheet1!$F$10+[1]Sheet1!$L$10,IF(D512="S. americanus",F512*[1]Sheet1!$C$6+E512*[1]Sheet1!$D$6+[1]Sheet1!$L$6,IF(AND(OR(D512="T. domingensis",D512="T. latifolia"),E512&gt;0),F512*[1]Sheet1!$C$4+E512*[1]Sheet1!$D$4+H512*[1]Sheet1!$J$4+I512*[1]Sheet1!$K$4+[1]Sheet1!$L$4,IF(AND(OR(D512="T. domingensis",D512="T. latifolia"),J512&gt;0),J512*[1]Sheet1!$G$5+K512*[1]Sheet1!$H$5+L512*[1]Sheet1!$I$5+[1]Sheet1!$L$5,0)))))))</f>
        <v>83.802239939999993</v>
      </c>
    </row>
    <row r="513" spans="1:15">
      <c r="A513" s="6">
        <v>41534</v>
      </c>
      <c r="B513" s="7" t="s">
        <v>32</v>
      </c>
      <c r="C513">
        <v>8</v>
      </c>
      <c r="D513" t="s">
        <v>23</v>
      </c>
      <c r="E513">
        <v>200</v>
      </c>
      <c r="F513">
        <v>2.64</v>
      </c>
      <c r="H513">
        <v>24</v>
      </c>
      <c r="I513">
        <v>2.5</v>
      </c>
      <c r="N513" t="str">
        <f t="shared" si="8"/>
        <v>NA</v>
      </c>
      <c r="O513">
        <f>IF(AND(OR(D513="S. acutus",D513="S. californicus",D513="S. tabernaemontani"),G513=0),E513*[1]Sheet1!$D$7+[1]Sheet1!$L$7,IF(AND(OR(D513="S. acutus",D513="S. tabernaemontani"),G513&gt;0),E513*[1]Sheet1!$D$8+N513*[1]Sheet1!$E$8,IF(AND(D513="S. californicus",G513&gt;0),E513*[1]Sheet1!$D$9+N513*[1]Sheet1!$E$9,IF(D513="S. maritimus",F513*[1]Sheet1!$C$10+E513*[1]Sheet1!$D$10+G513*[1]Sheet1!$F$10+[1]Sheet1!$L$10,IF(D513="S. americanus",F513*[1]Sheet1!$C$6+E513*[1]Sheet1!$D$6+[1]Sheet1!$L$6,IF(AND(OR(D513="T. domingensis",D513="T. latifolia"),E513&gt;0),F513*[1]Sheet1!$C$4+E513*[1]Sheet1!$D$4+H513*[1]Sheet1!$J$4+I513*[1]Sheet1!$K$4+[1]Sheet1!$L$4,IF(AND(OR(D513="T. domingensis",D513="T. latifolia"),J513&gt;0),J513*[1]Sheet1!$G$5+K513*[1]Sheet1!$H$5+L513*[1]Sheet1!$I$5+[1]Sheet1!$L$5,0)))))))</f>
        <v>79.457067679999994</v>
      </c>
    </row>
    <row r="514" spans="1:15">
      <c r="A514" s="6">
        <v>41534</v>
      </c>
      <c r="B514" s="7" t="s">
        <v>32</v>
      </c>
      <c r="C514">
        <v>8</v>
      </c>
      <c r="D514" t="s">
        <v>23</v>
      </c>
      <c r="E514">
        <v>213</v>
      </c>
      <c r="F514">
        <v>3.81</v>
      </c>
      <c r="H514">
        <v>25</v>
      </c>
      <c r="I514">
        <v>2.4</v>
      </c>
      <c r="N514" t="str">
        <f t="shared" si="8"/>
        <v>NA</v>
      </c>
      <c r="O514">
        <f>IF(AND(OR(D514="S. acutus",D514="S. californicus",D514="S. tabernaemontani"),G514=0),E514*[1]Sheet1!$D$7+[1]Sheet1!$L$7,IF(AND(OR(D514="S. acutus",D514="S. tabernaemontani"),G514&gt;0),E514*[1]Sheet1!$D$8+N514*[1]Sheet1!$E$8,IF(AND(D514="S. californicus",G514&gt;0),E514*[1]Sheet1!$D$9+N514*[1]Sheet1!$E$9,IF(D514="S. maritimus",F514*[1]Sheet1!$C$10+E514*[1]Sheet1!$D$10+G514*[1]Sheet1!$F$10+[1]Sheet1!$L$10,IF(D514="S. americanus",F514*[1]Sheet1!$C$6+E514*[1]Sheet1!$D$6+[1]Sheet1!$L$6,IF(AND(OR(D514="T. domingensis",D514="T. latifolia"),E514&gt;0),F514*[1]Sheet1!$C$4+E514*[1]Sheet1!$D$4+H514*[1]Sheet1!$J$4+I514*[1]Sheet1!$K$4+[1]Sheet1!$L$4,IF(AND(OR(D514="T. domingensis",D514="T. latifolia"),J514&gt;0),J514*[1]Sheet1!$G$5+K514*[1]Sheet1!$H$5+L514*[1]Sheet1!$I$5+[1]Sheet1!$L$5,0)))))))</f>
        <v>105.12795356999999</v>
      </c>
    </row>
    <row r="515" spans="1:15">
      <c r="A515" s="6">
        <v>41534</v>
      </c>
      <c r="B515" s="7" t="s">
        <v>32</v>
      </c>
      <c r="C515">
        <v>8</v>
      </c>
      <c r="D515" t="s">
        <v>19</v>
      </c>
      <c r="F515">
        <v>7.8</v>
      </c>
      <c r="J515">
        <f>193+124+131+111+160+173+217+172+232+253</f>
        <v>1766</v>
      </c>
      <c r="K515">
        <v>10</v>
      </c>
      <c r="L515">
        <v>253</v>
      </c>
      <c r="N515" t="str">
        <f t="shared" si="8"/>
        <v>NA</v>
      </c>
      <c r="O515">
        <f>IF(AND(OR(D515="S. acutus",D515="S. californicus",D515="S. tabernaemontani"),G515=0),E515*[1]Sheet1!$D$7+[1]Sheet1!$L$7,IF(AND(OR(D515="S. acutus",D515="S. tabernaemontani"),G515&gt;0),E515*[1]Sheet1!$D$8+N515*[1]Sheet1!$E$8,IF(AND(D515="S. californicus",G515&gt;0),E515*[1]Sheet1!$D$9+N515*[1]Sheet1!$E$9,IF(D515="S. maritimus",F515*[1]Sheet1!$C$10+E515*[1]Sheet1!$D$10+G515*[1]Sheet1!$F$10+[1]Sheet1!$L$10,IF(D515="S. americanus",F515*[1]Sheet1!$C$6+E515*[1]Sheet1!$D$6+[1]Sheet1!$L$6,IF(AND(OR(D515="T. domingensis",D515="T. latifolia"),E515&gt;0),F515*[1]Sheet1!$C$4+E515*[1]Sheet1!$D$4+H515*[1]Sheet1!$J$4+I515*[1]Sheet1!$K$4+[1]Sheet1!$L$4,IF(AND(OR(D515="T. domingensis",D515="T. latifolia"),J515&gt;0),J515*[1]Sheet1!$G$5+K515*[1]Sheet1!$H$5+L515*[1]Sheet1!$I$5+[1]Sheet1!$L$5,0)))))))</f>
        <v>52.169799000000019</v>
      </c>
    </row>
    <row r="516" spans="1:15">
      <c r="A516" s="6">
        <v>41534</v>
      </c>
      <c r="B516" s="7" t="s">
        <v>32</v>
      </c>
      <c r="C516">
        <v>8</v>
      </c>
      <c r="D516" t="s">
        <v>19</v>
      </c>
      <c r="F516">
        <v>5.3</v>
      </c>
      <c r="J516">
        <f>79+129+132+118+53+159+163+164+168</f>
        <v>1165</v>
      </c>
      <c r="K516">
        <v>9</v>
      </c>
      <c r="L516">
        <v>168</v>
      </c>
      <c r="N516" t="str">
        <f t="shared" si="8"/>
        <v>NA</v>
      </c>
      <c r="O516">
        <f>IF(AND(OR(D516="S. acutus",D516="S. californicus",D516="S. tabernaemontani"),G516=0),E516*[1]Sheet1!$D$7+[1]Sheet1!$L$7,IF(AND(OR(D516="S. acutus",D516="S. tabernaemontani"),G516&gt;0),E516*[1]Sheet1!$D$8+N516*[1]Sheet1!$E$8,IF(AND(D516="S. californicus",G516&gt;0),E516*[1]Sheet1!$D$9+N516*[1]Sheet1!$E$9,IF(D516="S. maritimus",F516*[1]Sheet1!$C$10+E516*[1]Sheet1!$D$10+G516*[1]Sheet1!$F$10+[1]Sheet1!$L$10,IF(D516="S. americanus",F516*[1]Sheet1!$C$6+E516*[1]Sheet1!$D$6+[1]Sheet1!$L$6,IF(AND(OR(D516="T. domingensis",D516="T. latifolia"),E516&gt;0),F516*[1]Sheet1!$C$4+E516*[1]Sheet1!$D$4+H516*[1]Sheet1!$J$4+I516*[1]Sheet1!$K$4+[1]Sheet1!$L$4,IF(AND(OR(D516="T. domingensis",D516="T. latifolia"),J516&gt;0),J516*[1]Sheet1!$G$5+K516*[1]Sheet1!$H$5+L516*[1]Sheet1!$I$5+[1]Sheet1!$L$5,0)))))))</f>
        <v>28.451222000000001</v>
      </c>
    </row>
    <row r="517" spans="1:15">
      <c r="A517" s="6">
        <v>41534</v>
      </c>
      <c r="B517" s="7" t="s">
        <v>32</v>
      </c>
      <c r="C517">
        <v>23</v>
      </c>
      <c r="D517" t="s">
        <v>23</v>
      </c>
      <c r="F517">
        <v>1.1200000000000001</v>
      </c>
      <c r="J517">
        <f>33+50+58</f>
        <v>141</v>
      </c>
      <c r="K517">
        <v>3</v>
      </c>
      <c r="L517">
        <v>58</v>
      </c>
      <c r="N517" t="str">
        <f t="shared" ref="N517:N576" si="9">IF(OR(D517="S. acutus", D517="S. tabernaemontani", D517="S. californicus"),(1/3)*(3.14159)*((F517/2)^2)*E517,"NA")</f>
        <v>NA</v>
      </c>
      <c r="O517">
        <f>IF(AND(OR(D517="S. acutus",D517="S. californicus",D517="S. tabernaemontani"),G517=0),E517*[1]Sheet1!$D$7+[1]Sheet1!$L$7,IF(AND(OR(D517="S. acutus",D517="S. tabernaemontani"),G517&gt;0),E517*[1]Sheet1!$D$8+N517*[1]Sheet1!$E$8,IF(AND(D517="S. californicus",G517&gt;0),E517*[1]Sheet1!$D$9+N517*[1]Sheet1!$E$9,IF(D517="S. maritimus",F517*[1]Sheet1!$C$10+E517*[1]Sheet1!$D$10+G517*[1]Sheet1!$F$10+[1]Sheet1!$L$10,IF(D517="S. americanus",F517*[1]Sheet1!$C$6+E517*[1]Sheet1!$D$6+[1]Sheet1!$L$6,IF(AND(OR(D517="T. domingensis",D517="T. latifolia"),E517&gt;0),F517*[1]Sheet1!$C$4+E517*[1]Sheet1!$D$4+H517*[1]Sheet1!$J$4+I517*[1]Sheet1!$K$4+[1]Sheet1!$L$4,IF(AND(OR(D517="T. domingensis",D517="T. latifolia"),J517&gt;0),J517*[1]Sheet1!$G$5+K517*[1]Sheet1!$H$5+L517*[1]Sheet1!$I$5+[1]Sheet1!$L$5,0)))))))</f>
        <v>7.7171699999999959</v>
      </c>
    </row>
    <row r="518" spans="1:15">
      <c r="A518" s="6">
        <v>41534</v>
      </c>
      <c r="B518" s="7" t="s">
        <v>32</v>
      </c>
      <c r="C518">
        <v>23</v>
      </c>
      <c r="D518" t="s">
        <v>19</v>
      </c>
      <c r="F518">
        <v>11.35</v>
      </c>
      <c r="J518">
        <f>271+297+313+276+326+337+56+173+196+231+123+181+190+241+282+322</f>
        <v>3815</v>
      </c>
      <c r="K518">
        <v>16</v>
      </c>
      <c r="L518">
        <v>337</v>
      </c>
      <c r="N518" t="str">
        <f t="shared" si="9"/>
        <v>NA</v>
      </c>
      <c r="O518">
        <f>IF(AND(OR(D518="S. acutus",D518="S. californicus",D518="S. tabernaemontani"),G518=0),E518*[1]Sheet1!$D$7+[1]Sheet1!$L$7,IF(AND(OR(D518="S. acutus",D518="S. tabernaemontani"),G518&gt;0),E518*[1]Sheet1!$D$8+N518*[1]Sheet1!$E$8,IF(AND(D518="S. californicus",G518&gt;0),E518*[1]Sheet1!$D$9+N518*[1]Sheet1!$E$9,IF(D518="S. maritimus",F518*[1]Sheet1!$C$10+E518*[1]Sheet1!$D$10+G518*[1]Sheet1!$F$10+[1]Sheet1!$L$10,IF(D518="S. americanus",F518*[1]Sheet1!$C$6+E518*[1]Sheet1!$D$6+[1]Sheet1!$L$6,IF(AND(OR(D518="T. domingensis",D518="T. latifolia"),E518&gt;0),F518*[1]Sheet1!$C$4+E518*[1]Sheet1!$D$4+H518*[1]Sheet1!$J$4+I518*[1]Sheet1!$K$4+[1]Sheet1!$L$4,IF(AND(OR(D518="T. domingensis",D518="T. latifolia"),J518&gt;0),J518*[1]Sheet1!$G$5+K518*[1]Sheet1!$H$5+L518*[1]Sheet1!$I$5+[1]Sheet1!$L$5,0)))))))</f>
        <v>176.83509600000005</v>
      </c>
    </row>
    <row r="519" spans="1:15">
      <c r="A519" s="6">
        <v>41534</v>
      </c>
      <c r="B519" s="7" t="s">
        <v>32</v>
      </c>
      <c r="C519">
        <v>23</v>
      </c>
      <c r="D519" t="s">
        <v>19</v>
      </c>
      <c r="F519">
        <v>9.8699999999999992</v>
      </c>
      <c r="J519">
        <f>179+194+184+178+209+277+287+282+293+305</f>
        <v>2388</v>
      </c>
      <c r="K519">
        <v>10</v>
      </c>
      <c r="L519">
        <v>305</v>
      </c>
      <c r="N519" t="str">
        <f t="shared" si="9"/>
        <v>NA</v>
      </c>
      <c r="O519">
        <f>IF(AND(OR(D519="S. acutus",D519="S. californicus",D519="S. tabernaemontani"),G519=0),E519*[1]Sheet1!$D$7+[1]Sheet1!$L$7,IF(AND(OR(D519="S. acutus",D519="S. tabernaemontani"),G519&gt;0),E519*[1]Sheet1!$D$8+N519*[1]Sheet1!$E$8,IF(AND(D519="S. californicus",G519&gt;0),E519*[1]Sheet1!$D$9+N519*[1]Sheet1!$E$9,IF(D519="S. maritimus",F519*[1]Sheet1!$C$10+E519*[1]Sheet1!$D$10+G519*[1]Sheet1!$F$10+[1]Sheet1!$L$10,IF(D519="S. americanus",F519*[1]Sheet1!$C$6+E519*[1]Sheet1!$D$6+[1]Sheet1!$L$6,IF(AND(OR(D519="T. domingensis",D519="T. latifolia"),E519&gt;0),F519*[1]Sheet1!$C$4+E519*[1]Sheet1!$D$4+H519*[1]Sheet1!$J$4+I519*[1]Sheet1!$K$4+[1]Sheet1!$L$4,IF(AND(OR(D519="T. domingensis",D519="T. latifolia"),J519&gt;0),J519*[1]Sheet1!$G$5+K519*[1]Sheet1!$H$5+L519*[1]Sheet1!$I$5+[1]Sheet1!$L$5,0)))))))</f>
        <v>94.820669000000009</v>
      </c>
    </row>
    <row r="520" spans="1:15">
      <c r="A520" s="6">
        <v>41534</v>
      </c>
      <c r="B520" s="7" t="s">
        <v>32</v>
      </c>
      <c r="C520">
        <v>23</v>
      </c>
      <c r="D520" t="s">
        <v>19</v>
      </c>
      <c r="F520">
        <v>0.34</v>
      </c>
      <c r="J520">
        <f>10+21+26+11</f>
        <v>68</v>
      </c>
      <c r="K520">
        <v>4</v>
      </c>
      <c r="L520">
        <v>26</v>
      </c>
      <c r="N520" t="str">
        <f t="shared" si="9"/>
        <v>NA</v>
      </c>
      <c r="O520">
        <f>IF(AND(OR(D520="S. acutus",D520="S. californicus",D520="S. tabernaemontani"),G520=0),E520*[1]Sheet1!$D$7+[1]Sheet1!$L$7,IF(AND(OR(D520="S. acutus",D520="S. tabernaemontani"),G520&gt;0),E520*[1]Sheet1!$D$8+N520*[1]Sheet1!$E$8,IF(AND(D520="S. californicus",G520&gt;0),E520*[1]Sheet1!$D$9+N520*[1]Sheet1!$E$9,IF(D520="S. maritimus",F520*[1]Sheet1!$C$10+E520*[1]Sheet1!$D$10+G520*[1]Sheet1!$F$10+[1]Sheet1!$L$10,IF(D520="S. americanus",F520*[1]Sheet1!$C$6+E520*[1]Sheet1!$D$6+[1]Sheet1!$L$6,IF(AND(OR(D520="T. domingensis",D520="T. latifolia"),E520&gt;0),F520*[1]Sheet1!$C$4+E520*[1]Sheet1!$D$4+H520*[1]Sheet1!$J$4+I520*[1]Sheet1!$K$4+[1]Sheet1!$L$4,IF(AND(OR(D520="T. domingensis",D520="T. latifolia"),J520&gt;0),J520*[1]Sheet1!$G$5+K520*[1]Sheet1!$H$5+L520*[1]Sheet1!$I$5+[1]Sheet1!$L$5,0)))))))</f>
        <v>3.4905419999999978</v>
      </c>
    </row>
    <row r="521" spans="1:15">
      <c r="A521" s="6">
        <v>41534</v>
      </c>
      <c r="B521" s="7" t="s">
        <v>32</v>
      </c>
      <c r="C521">
        <v>23</v>
      </c>
      <c r="D521" t="s">
        <v>19</v>
      </c>
      <c r="F521">
        <v>1.64</v>
      </c>
      <c r="J521">
        <f>42+41+83+84+74+84+105</f>
        <v>513</v>
      </c>
      <c r="K521">
        <v>7</v>
      </c>
      <c r="L521">
        <v>105</v>
      </c>
      <c r="N521" t="str">
        <f t="shared" si="9"/>
        <v>NA</v>
      </c>
      <c r="O521">
        <f>IF(AND(OR(D521="S. acutus",D521="S. californicus",D521="S. tabernaemontani"),G521=0),E521*[1]Sheet1!$D$7+[1]Sheet1!$L$7,IF(AND(OR(D521="S. acutus",D521="S. tabernaemontani"),G521&gt;0),E521*[1]Sheet1!$D$8+N521*[1]Sheet1!$E$8,IF(AND(D521="S. californicus",G521&gt;0),E521*[1]Sheet1!$D$9+N521*[1]Sheet1!$E$9,IF(D521="S. maritimus",F521*[1]Sheet1!$C$10+E521*[1]Sheet1!$D$10+G521*[1]Sheet1!$F$10+[1]Sheet1!$L$10,IF(D521="S. americanus",F521*[1]Sheet1!$C$6+E521*[1]Sheet1!$D$6+[1]Sheet1!$L$6,IF(AND(OR(D521="T. domingensis",D521="T. latifolia"),E521&gt;0),F521*[1]Sheet1!$C$4+E521*[1]Sheet1!$D$4+H521*[1]Sheet1!$J$4+I521*[1]Sheet1!$K$4+[1]Sheet1!$L$4,IF(AND(OR(D521="T. domingensis",D521="T. latifolia"),J521&gt;0),J521*[1]Sheet1!$G$5+K521*[1]Sheet1!$H$5+L521*[1]Sheet1!$I$5+[1]Sheet1!$L$5,0)))))))</f>
        <v>0.34610300000000649</v>
      </c>
    </row>
    <row r="522" spans="1:15">
      <c r="A522" s="6">
        <v>41534</v>
      </c>
      <c r="B522" s="7" t="s">
        <v>32</v>
      </c>
      <c r="C522">
        <v>23</v>
      </c>
      <c r="D522" t="s">
        <v>19</v>
      </c>
      <c r="F522">
        <v>2.0099999999999998</v>
      </c>
      <c r="J522">
        <f>19+47+53+74+81</f>
        <v>274</v>
      </c>
      <c r="K522">
        <v>5</v>
      </c>
      <c r="L522">
        <v>81</v>
      </c>
      <c r="N522" t="str">
        <f t="shared" si="9"/>
        <v>NA</v>
      </c>
      <c r="O522">
        <f>IF(AND(OR(D522="S. acutus",D522="S. californicus",D522="S. tabernaemontani"),G522=0),E522*[1]Sheet1!$D$7+[1]Sheet1!$L$7,IF(AND(OR(D522="S. acutus",D522="S. tabernaemontani"),G522&gt;0),E522*[1]Sheet1!$D$8+N522*[1]Sheet1!$E$8,IF(AND(D522="S. californicus",G522&gt;0),E522*[1]Sheet1!$D$9+N522*[1]Sheet1!$E$9,IF(D522="S. maritimus",F522*[1]Sheet1!$C$10+E522*[1]Sheet1!$D$10+G522*[1]Sheet1!$F$10+[1]Sheet1!$L$10,IF(D522="S. americanus",F522*[1]Sheet1!$C$6+E522*[1]Sheet1!$D$6+[1]Sheet1!$L$6,IF(AND(OR(D522="T. domingensis",D522="T. latifolia"),E522&gt;0),F522*[1]Sheet1!$C$4+E522*[1]Sheet1!$D$4+H522*[1]Sheet1!$J$4+I522*[1]Sheet1!$K$4+[1]Sheet1!$L$4,IF(AND(OR(D522="T. domingensis",D522="T. latifolia"),J522&gt;0),J522*[1]Sheet1!$G$5+K522*[1]Sheet1!$H$5+L522*[1]Sheet1!$I$5+[1]Sheet1!$L$5,0)))))))</f>
        <v>-0.78675600000000401</v>
      </c>
    </row>
    <row r="523" spans="1:15">
      <c r="A523" s="6">
        <v>41534</v>
      </c>
      <c r="B523" s="7" t="s">
        <v>32</v>
      </c>
      <c r="C523">
        <v>23</v>
      </c>
      <c r="D523" t="s">
        <v>19</v>
      </c>
      <c r="F523">
        <v>9.81</v>
      </c>
      <c r="J523">
        <f>119+199+202+220+246+241+281+293+304+311</f>
        <v>2416</v>
      </c>
      <c r="K523">
        <v>10</v>
      </c>
      <c r="L523">
        <v>311</v>
      </c>
      <c r="N523" t="str">
        <f t="shared" si="9"/>
        <v>NA</v>
      </c>
      <c r="O523">
        <f>IF(AND(OR(D523="S. acutus",D523="S. californicus",D523="S. tabernaemontani"),G523=0),E523*[1]Sheet1!$D$7+[1]Sheet1!$L$7,IF(AND(OR(D523="S. acutus",D523="S. tabernaemontani"),G523&gt;0),E523*[1]Sheet1!$D$8+N523*[1]Sheet1!$E$8,IF(AND(D523="S. californicus",G523&gt;0),E523*[1]Sheet1!$D$9+N523*[1]Sheet1!$E$9,IF(D523="S. maritimus",F523*[1]Sheet1!$C$10+E523*[1]Sheet1!$D$10+G523*[1]Sheet1!$F$10+[1]Sheet1!$L$10,IF(D523="S. americanus",F523*[1]Sheet1!$C$6+E523*[1]Sheet1!$D$6+[1]Sheet1!$L$6,IF(AND(OR(D523="T. domingensis",D523="T. latifolia"),E523&gt;0),F523*[1]Sheet1!$C$4+E523*[1]Sheet1!$D$4+H523*[1]Sheet1!$J$4+I523*[1]Sheet1!$K$4+[1]Sheet1!$L$4,IF(AND(OR(D523="T. domingensis",D523="T. latifolia"),J523&gt;0),J523*[1]Sheet1!$G$5+K523*[1]Sheet1!$H$5+L523*[1]Sheet1!$I$5+[1]Sheet1!$L$5,0)))))))</f>
        <v>95.638339000000059</v>
      </c>
    </row>
    <row r="524" spans="1:15">
      <c r="A524" s="6">
        <v>41534</v>
      </c>
      <c r="B524" s="7" t="s">
        <v>32</v>
      </c>
      <c r="C524">
        <v>30</v>
      </c>
      <c r="D524" t="s">
        <v>29</v>
      </c>
      <c r="E524">
        <v>136</v>
      </c>
      <c r="F524">
        <v>0.66</v>
      </c>
      <c r="N524" t="str">
        <f t="shared" si="9"/>
        <v>NA</v>
      </c>
      <c r="O524">
        <f>IF(AND(OR(D524="S. acutus",D524="S. californicus",D524="S. tabernaemontani"),G524=0),E524*[1]Sheet1!$D$7+[1]Sheet1!$L$7,IF(AND(OR(D524="S. acutus",D524="S. tabernaemontani"),G524&gt;0),E524*[1]Sheet1!$D$8+N524*[1]Sheet1!$E$8,IF(AND(D524="S. californicus",G524&gt;0),E524*[1]Sheet1!$D$9+N524*[1]Sheet1!$E$9,IF(D524="S. maritimus",F524*[1]Sheet1!$C$10+E524*[1]Sheet1!$D$10+G524*[1]Sheet1!$F$10+[1]Sheet1!$L$10,IF(D524="S. americanus",F524*[1]Sheet1!$C$6+E524*[1]Sheet1!$D$6+[1]Sheet1!$L$6,IF(AND(OR(D524="T. domingensis",D524="T. latifolia"),E524&gt;0),F524*[1]Sheet1!$C$4+E524*[1]Sheet1!$D$4+H524*[1]Sheet1!$J$4+I524*[1]Sheet1!$K$4+[1]Sheet1!$L$4,IF(AND(OR(D524="T. domingensis",D524="T. latifolia"),J524&gt;0),J524*[1]Sheet1!$G$5+K524*[1]Sheet1!$H$5+L524*[1]Sheet1!$I$5+[1]Sheet1!$L$5,0)))))))</f>
        <v>2.1792910739999996</v>
      </c>
    </row>
    <row r="525" spans="1:15">
      <c r="A525" s="6">
        <v>41534</v>
      </c>
      <c r="B525" s="7" t="s">
        <v>32</v>
      </c>
      <c r="C525">
        <v>30</v>
      </c>
      <c r="D525" t="s">
        <v>29</v>
      </c>
      <c r="E525">
        <v>288</v>
      </c>
      <c r="F525">
        <v>0.69</v>
      </c>
      <c r="N525" t="str">
        <f t="shared" si="9"/>
        <v>NA</v>
      </c>
      <c r="O525">
        <f>IF(AND(OR(D525="S. acutus",D525="S. californicus",D525="S. tabernaemontani"),G525=0),E525*[1]Sheet1!$D$7+[1]Sheet1!$L$7,IF(AND(OR(D525="S. acutus",D525="S. tabernaemontani"),G525&gt;0),E525*[1]Sheet1!$D$8+N525*[1]Sheet1!$E$8,IF(AND(D525="S. californicus",G525&gt;0),E525*[1]Sheet1!$D$9+N525*[1]Sheet1!$E$9,IF(D525="S. maritimus",F525*[1]Sheet1!$C$10+E525*[1]Sheet1!$D$10+G525*[1]Sheet1!$F$10+[1]Sheet1!$L$10,IF(D525="S. americanus",F525*[1]Sheet1!$C$6+E525*[1]Sheet1!$D$6+[1]Sheet1!$L$6,IF(AND(OR(D525="T. domingensis",D525="T. latifolia"),E525&gt;0),F525*[1]Sheet1!$C$4+E525*[1]Sheet1!$D$4+H525*[1]Sheet1!$J$4+I525*[1]Sheet1!$K$4+[1]Sheet1!$L$4,IF(AND(OR(D525="T. domingensis",D525="T. latifolia"),J525&gt;0),J525*[1]Sheet1!$G$5+K525*[1]Sheet1!$H$5+L525*[1]Sheet1!$I$5+[1]Sheet1!$L$5,0)))))))</f>
        <v>4.6693327409999981</v>
      </c>
    </row>
    <row r="526" spans="1:15">
      <c r="A526" s="6">
        <v>41534</v>
      </c>
      <c r="B526" s="7" t="s">
        <v>32</v>
      </c>
      <c r="C526">
        <v>30</v>
      </c>
      <c r="D526" t="s">
        <v>29</v>
      </c>
      <c r="E526">
        <v>243</v>
      </c>
      <c r="F526">
        <v>0.57999999999999996</v>
      </c>
      <c r="N526" t="str">
        <f t="shared" si="9"/>
        <v>NA</v>
      </c>
      <c r="O526">
        <f>IF(AND(OR(D526="S. acutus",D526="S. californicus",D526="S. tabernaemontani"),G526=0),E526*[1]Sheet1!$D$7+[1]Sheet1!$L$7,IF(AND(OR(D526="S. acutus",D526="S. tabernaemontani"),G526&gt;0),E526*[1]Sheet1!$D$8+N526*[1]Sheet1!$E$8,IF(AND(D526="S. californicus",G526&gt;0),E526*[1]Sheet1!$D$9+N526*[1]Sheet1!$E$9,IF(D526="S. maritimus",F526*[1]Sheet1!$C$10+E526*[1]Sheet1!$D$10+G526*[1]Sheet1!$F$10+[1]Sheet1!$L$10,IF(D526="S. americanus",F526*[1]Sheet1!$C$6+E526*[1]Sheet1!$D$6+[1]Sheet1!$L$6,IF(AND(OR(D526="T. domingensis",D526="T. latifolia"),E526&gt;0),F526*[1]Sheet1!$C$4+E526*[1]Sheet1!$D$4+H526*[1]Sheet1!$J$4+I526*[1]Sheet1!$K$4+[1]Sheet1!$L$4,IF(AND(OR(D526="T. domingensis",D526="T. latifolia"),J526&gt;0),J526*[1]Sheet1!$G$5+K526*[1]Sheet1!$H$5+L526*[1]Sheet1!$I$5+[1]Sheet1!$L$5,0)))))))</f>
        <v>3.5729252619999996</v>
      </c>
    </row>
    <row r="527" spans="1:15">
      <c r="A527" s="6">
        <v>41534</v>
      </c>
      <c r="B527" s="7" t="s">
        <v>32</v>
      </c>
      <c r="C527">
        <v>30</v>
      </c>
      <c r="D527" t="s">
        <v>29</v>
      </c>
      <c r="E527">
        <v>259</v>
      </c>
      <c r="F527">
        <v>0.61</v>
      </c>
      <c r="N527" t="str">
        <f t="shared" si="9"/>
        <v>NA</v>
      </c>
      <c r="O527">
        <f>IF(AND(OR(D527="S. acutus",D527="S. californicus",D527="S. tabernaemontani"),G527=0),E527*[1]Sheet1!$D$7+[1]Sheet1!$L$7,IF(AND(OR(D527="S. acutus",D527="S. tabernaemontani"),G527&gt;0),E527*[1]Sheet1!$D$8+N527*[1]Sheet1!$E$8,IF(AND(D527="S. californicus",G527&gt;0),E527*[1]Sheet1!$D$9+N527*[1]Sheet1!$E$9,IF(D527="S. maritimus",F527*[1]Sheet1!$C$10+E527*[1]Sheet1!$D$10+G527*[1]Sheet1!$F$10+[1]Sheet1!$L$10,IF(D527="S. americanus",F527*[1]Sheet1!$C$6+E527*[1]Sheet1!$D$6+[1]Sheet1!$L$6,IF(AND(OR(D527="T. domingensis",D527="T. latifolia"),E527&gt;0),F527*[1]Sheet1!$C$4+E527*[1]Sheet1!$D$4+H527*[1]Sheet1!$J$4+I527*[1]Sheet1!$K$4+[1]Sheet1!$L$4,IF(AND(OR(D527="T. domingensis",D527="T. latifolia"),J527&gt;0),J527*[1]Sheet1!$G$5+K527*[1]Sheet1!$H$5+L527*[1]Sheet1!$I$5+[1]Sheet1!$L$5,0)))))))</f>
        <v>3.9303917289999988</v>
      </c>
    </row>
    <row r="528" spans="1:15">
      <c r="A528" s="6">
        <v>41534</v>
      </c>
      <c r="B528" s="7" t="s">
        <v>32</v>
      </c>
      <c r="C528">
        <v>30</v>
      </c>
      <c r="D528" t="s">
        <v>29</v>
      </c>
      <c r="E528">
        <v>258</v>
      </c>
      <c r="F528">
        <v>0.62</v>
      </c>
      <c r="N528" t="str">
        <f t="shared" si="9"/>
        <v>NA</v>
      </c>
      <c r="O528">
        <f>IF(AND(OR(D528="S. acutus",D528="S. californicus",D528="S. tabernaemontani"),G528=0),E528*[1]Sheet1!$D$7+[1]Sheet1!$L$7,IF(AND(OR(D528="S. acutus",D528="S. tabernaemontani"),G528&gt;0),E528*[1]Sheet1!$D$8+N528*[1]Sheet1!$E$8,IF(AND(D528="S. californicus",G528&gt;0),E528*[1]Sheet1!$D$9+N528*[1]Sheet1!$E$9,IF(D528="S. maritimus",F528*[1]Sheet1!$C$10+E528*[1]Sheet1!$D$10+G528*[1]Sheet1!$F$10+[1]Sheet1!$L$10,IF(D528="S. americanus",F528*[1]Sheet1!$C$6+E528*[1]Sheet1!$D$6+[1]Sheet1!$L$6,IF(AND(OR(D528="T. domingensis",D528="T. latifolia"),E528&gt;0),F528*[1]Sheet1!$C$4+E528*[1]Sheet1!$D$4+H528*[1]Sheet1!$J$4+I528*[1]Sheet1!$K$4+[1]Sheet1!$L$4,IF(AND(OR(D528="T. domingensis",D528="T. latifolia"),J528&gt;0),J528*[1]Sheet1!$G$5+K528*[1]Sheet1!$H$5+L528*[1]Sheet1!$I$5+[1]Sheet1!$L$5,0)))))))</f>
        <v>3.9502361179999999</v>
      </c>
    </row>
    <row r="529" spans="1:15">
      <c r="A529" s="6">
        <v>41534</v>
      </c>
      <c r="B529" s="7" t="s">
        <v>32</v>
      </c>
      <c r="C529">
        <v>30</v>
      </c>
      <c r="D529" t="s">
        <v>29</v>
      </c>
      <c r="E529">
        <v>222</v>
      </c>
      <c r="F529">
        <v>0.68</v>
      </c>
      <c r="N529" t="str">
        <f t="shared" si="9"/>
        <v>NA</v>
      </c>
      <c r="O529">
        <f>IF(AND(OR(D529="S. acutus",D529="S. californicus",D529="S. tabernaemontani"),G529=0),E529*[1]Sheet1!$D$7+[1]Sheet1!$L$7,IF(AND(OR(D529="S. acutus",D529="S. tabernaemontani"),G529&gt;0),E529*[1]Sheet1!$D$8+N529*[1]Sheet1!$E$8,IF(AND(D529="S. californicus",G529&gt;0),E529*[1]Sheet1!$D$9+N529*[1]Sheet1!$E$9,IF(D529="S. maritimus",F529*[1]Sheet1!$C$10+E529*[1]Sheet1!$D$10+G529*[1]Sheet1!$F$10+[1]Sheet1!$L$10,IF(D529="S. americanus",F529*[1]Sheet1!$C$6+E529*[1]Sheet1!$D$6+[1]Sheet1!$L$6,IF(AND(OR(D529="T. domingensis",D529="T. latifolia"),E529&gt;0),F529*[1]Sheet1!$C$4+E529*[1]Sheet1!$D$4+H529*[1]Sheet1!$J$4+I529*[1]Sheet1!$K$4+[1]Sheet1!$L$4,IF(AND(OR(D529="T. domingensis",D529="T. latifolia"),J529&gt;0),J529*[1]Sheet1!$G$5+K529*[1]Sheet1!$H$5+L529*[1]Sheet1!$I$5+[1]Sheet1!$L$5,0)))))))</f>
        <v>3.5988814519999992</v>
      </c>
    </row>
    <row r="530" spans="1:15">
      <c r="A530" s="6">
        <v>41534</v>
      </c>
      <c r="B530" s="7" t="s">
        <v>32</v>
      </c>
      <c r="C530">
        <v>30</v>
      </c>
      <c r="D530" t="s">
        <v>29</v>
      </c>
      <c r="E530">
        <v>118</v>
      </c>
      <c r="F530">
        <v>0.76</v>
      </c>
      <c r="N530" t="str">
        <f t="shared" si="9"/>
        <v>NA</v>
      </c>
      <c r="O530">
        <f>IF(AND(OR(D530="S. acutus",D530="S. californicus",D530="S. tabernaemontani"),G530=0),E530*[1]Sheet1!$D$7+[1]Sheet1!$L$7,IF(AND(OR(D530="S. acutus",D530="S. tabernaemontani"),G530&gt;0),E530*[1]Sheet1!$D$8+N530*[1]Sheet1!$E$8,IF(AND(D530="S. californicus",G530&gt;0),E530*[1]Sheet1!$D$9+N530*[1]Sheet1!$E$9,IF(D530="S. maritimus",F530*[1]Sheet1!$C$10+E530*[1]Sheet1!$D$10+G530*[1]Sheet1!$F$10+[1]Sheet1!$L$10,IF(D530="S. americanus",F530*[1]Sheet1!$C$6+E530*[1]Sheet1!$D$6+[1]Sheet1!$L$6,IF(AND(OR(D530="T. domingensis",D530="T. latifolia"),E530&gt;0),F530*[1]Sheet1!$C$4+E530*[1]Sheet1!$D$4+H530*[1]Sheet1!$J$4+I530*[1]Sheet1!$K$4+[1]Sheet1!$L$4,IF(AND(OR(D530="T. domingensis",D530="T. latifolia"),J530&gt;0),J530*[1]Sheet1!$G$5+K530*[1]Sheet1!$H$5+L530*[1]Sheet1!$I$5+[1]Sheet1!$L$5,0)))))))</f>
        <v>2.2522893639999997</v>
      </c>
    </row>
    <row r="531" spans="1:15">
      <c r="A531" s="6">
        <v>41534</v>
      </c>
      <c r="B531" s="7" t="s">
        <v>32</v>
      </c>
      <c r="C531">
        <v>30</v>
      </c>
      <c r="D531" t="s">
        <v>29</v>
      </c>
      <c r="E531">
        <v>212</v>
      </c>
      <c r="F531">
        <v>0.57999999999999996</v>
      </c>
      <c r="N531" t="str">
        <f t="shared" si="9"/>
        <v>NA</v>
      </c>
      <c r="O531">
        <f>IF(AND(OR(D531="S. acutus",D531="S. californicus",D531="S. tabernaemontani"),G531=0),E531*[1]Sheet1!$D$7+[1]Sheet1!$L$7,IF(AND(OR(D531="S. acutus",D531="S. tabernaemontani"),G531&gt;0),E531*[1]Sheet1!$D$8+N531*[1]Sheet1!$E$8,IF(AND(D531="S. californicus",G531&gt;0),E531*[1]Sheet1!$D$9+N531*[1]Sheet1!$E$9,IF(D531="S. maritimus",F531*[1]Sheet1!$C$10+E531*[1]Sheet1!$D$10+G531*[1]Sheet1!$F$10+[1]Sheet1!$L$10,IF(D531="S. americanus",F531*[1]Sheet1!$C$6+E531*[1]Sheet1!$D$6+[1]Sheet1!$L$6,IF(AND(OR(D531="T. domingensis",D531="T. latifolia"),E531&gt;0),F531*[1]Sheet1!$C$4+E531*[1]Sheet1!$D$4+H531*[1]Sheet1!$J$4+I531*[1]Sheet1!$K$4+[1]Sheet1!$L$4,IF(AND(OR(D531="T. domingensis",D531="T. latifolia"),J531&gt;0),J531*[1]Sheet1!$G$5+K531*[1]Sheet1!$H$5+L531*[1]Sheet1!$I$5+[1]Sheet1!$L$5,0)))))))</f>
        <v>3.0868235619999997</v>
      </c>
    </row>
    <row r="532" spans="1:15">
      <c r="A532" s="6">
        <v>41534</v>
      </c>
      <c r="B532" s="7" t="s">
        <v>32</v>
      </c>
      <c r="C532">
        <v>30</v>
      </c>
      <c r="D532" t="s">
        <v>29</v>
      </c>
      <c r="E532">
        <v>77</v>
      </c>
      <c r="F532">
        <v>0.65</v>
      </c>
      <c r="N532" t="str">
        <f t="shared" si="9"/>
        <v>NA</v>
      </c>
      <c r="O532">
        <f>IF(AND(OR(D532="S. acutus",D532="S. californicus",D532="S. tabernaemontani"),G532=0),E532*[1]Sheet1!$D$7+[1]Sheet1!$L$7,IF(AND(OR(D532="S. acutus",D532="S. tabernaemontani"),G532&gt;0),E532*[1]Sheet1!$D$8+N532*[1]Sheet1!$E$8,IF(AND(D532="S. californicus",G532&gt;0),E532*[1]Sheet1!$D$9+N532*[1]Sheet1!$E$9,IF(D532="S. maritimus",F532*[1]Sheet1!$C$10+E532*[1]Sheet1!$D$10+G532*[1]Sheet1!$F$10+[1]Sheet1!$L$10,IF(D532="S. americanus",F532*[1]Sheet1!$C$6+E532*[1]Sheet1!$D$6+[1]Sheet1!$L$6,IF(AND(OR(D532="T. domingensis",D532="T. latifolia"),E532&gt;0),F532*[1]Sheet1!$C$4+E532*[1]Sheet1!$D$4+H532*[1]Sheet1!$J$4+I532*[1]Sheet1!$K$4+[1]Sheet1!$L$4,IF(AND(OR(D532="T. domingensis",D532="T. latifolia"),J532&gt;0),J532*[1]Sheet1!$G$5+K532*[1]Sheet1!$H$5+L532*[1]Sheet1!$I$5+[1]Sheet1!$L$5,0)))))))</f>
        <v>1.2186046849999994</v>
      </c>
    </row>
    <row r="533" spans="1:15">
      <c r="A533" s="6">
        <v>41534</v>
      </c>
      <c r="B533" s="7" t="s">
        <v>32</v>
      </c>
      <c r="C533">
        <v>30</v>
      </c>
      <c r="D533" t="s">
        <v>29</v>
      </c>
      <c r="E533">
        <v>148</v>
      </c>
      <c r="F533">
        <v>0.67</v>
      </c>
      <c r="N533" t="str">
        <f t="shared" si="9"/>
        <v>NA</v>
      </c>
      <c r="O533">
        <f>IF(AND(OR(D533="S. acutus",D533="S. californicus",D533="S. tabernaemontani"),G533=0),E533*[1]Sheet1!$D$7+[1]Sheet1!$L$7,IF(AND(OR(D533="S. acutus",D533="S. tabernaemontani"),G533&gt;0),E533*[1]Sheet1!$D$8+N533*[1]Sheet1!$E$8,IF(AND(D533="S. californicus",G533&gt;0),E533*[1]Sheet1!$D$9+N533*[1]Sheet1!$E$9,IF(D533="S. maritimus",F533*[1]Sheet1!$C$10+E533*[1]Sheet1!$D$10+G533*[1]Sheet1!$F$10+[1]Sheet1!$L$10,IF(D533="S. americanus",F533*[1]Sheet1!$C$6+E533*[1]Sheet1!$D$6+[1]Sheet1!$L$6,IF(AND(OR(D533="T. domingensis",D533="T. latifolia"),E533&gt;0),F533*[1]Sheet1!$C$4+E533*[1]Sheet1!$D$4+H533*[1]Sheet1!$J$4+I533*[1]Sheet1!$K$4+[1]Sheet1!$L$4,IF(AND(OR(D533="T. domingensis",D533="T. latifolia"),J533&gt;0),J533*[1]Sheet1!$G$5+K533*[1]Sheet1!$H$5+L533*[1]Sheet1!$I$5+[1]Sheet1!$L$5,0)))))))</f>
        <v>2.4029845629999991</v>
      </c>
    </row>
    <row r="534" spans="1:15">
      <c r="A534" s="6">
        <v>41534</v>
      </c>
      <c r="B534" s="7" t="s">
        <v>32</v>
      </c>
      <c r="C534">
        <v>30</v>
      </c>
      <c r="D534" t="s">
        <v>29</v>
      </c>
      <c r="E534">
        <v>265</v>
      </c>
      <c r="F534">
        <v>0.56000000000000005</v>
      </c>
      <c r="N534" t="str">
        <f t="shared" si="9"/>
        <v>NA</v>
      </c>
      <c r="O534">
        <f>IF(AND(OR(D534="S. acutus",D534="S. californicus",D534="S. tabernaemontani"),G534=0),E534*[1]Sheet1!$D$7+[1]Sheet1!$L$7,IF(AND(OR(D534="S. acutus",D534="S. tabernaemontani"),G534&gt;0),E534*[1]Sheet1!$D$8+N534*[1]Sheet1!$E$8,IF(AND(D534="S. californicus",G534&gt;0),E534*[1]Sheet1!$D$9+N534*[1]Sheet1!$E$9,IF(D534="S. maritimus",F534*[1]Sheet1!$C$10+E534*[1]Sheet1!$D$10+G534*[1]Sheet1!$F$10+[1]Sheet1!$L$10,IF(D534="S. americanus",F534*[1]Sheet1!$C$6+E534*[1]Sheet1!$D$6+[1]Sheet1!$L$6,IF(AND(OR(D534="T. domingensis",D534="T. latifolia"),E534&gt;0),F534*[1]Sheet1!$C$4+E534*[1]Sheet1!$D$4+H534*[1]Sheet1!$J$4+I534*[1]Sheet1!$K$4+[1]Sheet1!$L$4,IF(AND(OR(D534="T. domingensis",D534="T. latifolia"),J534&gt;0),J534*[1]Sheet1!$G$5+K534*[1]Sheet1!$H$5+L534*[1]Sheet1!$I$5+[1]Sheet1!$L$5,0)))))))</f>
        <v>3.8468504839999995</v>
      </c>
    </row>
    <row r="535" spans="1:15">
      <c r="A535" s="6">
        <v>41534</v>
      </c>
      <c r="B535" s="7" t="s">
        <v>32</v>
      </c>
      <c r="C535">
        <v>30</v>
      </c>
      <c r="D535" t="s">
        <v>29</v>
      </c>
      <c r="E535">
        <v>280</v>
      </c>
      <c r="F535">
        <v>0.55000000000000004</v>
      </c>
      <c r="N535" t="str">
        <f t="shared" si="9"/>
        <v>NA</v>
      </c>
      <c r="O535">
        <f>IF(AND(OR(D535="S. acutus",D535="S. californicus",D535="S. tabernaemontani"),G535=0),E535*[1]Sheet1!$D$7+[1]Sheet1!$L$7,IF(AND(OR(D535="S. acutus",D535="S. tabernaemontani"),G535&gt;0),E535*[1]Sheet1!$D$8+N535*[1]Sheet1!$E$8,IF(AND(D535="S. californicus",G535&gt;0),E535*[1]Sheet1!$D$9+N535*[1]Sheet1!$E$9,IF(D535="S. maritimus",F535*[1]Sheet1!$C$10+E535*[1]Sheet1!$D$10+G535*[1]Sheet1!$F$10+[1]Sheet1!$L$10,IF(D535="S. americanus",F535*[1]Sheet1!$C$6+E535*[1]Sheet1!$D$6+[1]Sheet1!$L$6,IF(AND(OR(D535="T. domingensis",D535="T. latifolia"),E535&gt;0),F535*[1]Sheet1!$C$4+E535*[1]Sheet1!$D$4+H535*[1]Sheet1!$J$4+I535*[1]Sheet1!$K$4+[1]Sheet1!$L$4,IF(AND(OR(D535="T. domingensis",D535="T. latifolia"),J535&gt;0),J535*[1]Sheet1!$G$5+K535*[1]Sheet1!$H$5+L535*[1]Sheet1!$I$5+[1]Sheet1!$L$5,0)))))))</f>
        <v>4.0465358949999999</v>
      </c>
    </row>
    <row r="536" spans="1:15">
      <c r="A536" s="6">
        <v>41534</v>
      </c>
      <c r="B536" s="7" t="s">
        <v>32</v>
      </c>
      <c r="C536">
        <v>30</v>
      </c>
      <c r="D536" t="s">
        <v>29</v>
      </c>
      <c r="E536">
        <v>178</v>
      </c>
      <c r="F536">
        <v>0.44</v>
      </c>
      <c r="N536" t="str">
        <f t="shared" si="9"/>
        <v>NA</v>
      </c>
      <c r="O536">
        <f>IF(AND(OR(D536="S. acutus",D536="S. californicus",D536="S. tabernaemontani"),G536=0),E536*[1]Sheet1!$D$7+[1]Sheet1!$L$7,IF(AND(OR(D536="S. acutus",D536="S. tabernaemontani"),G536&gt;0),E536*[1]Sheet1!$D$8+N536*[1]Sheet1!$E$8,IF(AND(D536="S. californicus",G536&gt;0),E536*[1]Sheet1!$D$9+N536*[1]Sheet1!$E$9,IF(D536="S. maritimus",F536*[1]Sheet1!$C$10+E536*[1]Sheet1!$D$10+G536*[1]Sheet1!$F$10+[1]Sheet1!$L$10,IF(D536="S. americanus",F536*[1]Sheet1!$C$6+E536*[1]Sheet1!$D$6+[1]Sheet1!$L$6,IF(AND(OR(D536="T. domingensis",D536="T. latifolia"),E536&gt;0),F536*[1]Sheet1!$C$4+E536*[1]Sheet1!$D$4+H536*[1]Sheet1!$J$4+I536*[1]Sheet1!$K$4+[1]Sheet1!$L$4,IF(AND(OR(D536="T. domingensis",D536="T. latifolia"),J536&gt;0),J536*[1]Sheet1!$G$5+K536*[1]Sheet1!$H$5+L536*[1]Sheet1!$I$5+[1]Sheet1!$L$5,0)))))))</f>
        <v>2.0563285159999993</v>
      </c>
    </row>
    <row r="537" spans="1:15">
      <c r="A537" s="6">
        <v>41534</v>
      </c>
      <c r="B537" s="7" t="s">
        <v>32</v>
      </c>
      <c r="C537">
        <v>30</v>
      </c>
      <c r="D537" t="s">
        <v>29</v>
      </c>
      <c r="E537">
        <v>231</v>
      </c>
      <c r="F537">
        <v>0.65</v>
      </c>
      <c r="N537" t="str">
        <f t="shared" si="9"/>
        <v>NA</v>
      </c>
      <c r="O537">
        <f>IF(AND(OR(D537="S. acutus",D537="S. californicus",D537="S. tabernaemontani"),G537=0),E537*[1]Sheet1!$D$7+[1]Sheet1!$L$7,IF(AND(OR(D537="S. acutus",D537="S. tabernaemontani"),G537&gt;0),E537*[1]Sheet1!$D$8+N537*[1]Sheet1!$E$8,IF(AND(D537="S. californicus",G537&gt;0),E537*[1]Sheet1!$D$9+N537*[1]Sheet1!$E$9,IF(D537="S. maritimus",F537*[1]Sheet1!$C$10+E537*[1]Sheet1!$D$10+G537*[1]Sheet1!$F$10+[1]Sheet1!$L$10,IF(D537="S. americanus",F537*[1]Sheet1!$C$6+E537*[1]Sheet1!$D$6+[1]Sheet1!$L$6,IF(AND(OR(D537="T. domingensis",D537="T. latifolia"),E537&gt;0),F537*[1]Sheet1!$C$4+E537*[1]Sheet1!$D$4+H537*[1]Sheet1!$J$4+I537*[1]Sheet1!$K$4+[1]Sheet1!$L$4,IF(AND(OR(D537="T. domingensis",D537="T. latifolia"),J537&gt;0),J537*[1]Sheet1!$G$5+K537*[1]Sheet1!$H$5+L537*[1]Sheet1!$I$5+[1]Sheet1!$L$5,0)))))))</f>
        <v>3.6334324849999988</v>
      </c>
    </row>
    <row r="538" spans="1:15">
      <c r="A538" s="6">
        <v>41534</v>
      </c>
      <c r="B538" s="7" t="s">
        <v>32</v>
      </c>
      <c r="C538">
        <v>30</v>
      </c>
      <c r="D538" t="s">
        <v>29</v>
      </c>
      <c r="E538">
        <v>190</v>
      </c>
      <c r="F538">
        <v>0.72</v>
      </c>
      <c r="N538" t="str">
        <f t="shared" si="9"/>
        <v>NA</v>
      </c>
      <c r="O538">
        <f>IF(AND(OR(D538="S. acutus",D538="S. californicus",D538="S. tabernaemontani"),G538=0),E538*[1]Sheet1!$D$7+[1]Sheet1!$L$7,IF(AND(OR(D538="S. acutus",D538="S. tabernaemontani"),G538&gt;0),E538*[1]Sheet1!$D$8+N538*[1]Sheet1!$E$8,IF(AND(D538="S. californicus",G538&gt;0),E538*[1]Sheet1!$D$9+N538*[1]Sheet1!$E$9,IF(D538="S. maritimus",F538*[1]Sheet1!$C$10+E538*[1]Sheet1!$D$10+G538*[1]Sheet1!$F$10+[1]Sheet1!$L$10,IF(D538="S. americanus",F538*[1]Sheet1!$C$6+E538*[1]Sheet1!$D$6+[1]Sheet1!$L$6,IF(AND(OR(D538="T. domingensis",D538="T. latifolia"),E538&gt;0),F538*[1]Sheet1!$C$4+E538*[1]Sheet1!$D$4+H538*[1]Sheet1!$J$4+I538*[1]Sheet1!$K$4+[1]Sheet1!$L$4,IF(AND(OR(D538="T. domingensis",D538="T. latifolia"),J538&gt;0),J538*[1]Sheet1!$G$5+K538*[1]Sheet1!$H$5+L538*[1]Sheet1!$I$5+[1]Sheet1!$L$5,0)))))))</f>
        <v>3.2391994079999997</v>
      </c>
    </row>
    <row r="539" spans="1:15">
      <c r="A539" s="6">
        <v>41534</v>
      </c>
      <c r="B539" s="7" t="s">
        <v>32</v>
      </c>
      <c r="C539">
        <v>30</v>
      </c>
      <c r="D539" t="s">
        <v>29</v>
      </c>
      <c r="E539">
        <v>41</v>
      </c>
      <c r="F539">
        <v>0.55000000000000004</v>
      </c>
      <c r="N539" t="str">
        <f t="shared" si="9"/>
        <v>NA</v>
      </c>
      <c r="O539">
        <f>IF(AND(OR(D539="S. acutus",D539="S. californicus",D539="S. tabernaemontani"),G539=0),E539*[1]Sheet1!$D$7+[1]Sheet1!$L$7,IF(AND(OR(D539="S. acutus",D539="S. tabernaemontani"),G539&gt;0),E539*[1]Sheet1!$D$8+N539*[1]Sheet1!$E$8,IF(AND(D539="S. californicus",G539&gt;0),E539*[1]Sheet1!$D$9+N539*[1]Sheet1!$E$9,IF(D539="S. maritimus",F539*[1]Sheet1!$C$10+E539*[1]Sheet1!$D$10+G539*[1]Sheet1!$F$10+[1]Sheet1!$L$10,IF(D539="S. americanus",F539*[1]Sheet1!$C$6+E539*[1]Sheet1!$D$6+[1]Sheet1!$L$6,IF(AND(OR(D539="T. domingensis",D539="T. latifolia"),E539&gt;0),F539*[1]Sheet1!$C$4+E539*[1]Sheet1!$D$4+H539*[1]Sheet1!$J$4+I539*[1]Sheet1!$K$4+[1]Sheet1!$L$4,IF(AND(OR(D539="T. domingensis",D539="T. latifolia"),J539&gt;0),J539*[1]Sheet1!$G$5+K539*[1]Sheet1!$H$5+L539*[1]Sheet1!$I$5+[1]Sheet1!$L$5,0)))))))</f>
        <v>0.29884859499999994</v>
      </c>
    </row>
    <row r="540" spans="1:15">
      <c r="A540" s="6">
        <v>41534</v>
      </c>
      <c r="B540" s="7" t="s">
        <v>32</v>
      </c>
      <c r="C540">
        <v>30</v>
      </c>
      <c r="D540" t="s">
        <v>29</v>
      </c>
      <c r="E540">
        <v>52</v>
      </c>
      <c r="F540">
        <v>0.54</v>
      </c>
      <c r="N540" t="str">
        <f t="shared" si="9"/>
        <v>NA</v>
      </c>
      <c r="O540">
        <f>IF(AND(OR(D540="S. acutus",D540="S. californicus",D540="S. tabernaemontani"),G540=0),E540*[1]Sheet1!$D$7+[1]Sheet1!$L$7,IF(AND(OR(D540="S. acutus",D540="S. tabernaemontani"),G540&gt;0),E540*[1]Sheet1!$D$8+N540*[1]Sheet1!$E$8,IF(AND(D540="S. californicus",G540&gt;0),E540*[1]Sheet1!$D$9+N540*[1]Sheet1!$E$9,IF(D540="S. maritimus",F540*[1]Sheet1!$C$10+E540*[1]Sheet1!$D$10+G540*[1]Sheet1!$F$10+[1]Sheet1!$L$10,IF(D540="S. americanus",F540*[1]Sheet1!$C$6+E540*[1]Sheet1!$D$6+[1]Sheet1!$L$6,IF(AND(OR(D540="T. domingensis",D540="T. latifolia"),E540&gt;0),F540*[1]Sheet1!$C$4+E540*[1]Sheet1!$D$4+H540*[1]Sheet1!$J$4+I540*[1]Sheet1!$K$4+[1]Sheet1!$L$4,IF(AND(OR(D540="T. domingensis",D540="T. latifolia"),J540&gt;0),J540*[1]Sheet1!$G$5+K540*[1]Sheet1!$H$5+L540*[1]Sheet1!$I$5+[1]Sheet1!$L$5,0)))))))</f>
        <v>0.4358112059999999</v>
      </c>
    </row>
    <row r="541" spans="1:15">
      <c r="A541" s="6">
        <v>41534</v>
      </c>
      <c r="B541" s="7" t="s">
        <v>32</v>
      </c>
      <c r="C541">
        <v>30</v>
      </c>
      <c r="D541" t="s">
        <v>29</v>
      </c>
      <c r="E541">
        <v>216</v>
      </c>
      <c r="F541">
        <v>0.68</v>
      </c>
      <c r="N541" t="str">
        <f t="shared" si="9"/>
        <v>NA</v>
      </c>
      <c r="O541">
        <f>IF(AND(OR(D541="S. acutus",D541="S. californicus",D541="S. tabernaemontani"),G541=0),E541*[1]Sheet1!$D$7+[1]Sheet1!$L$7,IF(AND(OR(D541="S. acutus",D541="S. tabernaemontani"),G541&gt;0),E541*[1]Sheet1!$D$8+N541*[1]Sheet1!$E$8,IF(AND(D541="S. californicus",G541&gt;0),E541*[1]Sheet1!$D$9+N541*[1]Sheet1!$E$9,IF(D541="S. maritimus",F541*[1]Sheet1!$C$10+E541*[1]Sheet1!$D$10+G541*[1]Sheet1!$F$10+[1]Sheet1!$L$10,IF(D541="S. americanus",F541*[1]Sheet1!$C$6+E541*[1]Sheet1!$D$6+[1]Sheet1!$L$6,IF(AND(OR(D541="T. domingensis",D541="T. latifolia"),E541&gt;0),F541*[1]Sheet1!$C$4+E541*[1]Sheet1!$D$4+H541*[1]Sheet1!$J$4+I541*[1]Sheet1!$K$4+[1]Sheet1!$L$4,IF(AND(OR(D541="T. domingensis",D541="T. latifolia"),J541&gt;0),J541*[1]Sheet1!$G$5+K541*[1]Sheet1!$H$5+L541*[1]Sheet1!$I$5+[1]Sheet1!$L$5,0)))))))</f>
        <v>3.5047972519999999</v>
      </c>
    </row>
    <row r="542" spans="1:15">
      <c r="A542" s="6">
        <v>41534</v>
      </c>
      <c r="B542" s="7" t="s">
        <v>32</v>
      </c>
      <c r="C542">
        <v>30</v>
      </c>
      <c r="D542" t="s">
        <v>29</v>
      </c>
      <c r="E542">
        <v>212</v>
      </c>
      <c r="F542">
        <v>0.6</v>
      </c>
      <c r="N542" t="str">
        <f t="shared" si="9"/>
        <v>NA</v>
      </c>
      <c r="O542">
        <f>IF(AND(OR(D542="S. acutus",D542="S. californicus",D542="S. tabernaemontani"),G542=0),E542*[1]Sheet1!$D$7+[1]Sheet1!$L$7,IF(AND(OR(D542="S. acutus",D542="S. tabernaemontani"),G542&gt;0),E542*[1]Sheet1!$D$8+N542*[1]Sheet1!$E$8,IF(AND(D542="S. californicus",G542&gt;0),E542*[1]Sheet1!$D$9+N542*[1]Sheet1!$E$9,IF(D542="S. maritimus",F542*[1]Sheet1!$C$10+E542*[1]Sheet1!$D$10+G542*[1]Sheet1!$F$10+[1]Sheet1!$L$10,IF(D542="S. americanus",F542*[1]Sheet1!$C$6+E542*[1]Sheet1!$D$6+[1]Sheet1!$L$6,IF(AND(OR(D542="T. domingensis",D542="T. latifolia"),E542&gt;0),F542*[1]Sheet1!$C$4+E542*[1]Sheet1!$D$4+H542*[1]Sheet1!$J$4+I542*[1]Sheet1!$K$4+[1]Sheet1!$L$4,IF(AND(OR(D542="T. domingensis",D542="T. latifolia"),J542&gt;0),J542*[1]Sheet1!$G$5+K542*[1]Sheet1!$H$5+L542*[1]Sheet1!$I$5+[1]Sheet1!$L$5,0)))))))</f>
        <v>3.1578737399999999</v>
      </c>
    </row>
    <row r="543" spans="1:15">
      <c r="A543" s="6">
        <v>41534</v>
      </c>
      <c r="B543" s="7" t="s">
        <v>32</v>
      </c>
      <c r="C543">
        <v>30</v>
      </c>
      <c r="D543" t="s">
        <v>29</v>
      </c>
      <c r="E543">
        <v>245</v>
      </c>
      <c r="F543">
        <v>0.7</v>
      </c>
      <c r="N543" t="str">
        <f t="shared" si="9"/>
        <v>NA</v>
      </c>
      <c r="O543">
        <f>IF(AND(OR(D543="S. acutus",D543="S. californicus",D543="S. tabernaemontani"),G543=0),E543*[1]Sheet1!$D$7+[1]Sheet1!$L$7,IF(AND(OR(D543="S. acutus",D543="S. tabernaemontani"),G543&gt;0),E543*[1]Sheet1!$D$8+N543*[1]Sheet1!$E$8,IF(AND(D543="S. californicus",G543&gt;0),E543*[1]Sheet1!$D$9+N543*[1]Sheet1!$E$9,IF(D543="S. maritimus",F543*[1]Sheet1!$C$10+E543*[1]Sheet1!$D$10+G543*[1]Sheet1!$F$10+[1]Sheet1!$L$10,IF(D543="S. americanus",F543*[1]Sheet1!$C$6+E543*[1]Sheet1!$D$6+[1]Sheet1!$L$6,IF(AND(OR(D543="T. domingensis",D543="T. latifolia"),E543&gt;0),F543*[1]Sheet1!$C$4+E543*[1]Sheet1!$D$4+H543*[1]Sheet1!$J$4+I543*[1]Sheet1!$K$4+[1]Sheet1!$L$4,IF(AND(OR(D543="T. domingensis",D543="T. latifolia"),J543&gt;0),J543*[1]Sheet1!$G$5+K543*[1]Sheet1!$H$5+L543*[1]Sheet1!$I$5+[1]Sheet1!$L$5,0)))))))</f>
        <v>4.0305877299999988</v>
      </c>
    </row>
    <row r="544" spans="1:15">
      <c r="A544" s="6">
        <v>41534</v>
      </c>
      <c r="B544" s="7" t="s">
        <v>32</v>
      </c>
      <c r="C544">
        <v>30</v>
      </c>
      <c r="D544" t="s">
        <v>29</v>
      </c>
      <c r="E544">
        <v>112</v>
      </c>
      <c r="F544">
        <v>0.79</v>
      </c>
      <c r="N544" t="str">
        <f t="shared" si="9"/>
        <v>NA</v>
      </c>
      <c r="O544">
        <f>IF(AND(OR(D544="S. acutus",D544="S. californicus",D544="S. tabernaemontani"),G544=0),E544*[1]Sheet1!$D$7+[1]Sheet1!$L$7,IF(AND(OR(D544="S. acutus",D544="S. tabernaemontani"),G544&gt;0),E544*[1]Sheet1!$D$8+N544*[1]Sheet1!$E$8,IF(AND(D544="S. californicus",G544&gt;0),E544*[1]Sheet1!$D$9+N544*[1]Sheet1!$E$9,IF(D544="S. maritimus",F544*[1]Sheet1!$C$10+E544*[1]Sheet1!$D$10+G544*[1]Sheet1!$F$10+[1]Sheet1!$L$10,IF(D544="S. americanus",F544*[1]Sheet1!$C$6+E544*[1]Sheet1!$D$6+[1]Sheet1!$L$6,IF(AND(OR(D544="T. domingensis",D544="T. latifolia"),E544&gt;0),F544*[1]Sheet1!$C$4+E544*[1]Sheet1!$D$4+H544*[1]Sheet1!$J$4+I544*[1]Sheet1!$K$4+[1]Sheet1!$L$4,IF(AND(OR(D544="T. domingensis",D544="T. latifolia"),J544&gt;0),J544*[1]Sheet1!$G$5+K544*[1]Sheet1!$H$5+L544*[1]Sheet1!$I$5+[1]Sheet1!$L$5,0)))))))</f>
        <v>2.2647804309999997</v>
      </c>
    </row>
    <row r="545" spans="1:15">
      <c r="A545" s="6">
        <v>41534</v>
      </c>
      <c r="B545" s="7" t="s">
        <v>32</v>
      </c>
      <c r="C545">
        <v>30</v>
      </c>
      <c r="D545" t="s">
        <v>29</v>
      </c>
      <c r="E545">
        <v>159</v>
      </c>
      <c r="F545">
        <v>0.7</v>
      </c>
      <c r="N545" t="str">
        <f t="shared" si="9"/>
        <v>NA</v>
      </c>
      <c r="O545">
        <f>IF(AND(OR(D545="S. acutus",D545="S. californicus",D545="S. tabernaemontani"),G545=0),E545*[1]Sheet1!$D$7+[1]Sheet1!$L$7,IF(AND(OR(D545="S. acutus",D545="S. tabernaemontani"),G545&gt;0),E545*[1]Sheet1!$D$8+N545*[1]Sheet1!$E$8,IF(AND(D545="S. californicus",G545&gt;0),E545*[1]Sheet1!$D$9+N545*[1]Sheet1!$E$9,IF(D545="S. maritimus",F545*[1]Sheet1!$C$10+E545*[1]Sheet1!$D$10+G545*[1]Sheet1!$F$10+[1]Sheet1!$L$10,IF(D545="S. americanus",F545*[1]Sheet1!$C$6+E545*[1]Sheet1!$D$6+[1]Sheet1!$L$6,IF(AND(OR(D545="T. domingensis",D545="T. latifolia"),E545&gt;0),F545*[1]Sheet1!$C$4+E545*[1]Sheet1!$D$4+H545*[1]Sheet1!$J$4+I545*[1]Sheet1!$K$4+[1]Sheet1!$L$4,IF(AND(OR(D545="T. domingensis",D545="T. latifolia"),J545&gt;0),J545*[1]Sheet1!$G$5+K545*[1]Sheet1!$H$5+L545*[1]Sheet1!$I$5+[1]Sheet1!$L$5,0)))))))</f>
        <v>2.6820475299999988</v>
      </c>
    </row>
    <row r="546" spans="1:15">
      <c r="A546" s="6">
        <v>41534</v>
      </c>
      <c r="B546" s="7" t="s">
        <v>32</v>
      </c>
      <c r="C546">
        <v>30</v>
      </c>
      <c r="D546" t="s">
        <v>29</v>
      </c>
      <c r="E546">
        <v>363</v>
      </c>
      <c r="F546">
        <v>0.8</v>
      </c>
      <c r="N546" t="str">
        <f t="shared" si="9"/>
        <v>NA</v>
      </c>
      <c r="O546">
        <f>IF(AND(OR(D546="S. acutus",D546="S. californicus",D546="S. tabernaemontani"),G546=0),E546*[1]Sheet1!$D$7+[1]Sheet1!$L$7,IF(AND(OR(D546="S. acutus",D546="S. tabernaemontani"),G546&gt;0),E546*[1]Sheet1!$D$8+N546*[1]Sheet1!$E$8,IF(AND(D546="S. californicus",G546&gt;0),E546*[1]Sheet1!$D$9+N546*[1]Sheet1!$E$9,IF(D546="S. maritimus",F546*[1]Sheet1!$C$10+E546*[1]Sheet1!$D$10+G546*[1]Sheet1!$F$10+[1]Sheet1!$L$10,IF(D546="S. americanus",F546*[1]Sheet1!$C$6+E546*[1]Sheet1!$D$6+[1]Sheet1!$L$6,IF(AND(OR(D546="T. domingensis",D546="T. latifolia"),E546&gt;0),F546*[1]Sheet1!$C$4+E546*[1]Sheet1!$D$4+H546*[1]Sheet1!$J$4+I546*[1]Sheet1!$K$4+[1]Sheet1!$L$4,IF(AND(OR(D546="T. domingensis",D546="T. latifolia"),J546&gt;0),J546*[1]Sheet1!$G$5+K546*[1]Sheet1!$H$5+L546*[1]Sheet1!$I$5+[1]Sheet1!$L$5,0)))))))</f>
        <v>6.2361612199999996</v>
      </c>
    </row>
    <row r="547" spans="1:15">
      <c r="A547" s="6">
        <v>41534</v>
      </c>
      <c r="B547" s="7" t="s">
        <v>32</v>
      </c>
      <c r="C547">
        <v>30</v>
      </c>
      <c r="D547" t="s">
        <v>29</v>
      </c>
      <c r="E547">
        <v>115</v>
      </c>
      <c r="F547">
        <v>0.82</v>
      </c>
      <c r="N547" t="str">
        <f t="shared" si="9"/>
        <v>NA</v>
      </c>
      <c r="O547">
        <f>IF(AND(OR(D547="S. acutus",D547="S. californicus",D547="S. tabernaemontani"),G547=0),E547*[1]Sheet1!$D$7+[1]Sheet1!$L$7,IF(AND(OR(D547="S. acutus",D547="S. tabernaemontani"),G547&gt;0),E547*[1]Sheet1!$D$8+N547*[1]Sheet1!$E$8,IF(AND(D547="S. californicus",G547&gt;0),E547*[1]Sheet1!$D$9+N547*[1]Sheet1!$E$9,IF(D547="S. maritimus",F547*[1]Sheet1!$C$10+E547*[1]Sheet1!$D$10+G547*[1]Sheet1!$F$10+[1]Sheet1!$L$10,IF(D547="S. americanus",F547*[1]Sheet1!$C$6+E547*[1]Sheet1!$D$6+[1]Sheet1!$L$6,IF(AND(OR(D547="T. domingensis",D547="T. latifolia"),E547&gt;0),F547*[1]Sheet1!$C$4+E547*[1]Sheet1!$D$4+H547*[1]Sheet1!$J$4+I547*[1]Sheet1!$K$4+[1]Sheet1!$L$4,IF(AND(OR(D547="T. domingensis",D547="T. latifolia"),J547&gt;0),J547*[1]Sheet1!$G$5+K547*[1]Sheet1!$H$5+L547*[1]Sheet1!$I$5+[1]Sheet1!$L$5,0)))))))</f>
        <v>2.4183977979999995</v>
      </c>
    </row>
    <row r="548" spans="1:15">
      <c r="A548" s="6">
        <v>41534</v>
      </c>
      <c r="B548" s="7" t="s">
        <v>32</v>
      </c>
      <c r="C548">
        <v>30</v>
      </c>
      <c r="D548" t="s">
        <v>29</v>
      </c>
      <c r="E548">
        <v>105</v>
      </c>
      <c r="F548">
        <v>0.95</v>
      </c>
      <c r="N548" t="str">
        <f t="shared" si="9"/>
        <v>NA</v>
      </c>
      <c r="O548">
        <f>IF(AND(OR(D548="S. acutus",D548="S. californicus",D548="S. tabernaemontani"),G548=0),E548*[1]Sheet1!$D$7+[1]Sheet1!$L$7,IF(AND(OR(D548="S. acutus",D548="S. tabernaemontani"),G548&gt;0),E548*[1]Sheet1!$D$8+N548*[1]Sheet1!$E$8,IF(AND(D548="S. californicus",G548&gt;0),E548*[1]Sheet1!$D$9+N548*[1]Sheet1!$E$9,IF(D548="S. maritimus",F548*[1]Sheet1!$C$10+E548*[1]Sheet1!$D$10+G548*[1]Sheet1!$F$10+[1]Sheet1!$L$10,IF(D548="S. americanus",F548*[1]Sheet1!$C$6+E548*[1]Sheet1!$D$6+[1]Sheet1!$L$6,IF(AND(OR(D548="T. domingensis",D548="T. latifolia"),E548&gt;0),F548*[1]Sheet1!$C$4+E548*[1]Sheet1!$D$4+H548*[1]Sheet1!$J$4+I548*[1]Sheet1!$K$4+[1]Sheet1!$L$4,IF(AND(OR(D548="T. domingensis",D548="T. latifolia"),J548&gt;0),J548*[1]Sheet1!$G$5+K548*[1]Sheet1!$H$5+L548*[1]Sheet1!$I$5+[1]Sheet1!$L$5,0)))))))</f>
        <v>2.7234169549999998</v>
      </c>
    </row>
    <row r="549" spans="1:15">
      <c r="A549" s="6">
        <v>41534</v>
      </c>
      <c r="B549" s="7" t="s">
        <v>32</v>
      </c>
      <c r="C549">
        <v>30</v>
      </c>
      <c r="D549" t="s">
        <v>29</v>
      </c>
      <c r="E549">
        <v>250</v>
      </c>
      <c r="F549">
        <v>0.64</v>
      </c>
      <c r="N549" t="str">
        <f t="shared" si="9"/>
        <v>NA</v>
      </c>
      <c r="O549">
        <f>IF(AND(OR(D549="S. acutus",D549="S. californicus",D549="S. tabernaemontani"),G549=0),E549*[1]Sheet1!$D$7+[1]Sheet1!$L$7,IF(AND(OR(D549="S. acutus",D549="S. tabernaemontani"),G549&gt;0),E549*[1]Sheet1!$D$8+N549*[1]Sheet1!$E$8,IF(AND(D549="S. californicus",G549&gt;0),E549*[1]Sheet1!$D$9+N549*[1]Sheet1!$E$9,IF(D549="S. maritimus",F549*[1]Sheet1!$C$10+E549*[1]Sheet1!$D$10+G549*[1]Sheet1!$F$10+[1]Sheet1!$L$10,IF(D549="S. americanus",F549*[1]Sheet1!$C$6+E549*[1]Sheet1!$D$6+[1]Sheet1!$L$6,IF(AND(OR(D549="T. domingensis",D549="T. latifolia"),E549&gt;0),F549*[1]Sheet1!$C$4+E549*[1]Sheet1!$D$4+H549*[1]Sheet1!$J$4+I549*[1]Sheet1!$K$4+[1]Sheet1!$L$4,IF(AND(OR(D549="T. domingensis",D549="T. latifolia"),J549&gt;0),J549*[1]Sheet1!$G$5+K549*[1]Sheet1!$H$5+L549*[1]Sheet1!$I$5+[1]Sheet1!$L$5,0)))))))</f>
        <v>3.8958406959999992</v>
      </c>
    </row>
    <row r="550" spans="1:15">
      <c r="A550" s="6">
        <v>41534</v>
      </c>
      <c r="B550" s="7" t="s">
        <v>32</v>
      </c>
      <c r="C550">
        <v>30</v>
      </c>
      <c r="D550" t="s">
        <v>29</v>
      </c>
      <c r="E550">
        <v>176</v>
      </c>
      <c r="F550">
        <v>0.65</v>
      </c>
      <c r="N550" t="str">
        <f t="shared" si="9"/>
        <v>NA</v>
      </c>
      <c r="O550">
        <f>IF(AND(OR(D550="S. acutus",D550="S. californicus",D550="S. tabernaemontani"),G550=0),E550*[1]Sheet1!$D$7+[1]Sheet1!$L$7,IF(AND(OR(D550="S. acutus",D550="S. tabernaemontani"),G550&gt;0),E550*[1]Sheet1!$D$8+N550*[1]Sheet1!$E$8,IF(AND(D550="S. californicus",G550&gt;0),E550*[1]Sheet1!$D$9+N550*[1]Sheet1!$E$9,IF(D550="S. maritimus",F550*[1]Sheet1!$C$10+E550*[1]Sheet1!$D$10+G550*[1]Sheet1!$F$10+[1]Sheet1!$L$10,IF(D550="S. americanus",F550*[1]Sheet1!$C$6+E550*[1]Sheet1!$D$6+[1]Sheet1!$L$6,IF(AND(OR(D550="T. domingensis",D550="T. latifolia"),E550&gt;0),F550*[1]Sheet1!$C$4+E550*[1]Sheet1!$D$4+H550*[1]Sheet1!$J$4+I550*[1]Sheet1!$K$4+[1]Sheet1!$L$4,IF(AND(OR(D550="T. domingensis",D550="T. latifolia"),J550&gt;0),J550*[1]Sheet1!$G$5+K550*[1]Sheet1!$H$5+L550*[1]Sheet1!$I$5+[1]Sheet1!$L$5,0)))))))</f>
        <v>2.7709939849999992</v>
      </c>
    </row>
    <row r="551" spans="1:15">
      <c r="A551" s="6">
        <v>41534</v>
      </c>
      <c r="B551" s="7" t="s">
        <v>32</v>
      </c>
      <c r="C551">
        <v>30</v>
      </c>
      <c r="D551" t="s">
        <v>29</v>
      </c>
      <c r="E551">
        <v>59</v>
      </c>
      <c r="F551">
        <v>0.6</v>
      </c>
      <c r="N551" t="str">
        <f t="shared" si="9"/>
        <v>NA</v>
      </c>
      <c r="O551">
        <f>IF(AND(OR(D551="S. acutus",D551="S. californicus",D551="S. tabernaemontani"),G551=0),E551*[1]Sheet1!$D$7+[1]Sheet1!$L$7,IF(AND(OR(D551="S. acutus",D551="S. tabernaemontani"),G551&gt;0),E551*[1]Sheet1!$D$8+N551*[1]Sheet1!$E$8,IF(AND(D551="S. californicus",G551&gt;0),E551*[1]Sheet1!$D$9+N551*[1]Sheet1!$E$9,IF(D551="S. maritimus",F551*[1]Sheet1!$C$10+E551*[1]Sheet1!$D$10+G551*[1]Sheet1!$F$10+[1]Sheet1!$L$10,IF(D551="S. americanus",F551*[1]Sheet1!$C$6+E551*[1]Sheet1!$D$6+[1]Sheet1!$L$6,IF(AND(OR(D551="T. domingensis",D551="T. latifolia"),E551&gt;0),F551*[1]Sheet1!$C$4+E551*[1]Sheet1!$D$4+H551*[1]Sheet1!$J$4+I551*[1]Sheet1!$K$4+[1]Sheet1!$L$4,IF(AND(OR(D551="T. domingensis",D551="T. latifolia"),J551&gt;0),J551*[1]Sheet1!$G$5+K551*[1]Sheet1!$H$5+L551*[1]Sheet1!$I$5+[1]Sheet1!$L$5,0)))))))</f>
        <v>0.7587266399999999</v>
      </c>
    </row>
    <row r="552" spans="1:15">
      <c r="A552" s="6">
        <v>41534</v>
      </c>
      <c r="B552" s="7" t="s">
        <v>32</v>
      </c>
      <c r="C552">
        <v>30</v>
      </c>
      <c r="D552" t="s">
        <v>29</v>
      </c>
      <c r="E552">
        <v>31</v>
      </c>
      <c r="F552">
        <v>0.4</v>
      </c>
      <c r="N552" t="str">
        <f t="shared" si="9"/>
        <v>NA</v>
      </c>
      <c r="O552">
        <f>IF(AND(OR(D552="S. acutus",D552="S. californicus",D552="S. tabernaemontani"),G552=0),E552*[1]Sheet1!$D$7+[1]Sheet1!$L$7,IF(AND(OR(D552="S. acutus",D552="S. tabernaemontani"),G552&gt;0),E552*[1]Sheet1!$D$8+N552*[1]Sheet1!$E$8,IF(AND(D552="S. californicus",G552&gt;0),E552*[1]Sheet1!$D$9+N552*[1]Sheet1!$E$9,IF(D552="S. maritimus",F552*[1]Sheet1!$C$10+E552*[1]Sheet1!$D$10+G552*[1]Sheet1!$F$10+[1]Sheet1!$L$10,IF(D552="S. americanus",F552*[1]Sheet1!$C$6+E552*[1]Sheet1!$D$6+[1]Sheet1!$L$6,IF(AND(OR(D552="T. domingensis",D552="T. latifolia"),E552&gt;0),F552*[1]Sheet1!$C$4+E552*[1]Sheet1!$D$4+H552*[1]Sheet1!$J$4+I552*[1]Sheet1!$K$4+[1]Sheet1!$L$4,IF(AND(OR(D552="T. domingensis",D552="T. latifolia"),J552&gt;0),J552*[1]Sheet1!$G$5+K552*[1]Sheet1!$H$5+L552*[1]Sheet1!$I$5+[1]Sheet1!$L$5,0)))))))</f>
        <v>-0.39083474000000029</v>
      </c>
    </row>
    <row r="553" spans="1:15">
      <c r="A553" s="6">
        <v>41534</v>
      </c>
      <c r="B553" s="7" t="s">
        <v>32</v>
      </c>
      <c r="C553">
        <v>30</v>
      </c>
      <c r="D553" t="s">
        <v>29</v>
      </c>
      <c r="E553">
        <v>404</v>
      </c>
      <c r="F553">
        <v>0.8</v>
      </c>
      <c r="N553" t="str">
        <f t="shared" si="9"/>
        <v>NA</v>
      </c>
      <c r="O553">
        <f>IF(AND(OR(D553="S. acutus",D553="S. californicus",D553="S. tabernaemontani"),G553=0),E553*[1]Sheet1!$D$7+[1]Sheet1!$L$7,IF(AND(OR(D553="S. acutus",D553="S. tabernaemontani"),G553&gt;0),E553*[1]Sheet1!$D$8+N553*[1]Sheet1!$E$8,IF(AND(D553="S. californicus",G553&gt;0),E553*[1]Sheet1!$D$9+N553*[1]Sheet1!$E$9,IF(D553="S. maritimus",F553*[1]Sheet1!$C$10+E553*[1]Sheet1!$D$10+G553*[1]Sheet1!$F$10+[1]Sheet1!$L$10,IF(D553="S. americanus",F553*[1]Sheet1!$C$6+E553*[1]Sheet1!$D$6+[1]Sheet1!$L$6,IF(AND(OR(D553="T. domingensis",D553="T. latifolia"),E553&gt;0),F553*[1]Sheet1!$C$4+E553*[1]Sheet1!$D$4+H553*[1]Sheet1!$J$4+I553*[1]Sheet1!$K$4+[1]Sheet1!$L$4,IF(AND(OR(D553="T. domingensis",D553="T. latifolia"),J553&gt;0),J553*[1]Sheet1!$G$5+K553*[1]Sheet1!$H$5+L553*[1]Sheet1!$I$5+[1]Sheet1!$L$5,0)))))))</f>
        <v>6.8790699199999992</v>
      </c>
    </row>
    <row r="554" spans="1:15">
      <c r="A554" s="6">
        <v>41534</v>
      </c>
      <c r="B554" s="7" t="s">
        <v>32</v>
      </c>
      <c r="C554">
        <v>30</v>
      </c>
      <c r="D554" t="s">
        <v>29</v>
      </c>
      <c r="E554">
        <v>200</v>
      </c>
      <c r="F554">
        <v>0.65</v>
      </c>
      <c r="N554" t="str">
        <f t="shared" si="9"/>
        <v>NA</v>
      </c>
      <c r="O554">
        <f>IF(AND(OR(D554="S. acutus",D554="S. californicus",D554="S. tabernaemontani"),G554=0),E554*[1]Sheet1!$D$7+[1]Sheet1!$L$7,IF(AND(OR(D554="S. acutus",D554="S. tabernaemontani"),G554&gt;0),E554*[1]Sheet1!$D$8+N554*[1]Sheet1!$E$8,IF(AND(D554="S. californicus",G554&gt;0),E554*[1]Sheet1!$D$9+N554*[1]Sheet1!$E$9,IF(D554="S. maritimus",F554*[1]Sheet1!$C$10+E554*[1]Sheet1!$D$10+G554*[1]Sheet1!$F$10+[1]Sheet1!$L$10,IF(D554="S. americanus",F554*[1]Sheet1!$C$6+E554*[1]Sheet1!$D$6+[1]Sheet1!$L$6,IF(AND(OR(D554="T. domingensis",D554="T. latifolia"),E554&gt;0),F554*[1]Sheet1!$C$4+E554*[1]Sheet1!$D$4+H554*[1]Sheet1!$J$4+I554*[1]Sheet1!$K$4+[1]Sheet1!$L$4,IF(AND(OR(D554="T. domingensis",D554="T. latifolia"),J554&gt;0),J554*[1]Sheet1!$G$5+K554*[1]Sheet1!$H$5+L554*[1]Sheet1!$I$5+[1]Sheet1!$L$5,0)))))))</f>
        <v>3.1473307849999999</v>
      </c>
    </row>
    <row r="555" spans="1:15">
      <c r="A555" s="6">
        <v>41534</v>
      </c>
      <c r="B555" s="7" t="s">
        <v>32</v>
      </c>
      <c r="C555">
        <v>30</v>
      </c>
      <c r="D555" t="s">
        <v>29</v>
      </c>
      <c r="E555">
        <v>26</v>
      </c>
      <c r="F555">
        <v>0.34</v>
      </c>
      <c r="N555" t="str">
        <f t="shared" si="9"/>
        <v>NA</v>
      </c>
      <c r="O555">
        <f>IF(AND(OR(D555="S. acutus",D555="S. californicus",D555="S. tabernaemontani"),G555=0),E555*[1]Sheet1!$D$7+[1]Sheet1!$L$7,IF(AND(OR(D555="S. acutus",D555="S. tabernaemontani"),G555&gt;0),E555*[1]Sheet1!$D$8+N555*[1]Sheet1!$E$8,IF(AND(D555="S. californicus",G555&gt;0),E555*[1]Sheet1!$D$9+N555*[1]Sheet1!$E$9,IF(D555="S. maritimus",F555*[1]Sheet1!$C$10+E555*[1]Sheet1!$D$10+G555*[1]Sheet1!$F$10+[1]Sheet1!$L$10,IF(D555="S. americanus",F555*[1]Sheet1!$C$6+E555*[1]Sheet1!$D$6+[1]Sheet1!$L$6,IF(AND(OR(D555="T. domingensis",D555="T. latifolia"),E555&gt;0),F555*[1]Sheet1!$C$4+E555*[1]Sheet1!$D$4+H555*[1]Sheet1!$J$4+I555*[1]Sheet1!$K$4+[1]Sheet1!$L$4,IF(AND(OR(D555="T. domingensis",D555="T. latifolia"),J555&gt;0),J555*[1]Sheet1!$G$5+K555*[1]Sheet1!$H$5+L555*[1]Sheet1!$I$5+[1]Sheet1!$L$5,0)))))))</f>
        <v>-0.68238877400000009</v>
      </c>
    </row>
    <row r="556" spans="1:15">
      <c r="A556" s="6">
        <v>41534</v>
      </c>
      <c r="B556" s="7" t="s">
        <v>32</v>
      </c>
      <c r="C556">
        <v>30</v>
      </c>
      <c r="D556" t="s">
        <v>29</v>
      </c>
      <c r="E556">
        <v>202</v>
      </c>
      <c r="F556">
        <v>0.36</v>
      </c>
      <c r="N556" t="str">
        <f t="shared" si="9"/>
        <v>NA</v>
      </c>
      <c r="O556">
        <f>IF(AND(OR(D556="S. acutus",D556="S. californicus",D556="S. tabernaemontani"),G556=0),E556*[1]Sheet1!$D$7+[1]Sheet1!$L$7,IF(AND(OR(D556="S. acutus",D556="S. tabernaemontani"),G556&gt;0),E556*[1]Sheet1!$D$8+N556*[1]Sheet1!$E$8,IF(AND(D556="S. californicus",G556&gt;0),E556*[1]Sheet1!$D$9+N556*[1]Sheet1!$E$9,IF(D556="S. maritimus",F556*[1]Sheet1!$C$10+E556*[1]Sheet1!$D$10+G556*[1]Sheet1!$F$10+[1]Sheet1!$L$10,IF(D556="S. americanus",F556*[1]Sheet1!$C$6+E556*[1]Sheet1!$D$6+[1]Sheet1!$L$6,IF(AND(OR(D556="T. domingensis",D556="T. latifolia"),E556&gt;0),F556*[1]Sheet1!$C$4+E556*[1]Sheet1!$D$4+H556*[1]Sheet1!$J$4+I556*[1]Sheet1!$K$4+[1]Sheet1!$L$4,IF(AND(OR(D556="T. domingensis",D556="T. latifolia"),J556&gt;0),J556*[1]Sheet1!$G$5+K556*[1]Sheet1!$H$5+L556*[1]Sheet1!$I$5+[1]Sheet1!$L$5,0)))))))</f>
        <v>2.1484646039999995</v>
      </c>
    </row>
    <row r="557" spans="1:15">
      <c r="A557" s="6">
        <v>41534</v>
      </c>
      <c r="B557" s="7" t="s">
        <v>32</v>
      </c>
      <c r="C557">
        <v>30</v>
      </c>
      <c r="D557" t="s">
        <v>29</v>
      </c>
      <c r="E557">
        <v>406</v>
      </c>
      <c r="F557">
        <v>0.67</v>
      </c>
      <c r="N557" t="str">
        <f t="shared" si="9"/>
        <v>NA</v>
      </c>
      <c r="O557">
        <f>IF(AND(OR(D557="S. acutus",D557="S. californicus",D557="S. tabernaemontani"),G557=0),E557*[1]Sheet1!$D$7+[1]Sheet1!$L$7,IF(AND(OR(D557="S. acutus",D557="S. tabernaemontani"),G557&gt;0),E557*[1]Sheet1!$D$8+N557*[1]Sheet1!$E$8,IF(AND(D557="S. californicus",G557&gt;0),E557*[1]Sheet1!$D$9+N557*[1]Sheet1!$E$9,IF(D557="S. maritimus",F557*[1]Sheet1!$C$10+E557*[1]Sheet1!$D$10+G557*[1]Sheet1!$F$10+[1]Sheet1!$L$10,IF(D557="S. americanus",F557*[1]Sheet1!$C$6+E557*[1]Sheet1!$D$6+[1]Sheet1!$L$6,IF(AND(OR(D557="T. domingensis",D557="T. latifolia"),E557&gt;0),F557*[1]Sheet1!$C$4+E557*[1]Sheet1!$D$4+H557*[1]Sheet1!$J$4+I557*[1]Sheet1!$K$4+[1]Sheet1!$L$4,IF(AND(OR(D557="T. domingensis",D557="T. latifolia"),J557&gt;0),J557*[1]Sheet1!$G$5+K557*[1]Sheet1!$H$5+L557*[1]Sheet1!$I$5+[1]Sheet1!$L$5,0)))))))</f>
        <v>6.4486051629999999</v>
      </c>
    </row>
    <row r="558" spans="1:15">
      <c r="A558" s="6">
        <v>41534</v>
      </c>
      <c r="B558" s="7" t="s">
        <v>32</v>
      </c>
      <c r="C558">
        <v>30</v>
      </c>
      <c r="D558" t="s">
        <v>29</v>
      </c>
      <c r="E558">
        <v>166</v>
      </c>
      <c r="F558">
        <v>1.01</v>
      </c>
      <c r="N558" t="str">
        <f t="shared" si="9"/>
        <v>NA</v>
      </c>
      <c r="O558">
        <f>IF(AND(OR(D558="S. acutus",D558="S. californicus",D558="S. tabernaemontani"),G558=0),E558*[1]Sheet1!$D$7+[1]Sheet1!$L$7,IF(AND(OR(D558="S. acutus",D558="S. tabernaemontani"),G558&gt;0),E558*[1]Sheet1!$D$8+N558*[1]Sheet1!$E$8,IF(AND(D558="S. californicus",G558&gt;0),E558*[1]Sheet1!$D$9+N558*[1]Sheet1!$E$9,IF(D558="S. maritimus",F558*[1]Sheet1!$C$10+E558*[1]Sheet1!$D$10+G558*[1]Sheet1!$F$10+[1]Sheet1!$L$10,IF(D558="S. americanus",F558*[1]Sheet1!$C$6+E558*[1]Sheet1!$D$6+[1]Sheet1!$L$6,IF(AND(OR(D558="T. domingensis",D558="T. latifolia"),E558&gt;0),F558*[1]Sheet1!$C$4+E558*[1]Sheet1!$D$4+H558*[1]Sheet1!$J$4+I558*[1]Sheet1!$K$4+[1]Sheet1!$L$4,IF(AND(OR(D558="T. domingensis",D558="T. latifolia"),J558&gt;0),J558*[1]Sheet1!$G$5+K558*[1]Sheet1!$H$5+L558*[1]Sheet1!$I$5+[1]Sheet1!$L$5,0)))))))</f>
        <v>3.8930901889999991</v>
      </c>
    </row>
    <row r="559" spans="1:15">
      <c r="A559" s="6">
        <v>41534</v>
      </c>
      <c r="B559" s="7" t="s">
        <v>32</v>
      </c>
      <c r="C559">
        <v>30</v>
      </c>
      <c r="D559" t="s">
        <v>29</v>
      </c>
      <c r="E559">
        <v>26</v>
      </c>
      <c r="F559">
        <v>0.31</v>
      </c>
      <c r="N559" t="str">
        <f t="shared" si="9"/>
        <v>NA</v>
      </c>
      <c r="O559">
        <f>IF(AND(OR(D559="S. acutus",D559="S. californicus",D559="S. tabernaemontani"),G559=0),E559*[1]Sheet1!$D$7+[1]Sheet1!$L$7,IF(AND(OR(D559="S. acutus",D559="S. tabernaemontani"),G559&gt;0),E559*[1]Sheet1!$D$8+N559*[1]Sheet1!$E$8,IF(AND(D559="S. californicus",G559&gt;0),E559*[1]Sheet1!$D$9+N559*[1]Sheet1!$E$9,IF(D559="S. maritimus",F559*[1]Sheet1!$C$10+E559*[1]Sheet1!$D$10+G559*[1]Sheet1!$F$10+[1]Sheet1!$L$10,IF(D559="S. americanus",F559*[1]Sheet1!$C$6+E559*[1]Sheet1!$D$6+[1]Sheet1!$L$6,IF(AND(OR(D559="T. domingensis",D559="T. latifolia"),E559&gt;0),F559*[1]Sheet1!$C$4+E559*[1]Sheet1!$D$4+H559*[1]Sheet1!$J$4+I559*[1]Sheet1!$K$4+[1]Sheet1!$L$4,IF(AND(OR(D559="T. domingensis",D559="T. latifolia"),J559&gt;0),J559*[1]Sheet1!$G$5+K559*[1]Sheet1!$H$5+L559*[1]Sheet1!$I$5+[1]Sheet1!$L$5,0)))))))</f>
        <v>-0.78896404100000006</v>
      </c>
    </row>
    <row r="560" spans="1:15">
      <c r="A560" s="6">
        <v>41534</v>
      </c>
      <c r="B560" s="7" t="s">
        <v>32</v>
      </c>
      <c r="C560">
        <v>30</v>
      </c>
      <c r="D560" t="s">
        <v>23</v>
      </c>
      <c r="E560">
        <v>192</v>
      </c>
      <c r="F560">
        <v>2.5299999999999998</v>
      </c>
      <c r="H560">
        <v>24</v>
      </c>
      <c r="I560">
        <v>2.5</v>
      </c>
      <c r="N560" t="str">
        <f t="shared" si="9"/>
        <v>NA</v>
      </c>
      <c r="O560">
        <f>IF(AND(OR(D560="S. acutus",D560="S. californicus",D560="S. tabernaemontani"),G560=0),E560*[1]Sheet1!$D$7+[1]Sheet1!$L$7,IF(AND(OR(D560="S. acutus",D560="S. tabernaemontani"),G560&gt;0),E560*[1]Sheet1!$D$8+N560*[1]Sheet1!$E$8,IF(AND(D560="S. californicus",G560&gt;0),E560*[1]Sheet1!$D$9+N560*[1]Sheet1!$E$9,IF(D560="S. maritimus",F560*[1]Sheet1!$C$10+E560*[1]Sheet1!$D$10+G560*[1]Sheet1!$F$10+[1]Sheet1!$L$10,IF(D560="S. americanus",F560*[1]Sheet1!$C$6+E560*[1]Sheet1!$D$6+[1]Sheet1!$L$6,IF(AND(OR(D560="T. domingensis",D560="T. latifolia"),E560&gt;0),F560*[1]Sheet1!$C$4+E560*[1]Sheet1!$D$4+H560*[1]Sheet1!$J$4+I560*[1]Sheet1!$K$4+[1]Sheet1!$L$4,IF(AND(OR(D560="T. domingensis",D560="T. latifolia"),J560&gt;0),J560*[1]Sheet1!$G$5+K560*[1]Sheet1!$H$5+L560*[1]Sheet1!$I$5+[1]Sheet1!$L$5,0)))))))</f>
        <v>74.907062210000021</v>
      </c>
    </row>
    <row r="561" spans="1:15">
      <c r="A561" s="6">
        <v>41534</v>
      </c>
      <c r="B561" s="7" t="s">
        <v>32</v>
      </c>
      <c r="C561">
        <v>30</v>
      </c>
      <c r="D561" t="s">
        <v>23</v>
      </c>
      <c r="F561">
        <v>2.71</v>
      </c>
      <c r="J561">
        <f>309+329+328+325+322</f>
        <v>1613</v>
      </c>
      <c r="K561">
        <v>5</v>
      </c>
      <c r="L561">
        <v>329</v>
      </c>
      <c r="N561" t="str">
        <f t="shared" si="9"/>
        <v>NA</v>
      </c>
      <c r="O561">
        <f>IF(AND(OR(D561="S. acutus",D561="S. californicus",D561="S. tabernaemontani"),G561=0),E561*[1]Sheet1!$D$7+[1]Sheet1!$L$7,IF(AND(OR(D561="S. acutus",D561="S. tabernaemontani"),G561&gt;0),E561*[1]Sheet1!$D$8+N561*[1]Sheet1!$E$8,IF(AND(D561="S. californicus",G561&gt;0),E561*[1]Sheet1!$D$9+N561*[1]Sheet1!$E$9,IF(D561="S. maritimus",F561*[1]Sheet1!$C$10+E561*[1]Sheet1!$D$10+G561*[1]Sheet1!$F$10+[1]Sheet1!$L$10,IF(D561="S. americanus",F561*[1]Sheet1!$C$6+E561*[1]Sheet1!$D$6+[1]Sheet1!$L$6,IF(AND(OR(D561="T. domingensis",D561="T. latifolia"),E561&gt;0),F561*[1]Sheet1!$C$4+E561*[1]Sheet1!$D$4+H561*[1]Sheet1!$J$4+I561*[1]Sheet1!$K$4+[1]Sheet1!$L$4,IF(AND(OR(D561="T. domingensis",D561="T. latifolia"),J561&gt;0),J561*[1]Sheet1!$G$5+K561*[1]Sheet1!$H$5+L561*[1]Sheet1!$I$5+[1]Sheet1!$L$5,0)))))))</f>
        <v>50.04242900000002</v>
      </c>
    </row>
    <row r="562" spans="1:15">
      <c r="A562" s="6">
        <v>41534</v>
      </c>
      <c r="B562" s="7" t="s">
        <v>32</v>
      </c>
      <c r="C562">
        <v>30</v>
      </c>
      <c r="D562" t="s">
        <v>23</v>
      </c>
      <c r="F562">
        <v>2.95</v>
      </c>
      <c r="J562">
        <f>296+316+322+318</f>
        <v>1252</v>
      </c>
      <c r="K562">
        <v>4</v>
      </c>
      <c r="L562">
        <v>322</v>
      </c>
      <c r="N562" t="str">
        <f t="shared" si="9"/>
        <v>NA</v>
      </c>
      <c r="O562">
        <f>IF(AND(OR(D562="S. acutus",D562="S. californicus",D562="S. tabernaemontani"),G562=0),E562*[1]Sheet1!$D$7+[1]Sheet1!$L$7,IF(AND(OR(D562="S. acutus",D562="S. tabernaemontani"),G562&gt;0),E562*[1]Sheet1!$D$8+N562*[1]Sheet1!$E$8,IF(AND(D562="S. californicus",G562&gt;0),E562*[1]Sheet1!$D$9+N562*[1]Sheet1!$E$9,IF(D562="S. maritimus",F562*[1]Sheet1!$C$10+E562*[1]Sheet1!$D$10+G562*[1]Sheet1!$F$10+[1]Sheet1!$L$10,IF(D562="S. americanus",F562*[1]Sheet1!$C$6+E562*[1]Sheet1!$D$6+[1]Sheet1!$L$6,IF(AND(OR(D562="T. domingensis",D562="T. latifolia"),E562&gt;0),F562*[1]Sheet1!$C$4+E562*[1]Sheet1!$D$4+H562*[1]Sheet1!$J$4+I562*[1]Sheet1!$K$4+[1]Sheet1!$L$4,IF(AND(OR(D562="T. domingensis",D562="T. latifolia"),J562&gt;0),J562*[1]Sheet1!$G$5+K562*[1]Sheet1!$H$5+L562*[1]Sheet1!$I$5+[1]Sheet1!$L$5,0)))))))</f>
        <v>25.327942000000014</v>
      </c>
    </row>
    <row r="563" spans="1:15">
      <c r="A563" s="6">
        <v>41534</v>
      </c>
      <c r="B563" s="7" t="s">
        <v>32</v>
      </c>
      <c r="C563">
        <v>30</v>
      </c>
      <c r="D563" t="s">
        <v>23</v>
      </c>
      <c r="F563">
        <v>1.75</v>
      </c>
      <c r="J563">
        <f>33+65+88+109+115</f>
        <v>410</v>
      </c>
      <c r="K563">
        <v>5</v>
      </c>
      <c r="L563">
        <v>115</v>
      </c>
      <c r="N563" t="str">
        <f t="shared" si="9"/>
        <v>NA</v>
      </c>
      <c r="O563">
        <f>IF(AND(OR(D563="S. acutus",D563="S. californicus",D563="S. tabernaemontani"),G563=0),E563*[1]Sheet1!$D$7+[1]Sheet1!$L$7,IF(AND(OR(D563="S. acutus",D563="S. tabernaemontani"),G563&gt;0),E563*[1]Sheet1!$D$8+N563*[1]Sheet1!$E$8,IF(AND(D563="S. californicus",G563&gt;0),E563*[1]Sheet1!$D$9+N563*[1]Sheet1!$E$9,IF(D563="S. maritimus",F563*[1]Sheet1!$C$10+E563*[1]Sheet1!$D$10+G563*[1]Sheet1!$F$10+[1]Sheet1!$L$10,IF(D563="S. americanus",F563*[1]Sheet1!$C$6+E563*[1]Sheet1!$D$6+[1]Sheet1!$L$6,IF(AND(OR(D563="T. domingensis",D563="T. latifolia"),E563&gt;0),F563*[1]Sheet1!$C$4+E563*[1]Sheet1!$D$4+H563*[1]Sheet1!$J$4+I563*[1]Sheet1!$K$4+[1]Sheet1!$L$4,IF(AND(OR(D563="T. domingensis",D563="T. latifolia"),J563&gt;0),J563*[1]Sheet1!$G$5+K563*[1]Sheet1!$H$5+L563*[1]Sheet1!$I$5+[1]Sheet1!$L$5,0)))))))</f>
        <v>1.7215940000000032</v>
      </c>
    </row>
    <row r="564" spans="1:15">
      <c r="A564" s="6">
        <v>41534</v>
      </c>
      <c r="B564" s="7" t="s">
        <v>32</v>
      </c>
      <c r="C564">
        <v>32</v>
      </c>
      <c r="D564" t="s">
        <v>29</v>
      </c>
      <c r="E564">
        <v>187</v>
      </c>
      <c r="F564">
        <v>0.57999999999999996</v>
      </c>
      <c r="N564" t="str">
        <f t="shared" si="9"/>
        <v>NA</v>
      </c>
      <c r="O564">
        <f>IF(AND(OR(D564="S. acutus",D564="S. californicus",D564="S. tabernaemontani"),G564=0),E564*[1]Sheet1!$D$7+[1]Sheet1!$L$7,IF(AND(OR(D564="S. acutus",D564="S. tabernaemontani"),G564&gt;0),E564*[1]Sheet1!$D$8+N564*[1]Sheet1!$E$8,IF(AND(D564="S. californicus",G564&gt;0),E564*[1]Sheet1!$D$9+N564*[1]Sheet1!$E$9,IF(D564="S. maritimus",F564*[1]Sheet1!$C$10+E564*[1]Sheet1!$D$10+G564*[1]Sheet1!$F$10+[1]Sheet1!$L$10,IF(D564="S. americanus",F564*[1]Sheet1!$C$6+E564*[1]Sheet1!$D$6+[1]Sheet1!$L$6,IF(AND(OR(D564="T. domingensis",D564="T. latifolia"),E564&gt;0),F564*[1]Sheet1!$C$4+E564*[1]Sheet1!$D$4+H564*[1]Sheet1!$J$4+I564*[1]Sheet1!$K$4+[1]Sheet1!$L$4,IF(AND(OR(D564="T. domingensis",D564="T. latifolia"),J564&gt;0),J564*[1]Sheet1!$G$5+K564*[1]Sheet1!$H$5+L564*[1]Sheet1!$I$5+[1]Sheet1!$L$5,0)))))))</f>
        <v>2.6948060620000001</v>
      </c>
    </row>
    <row r="565" spans="1:15">
      <c r="A565" s="6">
        <v>41534</v>
      </c>
      <c r="B565" s="7" t="s">
        <v>32</v>
      </c>
      <c r="C565">
        <v>32</v>
      </c>
      <c r="D565" t="s">
        <v>29</v>
      </c>
      <c r="E565">
        <v>272</v>
      </c>
      <c r="F565">
        <v>0.85</v>
      </c>
      <c r="N565" t="str">
        <f t="shared" si="9"/>
        <v>NA</v>
      </c>
      <c r="O565">
        <f>IF(AND(OR(D565="S. acutus",D565="S. californicus",D565="S. tabernaemontani"),G565=0),E565*[1]Sheet1!$D$7+[1]Sheet1!$L$7,IF(AND(OR(D565="S. acutus",D565="S. tabernaemontani"),G565&gt;0),E565*[1]Sheet1!$D$8+N565*[1]Sheet1!$E$8,IF(AND(D565="S. californicus",G565&gt;0),E565*[1]Sheet1!$D$9+N565*[1]Sheet1!$E$9,IF(D565="S. maritimus",F565*[1]Sheet1!$C$10+E565*[1]Sheet1!$D$10+G565*[1]Sheet1!$F$10+[1]Sheet1!$L$10,IF(D565="S. americanus",F565*[1]Sheet1!$C$6+E565*[1]Sheet1!$D$6+[1]Sheet1!$L$6,IF(AND(OR(D565="T. domingensis",D565="T. latifolia"),E565&gt;0),F565*[1]Sheet1!$C$4+E565*[1]Sheet1!$D$4+H565*[1]Sheet1!$J$4+I565*[1]Sheet1!$K$4+[1]Sheet1!$L$4,IF(AND(OR(D565="T. domingensis",D565="T. latifolia"),J565&gt;0),J565*[1]Sheet1!$G$5+K565*[1]Sheet1!$H$5+L565*[1]Sheet1!$I$5+[1]Sheet1!$L$5,0)))))))</f>
        <v>4.9868429649999992</v>
      </c>
    </row>
    <row r="566" spans="1:15">
      <c r="A566" s="6">
        <v>41534</v>
      </c>
      <c r="B566" s="7" t="s">
        <v>32</v>
      </c>
      <c r="C566">
        <v>32</v>
      </c>
      <c r="D566" t="s">
        <v>29</v>
      </c>
      <c r="E566">
        <v>213</v>
      </c>
      <c r="F566">
        <v>0.57999999999999996</v>
      </c>
      <c r="N566" t="str">
        <f t="shared" si="9"/>
        <v>NA</v>
      </c>
      <c r="O566">
        <f>IF(AND(OR(D566="S. acutus",D566="S. californicus",D566="S. tabernaemontani"),G566=0),E566*[1]Sheet1!$D$7+[1]Sheet1!$L$7,IF(AND(OR(D566="S. acutus",D566="S. tabernaemontani"),G566&gt;0),E566*[1]Sheet1!$D$8+N566*[1]Sheet1!$E$8,IF(AND(D566="S. californicus",G566&gt;0),E566*[1]Sheet1!$D$9+N566*[1]Sheet1!$E$9,IF(D566="S. maritimus",F566*[1]Sheet1!$C$10+E566*[1]Sheet1!$D$10+G566*[1]Sheet1!$F$10+[1]Sheet1!$L$10,IF(D566="S. americanus",F566*[1]Sheet1!$C$6+E566*[1]Sheet1!$D$6+[1]Sheet1!$L$6,IF(AND(OR(D566="T. domingensis",D566="T. latifolia"),E566&gt;0),F566*[1]Sheet1!$C$4+E566*[1]Sheet1!$D$4+H566*[1]Sheet1!$J$4+I566*[1]Sheet1!$K$4+[1]Sheet1!$L$4,IF(AND(OR(D566="T. domingensis",D566="T. latifolia"),J566&gt;0),J566*[1]Sheet1!$G$5+K566*[1]Sheet1!$H$5+L566*[1]Sheet1!$I$5+[1]Sheet1!$L$5,0)))))))</f>
        <v>3.1025042619999996</v>
      </c>
    </row>
    <row r="567" spans="1:15">
      <c r="A567" s="6">
        <v>41534</v>
      </c>
      <c r="B567" s="7" t="s">
        <v>32</v>
      </c>
      <c r="C567">
        <v>32</v>
      </c>
      <c r="D567" t="s">
        <v>29</v>
      </c>
      <c r="E567">
        <v>178</v>
      </c>
      <c r="F567">
        <v>0.53</v>
      </c>
      <c r="N567" t="str">
        <f t="shared" si="9"/>
        <v>NA</v>
      </c>
      <c r="O567">
        <f>IF(AND(OR(D567="S. acutus",D567="S. californicus",D567="S. tabernaemontani"),G567=0),E567*[1]Sheet1!$D$7+[1]Sheet1!$L$7,IF(AND(OR(D567="S. acutus",D567="S. tabernaemontani"),G567&gt;0),E567*[1]Sheet1!$D$8+N567*[1]Sheet1!$E$8,IF(AND(D567="S. californicus",G567&gt;0),E567*[1]Sheet1!$D$9+N567*[1]Sheet1!$E$9,IF(D567="S. maritimus",F567*[1]Sheet1!$C$10+E567*[1]Sheet1!$D$10+G567*[1]Sheet1!$F$10+[1]Sheet1!$L$10,IF(D567="S. americanus",F567*[1]Sheet1!$C$6+E567*[1]Sheet1!$D$6+[1]Sheet1!$L$6,IF(AND(OR(D567="T. domingensis",D567="T. latifolia"),E567&gt;0),F567*[1]Sheet1!$C$4+E567*[1]Sheet1!$D$4+H567*[1]Sheet1!$J$4+I567*[1]Sheet1!$K$4+[1]Sheet1!$L$4,IF(AND(OR(D567="T. domingensis",D567="T. latifolia"),J567&gt;0),J567*[1]Sheet1!$G$5+K567*[1]Sheet1!$H$5+L567*[1]Sheet1!$I$5+[1]Sheet1!$L$5,0)))))))</f>
        <v>2.3760543169999999</v>
      </c>
    </row>
    <row r="568" spans="1:15">
      <c r="A568" s="6">
        <v>41534</v>
      </c>
      <c r="B568" s="7" t="s">
        <v>32</v>
      </c>
      <c r="C568">
        <v>32</v>
      </c>
      <c r="D568" t="s">
        <v>29</v>
      </c>
      <c r="E568">
        <v>159</v>
      </c>
      <c r="F568">
        <v>0.6</v>
      </c>
      <c r="N568" t="str">
        <f t="shared" si="9"/>
        <v>NA</v>
      </c>
      <c r="O568">
        <f>IF(AND(OR(D568="S. acutus",D568="S. californicus",D568="S. tabernaemontani"),G568=0),E568*[1]Sheet1!$D$7+[1]Sheet1!$L$7,IF(AND(OR(D568="S. acutus",D568="S. tabernaemontani"),G568&gt;0),E568*[1]Sheet1!$D$8+N568*[1]Sheet1!$E$8,IF(AND(D568="S. californicus",G568&gt;0),E568*[1]Sheet1!$D$9+N568*[1]Sheet1!$E$9,IF(D568="S. maritimus",F568*[1]Sheet1!$C$10+E568*[1]Sheet1!$D$10+G568*[1]Sheet1!$F$10+[1]Sheet1!$L$10,IF(D568="S. americanus",F568*[1]Sheet1!$C$6+E568*[1]Sheet1!$D$6+[1]Sheet1!$L$6,IF(AND(OR(D568="T. domingensis",D568="T. latifolia"),E568&gt;0),F568*[1]Sheet1!$C$4+E568*[1]Sheet1!$D$4+H568*[1]Sheet1!$J$4+I568*[1]Sheet1!$K$4+[1]Sheet1!$L$4,IF(AND(OR(D568="T. domingensis",D568="T. latifolia"),J568&gt;0),J568*[1]Sheet1!$G$5+K568*[1]Sheet1!$H$5+L568*[1]Sheet1!$I$5+[1]Sheet1!$L$5,0)))))))</f>
        <v>2.32679664</v>
      </c>
    </row>
    <row r="569" spans="1:15">
      <c r="A569" s="6">
        <v>41534</v>
      </c>
      <c r="B569" s="7" t="s">
        <v>32</v>
      </c>
      <c r="C569">
        <v>32</v>
      </c>
      <c r="D569" t="s">
        <v>29</v>
      </c>
      <c r="E569">
        <v>213</v>
      </c>
      <c r="F569">
        <v>0.69</v>
      </c>
      <c r="N569" t="str">
        <f t="shared" si="9"/>
        <v>NA</v>
      </c>
      <c r="O569">
        <f>IF(AND(OR(D569="S. acutus",D569="S. californicus",D569="S. tabernaemontani"),G569=0),E569*[1]Sheet1!$D$7+[1]Sheet1!$L$7,IF(AND(OR(D569="S. acutus",D569="S. tabernaemontani"),G569&gt;0),E569*[1]Sheet1!$D$8+N569*[1]Sheet1!$E$8,IF(AND(D569="S. californicus",G569&gt;0),E569*[1]Sheet1!$D$9+N569*[1]Sheet1!$E$9,IF(D569="S. maritimus",F569*[1]Sheet1!$C$10+E569*[1]Sheet1!$D$10+G569*[1]Sheet1!$F$10+[1]Sheet1!$L$10,IF(D569="S. americanus",F569*[1]Sheet1!$C$6+E569*[1]Sheet1!$D$6+[1]Sheet1!$L$6,IF(AND(OR(D569="T. domingensis",D569="T. latifolia"),E569&gt;0),F569*[1]Sheet1!$C$4+E569*[1]Sheet1!$D$4+H569*[1]Sheet1!$J$4+I569*[1]Sheet1!$K$4+[1]Sheet1!$L$4,IF(AND(OR(D569="T. domingensis",D569="T. latifolia"),J569&gt;0),J569*[1]Sheet1!$G$5+K569*[1]Sheet1!$H$5+L569*[1]Sheet1!$I$5+[1]Sheet1!$L$5,0)))))))</f>
        <v>3.4932802409999995</v>
      </c>
    </row>
    <row r="570" spans="1:15">
      <c r="A570" s="6">
        <v>41534</v>
      </c>
      <c r="B570" s="7" t="s">
        <v>32</v>
      </c>
      <c r="C570">
        <v>32</v>
      </c>
      <c r="D570" t="s">
        <v>29</v>
      </c>
      <c r="E570">
        <v>95</v>
      </c>
      <c r="F570">
        <v>0.72</v>
      </c>
      <c r="N570" t="str">
        <f t="shared" si="9"/>
        <v>NA</v>
      </c>
      <c r="O570">
        <f>IF(AND(OR(D570="S. acutus",D570="S. californicus",D570="S. tabernaemontani"),G570=0),E570*[1]Sheet1!$D$7+[1]Sheet1!$L$7,IF(AND(OR(D570="S. acutus",D570="S. tabernaemontani"),G570&gt;0),E570*[1]Sheet1!$D$8+N570*[1]Sheet1!$E$8,IF(AND(D570="S. californicus",G570&gt;0),E570*[1]Sheet1!$D$9+N570*[1]Sheet1!$E$9,IF(D570="S. maritimus",F570*[1]Sheet1!$C$10+E570*[1]Sheet1!$D$10+G570*[1]Sheet1!$F$10+[1]Sheet1!$L$10,IF(D570="S. americanus",F570*[1]Sheet1!$C$6+E570*[1]Sheet1!$D$6+[1]Sheet1!$L$6,IF(AND(OR(D570="T. domingensis",D570="T. latifolia"),E570&gt;0),F570*[1]Sheet1!$C$4+E570*[1]Sheet1!$D$4+H570*[1]Sheet1!$J$4+I570*[1]Sheet1!$K$4+[1]Sheet1!$L$4,IF(AND(OR(D570="T. domingensis",D570="T. latifolia"),J570&gt;0),J570*[1]Sheet1!$G$5+K570*[1]Sheet1!$H$5+L570*[1]Sheet1!$I$5+[1]Sheet1!$L$5,0)))))))</f>
        <v>1.7495329079999995</v>
      </c>
    </row>
    <row r="571" spans="1:15">
      <c r="A571" s="6">
        <v>41534</v>
      </c>
      <c r="B571" s="7" t="s">
        <v>32</v>
      </c>
      <c r="C571">
        <v>32</v>
      </c>
      <c r="D571" t="s">
        <v>29</v>
      </c>
      <c r="E571">
        <v>227</v>
      </c>
      <c r="F571">
        <v>0.72</v>
      </c>
      <c r="N571" t="str">
        <f t="shared" si="9"/>
        <v>NA</v>
      </c>
      <c r="O571">
        <f>IF(AND(OR(D571="S. acutus",D571="S. californicus",D571="S. tabernaemontani"),G571=0),E571*[1]Sheet1!$D$7+[1]Sheet1!$L$7,IF(AND(OR(D571="S. acutus",D571="S. tabernaemontani"),G571&gt;0),E571*[1]Sheet1!$D$8+N571*[1]Sheet1!$E$8,IF(AND(D571="S. californicus",G571&gt;0),E571*[1]Sheet1!$D$9+N571*[1]Sheet1!$E$9,IF(D571="S. maritimus",F571*[1]Sheet1!$C$10+E571*[1]Sheet1!$D$10+G571*[1]Sheet1!$F$10+[1]Sheet1!$L$10,IF(D571="S. americanus",F571*[1]Sheet1!$C$6+E571*[1]Sheet1!$D$6+[1]Sheet1!$L$6,IF(AND(OR(D571="T. domingensis",D571="T. latifolia"),E571&gt;0),F571*[1]Sheet1!$C$4+E571*[1]Sheet1!$D$4+H571*[1]Sheet1!$J$4+I571*[1]Sheet1!$K$4+[1]Sheet1!$L$4,IF(AND(OR(D571="T. domingensis",D571="T. latifolia"),J571&gt;0),J571*[1]Sheet1!$G$5+K571*[1]Sheet1!$H$5+L571*[1]Sheet1!$I$5+[1]Sheet1!$L$5,0)))))))</f>
        <v>3.8193853079999998</v>
      </c>
    </row>
    <row r="572" spans="1:15">
      <c r="A572" s="6">
        <v>41534</v>
      </c>
      <c r="B572" s="7" t="s">
        <v>32</v>
      </c>
      <c r="C572">
        <v>32</v>
      </c>
      <c r="D572" t="s">
        <v>29</v>
      </c>
      <c r="E572">
        <v>165</v>
      </c>
      <c r="F572">
        <v>0.7</v>
      </c>
      <c r="N572" t="str">
        <f t="shared" si="9"/>
        <v>NA</v>
      </c>
      <c r="O572">
        <f>IF(AND(OR(D572="S. acutus",D572="S. californicus",D572="S. tabernaemontani"),G572=0),E572*[1]Sheet1!$D$7+[1]Sheet1!$L$7,IF(AND(OR(D572="S. acutus",D572="S. tabernaemontani"),G572&gt;0),E572*[1]Sheet1!$D$8+N572*[1]Sheet1!$E$8,IF(AND(D572="S. californicus",G572&gt;0),E572*[1]Sheet1!$D$9+N572*[1]Sheet1!$E$9,IF(D572="S. maritimus",F572*[1]Sheet1!$C$10+E572*[1]Sheet1!$D$10+G572*[1]Sheet1!$F$10+[1]Sheet1!$L$10,IF(D572="S. americanus",F572*[1]Sheet1!$C$6+E572*[1]Sheet1!$D$6+[1]Sheet1!$L$6,IF(AND(OR(D572="T. domingensis",D572="T. latifolia"),E572&gt;0),F572*[1]Sheet1!$C$4+E572*[1]Sheet1!$D$4+H572*[1]Sheet1!$J$4+I572*[1]Sheet1!$K$4+[1]Sheet1!$L$4,IF(AND(OR(D572="T. domingensis",D572="T. latifolia"),J572&gt;0),J572*[1]Sheet1!$G$5+K572*[1]Sheet1!$H$5+L572*[1]Sheet1!$I$5+[1]Sheet1!$L$5,0)))))))</f>
        <v>2.7761317299999999</v>
      </c>
    </row>
    <row r="573" spans="1:15">
      <c r="A573" s="6">
        <v>41534</v>
      </c>
      <c r="B573" s="7" t="s">
        <v>32</v>
      </c>
      <c r="C573">
        <v>32</v>
      </c>
      <c r="D573" t="s">
        <v>23</v>
      </c>
      <c r="E573">
        <v>323</v>
      </c>
      <c r="F573">
        <v>2.96</v>
      </c>
      <c r="H573">
        <v>44</v>
      </c>
      <c r="I573">
        <v>2.4</v>
      </c>
      <c r="N573" t="str">
        <f t="shared" si="9"/>
        <v>NA</v>
      </c>
      <c r="O573">
        <f>IF(AND(OR(D573="S. acutus",D573="S. californicus",D573="S. tabernaemontani"),G573=0),E573*[1]Sheet1!$D$7+[1]Sheet1!$L$7,IF(AND(OR(D573="S. acutus",D573="S. tabernaemontani"),G573&gt;0),E573*[1]Sheet1!$D$8+N573*[1]Sheet1!$E$8,IF(AND(D573="S. californicus",G573&gt;0),E573*[1]Sheet1!$D$9+N573*[1]Sheet1!$E$9,IF(D573="S. maritimus",F573*[1]Sheet1!$C$10+E573*[1]Sheet1!$D$10+G573*[1]Sheet1!$F$10+[1]Sheet1!$L$10,IF(D573="S. americanus",F573*[1]Sheet1!$C$6+E573*[1]Sheet1!$D$6+[1]Sheet1!$L$6,IF(AND(OR(D573="T. domingensis",D573="T. latifolia"),E573&gt;0),F573*[1]Sheet1!$C$4+E573*[1]Sheet1!$D$4+H573*[1]Sheet1!$J$4+I573*[1]Sheet1!$K$4+[1]Sheet1!$L$4,IF(AND(OR(D573="T. domingensis",D573="T. latifolia"),J573&gt;0),J573*[1]Sheet1!$G$5+K573*[1]Sheet1!$H$5+L573*[1]Sheet1!$I$5+[1]Sheet1!$L$5,0)))))))</f>
        <v>139.85587291999997</v>
      </c>
    </row>
    <row r="574" spans="1:15">
      <c r="A574" s="6">
        <v>41534</v>
      </c>
      <c r="B574" s="7" t="s">
        <v>32</v>
      </c>
      <c r="C574">
        <v>32</v>
      </c>
      <c r="D574" t="s">
        <v>23</v>
      </c>
      <c r="F574">
        <v>2.87</v>
      </c>
      <c r="J574">
        <f>172+240+298+307+317</f>
        <v>1334</v>
      </c>
      <c r="K574">
        <v>5</v>
      </c>
      <c r="L574">
        <v>317</v>
      </c>
      <c r="N574" t="str">
        <f t="shared" si="9"/>
        <v>NA</v>
      </c>
      <c r="O574">
        <f>IF(AND(OR(D574="S. acutus",D574="S. californicus",D574="S. tabernaemontani"),G574=0),E574*[1]Sheet1!$D$7+[1]Sheet1!$L$7,IF(AND(OR(D574="S. acutus",D574="S. tabernaemontani"),G574&gt;0),E574*[1]Sheet1!$D$8+N574*[1]Sheet1!$E$8,IF(AND(D574="S. californicus",G574&gt;0),E574*[1]Sheet1!$D$9+N574*[1]Sheet1!$E$9,IF(D574="S. maritimus",F574*[1]Sheet1!$C$10+E574*[1]Sheet1!$D$10+G574*[1]Sheet1!$F$10+[1]Sheet1!$L$10,IF(D574="S. americanus",F574*[1]Sheet1!$C$6+E574*[1]Sheet1!$D$6+[1]Sheet1!$L$6,IF(AND(OR(D574="T. domingensis",D574="T. latifolia"),E574&gt;0),F574*[1]Sheet1!$C$4+E574*[1]Sheet1!$D$4+H574*[1]Sheet1!$J$4+I574*[1]Sheet1!$K$4+[1]Sheet1!$L$4,IF(AND(OR(D574="T. domingensis",D574="T. latifolia"),J574&gt;0),J574*[1]Sheet1!$G$5+K574*[1]Sheet1!$H$5+L574*[1]Sheet1!$I$5+[1]Sheet1!$L$5,0)))))))</f>
        <v>27.499723999999993</v>
      </c>
    </row>
    <row r="575" spans="1:15">
      <c r="A575" s="6">
        <v>41534</v>
      </c>
      <c r="B575" s="7" t="s">
        <v>32</v>
      </c>
      <c r="C575">
        <v>32</v>
      </c>
      <c r="D575" t="s">
        <v>23</v>
      </c>
      <c r="E575">
        <v>329</v>
      </c>
      <c r="F575">
        <v>2.94</v>
      </c>
      <c r="H575">
        <v>46</v>
      </c>
      <c r="I575">
        <v>2.9</v>
      </c>
      <c r="N575" t="str">
        <f t="shared" si="9"/>
        <v>NA</v>
      </c>
      <c r="O575">
        <f>IF(AND(OR(D575="S. acutus",D575="S. californicus",D575="S. tabernaemontani"),G575=0),E575*[1]Sheet1!$D$7+[1]Sheet1!$L$7,IF(AND(OR(D575="S. acutus",D575="S. tabernaemontani"),G575&gt;0),E575*[1]Sheet1!$D$8+N575*[1]Sheet1!$E$8,IF(AND(D575="S. californicus",G575&gt;0),E575*[1]Sheet1!$D$9+N575*[1]Sheet1!$E$9,IF(D575="S. maritimus",F575*[1]Sheet1!$C$10+E575*[1]Sheet1!$D$10+G575*[1]Sheet1!$F$10+[1]Sheet1!$L$10,IF(D575="S. americanus",F575*[1]Sheet1!$C$6+E575*[1]Sheet1!$D$6+[1]Sheet1!$L$6,IF(AND(OR(D575="T. domingensis",D575="T. latifolia"),E575&gt;0),F575*[1]Sheet1!$C$4+E575*[1]Sheet1!$D$4+H575*[1]Sheet1!$J$4+I575*[1]Sheet1!$K$4+[1]Sheet1!$L$4,IF(AND(OR(D575="T. domingensis",D575="T. latifolia"),J575&gt;0),J575*[1]Sheet1!$G$5+K575*[1]Sheet1!$H$5+L575*[1]Sheet1!$I$5+[1]Sheet1!$L$5,0)))))))</f>
        <v>151.89216618</v>
      </c>
    </row>
    <row r="576" spans="1:15">
      <c r="A576" s="6">
        <v>41534</v>
      </c>
      <c r="B576" s="7" t="s">
        <v>32</v>
      </c>
      <c r="C576">
        <v>54</v>
      </c>
      <c r="M576" t="s">
        <v>21</v>
      </c>
      <c r="N576" t="str">
        <f t="shared" si="9"/>
        <v>NA</v>
      </c>
      <c r="O576">
        <f>IF(AND(OR(D576="S. acutus",D576="S. californicus",D576="S. tabernaemontani"),G576=0),E576*[1]Sheet1!$D$7+[1]Sheet1!$L$7,IF(AND(OR(D576="S. acutus",D576="S. tabernaemontani"),G576&gt;0),E576*[1]Sheet1!$D$8+N576*[1]Sheet1!$E$8,IF(AND(D576="S. californicus",G576&gt;0),E576*[1]Sheet1!$D$9+N576*[1]Sheet1!$E$9,IF(D576="S. maritimus",F576*[1]Sheet1!$C$10+E576*[1]Sheet1!$D$10+G576*[1]Sheet1!$F$10+[1]Sheet1!$L$10,IF(D576="S. americanus",F576*[1]Sheet1!$C$6+E576*[1]Sheet1!$D$6+[1]Sheet1!$L$6,IF(AND(OR(D576="T. domingensis",D576="T. latifolia"),E576&gt;0),F576*[1]Sheet1!$C$4+E576*[1]Sheet1!$D$4+H576*[1]Sheet1!$J$4+I576*[1]Sheet1!$K$4+[1]Sheet1!$L$4,IF(AND(OR(D576="T. domingensis",D576="T. latifolia"),J576&gt;0),J576*[1]Sheet1!$G$5+K576*[1]Sheet1!$H$5+L576*[1]Sheet1!$I$5+[1]Sheet1!$L$5,0)))))))</f>
        <v>0</v>
      </c>
    </row>
    <row r="577" spans="1:2">
      <c r="A577" s="6"/>
    </row>
    <row r="578" spans="1:2">
      <c r="A578" s="6"/>
    </row>
    <row r="579" spans="1:2">
      <c r="A579" s="6"/>
    </row>
    <row r="580" spans="1:2">
      <c r="A580" s="6"/>
      <c r="B580" s="7" t="s">
        <v>36</v>
      </c>
    </row>
    <row r="581" spans="1:2">
      <c r="A581" s="6"/>
    </row>
    <row r="582" spans="1:2">
      <c r="A582" s="6"/>
    </row>
    <row r="583" spans="1:2">
      <c r="A583" s="6"/>
    </row>
    <row r="584" spans="1:2">
      <c r="A584" s="6"/>
    </row>
    <row r="585" spans="1:2">
      <c r="A585" s="6"/>
    </row>
    <row r="586" spans="1:2">
      <c r="A586" s="6"/>
    </row>
    <row r="587" spans="1:2">
      <c r="A587" s="6"/>
    </row>
    <row r="588" spans="1:2">
      <c r="A588" s="6"/>
    </row>
    <row r="589" spans="1:2">
      <c r="A589" s="6"/>
    </row>
    <row r="590" spans="1:2">
      <c r="A590" s="6"/>
    </row>
    <row r="591" spans="1:2">
      <c r="A591" s="6"/>
    </row>
    <row r="592" spans="1:2">
      <c r="A592" s="6"/>
    </row>
    <row r="593" spans="1:1">
      <c r="A593" s="6"/>
    </row>
    <row r="594" spans="1:1">
      <c r="A594" s="6"/>
    </row>
    <row r="595" spans="1:1">
      <c r="A595" s="6"/>
    </row>
    <row r="596" spans="1:1">
      <c r="A596" s="6"/>
    </row>
    <row r="597" spans="1:1">
      <c r="A597" s="6"/>
    </row>
    <row r="598" spans="1:1">
      <c r="A598" s="6"/>
    </row>
    <row r="599" spans="1:1">
      <c r="A599" s="6"/>
    </row>
    <row r="600" spans="1:1">
      <c r="A600" s="6"/>
    </row>
    <row r="601" spans="1:1">
      <c r="A601" s="6"/>
    </row>
    <row r="602" spans="1:1">
      <c r="A602" s="6"/>
    </row>
    <row r="603" spans="1:1">
      <c r="A603" s="6"/>
    </row>
    <row r="604" spans="1:1">
      <c r="A604" s="6"/>
    </row>
    <row r="605" spans="1:1">
      <c r="A605" s="6"/>
    </row>
    <row r="606" spans="1:1">
      <c r="A606" s="6"/>
    </row>
    <row r="607" spans="1:1">
      <c r="A607" s="6"/>
    </row>
    <row r="608" spans="1:1">
      <c r="A608" s="6"/>
    </row>
    <row r="609" spans="1:1">
      <c r="A609" s="6"/>
    </row>
    <row r="610" spans="1:1">
      <c r="A610" s="6"/>
    </row>
    <row r="611" spans="1:1">
      <c r="A611" s="6"/>
    </row>
    <row r="612" spans="1:1">
      <c r="A612" s="6"/>
    </row>
    <row r="613" spans="1:1">
      <c r="A613" s="6"/>
    </row>
    <row r="614" spans="1:1">
      <c r="A614" s="6"/>
    </row>
    <row r="615" spans="1:1">
      <c r="A615" s="6"/>
    </row>
    <row r="616" spans="1:1">
      <c r="A616" s="6"/>
    </row>
    <row r="617" spans="1:1">
      <c r="A617" s="6"/>
    </row>
    <row r="618" spans="1:1">
      <c r="A618" s="6"/>
    </row>
    <row r="619" spans="1:1">
      <c r="A619" s="6"/>
    </row>
    <row r="620" spans="1:1">
      <c r="A620" s="6"/>
    </row>
    <row r="621" spans="1:1">
      <c r="A621" s="6"/>
    </row>
    <row r="622" spans="1:1">
      <c r="A622" s="6"/>
    </row>
    <row r="623" spans="1:1">
      <c r="A623" s="6"/>
    </row>
    <row r="624" spans="1:1">
      <c r="A624" s="6"/>
    </row>
    <row r="625" spans="1:1">
      <c r="A625" s="6"/>
    </row>
    <row r="626" spans="1:1">
      <c r="A626" s="6"/>
    </row>
    <row r="627" spans="1:1">
      <c r="A627" s="6"/>
    </row>
    <row r="628" spans="1:1">
      <c r="A628" s="6"/>
    </row>
    <row r="629" spans="1:1">
      <c r="A629" s="6"/>
    </row>
    <row r="630" spans="1:1">
      <c r="A630" s="6"/>
    </row>
    <row r="631" spans="1:1">
      <c r="A631" s="6"/>
    </row>
    <row r="632" spans="1:1">
      <c r="A632" s="6"/>
    </row>
    <row r="633" spans="1:1">
      <c r="A633" s="6"/>
    </row>
    <row r="634" spans="1:1">
      <c r="A634" s="6"/>
    </row>
    <row r="635" spans="1:1">
      <c r="A635" s="6"/>
    </row>
    <row r="636" spans="1:1">
      <c r="A636" s="6"/>
    </row>
    <row r="637" spans="1:1">
      <c r="A637" s="6"/>
    </row>
    <row r="638" spans="1:1">
      <c r="A638" s="6"/>
    </row>
    <row r="639" spans="1:1">
      <c r="A639" s="6"/>
    </row>
    <row r="640" spans="1:1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  <row r="647" spans="1:1">
      <c r="A647" s="6"/>
    </row>
    <row r="648" spans="1:1">
      <c r="A648" s="6"/>
    </row>
    <row r="649" spans="1:1">
      <c r="A649" s="6"/>
    </row>
    <row r="650" spans="1:1">
      <c r="A650" s="6"/>
    </row>
    <row r="651" spans="1:1">
      <c r="A651" s="6"/>
    </row>
    <row r="652" spans="1:1">
      <c r="A652" s="6"/>
    </row>
    <row r="653" spans="1:1">
      <c r="A653" s="6"/>
    </row>
    <row r="654" spans="1:1">
      <c r="A654" s="6"/>
    </row>
    <row r="655" spans="1:1">
      <c r="A655" s="6"/>
    </row>
    <row r="656" spans="1:1">
      <c r="A656" s="6"/>
    </row>
    <row r="657" spans="1:1">
      <c r="A657" s="6"/>
    </row>
    <row r="658" spans="1:1">
      <c r="A658" s="6"/>
    </row>
    <row r="659" spans="1:1">
      <c r="A659" s="6"/>
    </row>
    <row r="660" spans="1:1">
      <c r="A660" s="6"/>
    </row>
    <row r="661" spans="1:1">
      <c r="A661" s="6"/>
    </row>
    <row r="662" spans="1:1">
      <c r="A662" s="6"/>
    </row>
    <row r="663" spans="1:1">
      <c r="A663" s="6"/>
    </row>
    <row r="664" spans="1:1">
      <c r="A664" s="6"/>
    </row>
    <row r="665" spans="1:1">
      <c r="A665" s="6"/>
    </row>
    <row r="666" spans="1:1">
      <c r="A666" s="6"/>
    </row>
    <row r="667" spans="1:1">
      <c r="A667" s="6"/>
    </row>
    <row r="668" spans="1:1">
      <c r="A668" s="6"/>
    </row>
    <row r="669" spans="1:1">
      <c r="A669" s="6"/>
    </row>
    <row r="670" spans="1:1">
      <c r="A670" s="6"/>
    </row>
    <row r="671" spans="1:1">
      <c r="A671" s="6"/>
    </row>
    <row r="672" spans="1:1">
      <c r="A672" s="6"/>
    </row>
    <row r="673" spans="1:1">
      <c r="A673" s="6"/>
    </row>
    <row r="674" spans="1:1">
      <c r="A674" s="6"/>
    </row>
    <row r="675" spans="1:1">
      <c r="A675" s="6"/>
    </row>
    <row r="676" spans="1:1">
      <c r="A676" s="6"/>
    </row>
    <row r="677" spans="1:1">
      <c r="A677" s="6"/>
    </row>
    <row r="678" spans="1:1">
      <c r="A678" s="6"/>
    </row>
    <row r="679" spans="1:1">
      <c r="A679" s="6"/>
    </row>
    <row r="680" spans="1:1">
      <c r="A680" s="6"/>
    </row>
    <row r="681" spans="1:1">
      <c r="A681" s="6"/>
    </row>
    <row r="682" spans="1:1">
      <c r="A682" s="6"/>
    </row>
    <row r="683" spans="1:1">
      <c r="A683" s="6"/>
    </row>
    <row r="684" spans="1:1">
      <c r="A684" s="6"/>
    </row>
    <row r="685" spans="1:1">
      <c r="A685" s="6"/>
    </row>
    <row r="686" spans="1:1">
      <c r="A686" s="6"/>
    </row>
    <row r="687" spans="1:1">
      <c r="A687" s="6"/>
    </row>
    <row r="688" spans="1:1">
      <c r="A688" s="6"/>
    </row>
    <row r="689" spans="1:1">
      <c r="A689" s="6"/>
    </row>
    <row r="690" spans="1:1">
      <c r="A690" s="6"/>
    </row>
    <row r="691" spans="1:1">
      <c r="A691" s="6"/>
    </row>
    <row r="692" spans="1:1">
      <c r="A692" s="6"/>
    </row>
    <row r="693" spans="1:1">
      <c r="A693" s="6"/>
    </row>
    <row r="694" spans="1:1">
      <c r="A694" s="6"/>
    </row>
    <row r="695" spans="1:1">
      <c r="A695" s="6"/>
    </row>
    <row r="696" spans="1:1">
      <c r="A696" s="6"/>
    </row>
    <row r="697" spans="1:1">
      <c r="A697" s="6"/>
    </row>
    <row r="698" spans="1:1">
      <c r="A698" s="6"/>
    </row>
    <row r="699" spans="1:1">
      <c r="A699" s="6"/>
    </row>
    <row r="700" spans="1:1">
      <c r="A700" s="6"/>
    </row>
    <row r="701" spans="1:1">
      <c r="A701" s="6"/>
    </row>
    <row r="702" spans="1:1">
      <c r="A702" s="6"/>
    </row>
    <row r="703" spans="1:1">
      <c r="A703" s="6"/>
    </row>
    <row r="704" spans="1:1">
      <c r="A704" s="6"/>
    </row>
    <row r="705" spans="1:1">
      <c r="A705" s="6"/>
    </row>
    <row r="706" spans="1:1">
      <c r="A706" s="6"/>
    </row>
    <row r="707" spans="1:1">
      <c r="A707" s="6"/>
    </row>
    <row r="708" spans="1:1">
      <c r="A708" s="6"/>
    </row>
    <row r="709" spans="1:1">
      <c r="A709" s="6"/>
    </row>
    <row r="710" spans="1:1">
      <c r="A710" s="6"/>
    </row>
    <row r="711" spans="1:1">
      <c r="A711" s="6"/>
    </row>
    <row r="712" spans="1:1">
      <c r="A712" s="6"/>
    </row>
    <row r="713" spans="1:1">
      <c r="A713" s="6"/>
    </row>
    <row r="714" spans="1:1">
      <c r="A714" s="6"/>
    </row>
    <row r="715" spans="1:1">
      <c r="A715" s="6"/>
    </row>
    <row r="716" spans="1:1">
      <c r="A716" s="6"/>
    </row>
    <row r="717" spans="1:1">
      <c r="A717" s="6"/>
    </row>
    <row r="718" spans="1:1">
      <c r="A718" s="6"/>
    </row>
    <row r="719" spans="1:1">
      <c r="A719" s="6"/>
    </row>
    <row r="720" spans="1:1">
      <c r="A720" s="6"/>
    </row>
    <row r="721" spans="1:1">
      <c r="A721" s="6"/>
    </row>
    <row r="722" spans="1:1">
      <c r="A722" s="6"/>
    </row>
    <row r="723" spans="1:1">
      <c r="A723" s="6"/>
    </row>
    <row r="724" spans="1:1">
      <c r="A724" s="6"/>
    </row>
    <row r="725" spans="1:1">
      <c r="A725" s="6"/>
    </row>
    <row r="726" spans="1:1">
      <c r="A726" s="6"/>
    </row>
    <row r="727" spans="1:1">
      <c r="A727" s="6"/>
    </row>
    <row r="728" spans="1:1">
      <c r="A728" s="6"/>
    </row>
    <row r="729" spans="1:1">
      <c r="A729" s="6"/>
    </row>
    <row r="730" spans="1:1">
      <c r="A730" s="6"/>
    </row>
    <row r="731" spans="1:1">
      <c r="A731" s="6"/>
    </row>
    <row r="732" spans="1:1">
      <c r="A732" s="6"/>
    </row>
    <row r="733" spans="1:1">
      <c r="A733" s="6"/>
    </row>
    <row r="734" spans="1:1">
      <c r="A734" s="6"/>
    </row>
    <row r="735" spans="1:1">
      <c r="A735" s="6"/>
    </row>
    <row r="736" spans="1:1">
      <c r="A736" s="6"/>
    </row>
    <row r="737" spans="1:1">
      <c r="A737" s="6"/>
    </row>
    <row r="738" spans="1:1">
      <c r="A738" s="6"/>
    </row>
    <row r="739" spans="1:1">
      <c r="A739" s="6"/>
    </row>
    <row r="740" spans="1:1">
      <c r="A740" s="6"/>
    </row>
    <row r="741" spans="1:1">
      <c r="A741" s="6"/>
    </row>
    <row r="742" spans="1:1">
      <c r="A742" s="6"/>
    </row>
    <row r="743" spans="1:1">
      <c r="A743" s="6"/>
    </row>
    <row r="744" spans="1:1">
      <c r="A744" s="6"/>
    </row>
    <row r="745" spans="1:1">
      <c r="A745" s="6"/>
    </row>
    <row r="746" spans="1:1">
      <c r="A746" s="6"/>
    </row>
    <row r="747" spans="1:1">
      <c r="A747" s="6"/>
    </row>
    <row r="748" spans="1:1">
      <c r="A748" s="6"/>
    </row>
    <row r="749" spans="1:1">
      <c r="A749" s="6"/>
    </row>
    <row r="750" spans="1:1">
      <c r="A750" s="6"/>
    </row>
    <row r="751" spans="1:1">
      <c r="A751" s="6"/>
    </row>
    <row r="752" spans="1:1">
      <c r="A752" s="6"/>
    </row>
    <row r="753" spans="1:1">
      <c r="A753" s="6"/>
    </row>
    <row r="754" spans="1:1">
      <c r="A754" s="6"/>
    </row>
    <row r="755" spans="1:1">
      <c r="A755" s="6"/>
    </row>
    <row r="756" spans="1:1">
      <c r="A756" s="6"/>
    </row>
    <row r="757" spans="1:1">
      <c r="A757" s="6"/>
    </row>
    <row r="758" spans="1:1">
      <c r="A758" s="6"/>
    </row>
    <row r="759" spans="1:1">
      <c r="A759" s="6"/>
    </row>
    <row r="760" spans="1:1">
      <c r="A760" s="6"/>
    </row>
    <row r="761" spans="1:1">
      <c r="A761" s="6"/>
    </row>
    <row r="762" spans="1:1">
      <c r="A762" s="6"/>
    </row>
    <row r="763" spans="1:1">
      <c r="A763" s="6"/>
    </row>
    <row r="764" spans="1:1">
      <c r="A764" s="6"/>
    </row>
    <row r="765" spans="1:1">
      <c r="A765" s="6"/>
    </row>
    <row r="766" spans="1:1">
      <c r="A766" s="6"/>
    </row>
    <row r="767" spans="1:1">
      <c r="A767" s="6"/>
    </row>
    <row r="768" spans="1:1">
      <c r="A768" s="6"/>
    </row>
    <row r="769" spans="1:1">
      <c r="A769" s="6"/>
    </row>
    <row r="770" spans="1:1">
      <c r="A770" s="6"/>
    </row>
    <row r="771" spans="1:1">
      <c r="A771" s="6"/>
    </row>
    <row r="772" spans="1:1">
      <c r="A772" s="6"/>
    </row>
    <row r="773" spans="1:1">
      <c r="A773" s="6"/>
    </row>
    <row r="774" spans="1:1">
      <c r="A774" s="6"/>
    </row>
    <row r="775" spans="1:1">
      <c r="A775" s="6"/>
    </row>
    <row r="776" spans="1:1">
      <c r="A776" s="6"/>
    </row>
    <row r="777" spans="1:1">
      <c r="A777" s="6"/>
    </row>
    <row r="778" spans="1:1">
      <c r="A778" s="6"/>
    </row>
    <row r="779" spans="1:1">
      <c r="A779" s="6"/>
    </row>
    <row r="780" spans="1:1">
      <c r="A780" s="6"/>
    </row>
    <row r="781" spans="1:1">
      <c r="A781" s="6"/>
    </row>
    <row r="782" spans="1:1">
      <c r="A782" s="6"/>
    </row>
  </sheetData>
  <sortState ref="A4:Q576">
    <sortCondition ref="B4:B576"/>
    <sortCondition ref="C4:C576"/>
    <sortCondition ref="D4:D576"/>
  </sortState>
  <mergeCells count="2">
    <mergeCell ref="A1:O1"/>
    <mergeCell ref="A2:O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5"/>
  <sheetViews>
    <sheetView tabSelected="1" workbookViewId="0">
      <selection activeCell="C3" sqref="C3"/>
    </sheetView>
  </sheetViews>
  <sheetFormatPr baseColWidth="10" defaultRowHeight="15" x14ac:dyDescent="0"/>
  <cols>
    <col min="3" max="3" width="11.5" customWidth="1"/>
    <col min="4" max="4" width="13.83203125" customWidth="1"/>
    <col min="5" max="5" width="12.5" customWidth="1"/>
    <col min="6" max="7" width="12.1640625" customWidth="1"/>
    <col min="8" max="8" width="14.6640625" customWidth="1"/>
    <col min="9" max="9" width="8.83203125" customWidth="1"/>
    <col min="10" max="10" width="10.1640625" customWidth="1"/>
    <col min="11" max="11" width="13.1640625" customWidth="1"/>
    <col min="12" max="12" width="8.83203125" customWidth="1"/>
    <col min="13" max="13" width="13.5" customWidth="1"/>
    <col min="14" max="14" width="12.6640625" customWidth="1"/>
    <col min="15" max="15" width="8.83203125" customWidth="1"/>
    <col min="16" max="16" width="11.5" customWidth="1"/>
    <col min="17" max="17" width="12.33203125" customWidth="1"/>
    <col min="18" max="18" width="8.83203125" customWidth="1"/>
    <col min="19" max="19" width="12" customWidth="1"/>
    <col min="20" max="20" width="12.83203125" customWidth="1"/>
    <col min="21" max="21" width="8.83203125" customWidth="1"/>
    <col min="22" max="22" width="13.1640625" customWidth="1"/>
    <col min="23" max="23" width="12.33203125" customWidth="1"/>
  </cols>
  <sheetData>
    <row r="1" spans="1:34" ht="20" thickBot="1">
      <c r="A1" s="38" t="s">
        <v>37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8"/>
      <c r="AA1" s="8"/>
    </row>
    <row r="2" spans="1:34" ht="99" thickTop="1">
      <c r="A2" s="9" t="s">
        <v>38</v>
      </c>
      <c r="B2" s="9" t="s">
        <v>4</v>
      </c>
      <c r="C2" s="4" t="s">
        <v>39</v>
      </c>
      <c r="D2" s="10" t="s">
        <v>40</v>
      </c>
      <c r="E2" s="9" t="s">
        <v>41</v>
      </c>
      <c r="F2" s="4" t="s">
        <v>42</v>
      </c>
      <c r="G2" s="4" t="s">
        <v>40</v>
      </c>
      <c r="H2" s="9" t="s">
        <v>43</v>
      </c>
      <c r="I2" s="4" t="s">
        <v>44</v>
      </c>
      <c r="J2" s="4" t="s">
        <v>40</v>
      </c>
      <c r="K2" s="9" t="s">
        <v>45</v>
      </c>
      <c r="L2" s="4" t="s">
        <v>46</v>
      </c>
      <c r="M2" s="11" t="s">
        <v>40</v>
      </c>
      <c r="N2" s="9" t="s">
        <v>47</v>
      </c>
      <c r="O2" s="4" t="s">
        <v>48</v>
      </c>
      <c r="P2" s="4" t="s">
        <v>40</v>
      </c>
      <c r="Q2" s="9" t="s">
        <v>49</v>
      </c>
      <c r="R2" s="4" t="s">
        <v>50</v>
      </c>
      <c r="S2" s="11" t="s">
        <v>40</v>
      </c>
      <c r="T2" s="9" t="s">
        <v>51</v>
      </c>
      <c r="U2" s="4" t="s">
        <v>52</v>
      </c>
      <c r="V2" s="4" t="s">
        <v>40</v>
      </c>
      <c r="W2" s="9" t="s">
        <v>53</v>
      </c>
      <c r="X2" s="9" t="s">
        <v>54</v>
      </c>
      <c r="Y2" s="9" t="s">
        <v>55</v>
      </c>
      <c r="Z2" s="9" t="s">
        <v>56</v>
      </c>
      <c r="AA2" s="9" t="s">
        <v>57</v>
      </c>
      <c r="AB2" s="9" t="s">
        <v>58</v>
      </c>
      <c r="AC2" s="9" t="s">
        <v>59</v>
      </c>
      <c r="AD2" s="9" t="s">
        <v>60</v>
      </c>
      <c r="AE2" s="9" t="s">
        <v>61</v>
      </c>
      <c r="AF2" s="12" t="s">
        <v>62</v>
      </c>
      <c r="AG2" s="12" t="s">
        <v>63</v>
      </c>
      <c r="AH2" s="12" t="s">
        <v>64</v>
      </c>
    </row>
    <row r="3" spans="1:34">
      <c r="A3" s="13" t="s">
        <v>30</v>
      </c>
      <c r="B3" s="14">
        <f>'Plant Measurments'!C4</f>
        <v>21</v>
      </c>
      <c r="C3" s="15"/>
      <c r="D3" s="16"/>
      <c r="E3" s="14">
        <f>C3*4</f>
        <v>0</v>
      </c>
      <c r="F3" s="15">
        <f>SUM('Plant Measurments'!O4:O41)</f>
        <v>394.87807662</v>
      </c>
      <c r="G3" s="17"/>
      <c r="H3" s="14">
        <f>F3*4</f>
        <v>1579.51230648</v>
      </c>
      <c r="I3" s="15"/>
      <c r="J3" s="17"/>
      <c r="K3" s="14">
        <f>I3*4</f>
        <v>0</v>
      </c>
      <c r="L3" s="15"/>
      <c r="M3" s="17"/>
      <c r="N3" s="14">
        <f>L3*4</f>
        <v>0</v>
      </c>
      <c r="O3" s="15"/>
      <c r="P3" s="17"/>
      <c r="Q3" s="14">
        <f>O3*4</f>
        <v>0</v>
      </c>
      <c r="R3" s="15">
        <f>SUM('Plant Measurments'!O49)</f>
        <v>17.463231999999998</v>
      </c>
      <c r="S3" s="17"/>
      <c r="T3" s="14">
        <f>R3*4</f>
        <v>69.852927999999991</v>
      </c>
      <c r="U3" s="15">
        <f>SUM('Plant Measurments'!O39:O48)</f>
        <v>728.87199930999998</v>
      </c>
      <c r="V3" s="17"/>
      <c r="W3" s="14">
        <f>U3*4</f>
        <v>2915.4879972399999</v>
      </c>
      <c r="X3" s="14">
        <f>SUM(W3,T3,Q3,N3,K3,H3,E3)</f>
        <v>4564.8532317199997</v>
      </c>
      <c r="Y3" s="18">
        <f>AVERAGE(X3:X7)</f>
        <v>1469.3007662</v>
      </c>
      <c r="Z3" s="19">
        <f>E3+Q3</f>
        <v>0</v>
      </c>
      <c r="AA3" s="19">
        <f>W3+T3</f>
        <v>2985.3409252399997</v>
      </c>
      <c r="AB3">
        <f>IF(X3&gt;0,(Q3+E3)/X3," ")</f>
        <v>0</v>
      </c>
      <c r="AC3">
        <f>IF(X3&gt;0,H3/X3," ")</f>
        <v>0.346016011096342</v>
      </c>
      <c r="AD3">
        <f>IF(X3&gt;0,K3/X3," ")</f>
        <v>0</v>
      </c>
      <c r="AE3">
        <f>IF(X3&gt;0,(W3+T3)/X3," ")</f>
        <v>0.65398398890365805</v>
      </c>
      <c r="AF3">
        <f>210336.2801/10</f>
        <v>21033.62801</v>
      </c>
      <c r="AG3">
        <f>AF3/5</f>
        <v>4206.7256020000004</v>
      </c>
      <c r="AH3">
        <f>(AG3*X3)/1000</f>
        <v>19203.084959248965</v>
      </c>
    </row>
    <row r="4" spans="1:34">
      <c r="A4" s="20" t="s">
        <v>30</v>
      </c>
      <c r="B4" s="21">
        <f>'Plant Measurments'!C51</f>
        <v>30</v>
      </c>
      <c r="C4" s="22"/>
      <c r="D4" s="23"/>
      <c r="E4" s="14">
        <f t="shared" ref="E4:E52" si="0">C4*4</f>
        <v>0</v>
      </c>
      <c r="F4" s="22"/>
      <c r="G4" s="24"/>
      <c r="H4" s="14">
        <f t="shared" ref="H4:H7" si="1">F4*4</f>
        <v>0</v>
      </c>
      <c r="I4" s="22"/>
      <c r="J4" s="24"/>
      <c r="K4" s="14">
        <f t="shared" ref="K4:K52" si="2">I4*4</f>
        <v>0</v>
      </c>
      <c r="L4" s="22"/>
      <c r="M4" s="24"/>
      <c r="N4" s="14">
        <f t="shared" ref="N4:N52" si="3">L4*4</f>
        <v>0</v>
      </c>
      <c r="O4" s="22"/>
      <c r="P4" s="24"/>
      <c r="Q4" s="14">
        <f t="shared" ref="Q4:Q52" si="4">O4*4</f>
        <v>0</v>
      </c>
      <c r="R4" s="22">
        <f>SUM('Plant Measurments'!O58:O60)</f>
        <v>161.79613800000004</v>
      </c>
      <c r="S4" s="24"/>
      <c r="T4" s="14">
        <f t="shared" ref="T4:T52" si="5">R4*4</f>
        <v>647.18455200000017</v>
      </c>
      <c r="U4" s="22">
        <f>SUM('Plant Measurments'!O50:O57)</f>
        <v>455.95900481999996</v>
      </c>
      <c r="V4" s="24"/>
      <c r="W4" s="14">
        <f t="shared" ref="W4:W52" si="6">U4*4</f>
        <v>1823.8360192799998</v>
      </c>
      <c r="X4" s="21">
        <f t="shared" ref="X4:X52" si="7">SUM(W4,T4,Q4,N4,K4,H4,E4)</f>
        <v>2471.0205712799998</v>
      </c>
      <c r="Y4" s="25"/>
      <c r="Z4" s="19">
        <f t="shared" ref="Z4:Z52" si="8">E4+Q4</f>
        <v>0</v>
      </c>
      <c r="AA4" s="19">
        <f t="shared" ref="AA4:AA52" si="9">W4+T4</f>
        <v>2471.0205712799998</v>
      </c>
      <c r="AB4">
        <f t="shared" ref="AB4:AB52" si="10">IF(X4&gt;0,(Q4+E4)/X4," ")</f>
        <v>0</v>
      </c>
      <c r="AC4">
        <f t="shared" ref="AC4:AC52" si="11">IF(X4&gt;0,H4/X4," ")</f>
        <v>0</v>
      </c>
      <c r="AD4">
        <f t="shared" ref="AD4:AD52" si="12">IF(X4&gt;0,K4/X4," ")</f>
        <v>0</v>
      </c>
      <c r="AE4">
        <f t="shared" ref="AE4:AE52" si="13">IF(X4&gt;0,(W4+T4)/X4," ")</f>
        <v>1</v>
      </c>
      <c r="AF4">
        <f t="shared" ref="AF4:AF52" si="14">210336.2801/10</f>
        <v>21033.62801</v>
      </c>
      <c r="AG4">
        <f t="shared" ref="AG4:AG52" si="15">AF4/5</f>
        <v>4206.7256020000004</v>
      </c>
      <c r="AH4">
        <f t="shared" ref="AH4:AH52" si="16">(AG4*X4)/1000</f>
        <v>10394.905500272242</v>
      </c>
    </row>
    <row r="5" spans="1:34">
      <c r="A5" s="20" t="s">
        <v>30</v>
      </c>
      <c r="B5" s="21">
        <f>'Plant Measurments'!C61</f>
        <v>38</v>
      </c>
      <c r="C5" s="22"/>
      <c r="D5" s="23"/>
      <c r="E5" s="14">
        <f t="shared" si="0"/>
        <v>0</v>
      </c>
      <c r="F5" s="22"/>
      <c r="G5" s="24"/>
      <c r="H5" s="14">
        <f t="shared" si="1"/>
        <v>0</v>
      </c>
      <c r="I5" s="22"/>
      <c r="J5" s="24"/>
      <c r="K5" s="14">
        <f t="shared" si="2"/>
        <v>0</v>
      </c>
      <c r="L5" s="22"/>
      <c r="M5" s="24"/>
      <c r="N5" s="14">
        <f t="shared" si="3"/>
        <v>0</v>
      </c>
      <c r="O5" s="22"/>
      <c r="P5" s="24"/>
      <c r="Q5" s="14">
        <f t="shared" si="4"/>
        <v>0</v>
      </c>
      <c r="R5" s="22">
        <f>SUM('Plant Measurments'!O61:O64)</f>
        <v>23.545477000000009</v>
      </c>
      <c r="S5" s="24"/>
      <c r="T5" s="14">
        <f t="shared" si="5"/>
        <v>94.181908000000035</v>
      </c>
      <c r="U5" s="22"/>
      <c r="V5" s="24"/>
      <c r="W5" s="14">
        <f t="shared" si="6"/>
        <v>0</v>
      </c>
      <c r="X5" s="21">
        <f t="shared" si="7"/>
        <v>94.181908000000035</v>
      </c>
      <c r="Y5" s="25"/>
      <c r="Z5" s="19">
        <f t="shared" si="8"/>
        <v>0</v>
      </c>
      <c r="AA5" s="19">
        <f t="shared" si="9"/>
        <v>94.181908000000035</v>
      </c>
      <c r="AB5">
        <f t="shared" si="10"/>
        <v>0</v>
      </c>
      <c r="AC5">
        <f t="shared" si="11"/>
        <v>0</v>
      </c>
      <c r="AD5">
        <f t="shared" si="12"/>
        <v>0</v>
      </c>
      <c r="AE5">
        <f t="shared" si="13"/>
        <v>1</v>
      </c>
      <c r="AF5">
        <f t="shared" si="14"/>
        <v>21033.62801</v>
      </c>
      <c r="AG5">
        <f t="shared" si="15"/>
        <v>4206.7256020000004</v>
      </c>
      <c r="AH5">
        <f t="shared" si="16"/>
        <v>396.19744362880886</v>
      </c>
    </row>
    <row r="6" spans="1:34">
      <c r="A6" s="20" t="s">
        <v>30</v>
      </c>
      <c r="B6" s="21">
        <f>'Plant Measurments'!C65</f>
        <v>42</v>
      </c>
      <c r="C6" s="22"/>
      <c r="D6" s="23"/>
      <c r="E6" s="14">
        <f t="shared" si="0"/>
        <v>0</v>
      </c>
      <c r="F6" s="22"/>
      <c r="G6" s="24"/>
      <c r="H6" s="14">
        <f t="shared" si="1"/>
        <v>0</v>
      </c>
      <c r="I6" s="22"/>
      <c r="J6" s="24"/>
      <c r="K6" s="14">
        <f t="shared" si="2"/>
        <v>0</v>
      </c>
      <c r="L6" s="22"/>
      <c r="M6" s="24"/>
      <c r="N6" s="14">
        <f t="shared" si="3"/>
        <v>0</v>
      </c>
      <c r="O6" s="22"/>
      <c r="P6" s="24"/>
      <c r="Q6" s="14">
        <f t="shared" si="4"/>
        <v>0</v>
      </c>
      <c r="R6" s="22">
        <f>SUM('Plant Measurments'!O65:O70)</f>
        <v>54.112030000000019</v>
      </c>
      <c r="S6" s="24"/>
      <c r="T6" s="14">
        <f t="shared" si="5"/>
        <v>216.44812000000007</v>
      </c>
      <c r="U6" s="22"/>
      <c r="V6" s="24"/>
      <c r="W6" s="14">
        <f t="shared" si="6"/>
        <v>0</v>
      </c>
      <c r="X6" s="21">
        <f t="shared" si="7"/>
        <v>216.44812000000007</v>
      </c>
      <c r="Y6" s="25"/>
      <c r="Z6" s="19">
        <f t="shared" si="8"/>
        <v>0</v>
      </c>
      <c r="AA6" s="19">
        <f t="shared" si="9"/>
        <v>216.44812000000007</v>
      </c>
      <c r="AB6">
        <f t="shared" si="10"/>
        <v>0</v>
      </c>
      <c r="AC6">
        <f t="shared" si="11"/>
        <v>0</v>
      </c>
      <c r="AD6">
        <f t="shared" si="12"/>
        <v>0</v>
      </c>
      <c r="AE6">
        <f t="shared" si="13"/>
        <v>1</v>
      </c>
      <c r="AF6">
        <f t="shared" si="14"/>
        <v>21033.62801</v>
      </c>
      <c r="AG6">
        <f>AF6/5</f>
        <v>4206.7256020000004</v>
      </c>
      <c r="AH6">
        <f t="shared" si="16"/>
        <v>910.53784790876864</v>
      </c>
    </row>
    <row r="7" spans="1:34">
      <c r="A7" s="26" t="s">
        <v>30</v>
      </c>
      <c r="B7" s="27">
        <f>'Plant Measurments'!C71</f>
        <v>49</v>
      </c>
      <c r="C7" s="28"/>
      <c r="D7" s="29"/>
      <c r="E7" s="14">
        <f t="shared" si="0"/>
        <v>0</v>
      </c>
      <c r="F7" s="28"/>
      <c r="G7" s="30"/>
      <c r="H7" s="14">
        <f t="shared" si="1"/>
        <v>0</v>
      </c>
      <c r="I7" s="28"/>
      <c r="J7" s="30"/>
      <c r="K7" s="14">
        <f t="shared" si="2"/>
        <v>0</v>
      </c>
      <c r="L7" s="28"/>
      <c r="M7" s="30"/>
      <c r="N7" s="14">
        <f t="shared" si="3"/>
        <v>0</v>
      </c>
      <c r="O7" s="28"/>
      <c r="P7" s="30"/>
      <c r="Q7" s="14">
        <f t="shared" si="4"/>
        <v>0</v>
      </c>
      <c r="R7" s="28"/>
      <c r="S7" s="30"/>
      <c r="T7" s="14">
        <f t="shared" si="5"/>
        <v>0</v>
      </c>
      <c r="U7" s="28"/>
      <c r="V7" s="30"/>
      <c r="W7" s="14">
        <f t="shared" si="6"/>
        <v>0</v>
      </c>
      <c r="X7" s="27">
        <f t="shared" si="7"/>
        <v>0</v>
      </c>
      <c r="Y7" s="31"/>
      <c r="Z7" s="19">
        <f t="shared" si="8"/>
        <v>0</v>
      </c>
      <c r="AA7" s="19">
        <f t="shared" si="9"/>
        <v>0</v>
      </c>
      <c r="AB7" t="str">
        <f t="shared" si="10"/>
        <v xml:space="preserve"> </v>
      </c>
      <c r="AC7" t="str">
        <f t="shared" si="11"/>
        <v xml:space="preserve"> </v>
      </c>
      <c r="AD7" t="str">
        <f t="shared" si="12"/>
        <v xml:space="preserve"> </v>
      </c>
      <c r="AE7" t="str">
        <f t="shared" si="13"/>
        <v xml:space="preserve"> </v>
      </c>
      <c r="AF7">
        <f t="shared" si="14"/>
        <v>21033.62801</v>
      </c>
      <c r="AG7">
        <f t="shared" si="15"/>
        <v>4206.7256020000004</v>
      </c>
      <c r="AH7">
        <f t="shared" si="16"/>
        <v>0</v>
      </c>
    </row>
    <row r="8" spans="1:34">
      <c r="A8" s="13" t="s">
        <v>26</v>
      </c>
      <c r="B8" s="14">
        <f>'Plant Measurments'!C72</f>
        <v>11</v>
      </c>
      <c r="C8" s="15">
        <f>SUM('Plant Measurments'!O72:O85)</f>
        <v>111.204457</v>
      </c>
      <c r="D8" s="16"/>
      <c r="E8" s="14">
        <f t="shared" si="0"/>
        <v>444.81782800000002</v>
      </c>
      <c r="F8" s="15"/>
      <c r="G8" s="17"/>
      <c r="H8" s="14"/>
      <c r="I8" s="15"/>
      <c r="J8" s="17"/>
      <c r="K8" s="14">
        <f t="shared" si="2"/>
        <v>0</v>
      </c>
      <c r="L8" s="15"/>
      <c r="M8" s="17"/>
      <c r="N8" s="14">
        <f t="shared" si="3"/>
        <v>0</v>
      </c>
      <c r="O8" s="15"/>
      <c r="P8" s="17"/>
      <c r="Q8" s="14">
        <f t="shared" si="4"/>
        <v>0</v>
      </c>
      <c r="R8" s="15">
        <f>SUM('Plant Measurments'!O89:O92)</f>
        <v>135.60321700000006</v>
      </c>
      <c r="S8" s="17"/>
      <c r="T8" s="14">
        <f t="shared" si="5"/>
        <v>542.41286800000023</v>
      </c>
      <c r="U8" s="15">
        <f>SUM('Plant Measurments'!O86:O88)</f>
        <v>397.95074779000004</v>
      </c>
      <c r="V8" s="17"/>
      <c r="W8" s="14">
        <f t="shared" si="6"/>
        <v>1591.8029911600001</v>
      </c>
      <c r="X8" s="14">
        <f t="shared" si="7"/>
        <v>2579.0336871600007</v>
      </c>
      <c r="Y8" s="18">
        <f>AVERAGE(X8:X12)</f>
        <v>945.43461004000017</v>
      </c>
      <c r="Z8" s="19">
        <f t="shared" si="8"/>
        <v>444.81782800000002</v>
      </c>
      <c r="AA8" s="19">
        <f t="shared" si="9"/>
        <v>2134.2158591600005</v>
      </c>
      <c r="AB8">
        <f t="shared" si="10"/>
        <v>0.17247460946887738</v>
      </c>
      <c r="AC8">
        <f t="shared" si="11"/>
        <v>0</v>
      </c>
      <c r="AD8">
        <f t="shared" si="12"/>
        <v>0</v>
      </c>
      <c r="AE8">
        <f t="shared" si="13"/>
        <v>0.82752539053112251</v>
      </c>
      <c r="AF8">
        <f t="shared" si="14"/>
        <v>21033.62801</v>
      </c>
      <c r="AG8">
        <f t="shared" si="15"/>
        <v>4206.7256020000004</v>
      </c>
      <c r="AH8">
        <f t="shared" si="16"/>
        <v>10849.287040196436</v>
      </c>
    </row>
    <row r="9" spans="1:34">
      <c r="A9" s="20" t="s">
        <v>26</v>
      </c>
      <c r="B9" s="21">
        <f>'Plant Measurments'!C93</f>
        <v>30</v>
      </c>
      <c r="C9" s="22"/>
      <c r="D9" s="23"/>
      <c r="E9" s="14">
        <f t="shared" si="0"/>
        <v>0</v>
      </c>
      <c r="F9" s="22"/>
      <c r="G9" s="24"/>
      <c r="H9" s="21">
        <f>F9*4</f>
        <v>0</v>
      </c>
      <c r="I9" s="22"/>
      <c r="J9" s="24"/>
      <c r="K9" s="14">
        <f t="shared" si="2"/>
        <v>0</v>
      </c>
      <c r="L9" s="22"/>
      <c r="M9" s="24"/>
      <c r="N9" s="14">
        <f t="shared" si="3"/>
        <v>0</v>
      </c>
      <c r="O9" s="22"/>
      <c r="P9" s="24"/>
      <c r="Q9" s="14">
        <f t="shared" si="4"/>
        <v>0</v>
      </c>
      <c r="R9" s="22">
        <f>SUM('Plant Measurments'!O93)</f>
        <v>16.122957</v>
      </c>
      <c r="S9" s="24"/>
      <c r="T9" s="14">
        <f t="shared" si="5"/>
        <v>64.491827999999998</v>
      </c>
      <c r="U9" s="22"/>
      <c r="V9" s="24"/>
      <c r="W9" s="14">
        <f t="shared" si="6"/>
        <v>0</v>
      </c>
      <c r="X9" s="21">
        <f>SUM(W9,T9,Q9,N9,K9,H9,E9)</f>
        <v>64.491827999999998</v>
      </c>
      <c r="Y9" s="25"/>
      <c r="Z9" s="19">
        <f t="shared" si="8"/>
        <v>0</v>
      </c>
      <c r="AA9" s="19">
        <f t="shared" si="9"/>
        <v>64.491827999999998</v>
      </c>
      <c r="AB9">
        <f t="shared" si="10"/>
        <v>0</v>
      </c>
      <c r="AC9">
        <f t="shared" si="11"/>
        <v>0</v>
      </c>
      <c r="AD9">
        <f t="shared" si="12"/>
        <v>0</v>
      </c>
      <c r="AE9">
        <f t="shared" si="13"/>
        <v>1</v>
      </c>
      <c r="AF9">
        <f t="shared" si="14"/>
        <v>21033.62801</v>
      </c>
      <c r="AG9">
        <f t="shared" si="15"/>
        <v>4206.7256020000004</v>
      </c>
      <c r="AH9">
        <f t="shared" si="16"/>
        <v>271.29942396738051</v>
      </c>
    </row>
    <row r="10" spans="1:34">
      <c r="A10" s="20" t="s">
        <v>26</v>
      </c>
      <c r="B10" s="21">
        <f>'Plant Measurments'!C94</f>
        <v>42</v>
      </c>
      <c r="C10" s="22"/>
      <c r="D10" s="23"/>
      <c r="E10" s="14">
        <f t="shared" si="0"/>
        <v>0</v>
      </c>
      <c r="F10" s="22"/>
      <c r="G10" s="24"/>
      <c r="H10" s="21">
        <f t="shared" ref="H10:H42" si="17">F10*4</f>
        <v>0</v>
      </c>
      <c r="I10" s="22"/>
      <c r="J10" s="24"/>
      <c r="K10" s="14">
        <f t="shared" si="2"/>
        <v>0</v>
      </c>
      <c r="L10" s="22"/>
      <c r="M10" s="24"/>
      <c r="N10" s="14">
        <f t="shared" si="3"/>
        <v>0</v>
      </c>
      <c r="O10" s="22"/>
      <c r="P10" s="24"/>
      <c r="Q10" s="14">
        <f t="shared" si="4"/>
        <v>0</v>
      </c>
      <c r="R10" s="22"/>
      <c r="S10" s="24"/>
      <c r="T10" s="14">
        <f t="shared" si="5"/>
        <v>0</v>
      </c>
      <c r="U10" s="22"/>
      <c r="V10" s="24"/>
      <c r="W10" s="14">
        <f t="shared" si="6"/>
        <v>0</v>
      </c>
      <c r="X10" s="21">
        <f t="shared" si="7"/>
        <v>0</v>
      </c>
      <c r="Y10" s="25"/>
      <c r="Z10" s="19">
        <f t="shared" si="8"/>
        <v>0</v>
      </c>
      <c r="AA10" s="19">
        <f t="shared" si="9"/>
        <v>0</v>
      </c>
      <c r="AB10" t="str">
        <f t="shared" si="10"/>
        <v xml:space="preserve"> </v>
      </c>
      <c r="AC10" t="str">
        <f t="shared" si="11"/>
        <v xml:space="preserve"> </v>
      </c>
      <c r="AD10" t="str">
        <f t="shared" si="12"/>
        <v xml:space="preserve"> </v>
      </c>
      <c r="AE10" t="str">
        <f t="shared" si="13"/>
        <v xml:space="preserve"> </v>
      </c>
      <c r="AF10">
        <f t="shared" si="14"/>
        <v>21033.62801</v>
      </c>
      <c r="AG10">
        <f t="shared" si="15"/>
        <v>4206.7256020000004</v>
      </c>
      <c r="AH10">
        <f t="shared" si="16"/>
        <v>0</v>
      </c>
    </row>
    <row r="11" spans="1:34">
      <c r="A11" s="20" t="s">
        <v>26</v>
      </c>
      <c r="B11" s="21">
        <f>'Plant Measurments'!C95</f>
        <v>48</v>
      </c>
      <c r="C11" s="22"/>
      <c r="D11" s="23"/>
      <c r="E11" s="14">
        <f t="shared" si="0"/>
        <v>0</v>
      </c>
      <c r="F11" s="22"/>
      <c r="G11" s="24"/>
      <c r="H11" s="21">
        <f t="shared" si="17"/>
        <v>0</v>
      </c>
      <c r="I11" s="22"/>
      <c r="J11" s="24"/>
      <c r="K11" s="14">
        <f t="shared" si="2"/>
        <v>0</v>
      </c>
      <c r="L11" s="22"/>
      <c r="M11" s="24"/>
      <c r="N11" s="14">
        <f t="shared" si="3"/>
        <v>0</v>
      </c>
      <c r="O11" s="22"/>
      <c r="P11" s="24"/>
      <c r="Q11" s="14">
        <f t="shared" si="4"/>
        <v>0</v>
      </c>
      <c r="R11" s="22">
        <f>SUM('Plant Measurments'!O97:O101)</f>
        <v>8.9448530000000233</v>
      </c>
      <c r="S11" s="24"/>
      <c r="T11" s="14">
        <f t="shared" si="5"/>
        <v>35.779412000000093</v>
      </c>
      <c r="U11" s="22">
        <f>SUM('Plant Measurments'!O95:O96)</f>
        <v>143.54036586999999</v>
      </c>
      <c r="V11" s="24"/>
      <c r="W11" s="14">
        <f t="shared" si="6"/>
        <v>574.16146347999995</v>
      </c>
      <c r="X11" s="21">
        <f t="shared" si="7"/>
        <v>609.94087548000005</v>
      </c>
      <c r="Y11" s="25"/>
      <c r="Z11" s="19">
        <f t="shared" si="8"/>
        <v>0</v>
      </c>
      <c r="AA11" s="19">
        <f t="shared" si="9"/>
        <v>609.94087548000005</v>
      </c>
      <c r="AB11">
        <f t="shared" si="10"/>
        <v>0</v>
      </c>
      <c r="AC11">
        <f t="shared" si="11"/>
        <v>0</v>
      </c>
      <c r="AD11">
        <f t="shared" si="12"/>
        <v>0</v>
      </c>
      <c r="AE11">
        <f t="shared" si="13"/>
        <v>1</v>
      </c>
      <c r="AF11">
        <f t="shared" si="14"/>
        <v>21033.62801</v>
      </c>
      <c r="AG11">
        <f t="shared" si="15"/>
        <v>4206.7256020000004</v>
      </c>
      <c r="AH11">
        <f t="shared" si="16"/>
        <v>2565.8538965880107</v>
      </c>
    </row>
    <row r="12" spans="1:34">
      <c r="A12" s="26" t="s">
        <v>26</v>
      </c>
      <c r="B12" s="27">
        <f>'Plant Measurments'!C102</f>
        <v>53</v>
      </c>
      <c r="C12" s="28"/>
      <c r="D12" s="29"/>
      <c r="E12" s="14">
        <f t="shared" si="0"/>
        <v>0</v>
      </c>
      <c r="F12" s="28"/>
      <c r="G12" s="30"/>
      <c r="H12" s="21">
        <f t="shared" si="17"/>
        <v>0</v>
      </c>
      <c r="I12" s="28"/>
      <c r="J12" s="30"/>
      <c r="K12" s="14">
        <f t="shared" si="2"/>
        <v>0</v>
      </c>
      <c r="L12" s="28"/>
      <c r="M12" s="30"/>
      <c r="N12" s="14">
        <f t="shared" si="3"/>
        <v>0</v>
      </c>
      <c r="O12" s="28"/>
      <c r="P12" s="30"/>
      <c r="Q12" s="14">
        <f t="shared" si="4"/>
        <v>0</v>
      </c>
      <c r="R12" s="28">
        <f>SUM('Plant Measurments'!O103:O107)</f>
        <v>192.45924800000006</v>
      </c>
      <c r="S12" s="30"/>
      <c r="T12" s="14">
        <f t="shared" si="5"/>
        <v>769.83699200000024</v>
      </c>
      <c r="U12" s="28">
        <f>SUM('Plant Measurments'!O102)</f>
        <v>175.96741688999998</v>
      </c>
      <c r="V12" s="30"/>
      <c r="W12" s="14">
        <f t="shared" si="6"/>
        <v>703.86966755999993</v>
      </c>
      <c r="X12" s="27">
        <f t="shared" si="7"/>
        <v>1473.7066595600002</v>
      </c>
      <c r="Y12" s="31"/>
      <c r="Z12" s="19">
        <f t="shared" si="8"/>
        <v>0</v>
      </c>
      <c r="AA12" s="19">
        <f t="shared" si="9"/>
        <v>1473.7066595600002</v>
      </c>
      <c r="AB12">
        <f t="shared" si="10"/>
        <v>0</v>
      </c>
      <c r="AC12">
        <f t="shared" si="11"/>
        <v>0</v>
      </c>
      <c r="AD12">
        <f t="shared" si="12"/>
        <v>0</v>
      </c>
      <c r="AE12">
        <f t="shared" si="13"/>
        <v>1</v>
      </c>
      <c r="AF12">
        <f t="shared" si="14"/>
        <v>21033.62801</v>
      </c>
      <c r="AG12">
        <f t="shared" si="15"/>
        <v>4206.7256020000004</v>
      </c>
      <c r="AH12">
        <f t="shared" si="16"/>
        <v>6199.4795346089513</v>
      </c>
    </row>
    <row r="13" spans="1:34">
      <c r="A13" s="32" t="s">
        <v>33</v>
      </c>
      <c r="B13" s="33">
        <f>'Plant Measurments'!C108</f>
        <v>4</v>
      </c>
      <c r="C13" s="15"/>
      <c r="D13" s="16"/>
      <c r="E13" s="14">
        <f t="shared" si="0"/>
        <v>0</v>
      </c>
      <c r="F13" s="15"/>
      <c r="G13" s="17"/>
      <c r="H13" s="21">
        <f t="shared" si="17"/>
        <v>0</v>
      </c>
      <c r="I13" s="15"/>
      <c r="J13" s="17"/>
      <c r="K13" s="14">
        <f t="shared" si="2"/>
        <v>0</v>
      </c>
      <c r="L13" s="15"/>
      <c r="M13" s="17"/>
      <c r="N13" s="14">
        <f t="shared" si="3"/>
        <v>0</v>
      </c>
      <c r="O13" s="15"/>
      <c r="P13" s="17"/>
      <c r="Q13" s="14">
        <f t="shared" si="4"/>
        <v>0</v>
      </c>
      <c r="R13" s="15"/>
      <c r="S13" s="17"/>
      <c r="T13" s="14">
        <f t="shared" si="5"/>
        <v>0</v>
      </c>
      <c r="U13" s="15"/>
      <c r="V13" s="17"/>
      <c r="W13" s="14">
        <f t="shared" si="6"/>
        <v>0</v>
      </c>
      <c r="X13" s="14">
        <f t="shared" si="7"/>
        <v>0</v>
      </c>
      <c r="Y13" s="18">
        <f>AVERAGE(X13:X17)</f>
        <v>847.72774698175692</v>
      </c>
      <c r="Z13" s="19">
        <f t="shared" si="8"/>
        <v>0</v>
      </c>
      <c r="AA13" s="19">
        <f t="shared" si="9"/>
        <v>0</v>
      </c>
      <c r="AB13" t="str">
        <f t="shared" si="10"/>
        <v xml:space="preserve"> </v>
      </c>
      <c r="AC13" t="str">
        <f t="shared" si="11"/>
        <v xml:space="preserve"> </v>
      </c>
      <c r="AD13" t="str">
        <f t="shared" si="12"/>
        <v xml:space="preserve"> </v>
      </c>
      <c r="AE13" t="str">
        <f t="shared" si="13"/>
        <v xml:space="preserve"> </v>
      </c>
      <c r="AF13">
        <f t="shared" si="14"/>
        <v>21033.62801</v>
      </c>
      <c r="AG13">
        <f t="shared" si="15"/>
        <v>4206.7256020000004</v>
      </c>
      <c r="AH13">
        <f t="shared" si="16"/>
        <v>0</v>
      </c>
    </row>
    <row r="14" spans="1:34">
      <c r="A14" s="20" t="s">
        <v>33</v>
      </c>
      <c r="B14" s="21">
        <f>'Plant Measurments'!C109</f>
        <v>9</v>
      </c>
      <c r="C14" s="22"/>
      <c r="D14" s="23"/>
      <c r="E14" s="14">
        <f t="shared" si="0"/>
        <v>0</v>
      </c>
      <c r="F14" s="22"/>
      <c r="G14" s="24"/>
      <c r="H14" s="21">
        <f t="shared" si="17"/>
        <v>0</v>
      </c>
      <c r="I14" s="22">
        <f>SUM('Plant Measurments'!O109:O117)</f>
        <v>81.881931092634389</v>
      </c>
      <c r="J14" s="24"/>
      <c r="K14" s="14">
        <f t="shared" si="2"/>
        <v>327.52772437053756</v>
      </c>
      <c r="L14" s="22"/>
      <c r="M14" s="24"/>
      <c r="N14" s="14">
        <f t="shared" si="3"/>
        <v>0</v>
      </c>
      <c r="O14" s="22"/>
      <c r="P14" s="24"/>
      <c r="Q14" s="14">
        <f t="shared" si="4"/>
        <v>0</v>
      </c>
      <c r="R14" s="22">
        <f>SUM('Plant Measurments'!O118)</f>
        <v>23.488240999999995</v>
      </c>
      <c r="S14" s="24"/>
      <c r="T14" s="14">
        <f t="shared" si="5"/>
        <v>93.95296399999998</v>
      </c>
      <c r="U14" s="22"/>
      <c r="V14" s="24"/>
      <c r="W14" s="14">
        <f t="shared" si="6"/>
        <v>0</v>
      </c>
      <c r="X14" s="21">
        <f t="shared" si="7"/>
        <v>421.48068837053756</v>
      </c>
      <c r="Y14" s="25"/>
      <c r="Z14" s="19">
        <f t="shared" si="8"/>
        <v>0</v>
      </c>
      <c r="AA14" s="19">
        <f t="shared" si="9"/>
        <v>93.95296399999998</v>
      </c>
      <c r="AB14">
        <f t="shared" si="10"/>
        <v>0</v>
      </c>
      <c r="AC14">
        <f t="shared" si="11"/>
        <v>0</v>
      </c>
      <c r="AD14">
        <f t="shared" si="12"/>
        <v>0.7770883302786038</v>
      </c>
      <c r="AE14">
        <f t="shared" si="13"/>
        <v>0.2229116697213962</v>
      </c>
      <c r="AF14">
        <f t="shared" si="14"/>
        <v>21033.62801</v>
      </c>
      <c r="AG14">
        <f t="shared" si="15"/>
        <v>4206.7256020000004</v>
      </c>
      <c r="AH14">
        <f t="shared" si="16"/>
        <v>1773.0536025169242</v>
      </c>
    </row>
    <row r="15" spans="1:34">
      <c r="A15" s="20" t="s">
        <v>33</v>
      </c>
      <c r="B15" s="21">
        <f>'Plant Measurments'!C119</f>
        <v>22</v>
      </c>
      <c r="C15" s="22">
        <f>SUM('Plant Measurments'!O119:O134)</f>
        <v>223.16470299999997</v>
      </c>
      <c r="D15" s="23"/>
      <c r="E15" s="14">
        <f t="shared" si="0"/>
        <v>892.6588119999999</v>
      </c>
      <c r="F15" s="22"/>
      <c r="G15" s="24"/>
      <c r="H15" s="21">
        <f t="shared" si="17"/>
        <v>0</v>
      </c>
      <c r="I15" s="22"/>
      <c r="J15" s="24"/>
      <c r="K15" s="14">
        <f t="shared" si="2"/>
        <v>0</v>
      </c>
      <c r="L15" s="22"/>
      <c r="M15" s="24"/>
      <c r="N15" s="14">
        <f t="shared" si="3"/>
        <v>0</v>
      </c>
      <c r="O15" s="22"/>
      <c r="P15" s="24"/>
      <c r="Q15" s="14">
        <f t="shared" si="4"/>
        <v>0</v>
      </c>
      <c r="R15" s="22"/>
      <c r="S15" s="24"/>
      <c r="T15" s="14">
        <f t="shared" si="5"/>
        <v>0</v>
      </c>
      <c r="U15" s="22">
        <f>SUM('Plant Measurments'!O135:O141)</f>
        <v>302.74306300000012</v>
      </c>
      <c r="V15" s="24"/>
      <c r="W15" s="14">
        <f t="shared" si="6"/>
        <v>1210.9722520000005</v>
      </c>
      <c r="X15" s="21">
        <f t="shared" si="7"/>
        <v>2103.6310640000002</v>
      </c>
      <c r="Y15" s="25"/>
      <c r="Z15" s="19">
        <f t="shared" si="8"/>
        <v>892.6588119999999</v>
      </c>
      <c r="AA15" s="19">
        <f t="shared" si="9"/>
        <v>1210.9722520000005</v>
      </c>
      <c r="AB15">
        <f t="shared" si="10"/>
        <v>0.42434190446999398</v>
      </c>
      <c r="AC15">
        <f t="shared" si="11"/>
        <v>0</v>
      </c>
      <c r="AD15">
        <f t="shared" si="12"/>
        <v>0</v>
      </c>
      <c r="AE15">
        <f t="shared" si="13"/>
        <v>0.57565809553000613</v>
      </c>
      <c r="AF15">
        <f t="shared" si="14"/>
        <v>21033.62801</v>
      </c>
      <c r="AG15">
        <f t="shared" si="15"/>
        <v>4206.7256020000004</v>
      </c>
      <c r="AH15">
        <f t="shared" si="16"/>
        <v>8849.3986540913029</v>
      </c>
    </row>
    <row r="16" spans="1:34">
      <c r="A16" s="20" t="s">
        <v>33</v>
      </c>
      <c r="B16" s="21">
        <f>'Plant Measurments'!C143</f>
        <v>31</v>
      </c>
      <c r="C16" s="22">
        <f>SUM('Plant Measurments'!O143:O154)</f>
        <v>232.37287063456145</v>
      </c>
      <c r="D16" s="23"/>
      <c r="E16" s="14">
        <f t="shared" si="0"/>
        <v>929.4914825382458</v>
      </c>
      <c r="F16" s="22"/>
      <c r="G16" s="24"/>
      <c r="H16" s="21">
        <f t="shared" si="17"/>
        <v>0</v>
      </c>
      <c r="I16" s="22"/>
      <c r="J16" s="24"/>
      <c r="K16" s="14">
        <f t="shared" si="2"/>
        <v>0</v>
      </c>
      <c r="L16" s="22"/>
      <c r="M16" s="24"/>
      <c r="N16" s="14">
        <f t="shared" si="3"/>
        <v>0</v>
      </c>
      <c r="O16" s="22"/>
      <c r="P16" s="24"/>
      <c r="Q16" s="14">
        <f t="shared" si="4"/>
        <v>0</v>
      </c>
      <c r="R16" s="22">
        <f>SUM('Plant Measurments'!O157:O159)</f>
        <v>62.401750000000057</v>
      </c>
      <c r="S16" s="24"/>
      <c r="T16" s="14">
        <f t="shared" si="5"/>
        <v>249.60700000000023</v>
      </c>
      <c r="U16" s="22">
        <f>SUM('Plant Measurments'!O155:O156)</f>
        <v>21.813161000000022</v>
      </c>
      <c r="V16" s="24"/>
      <c r="W16" s="14">
        <f t="shared" si="6"/>
        <v>87.252644000000089</v>
      </c>
      <c r="X16" s="21">
        <f t="shared" si="7"/>
        <v>1266.3511265382463</v>
      </c>
      <c r="Y16" s="25"/>
      <c r="Z16" s="19">
        <f t="shared" si="8"/>
        <v>929.4914825382458</v>
      </c>
      <c r="AA16" s="19">
        <f t="shared" si="9"/>
        <v>336.85964400000034</v>
      </c>
      <c r="AB16">
        <f t="shared" si="10"/>
        <v>0.73399191034728661</v>
      </c>
      <c r="AC16">
        <f t="shared" si="11"/>
        <v>0</v>
      </c>
      <c r="AD16">
        <f t="shared" si="12"/>
        <v>0</v>
      </c>
      <c r="AE16">
        <f t="shared" si="13"/>
        <v>0.26600808965271333</v>
      </c>
      <c r="AF16">
        <f t="shared" si="14"/>
        <v>21033.62801</v>
      </c>
      <c r="AG16">
        <f t="shared" si="15"/>
        <v>4206.7256020000004</v>
      </c>
      <c r="AH16">
        <f t="shared" si="16"/>
        <v>5327.1917051299833</v>
      </c>
    </row>
    <row r="17" spans="1:34">
      <c r="A17" s="26" t="s">
        <v>33</v>
      </c>
      <c r="B17" s="27">
        <f>'Plant Measurments'!C160</f>
        <v>32</v>
      </c>
      <c r="C17" s="28">
        <f>SUM('Plant Measurments'!O160:O162)</f>
        <v>40.910109000000006</v>
      </c>
      <c r="D17" s="29"/>
      <c r="E17" s="14">
        <f t="shared" si="0"/>
        <v>163.64043600000002</v>
      </c>
      <c r="F17" s="28"/>
      <c r="G17" s="30"/>
      <c r="H17" s="21">
        <f t="shared" si="17"/>
        <v>0</v>
      </c>
      <c r="I17" s="28"/>
      <c r="J17" s="30"/>
      <c r="K17" s="14">
        <f t="shared" si="2"/>
        <v>0</v>
      </c>
      <c r="L17" s="28"/>
      <c r="M17" s="30"/>
      <c r="N17" s="14">
        <f t="shared" si="3"/>
        <v>0</v>
      </c>
      <c r="O17" s="28"/>
      <c r="P17" s="30"/>
      <c r="Q17" s="14">
        <f t="shared" si="4"/>
        <v>0</v>
      </c>
      <c r="R17" s="28"/>
      <c r="S17" s="30"/>
      <c r="T17" s="14">
        <f t="shared" si="5"/>
        <v>0</v>
      </c>
      <c r="U17" s="28">
        <f>SUM('Plant Measurments'!O163)</f>
        <v>70.883855000000011</v>
      </c>
      <c r="V17" s="30"/>
      <c r="W17" s="14">
        <f t="shared" si="6"/>
        <v>283.53542000000004</v>
      </c>
      <c r="X17" s="27">
        <f t="shared" si="7"/>
        <v>447.17585600000007</v>
      </c>
      <c r="Y17" s="31"/>
      <c r="Z17" s="19">
        <f t="shared" si="8"/>
        <v>163.64043600000002</v>
      </c>
      <c r="AA17" s="19">
        <f t="shared" si="9"/>
        <v>283.53542000000004</v>
      </c>
      <c r="AB17">
        <f t="shared" si="10"/>
        <v>0.36594201991084241</v>
      </c>
      <c r="AC17">
        <f t="shared" si="11"/>
        <v>0</v>
      </c>
      <c r="AD17">
        <f t="shared" si="12"/>
        <v>0</v>
      </c>
      <c r="AE17">
        <f t="shared" si="13"/>
        <v>0.63405798008915759</v>
      </c>
      <c r="AF17">
        <f t="shared" si="14"/>
        <v>21033.62801</v>
      </c>
      <c r="AG17">
        <f t="shared" si="15"/>
        <v>4206.7256020000004</v>
      </c>
      <c r="AH17">
        <f t="shared" si="16"/>
        <v>1881.1461220314659</v>
      </c>
    </row>
    <row r="18" spans="1:34">
      <c r="A18" s="13" t="s">
        <v>28</v>
      </c>
      <c r="B18" s="14">
        <f>'Plant Measurments'!C164</f>
        <v>11</v>
      </c>
      <c r="C18" s="15"/>
      <c r="D18" s="16"/>
      <c r="E18" s="14">
        <f t="shared" si="0"/>
        <v>0</v>
      </c>
      <c r="F18" s="15"/>
      <c r="G18" s="17"/>
      <c r="H18" s="21">
        <f t="shared" si="17"/>
        <v>0</v>
      </c>
      <c r="I18" s="15"/>
      <c r="J18" s="17"/>
      <c r="K18" s="14">
        <f t="shared" si="2"/>
        <v>0</v>
      </c>
      <c r="L18" s="15"/>
      <c r="M18" s="17"/>
      <c r="N18" s="14">
        <f t="shared" si="3"/>
        <v>0</v>
      </c>
      <c r="O18" s="15"/>
      <c r="P18" s="17"/>
      <c r="Q18" s="14">
        <f t="shared" si="4"/>
        <v>0</v>
      </c>
      <c r="R18" s="15">
        <f>SUM('Plant Measurments'!O164:O168)</f>
        <v>248.85841900000008</v>
      </c>
      <c r="S18" s="17"/>
      <c r="T18" s="14">
        <f t="shared" si="5"/>
        <v>995.43367600000033</v>
      </c>
      <c r="U18" s="15"/>
      <c r="V18" s="17"/>
      <c r="W18" s="14">
        <f t="shared" si="6"/>
        <v>0</v>
      </c>
      <c r="X18" s="14">
        <f t="shared" si="7"/>
        <v>995.43367600000033</v>
      </c>
      <c r="Y18" s="18">
        <f>AVERAGE(X18:X22)</f>
        <v>1263.0047371040002</v>
      </c>
      <c r="Z18" s="19">
        <f t="shared" si="8"/>
        <v>0</v>
      </c>
      <c r="AA18" s="19">
        <f t="shared" si="9"/>
        <v>995.43367600000033</v>
      </c>
      <c r="AB18">
        <f t="shared" si="10"/>
        <v>0</v>
      </c>
      <c r="AC18">
        <f t="shared" si="11"/>
        <v>0</v>
      </c>
      <c r="AD18">
        <f t="shared" si="12"/>
        <v>0</v>
      </c>
      <c r="AE18">
        <f t="shared" si="13"/>
        <v>1</v>
      </c>
      <c r="AF18">
        <f t="shared" si="14"/>
        <v>21033.62801</v>
      </c>
      <c r="AG18">
        <f t="shared" si="15"/>
        <v>4206.7256020000004</v>
      </c>
      <c r="AH18">
        <f t="shared" si="16"/>
        <v>4187.5163299221749</v>
      </c>
    </row>
    <row r="19" spans="1:34">
      <c r="A19" s="20" t="s">
        <v>28</v>
      </c>
      <c r="B19" s="21">
        <f>'Plant Measurments'!C169</f>
        <v>30</v>
      </c>
      <c r="C19" s="22">
        <f>SUM('Plant Measurments'!O169:O173)</f>
        <v>60.121440000000007</v>
      </c>
      <c r="D19" s="23"/>
      <c r="E19" s="14">
        <f t="shared" si="0"/>
        <v>240.48576000000003</v>
      </c>
      <c r="F19" s="22">
        <f>SUM('Plant Measurments'!O174:O175)</f>
        <v>3.1482460799999998</v>
      </c>
      <c r="G19" s="24"/>
      <c r="H19" s="21">
        <f t="shared" si="17"/>
        <v>12.592984319999999</v>
      </c>
      <c r="I19" s="22"/>
      <c r="J19" s="24"/>
      <c r="K19" s="14">
        <f t="shared" si="2"/>
        <v>0</v>
      </c>
      <c r="L19" s="22"/>
      <c r="M19" s="24"/>
      <c r="N19" s="14">
        <f t="shared" si="3"/>
        <v>0</v>
      </c>
      <c r="O19" s="22"/>
      <c r="P19" s="24"/>
      <c r="Q19" s="14">
        <f t="shared" si="4"/>
        <v>0</v>
      </c>
      <c r="R19" s="22">
        <f>SUM('Plant Measurments'!O177:O179)</f>
        <v>358.420976</v>
      </c>
      <c r="S19" s="24"/>
      <c r="T19" s="14">
        <f t="shared" si="5"/>
        <v>1433.683904</v>
      </c>
      <c r="U19" s="22">
        <f>SUM('Plant Measurments'!O176)</f>
        <v>-6.5610089999999914</v>
      </c>
      <c r="V19" s="24"/>
      <c r="W19" s="14">
        <f t="shared" si="6"/>
        <v>-26.244035999999966</v>
      </c>
      <c r="X19" s="21">
        <f t="shared" si="7"/>
        <v>1660.5186123199999</v>
      </c>
      <c r="Y19" s="25"/>
      <c r="Z19" s="19">
        <f t="shared" si="8"/>
        <v>240.48576000000003</v>
      </c>
      <c r="AA19" s="19">
        <f t="shared" si="9"/>
        <v>1407.4398679999999</v>
      </c>
      <c r="AB19">
        <f t="shared" si="10"/>
        <v>0.14482569374155008</v>
      </c>
      <c r="AC19">
        <f t="shared" si="11"/>
        <v>7.5837658347024869E-3</v>
      </c>
      <c r="AD19">
        <f t="shared" si="12"/>
        <v>0</v>
      </c>
      <c r="AE19">
        <f t="shared" si="13"/>
        <v>0.84759054042374748</v>
      </c>
      <c r="AF19">
        <f t="shared" si="14"/>
        <v>21033.62801</v>
      </c>
      <c r="AG19">
        <f t="shared" si="15"/>
        <v>4206.7256020000004</v>
      </c>
      <c r="AH19">
        <f t="shared" si="16"/>
        <v>6985.3461590440575</v>
      </c>
    </row>
    <row r="20" spans="1:34">
      <c r="A20" s="20" t="s">
        <v>28</v>
      </c>
      <c r="B20" s="21">
        <f>'Plant Measurments'!C180</f>
        <v>42</v>
      </c>
      <c r="C20" s="22"/>
      <c r="D20" s="23"/>
      <c r="E20" s="14">
        <f t="shared" si="0"/>
        <v>0</v>
      </c>
      <c r="F20" s="22"/>
      <c r="G20" s="24"/>
      <c r="H20" s="21">
        <f t="shared" si="17"/>
        <v>0</v>
      </c>
      <c r="I20" s="22"/>
      <c r="J20" s="24"/>
      <c r="K20" s="14">
        <f t="shared" si="2"/>
        <v>0</v>
      </c>
      <c r="L20" s="22"/>
      <c r="M20" s="24"/>
      <c r="N20" s="14">
        <f t="shared" si="3"/>
        <v>0</v>
      </c>
      <c r="O20" s="22"/>
      <c r="P20" s="24"/>
      <c r="Q20" s="14">
        <f t="shared" si="4"/>
        <v>0</v>
      </c>
      <c r="R20" s="22">
        <f>SUM('Plant Measurments'!O183:O193)</f>
        <v>463.33301100000011</v>
      </c>
      <c r="S20" s="24"/>
      <c r="T20" s="14">
        <f t="shared" si="5"/>
        <v>1853.3320440000005</v>
      </c>
      <c r="U20" s="22">
        <f>SUM('Plant Measurments'!O180:O182)</f>
        <v>180.70907030000004</v>
      </c>
      <c r="V20" s="24"/>
      <c r="W20" s="14">
        <f t="shared" si="6"/>
        <v>722.83628120000014</v>
      </c>
      <c r="X20" s="21">
        <f t="shared" si="7"/>
        <v>2576.1683252000007</v>
      </c>
      <c r="Y20" s="25"/>
      <c r="Z20" s="19">
        <f t="shared" si="8"/>
        <v>0</v>
      </c>
      <c r="AA20" s="19">
        <f t="shared" si="9"/>
        <v>2576.1683252000007</v>
      </c>
      <c r="AB20">
        <f t="shared" si="10"/>
        <v>0</v>
      </c>
      <c r="AC20">
        <f t="shared" si="11"/>
        <v>0</v>
      </c>
      <c r="AD20">
        <f t="shared" si="12"/>
        <v>0</v>
      </c>
      <c r="AE20">
        <f t="shared" si="13"/>
        <v>1</v>
      </c>
      <c r="AF20">
        <f t="shared" si="14"/>
        <v>21033.62801</v>
      </c>
      <c r="AG20">
        <f t="shared" si="15"/>
        <v>4206.7256020000004</v>
      </c>
      <c r="AH20">
        <f t="shared" si="16"/>
        <v>10837.233248680306</v>
      </c>
    </row>
    <row r="21" spans="1:34">
      <c r="A21" s="20" t="s">
        <v>28</v>
      </c>
      <c r="B21" s="21">
        <f>'Plant Measurments'!C194</f>
        <v>48</v>
      </c>
      <c r="C21" s="22"/>
      <c r="D21" s="23"/>
      <c r="E21" s="14">
        <f t="shared" si="0"/>
        <v>0</v>
      </c>
      <c r="F21" s="22"/>
      <c r="G21" s="24"/>
      <c r="H21" s="21">
        <f t="shared" si="17"/>
        <v>0</v>
      </c>
      <c r="I21" s="22"/>
      <c r="J21" s="24"/>
      <c r="K21" s="14">
        <f t="shared" si="2"/>
        <v>0</v>
      </c>
      <c r="L21" s="22"/>
      <c r="M21" s="24"/>
      <c r="N21" s="14">
        <f t="shared" si="3"/>
        <v>0</v>
      </c>
      <c r="O21" s="22"/>
      <c r="P21" s="24"/>
      <c r="Q21" s="14">
        <f t="shared" si="4"/>
        <v>0</v>
      </c>
      <c r="R21" s="22"/>
      <c r="S21" s="24"/>
      <c r="T21" s="14">
        <f t="shared" si="5"/>
        <v>0</v>
      </c>
      <c r="U21" s="22"/>
      <c r="V21" s="24"/>
      <c r="W21" s="14">
        <f t="shared" si="6"/>
        <v>0</v>
      </c>
      <c r="X21" s="21">
        <f t="shared" si="7"/>
        <v>0</v>
      </c>
      <c r="Y21" s="25"/>
      <c r="Z21" s="19">
        <f t="shared" si="8"/>
        <v>0</v>
      </c>
      <c r="AA21" s="19">
        <f t="shared" si="9"/>
        <v>0</v>
      </c>
      <c r="AB21" t="str">
        <f t="shared" si="10"/>
        <v xml:space="preserve"> </v>
      </c>
      <c r="AC21" t="str">
        <f t="shared" si="11"/>
        <v xml:space="preserve"> </v>
      </c>
      <c r="AD21" t="str">
        <f t="shared" si="12"/>
        <v xml:space="preserve"> </v>
      </c>
      <c r="AE21" t="str">
        <f t="shared" si="13"/>
        <v xml:space="preserve"> </v>
      </c>
      <c r="AF21">
        <f t="shared" si="14"/>
        <v>21033.62801</v>
      </c>
      <c r="AG21">
        <f t="shared" si="15"/>
        <v>4206.7256020000004</v>
      </c>
      <c r="AH21">
        <f t="shared" si="16"/>
        <v>0</v>
      </c>
    </row>
    <row r="22" spans="1:34">
      <c r="A22" s="26" t="s">
        <v>28</v>
      </c>
      <c r="B22" s="27">
        <f>'Plant Measurments'!C195</f>
        <v>53</v>
      </c>
      <c r="C22" s="28"/>
      <c r="D22" s="29"/>
      <c r="E22" s="14">
        <f t="shared" si="0"/>
        <v>0</v>
      </c>
      <c r="F22" s="28"/>
      <c r="G22" s="30"/>
      <c r="H22" s="21">
        <f t="shared" si="17"/>
        <v>0</v>
      </c>
      <c r="I22" s="28"/>
      <c r="J22" s="30"/>
      <c r="K22" s="14">
        <f t="shared" si="2"/>
        <v>0</v>
      </c>
      <c r="L22" s="28"/>
      <c r="M22" s="30"/>
      <c r="N22" s="14">
        <f t="shared" si="3"/>
        <v>0</v>
      </c>
      <c r="O22" s="28"/>
      <c r="P22" s="30"/>
      <c r="Q22" s="14">
        <f t="shared" si="4"/>
        <v>0</v>
      </c>
      <c r="R22" s="28">
        <f>SUM('Plant Measurments'!O196:O201)</f>
        <v>259.56406400000003</v>
      </c>
      <c r="S22" s="30"/>
      <c r="T22" s="14">
        <f t="shared" si="5"/>
        <v>1038.2562560000001</v>
      </c>
      <c r="U22" s="28">
        <f>SUM('Plant Measurments'!O195)</f>
        <v>11.161704</v>
      </c>
      <c r="V22" s="30"/>
      <c r="W22" s="14">
        <f t="shared" si="6"/>
        <v>44.646816000000001</v>
      </c>
      <c r="X22" s="27">
        <f t="shared" si="7"/>
        <v>1082.9030720000001</v>
      </c>
      <c r="Y22" s="31"/>
      <c r="Z22" s="19">
        <f t="shared" si="8"/>
        <v>0</v>
      </c>
      <c r="AA22" s="19">
        <f t="shared" si="9"/>
        <v>1082.9030720000001</v>
      </c>
      <c r="AB22">
        <f t="shared" si="10"/>
        <v>0</v>
      </c>
      <c r="AC22">
        <f t="shared" si="11"/>
        <v>0</v>
      </c>
      <c r="AD22">
        <f t="shared" si="12"/>
        <v>0</v>
      </c>
      <c r="AE22">
        <f t="shared" si="13"/>
        <v>1</v>
      </c>
      <c r="AF22">
        <f t="shared" si="14"/>
        <v>21033.62801</v>
      </c>
      <c r="AG22">
        <f t="shared" si="15"/>
        <v>4206.7256020000004</v>
      </c>
      <c r="AH22">
        <f t="shared" si="16"/>
        <v>4555.4760774668503</v>
      </c>
    </row>
    <row r="23" spans="1:34">
      <c r="A23" s="13" t="s">
        <v>31</v>
      </c>
      <c r="B23" s="14">
        <f>'Plant Measurments'!C202</f>
        <v>1</v>
      </c>
      <c r="C23" s="15">
        <f>SUM('Plant Measurments'!O202:O206)</f>
        <v>45.118969999999997</v>
      </c>
      <c r="D23" s="16"/>
      <c r="E23" s="14">
        <f t="shared" si="0"/>
        <v>180.47587999999999</v>
      </c>
      <c r="F23" s="15"/>
      <c r="G23" s="17"/>
      <c r="H23" s="21">
        <f t="shared" si="17"/>
        <v>0</v>
      </c>
      <c r="I23" s="15">
        <f>SUM('Plant Measurments'!O207:O209)</f>
        <v>17.565144</v>
      </c>
      <c r="J23" s="17"/>
      <c r="K23" s="14">
        <f t="shared" si="2"/>
        <v>70.260576</v>
      </c>
      <c r="L23" s="15"/>
      <c r="M23" s="17"/>
      <c r="N23" s="14">
        <f t="shared" si="3"/>
        <v>0</v>
      </c>
      <c r="O23" s="15"/>
      <c r="P23" s="17"/>
      <c r="Q23" s="14">
        <f t="shared" si="4"/>
        <v>0</v>
      </c>
      <c r="R23" s="15">
        <f>SUM('Plant Measurments'!O211:O239)</f>
        <v>323.25919500000003</v>
      </c>
      <c r="S23" s="17"/>
      <c r="T23" s="14">
        <f t="shared" si="5"/>
        <v>1293.0367800000001</v>
      </c>
      <c r="U23" s="15">
        <f>SUM('Plant Measurments'!O210)</f>
        <v>67.383060349999994</v>
      </c>
      <c r="V23" s="17"/>
      <c r="W23" s="14">
        <f t="shared" si="6"/>
        <v>269.53224139999998</v>
      </c>
      <c r="X23" s="14">
        <f t="shared" si="7"/>
        <v>1813.3054774</v>
      </c>
      <c r="Y23" s="18">
        <f>AVERAGE(X23:X27)</f>
        <v>1528.2651704819982</v>
      </c>
      <c r="Z23" s="19">
        <f t="shared" si="8"/>
        <v>180.47587999999999</v>
      </c>
      <c r="AA23" s="19">
        <f t="shared" si="9"/>
        <v>1562.5690214000001</v>
      </c>
      <c r="AB23">
        <f t="shared" si="10"/>
        <v>9.9528668638212317E-2</v>
      </c>
      <c r="AC23">
        <f t="shared" si="11"/>
        <v>0</v>
      </c>
      <c r="AD23">
        <f t="shared" si="12"/>
        <v>3.8747236400974654E-2</v>
      </c>
      <c r="AE23">
        <f t="shared" si="13"/>
        <v>0.86172409496081315</v>
      </c>
      <c r="AF23">
        <f t="shared" si="14"/>
        <v>21033.62801</v>
      </c>
      <c r="AG23">
        <f t="shared" si="15"/>
        <v>4206.7256020000004</v>
      </c>
      <c r="AH23">
        <f t="shared" si="16"/>
        <v>7628.078576025413</v>
      </c>
    </row>
    <row r="24" spans="1:34">
      <c r="A24" s="20" t="s">
        <v>31</v>
      </c>
      <c r="B24" s="21">
        <f>'Plant Measurments'!C240</f>
        <v>2</v>
      </c>
      <c r="C24" s="22"/>
      <c r="D24" s="23"/>
      <c r="E24" s="14">
        <f t="shared" si="0"/>
        <v>0</v>
      </c>
      <c r="F24" s="22"/>
      <c r="G24" s="24"/>
      <c r="H24" s="21">
        <f t="shared" si="17"/>
        <v>0</v>
      </c>
      <c r="I24" s="22">
        <f>SUM('Plant Measurments'!O240:O250)</f>
        <v>137.31919103249749</v>
      </c>
      <c r="J24" s="24"/>
      <c r="K24" s="14">
        <f t="shared" si="2"/>
        <v>549.27676412998994</v>
      </c>
      <c r="L24" s="22"/>
      <c r="M24" s="24"/>
      <c r="N24" s="14">
        <f t="shared" si="3"/>
        <v>0</v>
      </c>
      <c r="O24" s="22"/>
      <c r="P24" s="24"/>
      <c r="Q24" s="14">
        <f t="shared" si="4"/>
        <v>0</v>
      </c>
      <c r="R24" s="22">
        <f>SUM('Plant Measurments'!O251:O254)</f>
        <v>51.513683999999998</v>
      </c>
      <c r="S24" s="24"/>
      <c r="T24" s="14">
        <f t="shared" si="5"/>
        <v>206.05473599999999</v>
      </c>
      <c r="U24" s="22"/>
      <c r="V24" s="24"/>
      <c r="W24" s="14">
        <f t="shared" si="6"/>
        <v>0</v>
      </c>
      <c r="X24" s="21">
        <f t="shared" si="7"/>
        <v>755.33150012998999</v>
      </c>
      <c r="Y24" s="25"/>
      <c r="Z24" s="19">
        <f t="shared" si="8"/>
        <v>0</v>
      </c>
      <c r="AA24" s="19">
        <f t="shared" si="9"/>
        <v>206.05473599999999</v>
      </c>
      <c r="AB24">
        <f t="shared" si="10"/>
        <v>0</v>
      </c>
      <c r="AC24">
        <f t="shared" si="11"/>
        <v>0</v>
      </c>
      <c r="AD24">
        <f t="shared" si="12"/>
        <v>0.72719959916336241</v>
      </c>
      <c r="AE24">
        <f t="shared" si="13"/>
        <v>0.27280040083663754</v>
      </c>
      <c r="AF24">
        <f t="shared" si="14"/>
        <v>21033.62801</v>
      </c>
      <c r="AG24">
        <f t="shared" si="15"/>
        <v>4206.7256020000004</v>
      </c>
      <c r="AH24">
        <f t="shared" si="16"/>
        <v>3177.4723595938958</v>
      </c>
    </row>
    <row r="25" spans="1:34">
      <c r="A25" s="20" t="s">
        <v>31</v>
      </c>
      <c r="B25" s="21">
        <f>'Plant Measurments'!C255</f>
        <v>11</v>
      </c>
      <c r="C25" s="22">
        <f>SUM('Plant Measurments'!O255:O261)</f>
        <v>106.11288100000002</v>
      </c>
      <c r="D25" s="23"/>
      <c r="E25" s="14">
        <f t="shared" si="0"/>
        <v>424.45152400000006</v>
      </c>
      <c r="F25" s="22"/>
      <c r="G25" s="24"/>
      <c r="H25" s="21">
        <f t="shared" si="17"/>
        <v>0</v>
      </c>
      <c r="I25" s="22"/>
      <c r="J25" s="24"/>
      <c r="K25" s="14">
        <f t="shared" si="2"/>
        <v>0</v>
      </c>
      <c r="L25" s="22"/>
      <c r="M25" s="24"/>
      <c r="N25" s="14">
        <f t="shared" si="3"/>
        <v>0</v>
      </c>
      <c r="O25" s="22"/>
      <c r="P25" s="24"/>
      <c r="Q25" s="14">
        <f t="shared" si="4"/>
        <v>0</v>
      </c>
      <c r="R25" s="22">
        <f>SUM('Plant Measurments'!O264:O268)</f>
        <v>262.53739400000006</v>
      </c>
      <c r="S25" s="24"/>
      <c r="T25" s="14">
        <f t="shared" si="5"/>
        <v>1050.1495760000003</v>
      </c>
      <c r="U25" s="22">
        <f>SUM('Plant Measurments'!O262:O263)</f>
        <v>131.16789618000001</v>
      </c>
      <c r="V25" s="24"/>
      <c r="W25" s="14">
        <f t="shared" si="6"/>
        <v>524.67158472000006</v>
      </c>
      <c r="X25" s="21">
        <f t="shared" si="7"/>
        <v>1999.2726847200004</v>
      </c>
      <c r="Y25" s="25"/>
      <c r="Z25" s="19">
        <f t="shared" si="8"/>
        <v>424.45152400000006</v>
      </c>
      <c r="AA25" s="19">
        <f t="shared" si="9"/>
        <v>1574.8211607200003</v>
      </c>
      <c r="AB25">
        <f t="shared" si="10"/>
        <v>0.21230296759616102</v>
      </c>
      <c r="AC25">
        <f t="shared" si="11"/>
        <v>0</v>
      </c>
      <c r="AD25">
        <f t="shared" si="12"/>
        <v>0</v>
      </c>
      <c r="AE25">
        <f t="shared" si="13"/>
        <v>0.78769703240383904</v>
      </c>
      <c r="AF25">
        <f t="shared" si="14"/>
        <v>21033.62801</v>
      </c>
      <c r="AG25">
        <f t="shared" si="15"/>
        <v>4206.7256020000004</v>
      </c>
      <c r="AH25">
        <f t="shared" si="16"/>
        <v>8410.3915881908997</v>
      </c>
    </row>
    <row r="26" spans="1:34">
      <c r="A26" s="20" t="s">
        <v>31</v>
      </c>
      <c r="B26" s="21">
        <f>'Plant Measurments'!C269</f>
        <v>35</v>
      </c>
      <c r="C26" s="22"/>
      <c r="D26" s="23"/>
      <c r="E26" s="14">
        <f t="shared" si="0"/>
        <v>0</v>
      </c>
      <c r="F26" s="22">
        <f>SUM('Plant Measurments'!O269:O270)</f>
        <v>3.8441370199999989</v>
      </c>
      <c r="G26" s="24"/>
      <c r="H26" s="21">
        <f t="shared" si="17"/>
        <v>15.376548079999996</v>
      </c>
      <c r="I26" s="22"/>
      <c r="J26" s="24"/>
      <c r="K26" s="14">
        <f t="shared" si="2"/>
        <v>0</v>
      </c>
      <c r="L26" s="22"/>
      <c r="M26" s="24"/>
      <c r="N26" s="14">
        <f t="shared" si="3"/>
        <v>0</v>
      </c>
      <c r="O26" s="22"/>
      <c r="P26" s="24"/>
      <c r="Q26" s="14">
        <f t="shared" si="4"/>
        <v>0</v>
      </c>
      <c r="R26" s="22">
        <f>SUM('Plant Measurments'!O271:O279)</f>
        <v>369.89074000000011</v>
      </c>
      <c r="S26" s="24"/>
      <c r="T26" s="14">
        <f t="shared" si="5"/>
        <v>1479.5629600000004</v>
      </c>
      <c r="U26" s="22"/>
      <c r="V26" s="24"/>
      <c r="W26" s="14">
        <f t="shared" si="6"/>
        <v>0</v>
      </c>
      <c r="X26" s="21">
        <f t="shared" si="7"/>
        <v>1494.9395080800005</v>
      </c>
      <c r="Y26" s="25"/>
      <c r="Z26" s="19">
        <f t="shared" si="8"/>
        <v>0</v>
      </c>
      <c r="AA26" s="19">
        <f t="shared" si="9"/>
        <v>1479.5629600000004</v>
      </c>
      <c r="AB26">
        <f t="shared" si="10"/>
        <v>0</v>
      </c>
      <c r="AC26">
        <f t="shared" si="11"/>
        <v>1.0285732631247801E-2</v>
      </c>
      <c r="AD26">
        <f t="shared" si="12"/>
        <v>0</v>
      </c>
      <c r="AE26">
        <f t="shared" si="13"/>
        <v>0.98971426736875223</v>
      </c>
      <c r="AF26">
        <f t="shared" si="14"/>
        <v>21033.62801</v>
      </c>
      <c r="AG26">
        <f t="shared" si="15"/>
        <v>4206.7256020000004</v>
      </c>
      <c r="AH26">
        <f t="shared" si="16"/>
        <v>6288.8003020814249</v>
      </c>
    </row>
    <row r="27" spans="1:34">
      <c r="A27" s="26" t="s">
        <v>31</v>
      </c>
      <c r="B27" s="27">
        <f>'Plant Measurments'!C280</f>
        <v>43</v>
      </c>
      <c r="C27" s="28"/>
      <c r="D27" s="29"/>
      <c r="E27" s="14">
        <f t="shared" si="0"/>
        <v>0</v>
      </c>
      <c r="F27" s="28"/>
      <c r="G27" s="30"/>
      <c r="H27" s="21">
        <f t="shared" si="17"/>
        <v>0</v>
      </c>
      <c r="I27" s="28"/>
      <c r="J27" s="30"/>
      <c r="K27" s="14">
        <f t="shared" si="2"/>
        <v>0</v>
      </c>
      <c r="L27" s="28"/>
      <c r="M27" s="30"/>
      <c r="N27" s="14">
        <f t="shared" si="3"/>
        <v>0</v>
      </c>
      <c r="O27" s="28"/>
      <c r="P27" s="30"/>
      <c r="Q27" s="14">
        <f t="shared" si="4"/>
        <v>0</v>
      </c>
      <c r="R27" s="28">
        <f>SUM('Plant Measurments'!O283:O286)</f>
        <v>145.82103300000006</v>
      </c>
      <c r="S27" s="30"/>
      <c r="T27" s="14">
        <f t="shared" si="5"/>
        <v>583.28413200000023</v>
      </c>
      <c r="U27" s="28">
        <f>SUM('Plant Measurments'!O280:O282)</f>
        <v>248.79813751999998</v>
      </c>
      <c r="V27" s="30"/>
      <c r="W27" s="14">
        <f t="shared" si="6"/>
        <v>995.19255007999993</v>
      </c>
      <c r="X27" s="27">
        <f t="shared" si="7"/>
        <v>1578.47668208</v>
      </c>
      <c r="Y27" s="31"/>
      <c r="Z27" s="19">
        <f t="shared" si="8"/>
        <v>0</v>
      </c>
      <c r="AA27" s="19">
        <f t="shared" si="9"/>
        <v>1578.47668208</v>
      </c>
      <c r="AB27">
        <f t="shared" si="10"/>
        <v>0</v>
      </c>
      <c r="AC27">
        <f t="shared" si="11"/>
        <v>0</v>
      </c>
      <c r="AD27">
        <f t="shared" si="12"/>
        <v>0</v>
      </c>
      <c r="AE27">
        <f t="shared" si="13"/>
        <v>1</v>
      </c>
      <c r="AF27">
        <f t="shared" si="14"/>
        <v>21033.62801</v>
      </c>
      <c r="AG27">
        <f t="shared" si="15"/>
        <v>4206.7256020000004</v>
      </c>
      <c r="AH27">
        <f t="shared" si="16"/>
        <v>6640.2182706659514</v>
      </c>
    </row>
    <row r="28" spans="1:34">
      <c r="A28" s="13" t="s">
        <v>22</v>
      </c>
      <c r="B28" s="33">
        <f>'Plant Measurments'!C287</f>
        <v>3</v>
      </c>
      <c r="C28" s="15"/>
      <c r="D28" s="16"/>
      <c r="E28" s="14">
        <f t="shared" si="0"/>
        <v>0</v>
      </c>
      <c r="F28" s="15"/>
      <c r="G28" s="17"/>
      <c r="H28" s="21">
        <f t="shared" si="17"/>
        <v>0</v>
      </c>
      <c r="I28" s="15">
        <f>SUM('Plant Measurments'!O287:O293)</f>
        <v>50.098985999999989</v>
      </c>
      <c r="J28" s="17"/>
      <c r="K28" s="14">
        <f t="shared" si="2"/>
        <v>200.39594399999996</v>
      </c>
      <c r="L28" s="15"/>
      <c r="M28" s="17"/>
      <c r="N28" s="14">
        <f t="shared" si="3"/>
        <v>0</v>
      </c>
      <c r="O28" s="15"/>
      <c r="P28" s="17"/>
      <c r="Q28" s="14">
        <f t="shared" si="4"/>
        <v>0</v>
      </c>
      <c r="R28" s="15">
        <f>SUM('Plant Measurments'!O294:O306)</f>
        <v>382.65954300000004</v>
      </c>
      <c r="S28" s="17"/>
      <c r="T28" s="14">
        <f t="shared" si="5"/>
        <v>1530.6381720000002</v>
      </c>
      <c r="U28" s="15"/>
      <c r="V28" s="17"/>
      <c r="W28" s="14">
        <f t="shared" si="6"/>
        <v>0</v>
      </c>
      <c r="X28" s="14">
        <f t="shared" si="7"/>
        <v>1731.034116</v>
      </c>
      <c r="Y28" s="18">
        <f>AVERAGE(X28:X32)</f>
        <v>683.50559896800019</v>
      </c>
      <c r="Z28" s="19">
        <f t="shared" si="8"/>
        <v>0</v>
      </c>
      <c r="AA28" s="19">
        <f t="shared" si="9"/>
        <v>1530.6381720000002</v>
      </c>
      <c r="AB28">
        <f t="shared" si="10"/>
        <v>0</v>
      </c>
      <c r="AC28">
        <f t="shared" si="11"/>
        <v>0</v>
      </c>
      <c r="AD28">
        <f t="shared" si="12"/>
        <v>0.11576660572298042</v>
      </c>
      <c r="AE28">
        <f t="shared" si="13"/>
        <v>0.88423339427701964</v>
      </c>
      <c r="AF28">
        <f t="shared" si="14"/>
        <v>21033.62801</v>
      </c>
      <c r="AG28">
        <f t="shared" si="15"/>
        <v>4206.7256020000004</v>
      </c>
      <c r="AH28">
        <f t="shared" si="16"/>
        <v>7281.9855337126382</v>
      </c>
    </row>
    <row r="29" spans="1:34">
      <c r="A29" s="20" t="s">
        <v>22</v>
      </c>
      <c r="B29" s="21">
        <f>'Plant Measurments'!C307</f>
        <v>29</v>
      </c>
      <c r="C29" s="22">
        <f>SUM('Plant Measurments'!O307:O311)</f>
        <v>57.948185000000002</v>
      </c>
      <c r="D29" s="23"/>
      <c r="E29" s="14">
        <f t="shared" si="0"/>
        <v>231.79274000000001</v>
      </c>
      <c r="F29" s="22"/>
      <c r="G29" s="24"/>
      <c r="H29" s="21">
        <f t="shared" si="17"/>
        <v>0</v>
      </c>
      <c r="I29" s="22"/>
      <c r="J29" s="24"/>
      <c r="K29" s="14">
        <f t="shared" si="2"/>
        <v>0</v>
      </c>
      <c r="L29" s="22"/>
      <c r="M29" s="24"/>
      <c r="N29" s="14">
        <f t="shared" si="3"/>
        <v>0</v>
      </c>
      <c r="O29" s="22"/>
      <c r="P29" s="24"/>
      <c r="Q29" s="14">
        <f t="shared" si="4"/>
        <v>0</v>
      </c>
      <c r="R29" s="22">
        <f>SUM('Plant Measurments'!O316:O321)</f>
        <v>19.445520000000045</v>
      </c>
      <c r="S29" s="24"/>
      <c r="T29" s="14">
        <f t="shared" si="5"/>
        <v>77.782080000000178</v>
      </c>
      <c r="U29" s="22">
        <f>SUM('Plant Measurments'!O312:O315)</f>
        <v>167.46236871000002</v>
      </c>
      <c r="V29" s="24"/>
      <c r="W29" s="14">
        <f t="shared" si="6"/>
        <v>669.84947484000008</v>
      </c>
      <c r="X29" s="21">
        <f t="shared" si="7"/>
        <v>979.42429484000024</v>
      </c>
      <c r="Y29" s="25"/>
      <c r="Z29" s="19">
        <f t="shared" si="8"/>
        <v>231.79274000000001</v>
      </c>
      <c r="AA29" s="19">
        <f t="shared" si="9"/>
        <v>747.63155484000026</v>
      </c>
      <c r="AB29">
        <f t="shared" si="10"/>
        <v>0.23666223231461286</v>
      </c>
      <c r="AC29">
        <f t="shared" si="11"/>
        <v>0</v>
      </c>
      <c r="AD29">
        <f t="shared" si="12"/>
        <v>0</v>
      </c>
      <c r="AE29">
        <f t="shared" si="13"/>
        <v>0.76333776768538719</v>
      </c>
      <c r="AF29">
        <f t="shared" si="14"/>
        <v>21033.62801</v>
      </c>
      <c r="AG29">
        <f t="shared" si="15"/>
        <v>4206.7256020000004</v>
      </c>
      <c r="AH29">
        <f t="shared" si="16"/>
        <v>4120.1692563242259</v>
      </c>
    </row>
    <row r="30" spans="1:34">
      <c r="A30" s="20" t="s">
        <v>22</v>
      </c>
      <c r="B30" s="21">
        <f>'Plant Measurments'!C322</f>
        <v>45</v>
      </c>
      <c r="C30" s="22"/>
      <c r="D30" s="23"/>
      <c r="E30" s="14">
        <f t="shared" si="0"/>
        <v>0</v>
      </c>
      <c r="F30" s="22"/>
      <c r="G30" s="24"/>
      <c r="H30" s="21">
        <f t="shared" si="17"/>
        <v>0</v>
      </c>
      <c r="I30" s="22"/>
      <c r="J30" s="24"/>
      <c r="K30" s="14">
        <f t="shared" si="2"/>
        <v>0</v>
      </c>
      <c r="L30" s="22"/>
      <c r="M30" s="24"/>
      <c r="N30" s="14">
        <f t="shared" si="3"/>
        <v>0</v>
      </c>
      <c r="O30" s="22"/>
      <c r="P30" s="24"/>
      <c r="Q30" s="14">
        <f t="shared" si="4"/>
        <v>0</v>
      </c>
      <c r="R30" s="22">
        <f>SUM('Plant Measurments'!O322)</f>
        <v>-15.921311999999993</v>
      </c>
      <c r="S30" s="24"/>
      <c r="T30" s="14">
        <f t="shared" si="5"/>
        <v>-63.685247999999973</v>
      </c>
      <c r="U30" s="22"/>
      <c r="V30" s="24"/>
      <c r="W30" s="14">
        <f t="shared" si="6"/>
        <v>0</v>
      </c>
      <c r="X30" s="21">
        <f t="shared" si="7"/>
        <v>-63.685247999999973</v>
      </c>
      <c r="Y30" s="25"/>
      <c r="Z30" s="19">
        <f t="shared" si="8"/>
        <v>0</v>
      </c>
      <c r="AA30" s="19">
        <f t="shared" si="9"/>
        <v>-63.685247999999973</v>
      </c>
      <c r="AB30" t="str">
        <f t="shared" si="10"/>
        <v xml:space="preserve"> </v>
      </c>
      <c r="AC30" t="str">
        <f t="shared" si="11"/>
        <v xml:space="preserve"> </v>
      </c>
      <c r="AD30" t="str">
        <f t="shared" si="12"/>
        <v xml:space="preserve"> </v>
      </c>
      <c r="AE30" t="str">
        <f t="shared" si="13"/>
        <v xml:space="preserve"> </v>
      </c>
      <c r="AF30">
        <f t="shared" si="14"/>
        <v>21033.62801</v>
      </c>
      <c r="AG30">
        <f t="shared" si="15"/>
        <v>4206.7256020000004</v>
      </c>
      <c r="AH30">
        <f t="shared" si="16"/>
        <v>-267.90636323131923</v>
      </c>
    </row>
    <row r="31" spans="1:34">
      <c r="A31" s="20" t="s">
        <v>22</v>
      </c>
      <c r="B31" s="21">
        <f>'Plant Measurments'!C323</f>
        <v>46</v>
      </c>
      <c r="C31" s="22"/>
      <c r="D31" s="23"/>
      <c r="E31" s="14">
        <f t="shared" si="0"/>
        <v>0</v>
      </c>
      <c r="F31" s="22"/>
      <c r="G31" s="24"/>
      <c r="H31" s="21">
        <f t="shared" si="17"/>
        <v>0</v>
      </c>
      <c r="I31" s="22"/>
      <c r="J31" s="24"/>
      <c r="K31" s="14">
        <f t="shared" si="2"/>
        <v>0</v>
      </c>
      <c r="L31" s="22"/>
      <c r="M31" s="24"/>
      <c r="N31" s="14">
        <f t="shared" si="3"/>
        <v>0</v>
      </c>
      <c r="O31" s="22"/>
      <c r="P31" s="24"/>
      <c r="Q31" s="14">
        <f t="shared" si="4"/>
        <v>0</v>
      </c>
      <c r="R31" s="22">
        <f>SUM('Plant Measurments'!O323)</f>
        <v>192.68870800000005</v>
      </c>
      <c r="S31" s="24"/>
      <c r="T31" s="14">
        <f t="shared" si="5"/>
        <v>770.75483200000019</v>
      </c>
      <c r="U31" s="22"/>
      <c r="V31" s="24"/>
      <c r="W31" s="14">
        <f t="shared" si="6"/>
        <v>0</v>
      </c>
      <c r="X31" s="21">
        <f t="shared" si="7"/>
        <v>770.75483200000019</v>
      </c>
      <c r="Y31" s="25"/>
      <c r="Z31" s="19">
        <f t="shared" si="8"/>
        <v>0</v>
      </c>
      <c r="AA31" s="19">
        <f t="shared" si="9"/>
        <v>770.75483200000019</v>
      </c>
      <c r="AB31">
        <f t="shared" si="10"/>
        <v>0</v>
      </c>
      <c r="AC31">
        <f t="shared" si="11"/>
        <v>0</v>
      </c>
      <c r="AD31">
        <f t="shared" si="12"/>
        <v>0</v>
      </c>
      <c r="AE31">
        <f t="shared" si="13"/>
        <v>1</v>
      </c>
      <c r="AF31">
        <f t="shared" si="14"/>
        <v>21033.62801</v>
      </c>
      <c r="AG31">
        <f t="shared" si="15"/>
        <v>4206.7256020000004</v>
      </c>
      <c r="AH31">
        <f t="shared" si="16"/>
        <v>3242.3540846396099</v>
      </c>
    </row>
    <row r="32" spans="1:34">
      <c r="A32" s="26" t="s">
        <v>22</v>
      </c>
      <c r="B32" s="27">
        <f>'Plant Measurments'!C324</f>
        <v>53</v>
      </c>
      <c r="C32" s="28"/>
      <c r="D32" s="29"/>
      <c r="E32" s="14">
        <f t="shared" si="0"/>
        <v>0</v>
      </c>
      <c r="F32" s="28"/>
      <c r="G32" s="30"/>
      <c r="H32" s="21">
        <f t="shared" si="17"/>
        <v>0</v>
      </c>
      <c r="I32" s="28"/>
      <c r="J32" s="30"/>
      <c r="K32" s="14">
        <f t="shared" si="2"/>
        <v>0</v>
      </c>
      <c r="L32" s="28"/>
      <c r="M32" s="30"/>
      <c r="N32" s="14">
        <f t="shared" si="3"/>
        <v>0</v>
      </c>
      <c r="O32" s="28"/>
      <c r="P32" s="30"/>
      <c r="Q32" s="14">
        <f t="shared" si="4"/>
        <v>0</v>
      </c>
      <c r="R32" s="28"/>
      <c r="S32" s="30"/>
      <c r="T32" s="14">
        <f t="shared" si="5"/>
        <v>0</v>
      </c>
      <c r="U32" s="28"/>
      <c r="V32" s="30"/>
      <c r="W32" s="14">
        <f t="shared" si="6"/>
        <v>0</v>
      </c>
      <c r="X32" s="27">
        <f t="shared" si="7"/>
        <v>0</v>
      </c>
      <c r="Y32" s="31"/>
      <c r="Z32" s="19">
        <f t="shared" si="8"/>
        <v>0</v>
      </c>
      <c r="AA32" s="19">
        <f t="shared" si="9"/>
        <v>0</v>
      </c>
      <c r="AB32" t="str">
        <f t="shared" si="10"/>
        <v xml:space="preserve"> </v>
      </c>
      <c r="AC32" t="str">
        <f t="shared" si="11"/>
        <v xml:space="preserve"> </v>
      </c>
      <c r="AD32" t="str">
        <f t="shared" si="12"/>
        <v xml:space="preserve"> </v>
      </c>
      <c r="AE32" t="str">
        <f t="shared" si="13"/>
        <v xml:space="preserve"> </v>
      </c>
      <c r="AF32">
        <f t="shared" si="14"/>
        <v>21033.62801</v>
      </c>
      <c r="AG32">
        <f t="shared" si="15"/>
        <v>4206.7256020000004</v>
      </c>
      <c r="AH32">
        <f t="shared" si="16"/>
        <v>0</v>
      </c>
    </row>
    <row r="33" spans="1:34">
      <c r="A33" s="13" t="s">
        <v>35</v>
      </c>
      <c r="B33" s="14">
        <f>'Plant Measurments'!C325</f>
        <v>9</v>
      </c>
      <c r="C33" s="15">
        <f>SUM('Plant Measurments'!O325:O344)</f>
        <v>258.40807943131324</v>
      </c>
      <c r="D33" s="34"/>
      <c r="E33" s="14">
        <f t="shared" si="0"/>
        <v>1033.632317725253</v>
      </c>
      <c r="F33" s="15"/>
      <c r="G33" s="17"/>
      <c r="H33" s="21">
        <f t="shared" si="17"/>
        <v>0</v>
      </c>
      <c r="I33" s="15">
        <f>SUM('Plant Measurments'!O345)</f>
        <v>17.702793</v>
      </c>
      <c r="J33" s="17"/>
      <c r="K33" s="14">
        <f t="shared" si="2"/>
        <v>70.811171999999999</v>
      </c>
      <c r="L33" s="15"/>
      <c r="M33" s="17"/>
      <c r="N33" s="14">
        <f t="shared" si="3"/>
        <v>0</v>
      </c>
      <c r="O33" s="15"/>
      <c r="P33" s="17"/>
      <c r="Q33" s="14">
        <f t="shared" si="4"/>
        <v>0</v>
      </c>
      <c r="R33" s="15"/>
      <c r="S33" s="17"/>
      <c r="T33" s="14">
        <f t="shared" si="5"/>
        <v>0</v>
      </c>
      <c r="U33" s="15"/>
      <c r="V33" s="17"/>
      <c r="W33" s="14">
        <f t="shared" si="6"/>
        <v>0</v>
      </c>
      <c r="X33" s="14">
        <f t="shared" si="7"/>
        <v>1104.4434897252529</v>
      </c>
      <c r="Y33" s="18">
        <f>AVERAGE(X33:X37)</f>
        <v>2034.6315102970505</v>
      </c>
      <c r="Z33" s="19">
        <f t="shared" si="8"/>
        <v>1033.632317725253</v>
      </c>
      <c r="AA33" s="19">
        <f t="shared" si="9"/>
        <v>0</v>
      </c>
      <c r="AB33">
        <f t="shared" si="10"/>
        <v>0.9358852013174388</v>
      </c>
      <c r="AC33">
        <f t="shared" si="11"/>
        <v>0</v>
      </c>
      <c r="AD33">
        <f t="shared" si="12"/>
        <v>6.4114798682561258E-2</v>
      </c>
      <c r="AE33">
        <f t="shared" si="13"/>
        <v>0</v>
      </c>
      <c r="AF33">
        <f t="shared" si="14"/>
        <v>21033.62801</v>
      </c>
      <c r="AG33">
        <f t="shared" si="15"/>
        <v>4206.7256020000004</v>
      </c>
      <c r="AH33">
        <f t="shared" si="16"/>
        <v>4646.0907041894461</v>
      </c>
    </row>
    <row r="34" spans="1:34">
      <c r="A34" s="20" t="s">
        <v>35</v>
      </c>
      <c r="B34" s="21">
        <f>'Plant Measurments'!C346</f>
        <v>18</v>
      </c>
      <c r="C34" s="22"/>
      <c r="D34" s="23"/>
      <c r="E34" s="14">
        <f t="shared" si="0"/>
        <v>0</v>
      </c>
      <c r="F34" s="22"/>
      <c r="G34" s="24"/>
      <c r="H34" s="21">
        <f t="shared" si="17"/>
        <v>0</v>
      </c>
      <c r="I34" s="22"/>
      <c r="J34" s="24"/>
      <c r="K34" s="14">
        <f t="shared" si="2"/>
        <v>0</v>
      </c>
      <c r="L34" s="22"/>
      <c r="M34" s="24"/>
      <c r="N34" s="14">
        <f t="shared" si="3"/>
        <v>0</v>
      </c>
      <c r="O34" s="22"/>
      <c r="P34" s="24"/>
      <c r="Q34" s="14">
        <f t="shared" si="4"/>
        <v>0</v>
      </c>
      <c r="R34" s="22"/>
      <c r="S34" s="24"/>
      <c r="T34" s="14">
        <f t="shared" si="5"/>
        <v>0</v>
      </c>
      <c r="U34" s="22">
        <f>SUM('Plant Measurments'!O346:O349)</f>
        <v>513.5235022600001</v>
      </c>
      <c r="V34" s="24"/>
      <c r="W34" s="14">
        <f t="shared" si="6"/>
        <v>2054.0940090400004</v>
      </c>
      <c r="X34" s="21">
        <f t="shared" si="7"/>
        <v>2054.0940090400004</v>
      </c>
      <c r="Y34" s="25"/>
      <c r="Z34" s="19">
        <f t="shared" si="8"/>
        <v>0</v>
      </c>
      <c r="AA34" s="19">
        <f t="shared" si="9"/>
        <v>2054.0940090400004</v>
      </c>
      <c r="AB34">
        <f t="shared" si="10"/>
        <v>0</v>
      </c>
      <c r="AC34">
        <f t="shared" si="11"/>
        <v>0</v>
      </c>
      <c r="AD34">
        <f t="shared" si="12"/>
        <v>0</v>
      </c>
      <c r="AE34">
        <f t="shared" si="13"/>
        <v>1</v>
      </c>
      <c r="AF34">
        <f t="shared" si="14"/>
        <v>21033.62801</v>
      </c>
      <c r="AG34">
        <f t="shared" si="15"/>
        <v>4206.7256020000004</v>
      </c>
      <c r="AH34">
        <f t="shared" si="16"/>
        <v>8641.0098567433906</v>
      </c>
    </row>
    <row r="35" spans="1:34">
      <c r="A35" s="20" t="s">
        <v>35</v>
      </c>
      <c r="B35" s="21">
        <f>'Plant Measurments'!C350</f>
        <v>19</v>
      </c>
      <c r="C35" s="22"/>
      <c r="D35" s="23"/>
      <c r="E35" s="14">
        <f t="shared" si="0"/>
        <v>0</v>
      </c>
      <c r="F35" s="22"/>
      <c r="G35" s="24"/>
      <c r="H35" s="21">
        <f t="shared" si="17"/>
        <v>0</v>
      </c>
      <c r="I35" s="22"/>
      <c r="J35" s="24"/>
      <c r="K35" s="14">
        <f t="shared" si="2"/>
        <v>0</v>
      </c>
      <c r="L35" s="22"/>
      <c r="M35" s="24"/>
      <c r="N35" s="14">
        <f t="shared" si="3"/>
        <v>0</v>
      </c>
      <c r="O35" s="22"/>
      <c r="P35" s="24"/>
      <c r="Q35" s="14">
        <f t="shared" si="4"/>
        <v>0</v>
      </c>
      <c r="R35" s="22"/>
      <c r="S35" s="24"/>
      <c r="T35" s="14">
        <f t="shared" si="5"/>
        <v>0</v>
      </c>
      <c r="U35" s="22">
        <f>SUM('Plant Measurments'!O350:O358)</f>
        <v>951.23107301999994</v>
      </c>
      <c r="V35" s="24"/>
      <c r="W35" s="14">
        <f t="shared" si="6"/>
        <v>3804.9242920799998</v>
      </c>
      <c r="X35" s="21">
        <f t="shared" si="7"/>
        <v>3804.9242920799998</v>
      </c>
      <c r="Y35" s="25"/>
      <c r="Z35" s="19">
        <f t="shared" si="8"/>
        <v>0</v>
      </c>
      <c r="AA35" s="19">
        <f t="shared" si="9"/>
        <v>3804.9242920799998</v>
      </c>
      <c r="AB35">
        <f t="shared" si="10"/>
        <v>0</v>
      </c>
      <c r="AC35">
        <f t="shared" si="11"/>
        <v>0</v>
      </c>
      <c r="AD35">
        <f t="shared" si="12"/>
        <v>0</v>
      </c>
      <c r="AE35">
        <f t="shared" si="13"/>
        <v>1</v>
      </c>
      <c r="AF35">
        <f t="shared" si="14"/>
        <v>21033.62801</v>
      </c>
      <c r="AG35">
        <f t="shared" si="15"/>
        <v>4206.7256020000004</v>
      </c>
      <c r="AH35">
        <f t="shared" si="16"/>
        <v>16006.272433164662</v>
      </c>
    </row>
    <row r="36" spans="1:34">
      <c r="A36" s="20" t="s">
        <v>35</v>
      </c>
      <c r="B36" s="21">
        <f>'Plant Measurments'!C359</f>
        <v>26</v>
      </c>
      <c r="C36" s="22"/>
      <c r="D36" s="23"/>
      <c r="E36" s="14">
        <f t="shared" si="0"/>
        <v>0</v>
      </c>
      <c r="F36" s="22"/>
      <c r="G36" s="24"/>
      <c r="H36" s="21">
        <f t="shared" si="17"/>
        <v>0</v>
      </c>
      <c r="I36" s="22"/>
      <c r="J36" s="24"/>
      <c r="K36" s="14">
        <f t="shared" si="2"/>
        <v>0</v>
      </c>
      <c r="L36" s="22"/>
      <c r="M36" s="24"/>
      <c r="N36" s="14">
        <f t="shared" si="3"/>
        <v>0</v>
      </c>
      <c r="O36" s="22"/>
      <c r="P36" s="24"/>
      <c r="Q36" s="14">
        <f t="shared" si="4"/>
        <v>0</v>
      </c>
      <c r="R36" s="22">
        <f>SUM('Plant Measurments'!O359:O366)</f>
        <v>407.34369900000007</v>
      </c>
      <c r="S36" s="24"/>
      <c r="T36" s="14">
        <f t="shared" si="5"/>
        <v>1629.3747960000003</v>
      </c>
      <c r="U36" s="22"/>
      <c r="V36" s="24"/>
      <c r="W36" s="14">
        <f t="shared" si="6"/>
        <v>0</v>
      </c>
      <c r="X36" s="21">
        <f t="shared" si="7"/>
        <v>1629.3747960000003</v>
      </c>
      <c r="Y36" s="25"/>
      <c r="Z36" s="19">
        <f t="shared" si="8"/>
        <v>0</v>
      </c>
      <c r="AA36" s="19">
        <f t="shared" si="9"/>
        <v>1629.3747960000003</v>
      </c>
      <c r="AB36">
        <f t="shared" si="10"/>
        <v>0</v>
      </c>
      <c r="AC36">
        <f t="shared" si="11"/>
        <v>0</v>
      </c>
      <c r="AD36">
        <f t="shared" si="12"/>
        <v>0</v>
      </c>
      <c r="AE36">
        <f t="shared" si="13"/>
        <v>1</v>
      </c>
      <c r="AF36">
        <f t="shared" si="14"/>
        <v>21033.62801</v>
      </c>
      <c r="AG36">
        <f t="shared" si="15"/>
        <v>4206.7256020000004</v>
      </c>
      <c r="AH36">
        <f t="shared" si="16"/>
        <v>6854.332669586729</v>
      </c>
    </row>
    <row r="37" spans="1:34">
      <c r="A37" s="26" t="s">
        <v>35</v>
      </c>
      <c r="B37" s="27">
        <f>'Plant Measurments'!C367</f>
        <v>33</v>
      </c>
      <c r="C37" s="28"/>
      <c r="D37" s="29"/>
      <c r="E37" s="14">
        <f t="shared" si="0"/>
        <v>0</v>
      </c>
      <c r="F37" s="28"/>
      <c r="G37" s="30"/>
      <c r="H37" s="21">
        <f t="shared" si="17"/>
        <v>0</v>
      </c>
      <c r="I37" s="28"/>
      <c r="J37" s="30"/>
      <c r="K37" s="14">
        <f t="shared" si="2"/>
        <v>0</v>
      </c>
      <c r="L37" s="28"/>
      <c r="M37" s="30"/>
      <c r="N37" s="14">
        <f t="shared" si="3"/>
        <v>0</v>
      </c>
      <c r="O37" s="28"/>
      <c r="P37" s="30"/>
      <c r="Q37" s="14">
        <f t="shared" si="4"/>
        <v>0</v>
      </c>
      <c r="R37" s="28">
        <f>SUM('Plant Measurments'!O370:O374)</f>
        <v>32.401817999999992</v>
      </c>
      <c r="S37" s="30"/>
      <c r="T37" s="14">
        <f t="shared" si="5"/>
        <v>129.60727199999997</v>
      </c>
      <c r="U37" s="28">
        <f>SUM('Plant Measurments'!O367:O369)</f>
        <v>362.67842315999997</v>
      </c>
      <c r="V37" s="30"/>
      <c r="W37" s="14">
        <f t="shared" si="6"/>
        <v>1450.7136926399999</v>
      </c>
      <c r="X37" s="27">
        <f t="shared" si="7"/>
        <v>1580.3209646399998</v>
      </c>
      <c r="Y37" s="31"/>
      <c r="Z37" s="19">
        <f t="shared" si="8"/>
        <v>0</v>
      </c>
      <c r="AA37" s="19">
        <f t="shared" si="9"/>
        <v>1580.3209646399998</v>
      </c>
      <c r="AB37">
        <f t="shared" si="10"/>
        <v>0</v>
      </c>
      <c r="AC37">
        <f t="shared" si="11"/>
        <v>0</v>
      </c>
      <c r="AD37">
        <f t="shared" si="12"/>
        <v>0</v>
      </c>
      <c r="AE37">
        <f t="shared" si="13"/>
        <v>1</v>
      </c>
      <c r="AF37">
        <f t="shared" si="14"/>
        <v>21033.62801</v>
      </c>
      <c r="AG37">
        <f t="shared" si="15"/>
        <v>4206.7256020000004</v>
      </c>
      <c r="AH37">
        <f t="shared" si="16"/>
        <v>6647.9766613284246</v>
      </c>
    </row>
    <row r="38" spans="1:34">
      <c r="A38" s="13" t="s">
        <v>34</v>
      </c>
      <c r="B38" s="14">
        <f>'Plant Measurments'!C386</f>
        <v>7</v>
      </c>
      <c r="C38" s="15">
        <f>SUM('Plant Measurments'!O375:O407)</f>
        <v>297.82333213315121</v>
      </c>
      <c r="D38" s="16"/>
      <c r="E38" s="14">
        <f t="shared" si="0"/>
        <v>1191.2933285326048</v>
      </c>
      <c r="F38" s="15"/>
      <c r="G38" s="17"/>
      <c r="H38" s="21">
        <f t="shared" si="17"/>
        <v>0</v>
      </c>
      <c r="I38" s="15">
        <f>SUM('Plant Measurments'!O408:O424)</f>
        <v>96.82451848119652</v>
      </c>
      <c r="J38" s="17"/>
      <c r="K38" s="14">
        <f t="shared" si="2"/>
        <v>387.29807392478608</v>
      </c>
      <c r="L38" s="15"/>
      <c r="M38" s="17"/>
      <c r="N38" s="14">
        <f t="shared" si="3"/>
        <v>0</v>
      </c>
      <c r="O38" s="15"/>
      <c r="P38" s="17"/>
      <c r="Q38" s="14">
        <f t="shared" si="4"/>
        <v>0</v>
      </c>
      <c r="R38" s="15">
        <f>SUM('Plant Measurments'!O425:O426)</f>
        <v>206.51371400000002</v>
      </c>
      <c r="S38" s="17"/>
      <c r="T38" s="14">
        <f t="shared" si="5"/>
        <v>826.05485600000009</v>
      </c>
      <c r="U38" s="15"/>
      <c r="V38" s="17"/>
      <c r="W38" s="14">
        <f t="shared" si="6"/>
        <v>0</v>
      </c>
      <c r="X38" s="14">
        <f t="shared" si="7"/>
        <v>2404.646258457391</v>
      </c>
      <c r="Y38" s="18">
        <f>AVERAGE(X38:X42)</f>
        <v>1158.3882058133884</v>
      </c>
      <c r="Z38" s="19">
        <f t="shared" si="8"/>
        <v>1191.2933285326048</v>
      </c>
      <c r="AA38" s="19">
        <f t="shared" si="9"/>
        <v>826.05485600000009</v>
      </c>
      <c r="AB38">
        <f t="shared" si="10"/>
        <v>0.49541312962050127</v>
      </c>
      <c r="AC38">
        <f t="shared" si="11"/>
        <v>0</v>
      </c>
      <c r="AD38">
        <f t="shared" si="12"/>
        <v>0.16106239018010174</v>
      </c>
      <c r="AE38">
        <f t="shared" si="13"/>
        <v>0.34352448019939702</v>
      </c>
      <c r="AF38">
        <f t="shared" si="14"/>
        <v>21033.62801</v>
      </c>
      <c r="AG38">
        <f t="shared" si="15"/>
        <v>4206.7256020000004</v>
      </c>
      <c r="AH38">
        <f t="shared" si="16"/>
        <v>10115.686979206217</v>
      </c>
    </row>
    <row r="39" spans="1:34">
      <c r="A39" s="20" t="s">
        <v>34</v>
      </c>
      <c r="B39" s="21">
        <f>'Plant Measurments'!C427</f>
        <v>17</v>
      </c>
      <c r="C39" s="22"/>
      <c r="D39" s="23"/>
      <c r="E39" s="14">
        <f t="shared" si="0"/>
        <v>0</v>
      </c>
      <c r="F39" s="22"/>
      <c r="G39" s="24"/>
      <c r="H39" s="21">
        <f t="shared" si="17"/>
        <v>0</v>
      </c>
      <c r="I39" s="22"/>
      <c r="J39" s="24"/>
      <c r="K39" s="14">
        <f t="shared" si="2"/>
        <v>0</v>
      </c>
      <c r="L39" s="22"/>
      <c r="M39" s="24"/>
      <c r="N39" s="14">
        <f t="shared" si="3"/>
        <v>0</v>
      </c>
      <c r="O39" s="22"/>
      <c r="P39" s="24"/>
      <c r="Q39" s="14">
        <f t="shared" si="4"/>
        <v>0</v>
      </c>
      <c r="R39" s="22">
        <f>SUM('Plant Measurments'!O427:O430)</f>
        <v>247.36734000000001</v>
      </c>
      <c r="S39" s="24"/>
      <c r="T39" s="14">
        <f t="shared" si="5"/>
        <v>989.46936000000005</v>
      </c>
      <c r="U39" s="22"/>
      <c r="V39" s="24"/>
      <c r="W39" s="14">
        <f t="shared" si="6"/>
        <v>0</v>
      </c>
      <c r="X39" s="21">
        <f t="shared" si="7"/>
        <v>989.46936000000005</v>
      </c>
      <c r="Y39" s="25"/>
      <c r="Z39" s="19">
        <f t="shared" si="8"/>
        <v>0</v>
      </c>
      <c r="AA39" s="19">
        <f t="shared" si="9"/>
        <v>989.46936000000005</v>
      </c>
      <c r="AB39">
        <f t="shared" si="10"/>
        <v>0</v>
      </c>
      <c r="AC39">
        <f t="shared" si="11"/>
        <v>0</v>
      </c>
      <c r="AD39">
        <f t="shared" si="12"/>
        <v>0</v>
      </c>
      <c r="AE39">
        <f t="shared" si="13"/>
        <v>1</v>
      </c>
      <c r="AF39">
        <f t="shared" si="14"/>
        <v>21033.62801</v>
      </c>
      <c r="AG39">
        <f t="shared" si="15"/>
        <v>4206.7256020000004</v>
      </c>
      <c r="AH39">
        <f t="shared" si="16"/>
        <v>4162.426089106556</v>
      </c>
    </row>
    <row r="40" spans="1:34">
      <c r="A40" s="20" t="s">
        <v>34</v>
      </c>
      <c r="B40" s="21">
        <f>'Plant Measurments'!C431</f>
        <v>19</v>
      </c>
      <c r="C40" s="22">
        <f>SUM('Plant Measurments'!O431:O433)</f>
        <v>14.129999000000002</v>
      </c>
      <c r="D40" s="23"/>
      <c r="E40" s="14">
        <f t="shared" si="0"/>
        <v>56.519996000000006</v>
      </c>
      <c r="F40" s="22"/>
      <c r="G40" s="24"/>
      <c r="H40" s="21">
        <f t="shared" si="17"/>
        <v>0</v>
      </c>
      <c r="I40" s="22"/>
      <c r="J40" s="24"/>
      <c r="K40" s="14">
        <f t="shared" si="2"/>
        <v>0</v>
      </c>
      <c r="L40" s="22"/>
      <c r="M40" s="24"/>
      <c r="N40" s="14">
        <f t="shared" si="3"/>
        <v>0</v>
      </c>
      <c r="O40" s="22"/>
      <c r="P40" s="24"/>
      <c r="Q40" s="14">
        <f t="shared" si="4"/>
        <v>0</v>
      </c>
      <c r="R40" s="22">
        <f>SUM('Plant Measurments'!O434:O436)</f>
        <v>260.30685300000005</v>
      </c>
      <c r="S40" s="24"/>
      <c r="T40" s="14">
        <f t="shared" si="5"/>
        <v>1041.2274120000002</v>
      </c>
      <c r="U40" s="22"/>
      <c r="V40" s="24"/>
      <c r="W40" s="14">
        <f t="shared" si="6"/>
        <v>0</v>
      </c>
      <c r="X40" s="21">
        <f t="shared" si="7"/>
        <v>1097.7474080000002</v>
      </c>
      <c r="Y40" s="25"/>
      <c r="Z40" s="19">
        <f t="shared" si="8"/>
        <v>56.519996000000006</v>
      </c>
      <c r="AA40" s="19">
        <f t="shared" si="9"/>
        <v>1041.2274120000002</v>
      </c>
      <c r="AB40">
        <f t="shared" si="10"/>
        <v>5.1487250699115292E-2</v>
      </c>
      <c r="AC40">
        <f t="shared" si="11"/>
        <v>0</v>
      </c>
      <c r="AD40">
        <f t="shared" si="12"/>
        <v>0</v>
      </c>
      <c r="AE40">
        <f t="shared" si="13"/>
        <v>0.94851274930088469</v>
      </c>
      <c r="AF40">
        <f t="shared" si="14"/>
        <v>21033.62801</v>
      </c>
      <c r="AG40">
        <f t="shared" si="15"/>
        <v>4206.7256020000004</v>
      </c>
      <c r="AH40">
        <f t="shared" si="16"/>
        <v>4617.9221257627414</v>
      </c>
    </row>
    <row r="41" spans="1:34">
      <c r="A41" s="20" t="s">
        <v>34</v>
      </c>
      <c r="B41" s="21">
        <f>'Plant Measurments'!C437</f>
        <v>23</v>
      </c>
      <c r="C41" s="22">
        <f>SUM('Plant Measurments'!O437:O448)</f>
        <v>177.34728965238762</v>
      </c>
      <c r="D41" s="23"/>
      <c r="E41" s="14">
        <f t="shared" si="0"/>
        <v>709.38915860955046</v>
      </c>
      <c r="F41" s="22"/>
      <c r="G41" s="24"/>
      <c r="H41" s="21">
        <f t="shared" si="17"/>
        <v>0</v>
      </c>
      <c r="I41" s="22">
        <f>SUM('Plant Measurments'!O449)</f>
        <v>4.8034729999999994</v>
      </c>
      <c r="J41" s="24"/>
      <c r="K41" s="14">
        <f t="shared" si="2"/>
        <v>19.213891999999998</v>
      </c>
      <c r="L41" s="22"/>
      <c r="M41" s="24"/>
      <c r="N41" s="14">
        <f t="shared" si="3"/>
        <v>0</v>
      </c>
      <c r="O41" s="22"/>
      <c r="P41" s="24"/>
      <c r="Q41" s="14">
        <f t="shared" si="4"/>
        <v>0</v>
      </c>
      <c r="R41" s="22">
        <f>SUM('Plant Measurments'!O450)</f>
        <v>7.4405399999999986</v>
      </c>
      <c r="S41" s="24"/>
      <c r="T41" s="14">
        <f t="shared" si="5"/>
        <v>29.762159999999994</v>
      </c>
      <c r="U41" s="22"/>
      <c r="V41" s="24"/>
      <c r="W41" s="14">
        <f t="shared" si="6"/>
        <v>0</v>
      </c>
      <c r="X41" s="21">
        <f t="shared" si="7"/>
        <v>758.36521060955045</v>
      </c>
      <c r="Y41" s="25"/>
      <c r="Z41" s="19">
        <f t="shared" si="8"/>
        <v>709.38915860955046</v>
      </c>
      <c r="AA41" s="19">
        <f t="shared" si="9"/>
        <v>29.762159999999994</v>
      </c>
      <c r="AB41">
        <f t="shared" si="10"/>
        <v>0.93541890989351351</v>
      </c>
      <c r="AC41">
        <f t="shared" si="11"/>
        <v>0</v>
      </c>
      <c r="AD41">
        <f t="shared" si="12"/>
        <v>2.5335935418973752E-2</v>
      </c>
      <c r="AE41">
        <f t="shared" si="13"/>
        <v>3.9245154687512752E-2</v>
      </c>
      <c r="AF41">
        <f t="shared" si="14"/>
        <v>21033.62801</v>
      </c>
      <c r="AG41">
        <f t="shared" si="15"/>
        <v>4206.7256020000004</v>
      </c>
      <c r="AH41">
        <f t="shared" si="16"/>
        <v>3190.2343471373179</v>
      </c>
    </row>
    <row r="42" spans="1:34">
      <c r="A42" s="26" t="s">
        <v>34</v>
      </c>
      <c r="B42" s="27">
        <f>'Plant Measurments'!C451</f>
        <v>51</v>
      </c>
      <c r="C42" s="28">
        <f>SUM('Plant Measurments'!O451:O453)</f>
        <v>58.155939000000004</v>
      </c>
      <c r="D42" s="29"/>
      <c r="E42" s="14">
        <f>C42*4</f>
        <v>232.62375600000001</v>
      </c>
      <c r="F42" s="28"/>
      <c r="G42" s="30"/>
      <c r="H42" s="21">
        <f t="shared" si="17"/>
        <v>0</v>
      </c>
      <c r="I42" s="28">
        <f>SUM('Plant Measurments'!O454)</f>
        <v>16.721323000000002</v>
      </c>
      <c r="J42" s="30"/>
      <c r="K42" s="14">
        <f t="shared" si="2"/>
        <v>66.885292000000007</v>
      </c>
      <c r="L42" s="28"/>
      <c r="M42" s="30"/>
      <c r="N42" s="14">
        <f t="shared" si="3"/>
        <v>0</v>
      </c>
      <c r="O42" s="28"/>
      <c r="P42" s="30"/>
      <c r="Q42" s="14">
        <f t="shared" si="4"/>
        <v>0</v>
      </c>
      <c r="R42" s="28">
        <f>SUM('Plant Measurments'!O455:O456)</f>
        <v>60.550936000000007</v>
      </c>
      <c r="S42" s="30"/>
      <c r="T42" s="14">
        <f t="shared" si="5"/>
        <v>242.20374400000003</v>
      </c>
      <c r="U42" s="28"/>
      <c r="V42" s="30"/>
      <c r="W42" s="14">
        <f t="shared" si="6"/>
        <v>0</v>
      </c>
      <c r="X42" s="27">
        <f t="shared" si="7"/>
        <v>541.71279200000004</v>
      </c>
      <c r="Y42" s="31"/>
      <c r="Z42" s="19">
        <f t="shared" si="8"/>
        <v>232.62375600000001</v>
      </c>
      <c r="AA42" s="19">
        <f t="shared" si="9"/>
        <v>242.20374400000003</v>
      </c>
      <c r="AB42">
        <f t="shared" si="10"/>
        <v>0.42942267458952676</v>
      </c>
      <c r="AC42">
        <f t="shared" si="11"/>
        <v>0</v>
      </c>
      <c r="AD42">
        <f t="shared" si="12"/>
        <v>0.12347002505342351</v>
      </c>
      <c r="AE42">
        <f t="shared" si="13"/>
        <v>0.44710730035704976</v>
      </c>
      <c r="AF42">
        <f t="shared" si="14"/>
        <v>21033.62801</v>
      </c>
      <c r="AG42">
        <f t="shared" si="15"/>
        <v>4206.7256020000004</v>
      </c>
      <c r="AH42">
        <f t="shared" si="16"/>
        <v>2278.8370710373015</v>
      </c>
    </row>
    <row r="43" spans="1:34">
      <c r="A43" s="13" t="s">
        <v>20</v>
      </c>
      <c r="B43" s="14">
        <f>'Plant Measurments'!C457</f>
        <v>20</v>
      </c>
      <c r="C43" s="15"/>
      <c r="D43" s="35"/>
      <c r="E43" s="14">
        <f t="shared" si="0"/>
        <v>0</v>
      </c>
      <c r="F43" s="15"/>
      <c r="G43" s="17"/>
      <c r="H43" s="14"/>
      <c r="I43" s="15"/>
      <c r="J43" s="17"/>
      <c r="K43" s="14">
        <f t="shared" si="2"/>
        <v>0</v>
      </c>
      <c r="L43" s="15"/>
      <c r="M43" s="17"/>
      <c r="N43" s="14">
        <f t="shared" si="3"/>
        <v>0</v>
      </c>
      <c r="O43" s="15"/>
      <c r="P43" s="17"/>
      <c r="Q43" s="14">
        <f t="shared" si="4"/>
        <v>0</v>
      </c>
      <c r="R43" s="15">
        <f>SUM('Plant Measurments'!O465:O468)</f>
        <v>9.1640470000000391</v>
      </c>
      <c r="S43" s="17"/>
      <c r="T43" s="14">
        <f t="shared" si="5"/>
        <v>36.656188000000157</v>
      </c>
      <c r="U43" s="15">
        <f>SUM('Plant Measurments'!O457:O464)</f>
        <v>421.82327516000009</v>
      </c>
      <c r="V43" s="16"/>
      <c r="W43" s="14">
        <f t="shared" si="6"/>
        <v>1687.2931006400004</v>
      </c>
      <c r="X43" s="14">
        <f t="shared" si="7"/>
        <v>1723.9492886400005</v>
      </c>
      <c r="Y43" s="18">
        <f>AVERAGE(X43:X47)</f>
        <v>2668.6263704320004</v>
      </c>
      <c r="Z43" s="19">
        <f t="shared" si="8"/>
        <v>0</v>
      </c>
      <c r="AA43" s="19">
        <f t="shared" si="9"/>
        <v>1723.9492886400005</v>
      </c>
      <c r="AB43">
        <f t="shared" si="10"/>
        <v>0</v>
      </c>
      <c r="AC43">
        <f t="shared" si="11"/>
        <v>0</v>
      </c>
      <c r="AD43">
        <f t="shared" si="12"/>
        <v>0</v>
      </c>
      <c r="AE43">
        <f t="shared" si="13"/>
        <v>1</v>
      </c>
      <c r="AF43">
        <f t="shared" si="14"/>
        <v>21033.62801</v>
      </c>
      <c r="AG43">
        <f t="shared" si="15"/>
        <v>4206.7256020000004</v>
      </c>
      <c r="AH43">
        <f t="shared" si="16"/>
        <v>7252.1816090715793</v>
      </c>
    </row>
    <row r="44" spans="1:34">
      <c r="A44" s="20" t="s">
        <v>20</v>
      </c>
      <c r="B44" s="21">
        <f>'Plant Measurments'!C469</f>
        <v>22</v>
      </c>
      <c r="C44" s="22"/>
      <c r="D44" s="23"/>
      <c r="E44" s="14">
        <f t="shared" si="0"/>
        <v>0</v>
      </c>
      <c r="F44" s="22"/>
      <c r="G44" s="24"/>
      <c r="H44" s="21"/>
      <c r="I44" s="22"/>
      <c r="J44" s="24"/>
      <c r="K44" s="14">
        <f t="shared" si="2"/>
        <v>0</v>
      </c>
      <c r="L44" s="22"/>
      <c r="M44" s="24"/>
      <c r="N44" s="14">
        <f t="shared" si="3"/>
        <v>0</v>
      </c>
      <c r="O44" s="22"/>
      <c r="P44" s="24"/>
      <c r="Q44" s="14">
        <f t="shared" si="4"/>
        <v>0</v>
      </c>
      <c r="R44" s="22">
        <f>SUM('Plant Measurments'!O471:O475)</f>
        <v>21.317491000000047</v>
      </c>
      <c r="S44" s="24"/>
      <c r="T44" s="14">
        <f t="shared" si="5"/>
        <v>85.269964000000186</v>
      </c>
      <c r="U44" s="22">
        <f>SUM('Plant Measurments'!O469:O470)</f>
        <v>147.65994146</v>
      </c>
      <c r="V44" s="24"/>
      <c r="W44" s="14">
        <f t="shared" si="6"/>
        <v>590.63976584</v>
      </c>
      <c r="X44" s="21">
        <f t="shared" si="7"/>
        <v>675.90972984000018</v>
      </c>
      <c r="Y44" s="25"/>
      <c r="Z44" s="19">
        <f t="shared" si="8"/>
        <v>0</v>
      </c>
      <c r="AA44" s="19">
        <f t="shared" si="9"/>
        <v>675.90972984000018</v>
      </c>
      <c r="AB44">
        <f t="shared" si="10"/>
        <v>0</v>
      </c>
      <c r="AC44">
        <f t="shared" si="11"/>
        <v>0</v>
      </c>
      <c r="AD44">
        <f t="shared" si="12"/>
        <v>0</v>
      </c>
      <c r="AE44">
        <f t="shared" si="13"/>
        <v>1</v>
      </c>
      <c r="AF44">
        <f t="shared" si="14"/>
        <v>21033.62801</v>
      </c>
      <c r="AG44">
        <f t="shared" si="15"/>
        <v>4206.7256020000004</v>
      </c>
      <c r="AH44">
        <f t="shared" si="16"/>
        <v>2843.3667651588325</v>
      </c>
    </row>
    <row r="45" spans="1:34">
      <c r="A45" s="20" t="s">
        <v>20</v>
      </c>
      <c r="B45" s="21">
        <f>'Plant Measurments'!C476</f>
        <v>26</v>
      </c>
      <c r="C45" s="22"/>
      <c r="D45" s="23"/>
      <c r="E45" s="14">
        <f t="shared" si="0"/>
        <v>0</v>
      </c>
      <c r="F45" s="22"/>
      <c r="G45" s="24"/>
      <c r="H45" s="21"/>
      <c r="I45" s="22"/>
      <c r="J45" s="24"/>
      <c r="K45" s="14">
        <f t="shared" si="2"/>
        <v>0</v>
      </c>
      <c r="L45" s="22"/>
      <c r="M45" s="24"/>
      <c r="N45" s="14">
        <f t="shared" si="3"/>
        <v>0</v>
      </c>
      <c r="O45" s="22"/>
      <c r="P45" s="24"/>
      <c r="Q45" s="14">
        <f t="shared" si="4"/>
        <v>0</v>
      </c>
      <c r="R45" s="22">
        <f>SUM('Plant Measurments'!O484:O486)</f>
        <v>410.49355600000013</v>
      </c>
      <c r="S45" s="24"/>
      <c r="T45" s="14">
        <f t="shared" si="5"/>
        <v>1641.9742240000005</v>
      </c>
      <c r="U45" s="22">
        <f>SUM('Plant Measurments'!O476:O483)</f>
        <v>874.28746400000023</v>
      </c>
      <c r="V45" s="24"/>
      <c r="W45" s="14">
        <f t="shared" si="6"/>
        <v>3497.1498560000009</v>
      </c>
      <c r="X45" s="21">
        <f t="shared" si="7"/>
        <v>5139.1240800000014</v>
      </c>
      <c r="Y45" s="25"/>
      <c r="Z45" s="19">
        <f t="shared" si="8"/>
        <v>0</v>
      </c>
      <c r="AA45" s="19">
        <f t="shared" si="9"/>
        <v>5139.1240800000014</v>
      </c>
      <c r="AB45">
        <f t="shared" si="10"/>
        <v>0</v>
      </c>
      <c r="AC45">
        <f t="shared" si="11"/>
        <v>0</v>
      </c>
      <c r="AD45">
        <f t="shared" si="12"/>
        <v>0</v>
      </c>
      <c r="AE45">
        <f t="shared" si="13"/>
        <v>1</v>
      </c>
      <c r="AF45">
        <f t="shared" si="14"/>
        <v>21033.62801</v>
      </c>
      <c r="AG45">
        <f t="shared" si="15"/>
        <v>4206.7256020000004</v>
      </c>
      <c r="AH45">
        <f t="shared" si="16"/>
        <v>21618.884839190701</v>
      </c>
    </row>
    <row r="46" spans="1:34">
      <c r="A46" s="20" t="s">
        <v>20</v>
      </c>
      <c r="B46" s="21">
        <f>'Plant Measurments'!C487</f>
        <v>28</v>
      </c>
      <c r="C46" s="22"/>
      <c r="D46" s="23"/>
      <c r="E46" s="14">
        <f t="shared" si="0"/>
        <v>0</v>
      </c>
      <c r="F46" s="22"/>
      <c r="G46" s="24"/>
      <c r="H46" s="21">
        <f>F46*4</f>
        <v>0</v>
      </c>
      <c r="I46" s="22"/>
      <c r="J46" s="24"/>
      <c r="K46" s="14">
        <f t="shared" si="2"/>
        <v>0</v>
      </c>
      <c r="L46" s="22"/>
      <c r="M46" s="24"/>
      <c r="N46" s="14">
        <f t="shared" si="3"/>
        <v>0</v>
      </c>
      <c r="O46" s="22"/>
      <c r="P46" s="24"/>
      <c r="Q46" s="14">
        <f t="shared" si="4"/>
        <v>0</v>
      </c>
      <c r="R46" s="22">
        <f>SUM('Plant Measurments'!O494:O496)</f>
        <v>205.46595500000004</v>
      </c>
      <c r="S46" s="24"/>
      <c r="T46" s="14">
        <f t="shared" si="5"/>
        <v>821.86382000000015</v>
      </c>
      <c r="U46" s="22">
        <f>SUM('Plant Measurments'!O487:O493)</f>
        <v>561.45315165000011</v>
      </c>
      <c r="V46" s="24"/>
      <c r="W46" s="14">
        <f t="shared" si="6"/>
        <v>2245.8126066000004</v>
      </c>
      <c r="X46" s="21">
        <f t="shared" si="7"/>
        <v>3067.6764266000005</v>
      </c>
      <c r="Y46" s="25"/>
      <c r="Z46" s="19">
        <f t="shared" si="8"/>
        <v>0</v>
      </c>
      <c r="AA46" s="19">
        <f t="shared" si="9"/>
        <v>3067.6764266000005</v>
      </c>
      <c r="AB46">
        <f t="shared" si="10"/>
        <v>0</v>
      </c>
      <c r="AC46">
        <f t="shared" si="11"/>
        <v>0</v>
      </c>
      <c r="AD46">
        <f t="shared" si="12"/>
        <v>0</v>
      </c>
      <c r="AE46">
        <f t="shared" si="13"/>
        <v>1</v>
      </c>
      <c r="AF46">
        <f t="shared" si="14"/>
        <v>21033.62801</v>
      </c>
      <c r="AG46">
        <f t="shared" si="15"/>
        <v>4206.7256020000004</v>
      </c>
      <c r="AH46">
        <f t="shared" si="16"/>
        <v>12904.872962430098</v>
      </c>
    </row>
    <row r="47" spans="1:34">
      <c r="A47" s="26" t="s">
        <v>20</v>
      </c>
      <c r="B47" s="27">
        <f>'Plant Measurments'!C497</f>
        <v>42</v>
      </c>
      <c r="C47" s="28"/>
      <c r="D47" s="29"/>
      <c r="E47" s="14">
        <f t="shared" si="0"/>
        <v>0</v>
      </c>
      <c r="F47" s="28"/>
      <c r="G47" s="30"/>
      <c r="H47" s="27"/>
      <c r="I47" s="28"/>
      <c r="J47" s="30"/>
      <c r="K47" s="14">
        <f t="shared" si="2"/>
        <v>0</v>
      </c>
      <c r="L47" s="28"/>
      <c r="M47" s="30"/>
      <c r="N47" s="14">
        <f t="shared" si="3"/>
        <v>0</v>
      </c>
      <c r="O47" s="28"/>
      <c r="P47" s="30"/>
      <c r="Q47" s="14">
        <f t="shared" si="4"/>
        <v>0</v>
      </c>
      <c r="R47" s="28">
        <f>SUM('Plant Measurments'!O497:O505)</f>
        <v>684.11808177000012</v>
      </c>
      <c r="S47" s="30"/>
      <c r="T47" s="14">
        <f t="shared" si="5"/>
        <v>2736.4723270800005</v>
      </c>
      <c r="U47" s="28"/>
      <c r="V47" s="30"/>
      <c r="W47" s="14">
        <f t="shared" si="6"/>
        <v>0</v>
      </c>
      <c r="X47" s="27">
        <f t="shared" si="7"/>
        <v>2736.4723270800005</v>
      </c>
      <c r="Y47" s="31"/>
      <c r="Z47" s="19">
        <f t="shared" si="8"/>
        <v>0</v>
      </c>
      <c r="AA47" s="19">
        <f t="shared" si="9"/>
        <v>2736.4723270800005</v>
      </c>
      <c r="AB47">
        <f t="shared" si="10"/>
        <v>0</v>
      </c>
      <c r="AC47">
        <f t="shared" si="11"/>
        <v>0</v>
      </c>
      <c r="AD47">
        <f t="shared" si="12"/>
        <v>0</v>
      </c>
      <c r="AE47">
        <f t="shared" si="13"/>
        <v>1</v>
      </c>
      <c r="AF47">
        <f t="shared" si="14"/>
        <v>21033.62801</v>
      </c>
      <c r="AG47">
        <f t="shared" si="15"/>
        <v>4206.7256020000004</v>
      </c>
      <c r="AH47">
        <f t="shared" si="16"/>
        <v>11511.588197491958</v>
      </c>
    </row>
    <row r="48" spans="1:34">
      <c r="A48" s="13" t="s">
        <v>32</v>
      </c>
      <c r="B48" s="14">
        <f>'Plant Measurments'!C506</f>
        <v>8</v>
      </c>
      <c r="C48" s="15"/>
      <c r="D48" s="16"/>
      <c r="E48" s="14">
        <f t="shared" si="0"/>
        <v>0</v>
      </c>
      <c r="F48" s="15"/>
      <c r="G48" s="17"/>
      <c r="H48" s="14"/>
      <c r="I48" s="15">
        <f>SUM('Plant Measurments'!O506:O511)</f>
        <v>34.008608000000002</v>
      </c>
      <c r="J48" s="17"/>
      <c r="K48" s="14">
        <f t="shared" si="2"/>
        <v>136.03443200000001</v>
      </c>
      <c r="L48" s="15"/>
      <c r="M48" s="17"/>
      <c r="N48" s="14">
        <f t="shared" si="3"/>
        <v>0</v>
      </c>
      <c r="O48" s="15"/>
      <c r="P48" s="17"/>
      <c r="Q48" s="14">
        <f t="shared" si="4"/>
        <v>0</v>
      </c>
      <c r="R48" s="15">
        <f>SUM('Plant Measurments'!O515:O516)</f>
        <v>80.621021000000013</v>
      </c>
      <c r="S48" s="17"/>
      <c r="T48" s="14">
        <f t="shared" si="5"/>
        <v>322.48408400000005</v>
      </c>
      <c r="U48" s="15">
        <f>SUM('Plant Measurments'!O512:O514)</f>
        <v>268.38726119</v>
      </c>
      <c r="V48" s="17"/>
      <c r="W48" s="14">
        <f t="shared" si="6"/>
        <v>1073.54904476</v>
      </c>
      <c r="X48" s="14">
        <f t="shared" si="7"/>
        <v>1532.0675607600001</v>
      </c>
      <c r="Y48" s="18">
        <f>AVERAGE(X48:X52)</f>
        <v>1090.5335537240003</v>
      </c>
      <c r="Z48" s="19">
        <f>E48+Q48</f>
        <v>0</v>
      </c>
      <c r="AA48" s="19">
        <f t="shared" si="9"/>
        <v>1396.0331287600002</v>
      </c>
      <c r="AB48">
        <f t="shared" si="10"/>
        <v>0</v>
      </c>
      <c r="AC48">
        <f t="shared" si="11"/>
        <v>0</v>
      </c>
      <c r="AD48">
        <f t="shared" si="12"/>
        <v>8.8791405473345145E-2</v>
      </c>
      <c r="AE48">
        <f t="shared" si="13"/>
        <v>0.91120859452665492</v>
      </c>
      <c r="AF48">
        <f t="shared" si="14"/>
        <v>21033.62801</v>
      </c>
      <c r="AG48">
        <f t="shared" si="15"/>
        <v>4206.7256020000004</v>
      </c>
      <c r="AH48">
        <f t="shared" si="16"/>
        <v>6444.9878318427836</v>
      </c>
    </row>
    <row r="49" spans="1:34">
      <c r="A49" s="20" t="s">
        <v>32</v>
      </c>
      <c r="B49" s="21">
        <f>'Plant Measurments'!C517</f>
        <v>23</v>
      </c>
      <c r="C49" s="22"/>
      <c r="D49" s="23"/>
      <c r="E49" s="14">
        <f t="shared" si="0"/>
        <v>0</v>
      </c>
      <c r="F49" s="22"/>
      <c r="G49" s="24"/>
      <c r="H49" s="21"/>
      <c r="I49" s="22"/>
      <c r="J49" s="24"/>
      <c r="K49" s="14">
        <f t="shared" si="2"/>
        <v>0</v>
      </c>
      <c r="L49" s="22"/>
      <c r="M49" s="24"/>
      <c r="N49" s="14">
        <f t="shared" si="3"/>
        <v>0</v>
      </c>
      <c r="O49" s="22"/>
      <c r="P49" s="24"/>
      <c r="Q49" s="14">
        <f t="shared" si="4"/>
        <v>0</v>
      </c>
      <c r="R49" s="22">
        <f>SUM('Plant Measurments'!O518:O523)</f>
        <v>370.34399300000018</v>
      </c>
      <c r="S49" s="24"/>
      <c r="T49" s="14">
        <f t="shared" si="5"/>
        <v>1481.3759720000007</v>
      </c>
      <c r="U49" s="22">
        <f>SUM('Plant Measurments'!O517)</f>
        <v>7.7171699999999959</v>
      </c>
      <c r="V49" s="24"/>
      <c r="W49" s="14">
        <f t="shared" si="6"/>
        <v>30.868679999999983</v>
      </c>
      <c r="X49" s="21">
        <f t="shared" si="7"/>
        <v>1512.2446520000008</v>
      </c>
      <c r="Y49" s="25"/>
      <c r="Z49" s="19">
        <f t="shared" si="8"/>
        <v>0</v>
      </c>
      <c r="AA49" s="19">
        <f t="shared" si="9"/>
        <v>1512.2446520000008</v>
      </c>
      <c r="AB49">
        <f t="shared" si="10"/>
        <v>0</v>
      </c>
      <c r="AC49">
        <f t="shared" si="11"/>
        <v>0</v>
      </c>
      <c r="AD49">
        <f t="shared" si="12"/>
        <v>0</v>
      </c>
      <c r="AE49">
        <f t="shared" si="13"/>
        <v>1</v>
      </c>
      <c r="AF49">
        <f t="shared" si="14"/>
        <v>21033.62801</v>
      </c>
      <c r="AG49">
        <f t="shared" si="15"/>
        <v>4206.7256020000004</v>
      </c>
      <c r="AH49">
        <f t="shared" si="16"/>
        <v>6361.5982940559843</v>
      </c>
    </row>
    <row r="50" spans="1:34">
      <c r="A50" s="20" t="s">
        <v>32</v>
      </c>
      <c r="B50" s="21">
        <f>'Plant Measurments'!C524</f>
        <v>30</v>
      </c>
      <c r="C50" s="22"/>
      <c r="D50" s="23"/>
      <c r="E50" s="14">
        <f t="shared" si="0"/>
        <v>0</v>
      </c>
      <c r="F50" s="22"/>
      <c r="G50" s="24"/>
      <c r="H50" s="21">
        <f>F50*4</f>
        <v>0</v>
      </c>
      <c r="I50" s="22">
        <f>SUM('Plant Measurments'!O524:O559)</f>
        <v>103.51676422199999</v>
      </c>
      <c r="J50" s="24"/>
      <c r="K50" s="14">
        <f t="shared" si="2"/>
        <v>414.06705688799997</v>
      </c>
      <c r="L50" s="22"/>
      <c r="M50" s="24"/>
      <c r="N50" s="14">
        <f t="shared" si="3"/>
        <v>0</v>
      </c>
      <c r="O50" s="22"/>
      <c r="P50" s="24"/>
      <c r="Q50" s="14">
        <f t="shared" si="4"/>
        <v>0</v>
      </c>
      <c r="R50" s="22"/>
      <c r="S50" s="24"/>
      <c r="T50" s="14">
        <f t="shared" si="5"/>
        <v>0</v>
      </c>
      <c r="U50" s="22">
        <f>SUM('Plant Measurments'!O560:O563)</f>
        <v>151.99902721000007</v>
      </c>
      <c r="V50" s="24"/>
      <c r="W50" s="14">
        <f t="shared" si="6"/>
        <v>607.99610884000026</v>
      </c>
      <c r="X50" s="21">
        <f t="shared" si="7"/>
        <v>1022.0631657280003</v>
      </c>
      <c r="Y50" s="25"/>
      <c r="Z50" s="19">
        <f t="shared" si="8"/>
        <v>0</v>
      </c>
      <c r="AA50" s="19">
        <f t="shared" si="9"/>
        <v>607.99610884000026</v>
      </c>
      <c r="AB50">
        <f t="shared" si="10"/>
        <v>0</v>
      </c>
      <c r="AC50">
        <f t="shared" si="11"/>
        <v>0</v>
      </c>
      <c r="AD50">
        <f t="shared" si="12"/>
        <v>0.4051286366367251</v>
      </c>
      <c r="AE50">
        <f t="shared" si="13"/>
        <v>0.59487136336327484</v>
      </c>
      <c r="AF50">
        <f t="shared" si="14"/>
        <v>21033.62801</v>
      </c>
      <c r="AG50">
        <f t="shared" si="15"/>
        <v>4206.7256020000004</v>
      </c>
      <c r="AH50">
        <f t="shared" si="16"/>
        <v>4299.5392861291484</v>
      </c>
    </row>
    <row r="51" spans="1:34">
      <c r="A51" s="20" t="s">
        <v>32</v>
      </c>
      <c r="B51" s="21">
        <f>'Plant Measurments'!C564</f>
        <v>32</v>
      </c>
      <c r="C51" s="22"/>
      <c r="D51" s="23"/>
      <c r="E51" s="14">
        <f t="shared" si="0"/>
        <v>0</v>
      </c>
      <c r="F51" s="22"/>
      <c r="G51" s="24"/>
      <c r="H51" s="21">
        <f>F51*4</f>
        <v>0</v>
      </c>
      <c r="I51" s="22">
        <f>SUM('Plant Measurments'!O564:O572)</f>
        <v>27.325334432999998</v>
      </c>
      <c r="J51" s="24"/>
      <c r="K51" s="14">
        <f t="shared" si="2"/>
        <v>109.30133773199999</v>
      </c>
      <c r="L51" s="22"/>
      <c r="M51" s="24"/>
      <c r="N51" s="14">
        <f t="shared" si="3"/>
        <v>0</v>
      </c>
      <c r="O51" s="22"/>
      <c r="P51" s="24"/>
      <c r="Q51" s="14">
        <f t="shared" si="4"/>
        <v>0</v>
      </c>
      <c r="R51" s="22"/>
      <c r="S51" s="24"/>
      <c r="T51" s="14">
        <f t="shared" si="5"/>
        <v>0</v>
      </c>
      <c r="U51" s="22">
        <f>SUM('Plant Measurments'!O573:O575)</f>
        <v>319.24776309999993</v>
      </c>
      <c r="V51" s="24"/>
      <c r="W51" s="14">
        <f t="shared" si="6"/>
        <v>1276.9910523999997</v>
      </c>
      <c r="X51" s="21">
        <f t="shared" si="7"/>
        <v>1386.2923901319998</v>
      </c>
      <c r="Y51" s="25"/>
      <c r="Z51" s="19">
        <f t="shared" si="8"/>
        <v>0</v>
      </c>
      <c r="AA51" s="19">
        <f t="shared" si="9"/>
        <v>1276.9910523999997</v>
      </c>
      <c r="AB51">
        <f t="shared" si="10"/>
        <v>0</v>
      </c>
      <c r="AC51">
        <f t="shared" si="11"/>
        <v>0</v>
      </c>
      <c r="AD51">
        <f t="shared" si="12"/>
        <v>7.8844361052571713E-2</v>
      </c>
      <c r="AE51">
        <f t="shared" si="13"/>
        <v>0.92115563894742825</v>
      </c>
      <c r="AF51">
        <f t="shared" si="14"/>
        <v>21033.62801</v>
      </c>
      <c r="AG51">
        <f t="shared" si="15"/>
        <v>4206.7256020000004</v>
      </c>
      <c r="AH51">
        <f t="shared" si="16"/>
        <v>5831.7516894260561</v>
      </c>
    </row>
    <row r="52" spans="1:34">
      <c r="A52" s="26" t="s">
        <v>32</v>
      </c>
      <c r="B52" s="27">
        <f>'Plant Measurments'!C576</f>
        <v>54</v>
      </c>
      <c r="C52" s="28"/>
      <c r="D52" s="29"/>
      <c r="E52" s="14">
        <f t="shared" si="0"/>
        <v>0</v>
      </c>
      <c r="F52" s="28"/>
      <c r="G52" s="30"/>
      <c r="H52" s="27"/>
      <c r="I52" s="28"/>
      <c r="J52" s="30"/>
      <c r="K52" s="14">
        <f t="shared" si="2"/>
        <v>0</v>
      </c>
      <c r="L52" s="28"/>
      <c r="M52" s="30"/>
      <c r="N52" s="14">
        <f t="shared" si="3"/>
        <v>0</v>
      </c>
      <c r="O52" s="28"/>
      <c r="P52" s="30"/>
      <c r="Q52" s="14">
        <f t="shared" si="4"/>
        <v>0</v>
      </c>
      <c r="R52" s="28"/>
      <c r="S52" s="30"/>
      <c r="T52" s="14">
        <f t="shared" si="5"/>
        <v>0</v>
      </c>
      <c r="U52" s="28"/>
      <c r="V52" s="30"/>
      <c r="W52" s="14">
        <f t="shared" si="6"/>
        <v>0</v>
      </c>
      <c r="X52" s="27">
        <f t="shared" si="7"/>
        <v>0</v>
      </c>
      <c r="Y52" s="31"/>
      <c r="Z52" s="19">
        <f t="shared" si="8"/>
        <v>0</v>
      </c>
      <c r="AA52" s="19">
        <f t="shared" si="9"/>
        <v>0</v>
      </c>
      <c r="AB52" t="str">
        <f t="shared" si="10"/>
        <v xml:space="preserve"> </v>
      </c>
      <c r="AC52" t="str">
        <f t="shared" si="11"/>
        <v xml:space="preserve"> </v>
      </c>
      <c r="AD52" t="str">
        <f t="shared" si="12"/>
        <v xml:space="preserve"> </v>
      </c>
      <c r="AE52" t="str">
        <f t="shared" si="13"/>
        <v xml:space="preserve"> </v>
      </c>
      <c r="AF52">
        <f t="shared" si="14"/>
        <v>21033.62801</v>
      </c>
      <c r="AG52">
        <f t="shared" si="15"/>
        <v>4206.7256020000004</v>
      </c>
      <c r="AH52">
        <f t="shared" si="16"/>
        <v>0</v>
      </c>
    </row>
    <row r="53" spans="1:34">
      <c r="Y53" t="s">
        <v>65</v>
      </c>
      <c r="AB53">
        <f>AVERAGE(AB3:AB52)</f>
        <v>0.12180691099087516</v>
      </c>
      <c r="AC53">
        <f t="shared" ref="AC53:AE53" si="18">AVERAGE(AC3:AC52)</f>
        <v>8.4624537107509841E-3</v>
      </c>
      <c r="AD53">
        <f t="shared" si="18"/>
        <v>6.0594170327061006E-2</v>
      </c>
      <c r="AE53">
        <f t="shared" si="18"/>
        <v>0.80913646497131264</v>
      </c>
      <c r="AG53" t="s">
        <v>66</v>
      </c>
      <c r="AH53">
        <f>SUM(AH3:AH52)</f>
        <v>287938.13156536536</v>
      </c>
    </row>
    <row r="55" spans="1:34">
      <c r="AB55">
        <f>COUNT(AB3:AB52)</f>
        <v>43</v>
      </c>
      <c r="AE55">
        <f>SUM(AB53:AE53)</f>
        <v>0.99999999999999978</v>
      </c>
    </row>
  </sheetData>
  <mergeCells count="1">
    <mergeCell ref="A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Plant Measurments</vt:lpstr>
      <vt:lpstr>Quadrat Totals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Daniel Childers</cp:lastModifiedBy>
  <dcterms:created xsi:type="dcterms:W3CDTF">2013-06-17T16:19:05Z</dcterms:created>
  <dcterms:modified xsi:type="dcterms:W3CDTF">2014-07-30T20:00:09Z</dcterms:modified>
</cp:coreProperties>
</file>