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-45" yWindow="6945" windowWidth="29040" windowHeight="18180" tabRatio="500"/>
  </bookViews>
  <sheets>
    <sheet name="Plant Measurements" sheetId="1" r:id="rId1"/>
  </sheets>
  <definedNames>
    <definedName name="_xlnm._FilterDatabase" localSheetId="0" hidden="1">'Plant Measurements'!$A$3:$O$1544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27" i="1" l="1"/>
  <c r="O1130" i="1"/>
  <c r="O187" i="1"/>
  <c r="O216" i="1"/>
  <c r="O113" i="1"/>
  <c r="N1100" i="1"/>
  <c r="F986" i="1"/>
  <c r="F990" i="1"/>
  <c r="F991" i="1"/>
  <c r="F992" i="1"/>
  <c r="F993" i="1"/>
  <c r="F994" i="1"/>
  <c r="F996" i="1"/>
  <c r="F998" i="1"/>
  <c r="F1007" i="1"/>
  <c r="F1008" i="1"/>
  <c r="F1010" i="1"/>
  <c r="F1011" i="1"/>
  <c r="F1014" i="1"/>
  <c r="F1016" i="1"/>
  <c r="F1018" i="1"/>
  <c r="F1021" i="1"/>
  <c r="F1022" i="1"/>
  <c r="F1024" i="1"/>
  <c r="F1025" i="1"/>
  <c r="F1026" i="1"/>
  <c r="F1028" i="1"/>
  <c r="N373" i="1"/>
  <c r="O373" i="1"/>
  <c r="N1019" i="1"/>
  <c r="O1019" i="1"/>
  <c r="N1433" i="1"/>
  <c r="O1433" i="1"/>
  <c r="N1414" i="1"/>
  <c r="O1414" i="1"/>
  <c r="N613" i="1"/>
  <c r="O613" i="1"/>
  <c r="N374" i="1"/>
  <c r="O374" i="1"/>
  <c r="N409" i="1"/>
  <c r="O409" i="1"/>
  <c r="N1040" i="1"/>
  <c r="O1040" i="1"/>
  <c r="N1075" i="1"/>
  <c r="O1075" i="1"/>
  <c r="N1070" i="1"/>
  <c r="O1070" i="1"/>
  <c r="N1105" i="1"/>
  <c r="O1105" i="1"/>
  <c r="N1419" i="1"/>
  <c r="O1419" i="1"/>
  <c r="N1437" i="1"/>
  <c r="O1437" i="1"/>
  <c r="N1470" i="1"/>
  <c r="O1470" i="1"/>
  <c r="N406" i="1"/>
  <c r="O406" i="1"/>
  <c r="N995" i="1"/>
  <c r="O995" i="1"/>
  <c r="N1016" i="1"/>
  <c r="O1016" i="1"/>
  <c r="N1052" i="1"/>
  <c r="O1052" i="1"/>
  <c r="N1048" i="1"/>
  <c r="O1048" i="1"/>
  <c r="N1041" i="1"/>
  <c r="O1041" i="1"/>
  <c r="N1409" i="1"/>
  <c r="O1409" i="1"/>
  <c r="N588" i="1"/>
  <c r="O588" i="1"/>
  <c r="N595" i="1"/>
  <c r="O595" i="1"/>
  <c r="N408" i="1"/>
  <c r="O408" i="1"/>
  <c r="N19" i="1"/>
  <c r="O19" i="1"/>
  <c r="N1026" i="1"/>
  <c r="O1026" i="1"/>
  <c r="N1053" i="1"/>
  <c r="O1053" i="1"/>
  <c r="N1051" i="1"/>
  <c r="O1051" i="1"/>
  <c r="N1103" i="1"/>
  <c r="O1103" i="1"/>
  <c r="N1420" i="1"/>
  <c r="O1420" i="1"/>
  <c r="N589" i="1"/>
  <c r="O589" i="1"/>
  <c r="N611" i="1"/>
  <c r="O611" i="1"/>
  <c r="N590" i="1"/>
  <c r="O590" i="1"/>
  <c r="N1001" i="1"/>
  <c r="O1001" i="1"/>
  <c r="N1020" i="1"/>
  <c r="O1020" i="1"/>
  <c r="N1004" i="1"/>
  <c r="O1004" i="1"/>
  <c r="N1017" i="1"/>
  <c r="O1017" i="1"/>
  <c r="N1431" i="1"/>
  <c r="O1431" i="1"/>
  <c r="N1482" i="1"/>
  <c r="O1482" i="1"/>
  <c r="N1526" i="1"/>
  <c r="O1526" i="1"/>
  <c r="N608" i="1"/>
  <c r="O608" i="1"/>
  <c r="N593" i="1"/>
  <c r="O593" i="1"/>
  <c r="N592" i="1"/>
  <c r="O592" i="1"/>
  <c r="N397" i="1"/>
  <c r="O397" i="1"/>
  <c r="N436" i="1"/>
  <c r="O436" i="1"/>
  <c r="N17" i="1"/>
  <c r="O17" i="1"/>
  <c r="N155" i="1"/>
  <c r="O155" i="1"/>
  <c r="N187" i="1"/>
  <c r="N1441" i="1"/>
  <c r="O1441" i="1"/>
  <c r="N1426" i="1"/>
  <c r="O1426" i="1"/>
  <c r="N1463" i="1"/>
  <c r="O1463" i="1"/>
  <c r="N1455" i="1"/>
  <c r="O1455" i="1"/>
  <c r="N600" i="1"/>
  <c r="O600" i="1"/>
  <c r="N599" i="1"/>
  <c r="O599" i="1"/>
  <c r="N601" i="1"/>
  <c r="O601" i="1"/>
  <c r="N618" i="1"/>
  <c r="O618" i="1"/>
  <c r="N423" i="1"/>
  <c r="O423" i="1"/>
  <c r="N22" i="1"/>
  <c r="O22" i="1"/>
  <c r="N20" i="1"/>
  <c r="O20" i="1"/>
  <c r="N1009" i="1"/>
  <c r="O1009" i="1"/>
  <c r="N1046" i="1"/>
  <c r="O1046" i="1"/>
  <c r="N1083" i="1"/>
  <c r="O1083" i="1"/>
  <c r="N1110" i="1"/>
  <c r="O1110" i="1"/>
  <c r="N106" i="1"/>
  <c r="O106" i="1"/>
  <c r="N186" i="1"/>
  <c r="O186" i="1"/>
  <c r="N188" i="1"/>
  <c r="O188" i="1"/>
  <c r="N1457" i="1"/>
  <c r="O1457" i="1"/>
  <c r="N615" i="1"/>
  <c r="O615" i="1"/>
  <c r="N369" i="1"/>
  <c r="O369" i="1"/>
  <c r="N396" i="1"/>
  <c r="O396" i="1"/>
  <c r="N432" i="1"/>
  <c r="O432" i="1"/>
  <c r="N439" i="1"/>
  <c r="O439" i="1"/>
  <c r="N437" i="1"/>
  <c r="O437" i="1"/>
  <c r="N429" i="1"/>
  <c r="O429" i="1"/>
  <c r="N16" i="1"/>
  <c r="O16" i="1"/>
  <c r="N18" i="1"/>
  <c r="O18" i="1"/>
  <c r="N972" i="1"/>
  <c r="O972" i="1"/>
  <c r="N1027" i="1"/>
  <c r="O1027" i="1"/>
  <c r="N1025" i="1"/>
  <c r="O1025" i="1"/>
  <c r="N1011" i="1"/>
  <c r="O1011" i="1"/>
  <c r="N1024" i="1"/>
  <c r="O1024" i="1"/>
  <c r="N1049" i="1"/>
  <c r="O1049" i="1"/>
  <c r="N1054" i="1"/>
  <c r="O1054" i="1"/>
  <c r="N189" i="1"/>
  <c r="O189" i="1"/>
  <c r="N1469" i="1"/>
  <c r="O1469" i="1"/>
  <c r="N7" i="1"/>
  <c r="O7" i="1"/>
  <c r="N23" i="1"/>
  <c r="O23" i="1"/>
  <c r="N24" i="1"/>
  <c r="O24" i="1"/>
  <c r="N1022" i="1"/>
  <c r="O1022" i="1"/>
  <c r="N992" i="1"/>
  <c r="O992" i="1"/>
  <c r="N1018" i="1"/>
  <c r="O1018" i="1"/>
  <c r="N1107" i="1"/>
  <c r="O1107" i="1"/>
  <c r="N539" i="1"/>
  <c r="O539" i="1"/>
  <c r="N1435" i="1"/>
  <c r="O1435" i="1"/>
  <c r="N1475" i="1"/>
  <c r="O1475" i="1"/>
  <c r="N612" i="1"/>
  <c r="O612" i="1"/>
  <c r="N25" i="1"/>
  <c r="O25" i="1"/>
  <c r="N1050" i="1"/>
  <c r="O1050" i="1"/>
  <c r="N616" i="1"/>
  <c r="O616" i="1"/>
  <c r="N617" i="1"/>
  <c r="O617" i="1"/>
  <c r="N398" i="1"/>
  <c r="O398" i="1"/>
  <c r="N426" i="1"/>
  <c r="O426" i="1"/>
  <c r="N1106" i="1"/>
  <c r="O1106" i="1"/>
  <c r="N1423" i="1"/>
  <c r="O1423" i="1"/>
  <c r="N1487" i="1"/>
  <c r="O1487" i="1"/>
  <c r="N1453" i="1"/>
  <c r="O1453" i="1"/>
  <c r="N371" i="1"/>
  <c r="O371" i="1"/>
  <c r="N11" i="1"/>
  <c r="O11" i="1"/>
  <c r="N26" i="1"/>
  <c r="O26" i="1"/>
  <c r="N27" i="1"/>
  <c r="O27" i="1"/>
  <c r="N973" i="1"/>
  <c r="O973" i="1"/>
  <c r="N975" i="1"/>
  <c r="O975" i="1"/>
  <c r="N979" i="1"/>
  <c r="O979" i="1"/>
  <c r="N1023" i="1"/>
  <c r="O1023" i="1"/>
  <c r="N154" i="1"/>
  <c r="O154" i="1"/>
  <c r="N1478" i="1"/>
  <c r="O1478" i="1"/>
  <c r="N605" i="1"/>
  <c r="O605" i="1"/>
  <c r="N609" i="1"/>
  <c r="O609" i="1"/>
  <c r="N1429" i="1"/>
  <c r="O1429" i="1"/>
  <c r="N1474" i="1"/>
  <c r="O1474" i="1"/>
  <c r="N1467" i="1"/>
  <c r="O1467" i="1"/>
  <c r="N614" i="1"/>
  <c r="O614" i="1"/>
  <c r="N431" i="1"/>
  <c r="O431" i="1"/>
  <c r="N1108" i="1"/>
  <c r="O1108" i="1"/>
  <c r="N1109" i="1"/>
  <c r="O1109" i="1"/>
  <c r="N1484" i="1"/>
  <c r="O1484" i="1"/>
  <c r="N427" i="1"/>
  <c r="O427" i="1"/>
  <c r="N433" i="1"/>
  <c r="O433" i="1"/>
  <c r="N1085" i="1"/>
  <c r="O1085" i="1"/>
  <c r="N400" i="1"/>
  <c r="O400" i="1"/>
  <c r="N1488" i="1"/>
  <c r="O1488" i="1"/>
  <c r="N107" i="1"/>
  <c r="O107" i="1"/>
  <c r="N1438" i="1"/>
  <c r="O1438" i="1"/>
  <c r="N1468" i="1"/>
  <c r="O1468" i="1"/>
  <c r="N1477" i="1"/>
  <c r="O1477" i="1"/>
  <c r="N1460" i="1"/>
  <c r="O1460" i="1"/>
  <c r="N434" i="1"/>
  <c r="O434" i="1"/>
  <c r="N1485" i="1"/>
  <c r="O1485" i="1"/>
  <c r="N606" i="1"/>
  <c r="O606" i="1"/>
  <c r="N1440" i="1"/>
  <c r="O1440" i="1"/>
  <c r="N1408" i="1"/>
  <c r="O1408" i="1"/>
  <c r="N1439" i="1"/>
  <c r="O1439" i="1"/>
  <c r="N1406" i="1"/>
  <c r="O1406" i="1"/>
  <c r="N1428" i="1"/>
  <c r="O1428" i="1"/>
  <c r="N1407" i="1"/>
  <c r="O1407" i="1"/>
  <c r="N1434" i="1"/>
  <c r="O1434" i="1"/>
  <c r="N1425" i="1"/>
  <c r="O1425" i="1"/>
  <c r="N1442" i="1"/>
  <c r="O1442" i="1"/>
  <c r="N1418" i="1"/>
  <c r="O1418" i="1"/>
  <c r="N1427" i="1"/>
  <c r="O1427" i="1"/>
  <c r="N1415" i="1"/>
  <c r="O1415" i="1"/>
  <c r="N1422" i="1"/>
  <c r="O1422" i="1"/>
  <c r="N1473" i="1"/>
  <c r="O1473" i="1"/>
  <c r="N1459" i="1"/>
  <c r="O1459" i="1"/>
  <c r="N1461" i="1"/>
  <c r="O1461" i="1"/>
  <c r="N1456" i="1"/>
  <c r="O1456" i="1"/>
  <c r="N1476" i="1"/>
  <c r="O1476" i="1"/>
  <c r="N1458" i="1"/>
  <c r="O1458" i="1"/>
  <c r="N1471" i="1"/>
  <c r="O1471" i="1"/>
  <c r="N1486" i="1"/>
  <c r="O1486" i="1"/>
  <c r="N1452" i="1"/>
  <c r="O1452" i="1"/>
  <c r="N1464" i="1"/>
  <c r="O1464" i="1"/>
  <c r="N1465" i="1"/>
  <c r="O1465" i="1"/>
  <c r="N1480" i="1"/>
  <c r="O1480" i="1"/>
  <c r="N1483" i="1"/>
  <c r="O1483" i="1"/>
  <c r="N1472" i="1"/>
  <c r="O1472" i="1"/>
  <c r="N1462" i="1"/>
  <c r="O1462" i="1"/>
  <c r="N1454" i="1"/>
  <c r="O1454" i="1"/>
  <c r="N1481" i="1"/>
  <c r="O1481" i="1"/>
  <c r="N1451" i="1"/>
  <c r="O1451" i="1"/>
  <c r="N1479" i="1"/>
  <c r="O1479" i="1"/>
  <c r="N1466" i="1"/>
  <c r="O1466" i="1"/>
  <c r="N591" i="1"/>
  <c r="O591" i="1"/>
  <c r="N604" i="1"/>
  <c r="O604" i="1"/>
  <c r="N598" i="1"/>
  <c r="O598" i="1"/>
  <c r="N602" i="1"/>
  <c r="O602" i="1"/>
  <c r="N607" i="1"/>
  <c r="O607" i="1"/>
  <c r="N603" i="1"/>
  <c r="O603" i="1"/>
  <c r="N594" i="1"/>
  <c r="O594" i="1"/>
  <c r="N597" i="1"/>
  <c r="O597" i="1"/>
  <c r="N596" i="1"/>
  <c r="O596" i="1"/>
  <c r="N610" i="1"/>
  <c r="O610" i="1"/>
  <c r="N372" i="1"/>
  <c r="O372" i="1"/>
  <c r="N367" i="1"/>
  <c r="O367" i="1"/>
  <c r="N370" i="1"/>
  <c r="O370" i="1"/>
  <c r="N368" i="1"/>
  <c r="O368" i="1"/>
  <c r="N365" i="1"/>
  <c r="O365" i="1"/>
  <c r="N366" i="1"/>
  <c r="O366" i="1"/>
  <c r="N402" i="1"/>
  <c r="O402" i="1"/>
  <c r="N407" i="1"/>
  <c r="O407" i="1"/>
  <c r="N403" i="1"/>
  <c r="O403" i="1"/>
  <c r="N395" i="1"/>
  <c r="O395" i="1"/>
  <c r="N405" i="1"/>
  <c r="O405" i="1"/>
  <c r="N399" i="1"/>
  <c r="O399" i="1"/>
  <c r="N404" i="1"/>
  <c r="O404" i="1"/>
  <c r="N401" i="1"/>
  <c r="O401" i="1"/>
  <c r="N420" i="1"/>
  <c r="O420" i="1"/>
  <c r="N419" i="1"/>
  <c r="O419" i="1"/>
  <c r="N424" i="1"/>
  <c r="O424" i="1"/>
  <c r="N421" i="1"/>
  <c r="O421" i="1"/>
  <c r="N430" i="1"/>
  <c r="O430" i="1"/>
  <c r="N435" i="1"/>
  <c r="O435" i="1"/>
  <c r="N417" i="1"/>
  <c r="O417" i="1"/>
  <c r="N428" i="1"/>
  <c r="O428" i="1"/>
  <c r="N422" i="1"/>
  <c r="O422" i="1"/>
  <c r="N425" i="1"/>
  <c r="O425" i="1"/>
  <c r="N418" i="1"/>
  <c r="O418" i="1"/>
  <c r="N415" i="1"/>
  <c r="O415" i="1"/>
  <c r="N438" i="1"/>
  <c r="O438" i="1"/>
  <c r="N416" i="1"/>
  <c r="O416" i="1"/>
  <c r="N12" i="1"/>
  <c r="O12" i="1"/>
  <c r="N9" i="1"/>
  <c r="O9" i="1"/>
  <c r="N8" i="1"/>
  <c r="O8" i="1"/>
  <c r="N6" i="1"/>
  <c r="O6" i="1"/>
  <c r="N10" i="1"/>
  <c r="O10" i="1"/>
  <c r="N21" i="1"/>
  <c r="O21" i="1"/>
  <c r="N13" i="1"/>
  <c r="O13" i="1"/>
  <c r="N15" i="1"/>
  <c r="O15" i="1"/>
  <c r="N14" i="1"/>
  <c r="O14" i="1"/>
  <c r="N960" i="1"/>
  <c r="O960" i="1"/>
  <c r="N964" i="1"/>
  <c r="O964" i="1"/>
  <c r="N980" i="1"/>
  <c r="O980" i="1"/>
  <c r="N977" i="1"/>
  <c r="O977" i="1"/>
  <c r="N978" i="1"/>
  <c r="O978" i="1"/>
  <c r="N966" i="1"/>
  <c r="O966" i="1"/>
  <c r="N962" i="1"/>
  <c r="O962" i="1"/>
  <c r="N967" i="1"/>
  <c r="O967" i="1"/>
  <c r="N958" i="1"/>
  <c r="O958" i="1"/>
  <c r="N965" i="1"/>
  <c r="O965" i="1"/>
  <c r="N968" i="1"/>
  <c r="O968" i="1"/>
  <c r="N961" i="1"/>
  <c r="O961" i="1"/>
  <c r="N959" i="1"/>
  <c r="O959" i="1"/>
  <c r="N971" i="1"/>
  <c r="O971" i="1"/>
  <c r="N976" i="1"/>
  <c r="O976" i="1"/>
  <c r="N970" i="1"/>
  <c r="O970" i="1"/>
  <c r="N963" i="1"/>
  <c r="O963" i="1"/>
  <c r="N957" i="1"/>
  <c r="O957" i="1"/>
  <c r="N974" i="1"/>
  <c r="O974" i="1"/>
  <c r="N969" i="1"/>
  <c r="O969" i="1"/>
  <c r="N1006" i="1"/>
  <c r="O1006" i="1"/>
  <c r="N1005" i="1"/>
  <c r="O1005" i="1"/>
  <c r="N1012" i="1"/>
  <c r="O1012" i="1"/>
  <c r="N988" i="1"/>
  <c r="O988" i="1"/>
  <c r="N997" i="1"/>
  <c r="O997" i="1"/>
  <c r="N1000" i="1"/>
  <c r="O1000" i="1"/>
  <c r="N987" i="1"/>
  <c r="O987" i="1"/>
  <c r="N1015" i="1"/>
  <c r="O1015" i="1"/>
  <c r="N999" i="1"/>
  <c r="O999" i="1"/>
  <c r="N1013" i="1"/>
  <c r="O1013" i="1"/>
  <c r="N1003" i="1"/>
  <c r="O1003" i="1"/>
  <c r="N1002" i="1"/>
  <c r="O1002" i="1"/>
  <c r="N989" i="1"/>
  <c r="O989" i="1"/>
  <c r="N994" i="1"/>
  <c r="O994" i="1"/>
  <c r="N1028" i="1"/>
  <c r="O1028" i="1"/>
  <c r="N991" i="1"/>
  <c r="O991" i="1"/>
  <c r="N998" i="1"/>
  <c r="O998" i="1"/>
  <c r="N1021" i="1"/>
  <c r="O1021" i="1"/>
  <c r="N993" i="1"/>
  <c r="O993" i="1"/>
  <c r="N1007" i="1"/>
  <c r="O1007" i="1"/>
  <c r="N996" i="1"/>
  <c r="O996" i="1"/>
  <c r="N1014" i="1"/>
  <c r="O1014" i="1"/>
  <c r="N990" i="1"/>
  <c r="O990" i="1"/>
  <c r="N1008" i="1"/>
  <c r="O1008" i="1"/>
  <c r="N1010" i="1"/>
  <c r="O1010" i="1"/>
  <c r="N1045" i="1"/>
  <c r="O1045" i="1"/>
  <c r="N1044" i="1"/>
  <c r="O1044" i="1"/>
  <c r="N1036" i="1"/>
  <c r="O1036" i="1"/>
  <c r="N1037" i="1"/>
  <c r="O1037" i="1"/>
  <c r="N1038" i="1"/>
  <c r="O1038" i="1"/>
  <c r="N1042" i="1"/>
  <c r="O1042" i="1"/>
  <c r="N1047" i="1"/>
  <c r="O1047" i="1"/>
  <c r="N1039" i="1"/>
  <c r="O1039" i="1"/>
  <c r="N1043" i="1"/>
  <c r="O1043" i="1"/>
  <c r="N1082" i="1"/>
  <c r="O1082" i="1"/>
  <c r="N1088" i="1"/>
  <c r="O1088" i="1"/>
  <c r="N1074" i="1"/>
  <c r="O1074" i="1"/>
  <c r="N1077" i="1"/>
  <c r="O1077" i="1"/>
  <c r="N1080" i="1"/>
  <c r="O1080" i="1"/>
  <c r="N1087" i="1"/>
  <c r="O1087" i="1"/>
  <c r="N1073" i="1"/>
  <c r="O1073" i="1"/>
  <c r="N1071" i="1"/>
  <c r="O1071" i="1"/>
  <c r="N1072" i="1"/>
  <c r="O1072" i="1"/>
  <c r="N1079" i="1"/>
  <c r="O1079" i="1"/>
  <c r="N1086" i="1"/>
  <c r="O1086" i="1"/>
  <c r="N1084" i="1"/>
  <c r="O1084" i="1"/>
  <c r="N1076" i="1"/>
  <c r="O1076" i="1"/>
  <c r="N1078" i="1"/>
  <c r="O1078" i="1"/>
  <c r="N1081" i="1"/>
  <c r="O1081" i="1"/>
  <c r="N1101" i="1"/>
  <c r="O1101" i="1"/>
  <c r="O1100" i="1"/>
  <c r="N1104" i="1"/>
  <c r="O1104" i="1"/>
  <c r="N1102" i="1"/>
  <c r="O1102" i="1"/>
  <c r="N105" i="1"/>
  <c r="O105" i="1"/>
  <c r="N191" i="1"/>
  <c r="O191" i="1"/>
  <c r="N1413" i="1"/>
  <c r="O1413" i="1"/>
  <c r="N1411" i="1"/>
  <c r="O1411" i="1"/>
  <c r="N1405" i="1"/>
  <c r="O1405" i="1"/>
  <c r="N1430" i="1"/>
  <c r="O1430" i="1"/>
  <c r="N1432" i="1"/>
  <c r="O1432" i="1"/>
  <c r="N1412" i="1"/>
  <c r="O1412" i="1"/>
  <c r="N1417" i="1"/>
  <c r="O1417" i="1"/>
  <c r="N1424" i="1"/>
  <c r="O1424" i="1"/>
  <c r="N1410" i="1"/>
  <c r="O1410" i="1"/>
  <c r="N1436" i="1"/>
  <c r="O1436" i="1"/>
  <c r="N1421" i="1"/>
  <c r="O1421" i="1"/>
  <c r="N1416" i="1"/>
  <c r="O1416" i="1"/>
  <c r="N190" i="1"/>
  <c r="O190" i="1"/>
  <c r="N1133" i="1"/>
  <c r="O1133" i="1"/>
  <c r="N1130" i="1"/>
  <c r="N1449" i="1"/>
  <c r="O1449" i="1"/>
  <c r="N1136" i="1"/>
  <c r="O1136" i="1"/>
  <c r="N955" i="1"/>
  <c r="O955" i="1"/>
  <c r="N1132" i="1"/>
  <c r="O1132" i="1"/>
  <c r="N1450" i="1"/>
  <c r="O1450" i="1"/>
  <c r="N1448" i="1"/>
  <c r="O1448" i="1"/>
  <c r="N1127" i="1"/>
  <c r="N1129" i="1"/>
  <c r="O1129" i="1"/>
  <c r="N1135" i="1"/>
  <c r="O1135" i="1"/>
  <c r="N1128" i="1"/>
  <c r="O1128" i="1"/>
  <c r="N1126" i="1"/>
  <c r="O1126" i="1"/>
  <c r="N1134" i="1"/>
  <c r="O1134" i="1"/>
  <c r="N1131" i="1"/>
  <c r="O1131" i="1"/>
  <c r="N956" i="1"/>
  <c r="O956" i="1"/>
  <c r="N918" i="1"/>
  <c r="O918" i="1"/>
  <c r="N809" i="1"/>
  <c r="O809" i="1"/>
  <c r="N803" i="1"/>
  <c r="O803" i="1"/>
  <c r="N798" i="1"/>
  <c r="O798" i="1"/>
  <c r="N495" i="1"/>
  <c r="O495" i="1"/>
  <c r="N523" i="1"/>
  <c r="O523" i="1"/>
  <c r="N182" i="1"/>
  <c r="O182" i="1"/>
  <c r="N294" i="1"/>
  <c r="O294" i="1"/>
  <c r="N530" i="1"/>
  <c r="O530" i="1"/>
  <c r="N538" i="1"/>
  <c r="O538" i="1"/>
  <c r="N535" i="1"/>
  <c r="O535" i="1"/>
  <c r="N168" i="1"/>
  <c r="O168" i="1"/>
  <c r="N765" i="1"/>
  <c r="O765" i="1"/>
  <c r="N518" i="1"/>
  <c r="O518" i="1"/>
  <c r="N290" i="1"/>
  <c r="O290" i="1"/>
  <c r="N812" i="1"/>
  <c r="O812" i="1"/>
  <c r="N792" i="1"/>
  <c r="O792" i="1"/>
  <c r="N363" i="1"/>
  <c r="O363" i="1"/>
  <c r="N952" i="1"/>
  <c r="O952" i="1"/>
  <c r="N101" i="1"/>
  <c r="O101" i="1"/>
  <c r="N100" i="1"/>
  <c r="O100" i="1"/>
  <c r="N529" i="1"/>
  <c r="O529" i="1"/>
  <c r="N524" i="1"/>
  <c r="O524" i="1"/>
  <c r="N295" i="1"/>
  <c r="O295" i="1"/>
  <c r="N775" i="1"/>
  <c r="O775" i="1"/>
  <c r="N800" i="1"/>
  <c r="O800" i="1"/>
  <c r="N811" i="1"/>
  <c r="O811" i="1"/>
  <c r="N5" i="1"/>
  <c r="O5" i="1"/>
  <c r="N78" i="1"/>
  <c r="O78" i="1"/>
  <c r="N92" i="1"/>
  <c r="O92" i="1"/>
  <c r="N950" i="1"/>
  <c r="O950" i="1"/>
  <c r="N104" i="1"/>
  <c r="O104" i="1"/>
  <c r="N525" i="1"/>
  <c r="O525" i="1"/>
  <c r="N786" i="1"/>
  <c r="O786" i="1"/>
  <c r="N94" i="1"/>
  <c r="O94" i="1"/>
  <c r="N103" i="1"/>
  <c r="O103" i="1"/>
  <c r="N99" i="1"/>
  <c r="O99" i="1"/>
  <c r="N521" i="1"/>
  <c r="O521" i="1"/>
  <c r="N176" i="1"/>
  <c r="O176" i="1"/>
  <c r="N767" i="1"/>
  <c r="O767" i="1"/>
  <c r="N791" i="1"/>
  <c r="O791" i="1"/>
  <c r="N797" i="1"/>
  <c r="O797" i="1"/>
  <c r="N781" i="1"/>
  <c r="O781" i="1"/>
  <c r="N86" i="1"/>
  <c r="O86" i="1"/>
  <c r="N1404" i="1"/>
  <c r="O1404" i="1"/>
  <c r="N360" i="1"/>
  <c r="O360" i="1"/>
  <c r="N88" i="1"/>
  <c r="O88" i="1"/>
  <c r="N986" i="1"/>
  <c r="O986" i="1"/>
  <c r="N149" i="1"/>
  <c r="O149" i="1"/>
  <c r="N527" i="1"/>
  <c r="O527" i="1"/>
  <c r="N553" i="1"/>
  <c r="O553" i="1"/>
  <c r="N548" i="1"/>
  <c r="O548" i="1"/>
  <c r="N175" i="1"/>
  <c r="O175" i="1"/>
  <c r="N185" i="1"/>
  <c r="O185" i="1"/>
  <c r="N773" i="1"/>
  <c r="O773" i="1"/>
  <c r="N82" i="1"/>
  <c r="O82" i="1"/>
  <c r="N87" i="1"/>
  <c r="O87" i="1"/>
  <c r="N102" i="1"/>
  <c r="O102" i="1"/>
  <c r="N549" i="1"/>
  <c r="O549" i="1"/>
  <c r="N766" i="1"/>
  <c r="O766" i="1"/>
  <c r="N802" i="1"/>
  <c r="O802" i="1"/>
  <c r="N364" i="1"/>
  <c r="O364" i="1"/>
  <c r="N84" i="1"/>
  <c r="O84" i="1"/>
  <c r="N145" i="1"/>
  <c r="O145" i="1"/>
  <c r="N776" i="1"/>
  <c r="O776" i="1"/>
  <c r="N361" i="1"/>
  <c r="O361" i="1"/>
  <c r="N953" i="1"/>
  <c r="O953" i="1"/>
  <c r="N532" i="1"/>
  <c r="O532" i="1"/>
  <c r="N178" i="1"/>
  <c r="O178" i="1"/>
  <c r="N162" i="1"/>
  <c r="O162" i="1"/>
  <c r="N303" i="1"/>
  <c r="O303" i="1"/>
  <c r="N772" i="1"/>
  <c r="O772" i="1"/>
  <c r="N805" i="1"/>
  <c r="O805" i="1"/>
  <c r="N4" i="1"/>
  <c r="O4" i="1"/>
  <c r="N165" i="1"/>
  <c r="O165" i="1"/>
  <c r="N301" i="1"/>
  <c r="O301" i="1"/>
  <c r="N795" i="1"/>
  <c r="O795" i="1"/>
  <c r="N790" i="1"/>
  <c r="O790" i="1"/>
  <c r="N516" i="1"/>
  <c r="O516" i="1"/>
  <c r="N801" i="1"/>
  <c r="O801" i="1"/>
  <c r="N951" i="1"/>
  <c r="O951" i="1"/>
  <c r="N799" i="1"/>
  <c r="O799" i="1"/>
  <c r="N304" i="1"/>
  <c r="O304" i="1"/>
  <c r="N1069" i="1"/>
  <c r="O1069" i="1"/>
  <c r="N300" i="1"/>
  <c r="O300" i="1"/>
  <c r="N183" i="1"/>
  <c r="O183" i="1"/>
  <c r="N506" i="1"/>
  <c r="O506" i="1"/>
  <c r="N502" i="1"/>
  <c r="O502" i="1"/>
  <c r="N494" i="1"/>
  <c r="O494" i="1"/>
  <c r="N498" i="1"/>
  <c r="O498" i="1"/>
  <c r="N496" i="1"/>
  <c r="O496" i="1"/>
  <c r="N500" i="1"/>
  <c r="O500" i="1"/>
  <c r="N504" i="1"/>
  <c r="O504" i="1"/>
  <c r="N503" i="1"/>
  <c r="O503" i="1"/>
  <c r="N499" i="1"/>
  <c r="O499" i="1"/>
  <c r="N501" i="1"/>
  <c r="O501" i="1"/>
  <c r="N497" i="1"/>
  <c r="O497" i="1"/>
  <c r="N505" i="1"/>
  <c r="O505" i="1"/>
  <c r="N493" i="1"/>
  <c r="O493" i="1"/>
  <c r="N514" i="1"/>
  <c r="O514" i="1"/>
  <c r="N522" i="1"/>
  <c r="O522" i="1"/>
  <c r="N528" i="1"/>
  <c r="O528" i="1"/>
  <c r="N536" i="1"/>
  <c r="O536" i="1"/>
  <c r="N526" i="1"/>
  <c r="O526" i="1"/>
  <c r="N519" i="1"/>
  <c r="O519" i="1"/>
  <c r="N515" i="1"/>
  <c r="O515" i="1"/>
  <c r="N534" i="1"/>
  <c r="O534" i="1"/>
  <c r="N520" i="1"/>
  <c r="O520" i="1"/>
  <c r="N537" i="1"/>
  <c r="O537" i="1"/>
  <c r="N517" i="1"/>
  <c r="O517" i="1"/>
  <c r="N531" i="1"/>
  <c r="O531" i="1"/>
  <c r="N533" i="1"/>
  <c r="O533" i="1"/>
  <c r="N513" i="1"/>
  <c r="O513" i="1"/>
  <c r="N546" i="1"/>
  <c r="O546" i="1"/>
  <c r="N550" i="1"/>
  <c r="O550" i="1"/>
  <c r="N547" i="1"/>
  <c r="O547" i="1"/>
  <c r="N551" i="1"/>
  <c r="O551" i="1"/>
  <c r="N552" i="1"/>
  <c r="O552" i="1"/>
  <c r="N171" i="1"/>
  <c r="O171" i="1"/>
  <c r="N180" i="1"/>
  <c r="O180" i="1"/>
  <c r="N179" i="1"/>
  <c r="O179" i="1"/>
  <c r="N172" i="1"/>
  <c r="O172" i="1"/>
  <c r="N164" i="1"/>
  <c r="O164" i="1"/>
  <c r="N166" i="1"/>
  <c r="O166" i="1"/>
  <c r="N181" i="1"/>
  <c r="O181" i="1"/>
  <c r="N170" i="1"/>
  <c r="O170" i="1"/>
  <c r="N163" i="1"/>
  <c r="O163" i="1"/>
  <c r="N174" i="1"/>
  <c r="O174" i="1"/>
  <c r="N177" i="1"/>
  <c r="O177" i="1"/>
  <c r="N167" i="1"/>
  <c r="O167" i="1"/>
  <c r="N184" i="1"/>
  <c r="O184" i="1"/>
  <c r="N173" i="1"/>
  <c r="O173" i="1"/>
  <c r="N161" i="1"/>
  <c r="O161" i="1"/>
  <c r="N169" i="1"/>
  <c r="O169" i="1"/>
  <c r="N299" i="1"/>
  <c r="O299" i="1"/>
  <c r="N293" i="1"/>
  <c r="O293" i="1"/>
  <c r="N296" i="1"/>
  <c r="O296" i="1"/>
  <c r="N292" i="1"/>
  <c r="O292" i="1"/>
  <c r="N302" i="1"/>
  <c r="O302" i="1"/>
  <c r="N298" i="1"/>
  <c r="O298" i="1"/>
  <c r="N291" i="1"/>
  <c r="O291" i="1"/>
  <c r="N289" i="1"/>
  <c r="O289" i="1"/>
  <c r="N297" i="1"/>
  <c r="O297" i="1"/>
  <c r="N1524" i="1"/>
  <c r="O1524" i="1"/>
  <c r="N1523" i="1"/>
  <c r="O1523" i="1"/>
  <c r="N1525" i="1"/>
  <c r="O1525" i="1"/>
  <c r="N763" i="1"/>
  <c r="O763" i="1"/>
  <c r="N777" i="1"/>
  <c r="O777" i="1"/>
  <c r="N762" i="1"/>
  <c r="O762" i="1"/>
  <c r="N771" i="1"/>
  <c r="O771" i="1"/>
  <c r="N768" i="1"/>
  <c r="O768" i="1"/>
  <c r="N774" i="1"/>
  <c r="O774" i="1"/>
  <c r="N769" i="1"/>
  <c r="O769" i="1"/>
  <c r="N770" i="1"/>
  <c r="O770" i="1"/>
  <c r="N761" i="1"/>
  <c r="O761" i="1"/>
  <c r="N764" i="1"/>
  <c r="O764" i="1"/>
  <c r="N806" i="1"/>
  <c r="O806" i="1"/>
  <c r="N789" i="1"/>
  <c r="O789" i="1"/>
  <c r="N794" i="1"/>
  <c r="O794" i="1"/>
  <c r="N788" i="1"/>
  <c r="O788" i="1"/>
  <c r="N808" i="1"/>
  <c r="O808" i="1"/>
  <c r="N784" i="1"/>
  <c r="O784" i="1"/>
  <c r="N807" i="1"/>
  <c r="O807" i="1"/>
  <c r="N810" i="1"/>
  <c r="O810" i="1"/>
  <c r="N804" i="1"/>
  <c r="O804" i="1"/>
  <c r="N787" i="1"/>
  <c r="O787" i="1"/>
  <c r="N796" i="1"/>
  <c r="O796" i="1"/>
  <c r="N783" i="1"/>
  <c r="O783" i="1"/>
  <c r="N780" i="1"/>
  <c r="O780" i="1"/>
  <c r="N785" i="1"/>
  <c r="O785" i="1"/>
  <c r="N778" i="1"/>
  <c r="O778" i="1"/>
  <c r="N782" i="1"/>
  <c r="O782" i="1"/>
  <c r="N793" i="1"/>
  <c r="O793" i="1"/>
  <c r="N779" i="1"/>
  <c r="O779" i="1"/>
  <c r="N362" i="1"/>
  <c r="O362" i="1"/>
  <c r="N76" i="1"/>
  <c r="O76" i="1"/>
  <c r="N80" i="1"/>
  <c r="O80" i="1"/>
  <c r="N71" i="1"/>
  <c r="O71" i="1"/>
  <c r="N70" i="1"/>
  <c r="O70" i="1"/>
  <c r="N90" i="1"/>
  <c r="O90" i="1"/>
  <c r="N85" i="1"/>
  <c r="O85" i="1"/>
  <c r="N69" i="1"/>
  <c r="O69" i="1"/>
  <c r="N93" i="1"/>
  <c r="O93" i="1"/>
  <c r="N72" i="1"/>
  <c r="O72" i="1"/>
  <c r="N77" i="1"/>
  <c r="O77" i="1"/>
  <c r="N95" i="1"/>
  <c r="O95" i="1"/>
  <c r="N73" i="1"/>
  <c r="O73" i="1"/>
  <c r="N64" i="1"/>
  <c r="O64" i="1"/>
  <c r="N66" i="1"/>
  <c r="O66" i="1"/>
  <c r="N81" i="1"/>
  <c r="O81" i="1"/>
  <c r="N67" i="1"/>
  <c r="O67" i="1"/>
  <c r="N74" i="1"/>
  <c r="O74" i="1"/>
  <c r="N91" i="1"/>
  <c r="O91" i="1"/>
  <c r="N68" i="1"/>
  <c r="O68" i="1"/>
  <c r="N83" i="1"/>
  <c r="O83" i="1"/>
  <c r="N89" i="1"/>
  <c r="O89" i="1"/>
  <c r="N96" i="1"/>
  <c r="O96" i="1"/>
  <c r="N65" i="1"/>
  <c r="O65" i="1"/>
  <c r="N75" i="1"/>
  <c r="O75" i="1"/>
  <c r="N79" i="1"/>
  <c r="O79" i="1"/>
  <c r="N954" i="1"/>
  <c r="O954" i="1"/>
  <c r="N98" i="1"/>
  <c r="O98" i="1"/>
  <c r="N97" i="1"/>
  <c r="O97" i="1"/>
  <c r="N125" i="1"/>
  <c r="O125" i="1"/>
  <c r="N124" i="1"/>
  <c r="O124" i="1"/>
  <c r="N151" i="1"/>
  <c r="O151" i="1"/>
  <c r="N147" i="1"/>
  <c r="O147" i="1"/>
  <c r="N144" i="1"/>
  <c r="O144" i="1"/>
  <c r="N148" i="1"/>
  <c r="O148" i="1"/>
  <c r="N146" i="1"/>
  <c r="O146" i="1"/>
  <c r="N143" i="1"/>
  <c r="O143" i="1"/>
  <c r="N153" i="1"/>
  <c r="O153" i="1"/>
  <c r="N150" i="1"/>
  <c r="O150" i="1"/>
  <c r="N152" i="1"/>
  <c r="O152" i="1"/>
  <c r="N141" i="1"/>
  <c r="O141" i="1"/>
  <c r="N142" i="1"/>
  <c r="O142" i="1"/>
  <c r="N492" i="1"/>
  <c r="O492" i="1"/>
  <c r="J559" i="1"/>
  <c r="O559" i="1"/>
  <c r="J557" i="1"/>
  <c r="O557" i="1"/>
  <c r="J560" i="1"/>
  <c r="O560" i="1"/>
  <c r="J558" i="1"/>
  <c r="O558" i="1"/>
  <c r="J567" i="1"/>
  <c r="O567" i="1"/>
  <c r="J568" i="1"/>
  <c r="O568" i="1"/>
  <c r="J569" i="1"/>
  <c r="O569" i="1"/>
  <c r="J566" i="1"/>
  <c r="O566" i="1"/>
  <c r="J570" i="1"/>
  <c r="O570" i="1"/>
  <c r="J572" i="1"/>
  <c r="O572" i="1"/>
  <c r="J571" i="1"/>
  <c r="O571" i="1"/>
  <c r="J581" i="1"/>
  <c r="O581" i="1"/>
  <c r="J585" i="1"/>
  <c r="O585" i="1"/>
  <c r="J584" i="1"/>
  <c r="O584" i="1"/>
  <c r="J586" i="1"/>
  <c r="O586" i="1"/>
  <c r="J583" i="1"/>
  <c r="O583" i="1"/>
  <c r="J587" i="1"/>
  <c r="O587" i="1"/>
  <c r="J582" i="1"/>
  <c r="O582" i="1"/>
  <c r="J198" i="1"/>
  <c r="O198" i="1"/>
  <c r="J199" i="1"/>
  <c r="O199" i="1"/>
  <c r="J197" i="1"/>
  <c r="O197" i="1"/>
  <c r="J200" i="1"/>
  <c r="O200" i="1"/>
  <c r="J201" i="1"/>
  <c r="O201" i="1"/>
  <c r="J215" i="1"/>
  <c r="O215" i="1"/>
  <c r="J214" i="1"/>
  <c r="O214" i="1"/>
  <c r="J248" i="1"/>
  <c r="O248" i="1"/>
  <c r="J250" i="1"/>
  <c r="O250" i="1"/>
  <c r="J249" i="1"/>
  <c r="O249" i="1"/>
  <c r="J287" i="1"/>
  <c r="O287" i="1"/>
  <c r="J288" i="1"/>
  <c r="O288" i="1"/>
  <c r="J350" i="1"/>
  <c r="O350" i="1"/>
  <c r="J1447" i="1"/>
  <c r="O1447" i="1"/>
  <c r="J1529" i="1"/>
  <c r="O1529" i="1"/>
  <c r="J1530" i="1"/>
  <c r="O1530" i="1"/>
  <c r="J1541" i="1"/>
  <c r="O1541" i="1"/>
  <c r="J1535" i="1"/>
  <c r="O1535" i="1"/>
  <c r="J1538" i="1"/>
  <c r="O1538" i="1"/>
  <c r="J1531" i="1"/>
  <c r="O1531" i="1"/>
  <c r="J1540" i="1"/>
  <c r="O1540" i="1"/>
  <c r="J1533" i="1"/>
  <c r="O1533" i="1"/>
  <c r="J1532" i="1"/>
  <c r="O1532" i="1"/>
  <c r="J1537" i="1"/>
  <c r="O1537" i="1"/>
  <c r="J1536" i="1"/>
  <c r="O1536" i="1"/>
  <c r="J1539" i="1"/>
  <c r="O1539" i="1"/>
  <c r="J1534" i="1"/>
  <c r="O1534" i="1"/>
  <c r="J723" i="1"/>
  <c r="O723" i="1"/>
  <c r="J720" i="1"/>
  <c r="O720" i="1"/>
  <c r="J722" i="1"/>
  <c r="O722" i="1"/>
  <c r="J721" i="1"/>
  <c r="O721" i="1"/>
  <c r="J825" i="1"/>
  <c r="O825" i="1"/>
  <c r="J819" i="1"/>
  <c r="O819" i="1"/>
  <c r="J816" i="1"/>
  <c r="O816" i="1"/>
  <c r="J823" i="1"/>
  <c r="O823" i="1"/>
  <c r="J821" i="1"/>
  <c r="O821" i="1"/>
  <c r="J820" i="1"/>
  <c r="O820" i="1"/>
  <c r="J822" i="1"/>
  <c r="O822" i="1"/>
  <c r="J824" i="1"/>
  <c r="O824" i="1"/>
  <c r="J817" i="1"/>
  <c r="O817" i="1"/>
  <c r="J818" i="1"/>
  <c r="O818" i="1"/>
  <c r="J831" i="1"/>
  <c r="O831" i="1"/>
  <c r="J830" i="1"/>
  <c r="O830" i="1"/>
  <c r="J832" i="1"/>
  <c r="O832" i="1"/>
  <c r="J850" i="1"/>
  <c r="O850" i="1"/>
  <c r="J851" i="1"/>
  <c r="O851" i="1"/>
  <c r="J848" i="1"/>
  <c r="O848" i="1"/>
  <c r="J852" i="1"/>
  <c r="O852" i="1"/>
  <c r="J849" i="1"/>
  <c r="O849" i="1"/>
  <c r="J917" i="1"/>
  <c r="O917" i="1"/>
  <c r="J914" i="1"/>
  <c r="O914" i="1"/>
  <c r="J915" i="1"/>
  <c r="O915" i="1"/>
  <c r="J916" i="1"/>
  <c r="O916" i="1"/>
  <c r="J359" i="1"/>
  <c r="O359" i="1"/>
  <c r="J358" i="1"/>
  <c r="O358" i="1"/>
  <c r="J386" i="1"/>
  <c r="O386" i="1"/>
  <c r="J387" i="1"/>
  <c r="O387" i="1"/>
  <c r="J389" i="1"/>
  <c r="O389" i="1"/>
  <c r="J385" i="1"/>
  <c r="O385" i="1"/>
  <c r="J384" i="1"/>
  <c r="O384" i="1"/>
  <c r="J388" i="1"/>
  <c r="O388" i="1"/>
  <c r="J390" i="1"/>
  <c r="O390" i="1"/>
  <c r="J412" i="1"/>
  <c r="O412" i="1"/>
  <c r="J413" i="1"/>
  <c r="O413" i="1"/>
  <c r="J414" i="1"/>
  <c r="O414" i="1"/>
  <c r="J490" i="1"/>
  <c r="O490" i="1"/>
  <c r="J491" i="1"/>
  <c r="O491" i="1"/>
  <c r="J56" i="1"/>
  <c r="O56" i="1"/>
  <c r="J63" i="1"/>
  <c r="O63" i="1"/>
  <c r="J982" i="1"/>
  <c r="O982" i="1"/>
  <c r="J983" i="1"/>
  <c r="O983" i="1"/>
  <c r="J985" i="1"/>
  <c r="O985" i="1"/>
  <c r="J984" i="1"/>
  <c r="O984" i="1"/>
  <c r="J1034" i="1"/>
  <c r="O1034" i="1"/>
  <c r="J1033" i="1"/>
  <c r="O1033" i="1"/>
  <c r="J1035" i="1"/>
  <c r="O1035" i="1"/>
  <c r="J1064" i="1"/>
  <c r="O1064" i="1"/>
  <c r="J1066" i="1"/>
  <c r="O1066" i="1"/>
  <c r="J1062" i="1"/>
  <c r="O1062" i="1"/>
  <c r="J1063" i="1"/>
  <c r="O1063" i="1"/>
  <c r="J1068" i="1"/>
  <c r="O1068" i="1"/>
  <c r="J1067" i="1"/>
  <c r="O1067" i="1"/>
  <c r="J1065" i="1"/>
  <c r="O1065" i="1"/>
  <c r="J1096" i="1"/>
  <c r="O1096" i="1"/>
  <c r="J1095" i="1"/>
  <c r="O1095" i="1"/>
  <c r="J1098" i="1"/>
  <c r="O1098" i="1"/>
  <c r="J1099" i="1"/>
  <c r="O1099" i="1"/>
  <c r="J1094" i="1"/>
  <c r="O1094" i="1"/>
  <c r="J1097" i="1"/>
  <c r="O1097" i="1"/>
  <c r="J1119" i="1"/>
  <c r="O1119" i="1"/>
  <c r="J1123" i="1"/>
  <c r="O1123" i="1"/>
  <c r="J1118" i="1"/>
  <c r="O1118" i="1"/>
  <c r="J1124" i="1"/>
  <c r="O1124" i="1"/>
  <c r="J1121" i="1"/>
  <c r="O1121" i="1"/>
  <c r="J1120" i="1"/>
  <c r="O1120" i="1"/>
  <c r="J1125" i="1"/>
  <c r="O1125" i="1"/>
  <c r="J1122" i="1"/>
  <c r="O1122" i="1"/>
  <c r="J1145" i="1"/>
  <c r="O1145" i="1"/>
  <c r="J1237" i="1"/>
  <c r="O1237" i="1"/>
  <c r="J1306" i="1"/>
  <c r="O1306" i="1"/>
  <c r="J1394" i="1"/>
  <c r="O1394" i="1"/>
  <c r="J1393" i="1"/>
  <c r="O1393" i="1"/>
  <c r="J1392" i="1"/>
  <c r="O1392" i="1"/>
  <c r="J1395" i="1"/>
  <c r="O1395" i="1"/>
  <c r="J1403" i="1"/>
  <c r="O1403" i="1"/>
  <c r="J511" i="1"/>
  <c r="O511" i="1"/>
  <c r="J545" i="1"/>
  <c r="O545" i="1"/>
  <c r="J512" i="1"/>
  <c r="O512" i="1"/>
  <c r="J1527" i="1"/>
  <c r="O1527" i="1"/>
  <c r="J1528" i="1"/>
  <c r="O1528" i="1"/>
  <c r="J59" i="1"/>
  <c r="O59" i="1"/>
  <c r="J58" i="1"/>
  <c r="O58" i="1"/>
  <c r="J57" i="1"/>
  <c r="O57" i="1"/>
  <c r="J114" i="1"/>
  <c r="O114" i="1"/>
  <c r="J113" i="1"/>
  <c r="J115" i="1"/>
  <c r="O115" i="1"/>
  <c r="J120" i="1"/>
  <c r="O120" i="1"/>
  <c r="J133" i="1"/>
  <c r="O133" i="1"/>
  <c r="J132" i="1"/>
  <c r="O132" i="1"/>
  <c r="J140" i="1"/>
  <c r="O140" i="1"/>
  <c r="J139" i="1"/>
  <c r="O139" i="1"/>
  <c r="J137" i="1"/>
  <c r="O137" i="1"/>
  <c r="J135" i="1"/>
  <c r="O135" i="1"/>
  <c r="J138" i="1"/>
  <c r="O138" i="1"/>
  <c r="J136" i="1"/>
  <c r="O136" i="1"/>
  <c r="J157" i="1"/>
  <c r="O157" i="1"/>
  <c r="J158" i="1"/>
  <c r="O158" i="1"/>
  <c r="J160" i="1"/>
  <c r="O160" i="1"/>
  <c r="J159" i="1"/>
  <c r="O159" i="1"/>
  <c r="J1522" i="1"/>
  <c r="O1522" i="1"/>
  <c r="O1055" i="1"/>
  <c r="O1057" i="1"/>
  <c r="O1089" i="1"/>
  <c r="O1056" i="1"/>
  <c r="O242" i="1"/>
  <c r="O826" i="1"/>
  <c r="O410" i="1"/>
  <c r="O193" i="1"/>
  <c r="O827" i="1"/>
  <c r="O1030" i="1"/>
  <c r="O1060" i="1"/>
  <c r="O121" i="1"/>
  <c r="O1399" i="1"/>
  <c r="O544" i="1"/>
  <c r="O280" i="1"/>
  <c r="O281" i="1"/>
  <c r="O353" i="1"/>
  <c r="O122" i="1"/>
  <c r="O507" i="1"/>
  <c r="O561" i="1"/>
  <c r="O192" i="1"/>
  <c r="O376" i="1"/>
  <c r="O1388" i="1"/>
  <c r="O345" i="1"/>
  <c r="O1059" i="1"/>
  <c r="O123" i="1"/>
  <c r="O542" i="1"/>
  <c r="O195" i="1"/>
  <c r="O829" i="1"/>
  <c r="O843" i="1"/>
  <c r="O1387" i="1"/>
  <c r="O196" i="1"/>
  <c r="O379" i="1"/>
  <c r="O1058" i="1"/>
  <c r="O1141" i="1"/>
  <c r="O245" i="1"/>
  <c r="O828" i="1"/>
  <c r="O54" i="1"/>
  <c r="O1304" i="1"/>
  <c r="O1401" i="1"/>
  <c r="O541" i="1"/>
  <c r="O555" i="1"/>
  <c r="O282" i="1"/>
  <c r="O377" i="1"/>
  <c r="O381" i="1"/>
  <c r="O1391" i="1"/>
  <c r="O508" i="1"/>
  <c r="O575" i="1"/>
  <c r="O579" i="1"/>
  <c r="O243" i="1"/>
  <c r="O719" i="1"/>
  <c r="O845" i="1"/>
  <c r="O842" i="1"/>
  <c r="O351" i="1"/>
  <c r="O355" i="1"/>
  <c r="O411" i="1"/>
  <c r="O1112" i="1"/>
  <c r="O1140" i="1"/>
  <c r="O1137" i="1"/>
  <c r="O1139" i="1"/>
  <c r="O1305" i="1"/>
  <c r="O1400" i="1"/>
  <c r="O1138" i="1"/>
  <c r="O573" i="1"/>
  <c r="O489" i="1"/>
  <c r="O55" i="1"/>
  <c r="O1029" i="1"/>
  <c r="O1061" i="1"/>
  <c r="O208" i="1"/>
  <c r="O283" i="1"/>
  <c r="O286" i="1"/>
  <c r="O815" i="1"/>
  <c r="O354" i="1"/>
  <c r="O981" i="1"/>
  <c r="O1117" i="1"/>
  <c r="O1113" i="1"/>
  <c r="O1390" i="1"/>
  <c r="O576" i="1"/>
  <c r="O213" i="1"/>
  <c r="O285" i="1"/>
  <c r="O717" i="1"/>
  <c r="O357" i="1"/>
  <c r="F1032" i="1"/>
  <c r="O1032" i="1"/>
  <c r="O1389" i="1"/>
  <c r="O1402" i="1"/>
  <c r="O543" i="1"/>
  <c r="O1445" i="1"/>
  <c r="O844" i="1"/>
  <c r="O352" i="1"/>
  <c r="O383" i="1"/>
  <c r="O378" i="1"/>
  <c r="O444" i="1"/>
  <c r="O1092" i="1"/>
  <c r="O1115" i="1"/>
  <c r="O554" i="1"/>
  <c r="O194" i="1"/>
  <c r="O246" i="1"/>
  <c r="O284" i="1"/>
  <c r="O846" i="1"/>
  <c r="O382" i="1"/>
  <c r="O375" i="1"/>
  <c r="F1031" i="1"/>
  <c r="O1031" i="1"/>
  <c r="O1396" i="1"/>
  <c r="O203" i="1"/>
  <c r="O211" i="1"/>
  <c r="O1443" i="1"/>
  <c r="O619" i="1"/>
  <c r="O556" i="1"/>
  <c r="O206" i="1"/>
  <c r="O443" i="1"/>
  <c r="O1116" i="1"/>
  <c r="O1143" i="1"/>
  <c r="O1142" i="1"/>
  <c r="O204" i="1"/>
  <c r="O247" i="1"/>
  <c r="O349" i="1"/>
  <c r="O348" i="1"/>
  <c r="O356" i="1"/>
  <c r="O380" i="1"/>
  <c r="O1114" i="1"/>
  <c r="O1144" i="1"/>
  <c r="O1398" i="1"/>
  <c r="O509" i="1"/>
  <c r="O510" i="1"/>
  <c r="O540" i="1"/>
  <c r="O210" i="1"/>
  <c r="O212" i="1"/>
  <c r="O347" i="1"/>
  <c r="O718" i="1"/>
  <c r="O847" i="1"/>
  <c r="O913" i="1"/>
  <c r="O440" i="1"/>
  <c r="O441" i="1"/>
  <c r="O1397" i="1"/>
  <c r="O564" i="1"/>
  <c r="O209" i="1"/>
  <c r="O346" i="1"/>
  <c r="O442" i="1"/>
  <c r="O580" i="1"/>
  <c r="O205" i="1"/>
  <c r="O1444" i="1"/>
  <c r="O814" i="1"/>
  <c r="O62" i="1"/>
  <c r="O565" i="1"/>
  <c r="O61" i="1"/>
  <c r="O562" i="1"/>
  <c r="O244" i="1"/>
  <c r="O1090" i="1"/>
  <c r="O757" i="1"/>
  <c r="O60" i="1"/>
  <c r="O1093" i="1"/>
  <c r="O578" i="1"/>
  <c r="O912" i="1"/>
  <c r="O207" i="1"/>
  <c r="O760" i="1"/>
  <c r="O574" i="1"/>
  <c r="O1091" i="1"/>
  <c r="O1111" i="1"/>
  <c r="O563" i="1"/>
  <c r="O577" i="1"/>
  <c r="O759" i="1"/>
  <c r="O758" i="1"/>
  <c r="O1446" i="1"/>
  <c r="O117" i="1"/>
  <c r="O130" i="1"/>
  <c r="O1489" i="1"/>
  <c r="O1518" i="1"/>
  <c r="O52" i="1"/>
  <c r="O109" i="1"/>
  <c r="O116" i="1"/>
  <c r="O51" i="1"/>
  <c r="O111" i="1"/>
  <c r="O1519" i="1"/>
  <c r="O1520" i="1"/>
  <c r="O53" i="1"/>
  <c r="O119" i="1"/>
  <c r="O50" i="1"/>
  <c r="O110" i="1"/>
  <c r="O127" i="1"/>
  <c r="O49" i="1"/>
  <c r="O108" i="1"/>
  <c r="O1517" i="1"/>
  <c r="O134" i="1"/>
  <c r="O1521" i="1"/>
  <c r="O131" i="1"/>
  <c r="O112" i="1"/>
  <c r="O128" i="1"/>
  <c r="O129" i="1"/>
  <c r="O156" i="1"/>
  <c r="O126" i="1"/>
  <c r="O118" i="1"/>
  <c r="N1542" i="1"/>
  <c r="O813" i="1"/>
  <c r="O392" i="1"/>
  <c r="O393" i="1"/>
  <c r="O394" i="1"/>
  <c r="O391" i="1"/>
  <c r="O39" i="1"/>
  <c r="O41" i="1"/>
  <c r="O35" i="1"/>
  <c r="O36" i="1"/>
  <c r="O28" i="1"/>
  <c r="O30" i="1"/>
  <c r="O31" i="1"/>
  <c r="O29" i="1"/>
  <c r="O32" i="1"/>
  <c r="O47" i="1"/>
  <c r="O37" i="1"/>
  <c r="O45" i="1"/>
  <c r="O34" i="1"/>
  <c r="O48" i="1"/>
  <c r="O42" i="1"/>
  <c r="O43" i="1"/>
  <c r="O44" i="1"/>
  <c r="O46" i="1"/>
  <c r="O38" i="1"/>
  <c r="O33" i="1"/>
  <c r="O40" i="1"/>
  <c r="O241" i="1"/>
  <c r="O220" i="1"/>
  <c r="O218" i="1"/>
  <c r="O231" i="1"/>
  <c r="O240" i="1"/>
  <c r="O233" i="1"/>
  <c r="O234" i="1"/>
  <c r="O221" i="1"/>
  <c r="O228" i="1"/>
  <c r="O219" i="1"/>
  <c r="O235" i="1"/>
  <c r="O223" i="1"/>
  <c r="O225" i="1"/>
  <c r="O277" i="1"/>
  <c r="O270" i="1"/>
  <c r="O275" i="1"/>
  <c r="O273" i="1"/>
  <c r="O252" i="1"/>
  <c r="O269" i="1"/>
  <c r="O268" i="1"/>
  <c r="O274" i="1"/>
  <c r="O262" i="1"/>
  <c r="O253" i="1"/>
  <c r="O272" i="1"/>
  <c r="O255" i="1"/>
  <c r="O279" i="1"/>
  <c r="O259" i="1"/>
  <c r="O264" i="1"/>
  <c r="O256" i="1"/>
  <c r="O278" i="1"/>
  <c r="O254" i="1"/>
  <c r="O276" i="1"/>
  <c r="O271" i="1"/>
  <c r="O260" i="1"/>
  <c r="O261" i="1"/>
  <c r="O258" i="1"/>
  <c r="O251" i="1"/>
  <c r="O267" i="1"/>
  <c r="O257" i="1"/>
  <c r="O265" i="1"/>
  <c r="O263" i="1"/>
  <c r="O266" i="1"/>
  <c r="O335" i="1"/>
  <c r="O319" i="1"/>
  <c r="O320" i="1"/>
  <c r="O332" i="1"/>
  <c r="O317" i="1"/>
  <c r="O307" i="1"/>
  <c r="O329" i="1"/>
  <c r="O326" i="1"/>
  <c r="O309" i="1"/>
  <c r="O327" i="1"/>
  <c r="O334" i="1"/>
  <c r="E306" i="1"/>
  <c r="O306" i="1"/>
  <c r="O344" i="1"/>
  <c r="O343" i="1"/>
  <c r="O333" i="1"/>
  <c r="O305" i="1"/>
  <c r="O321" i="1"/>
  <c r="O331" i="1"/>
  <c r="O330" i="1"/>
  <c r="O310" i="1"/>
  <c r="O315" i="1"/>
  <c r="O316" i="1"/>
  <c r="O314" i="1"/>
  <c r="O308" i="1"/>
  <c r="O339" i="1"/>
  <c r="O313" i="1"/>
  <c r="O324" i="1"/>
  <c r="O311" i="1"/>
  <c r="O342" i="1"/>
  <c r="O328" i="1"/>
  <c r="O337" i="1"/>
  <c r="O338" i="1"/>
  <c r="O340" i="1"/>
  <c r="O323" i="1"/>
  <c r="O318" i="1"/>
  <c r="O325" i="1"/>
  <c r="O322" i="1"/>
  <c r="O312" i="1"/>
  <c r="O336" i="1"/>
  <c r="O341" i="1"/>
  <c r="O1502" i="1"/>
  <c r="O1505" i="1"/>
  <c r="O1490" i="1"/>
  <c r="O1491" i="1"/>
  <c r="O1496" i="1"/>
  <c r="O1511" i="1"/>
  <c r="O1495" i="1"/>
  <c r="O1501" i="1"/>
  <c r="O1515" i="1"/>
  <c r="O1498" i="1"/>
  <c r="O1513" i="1"/>
  <c r="O1493" i="1"/>
  <c r="O1510" i="1"/>
  <c r="O1514" i="1"/>
  <c r="O1499" i="1"/>
  <c r="O1503" i="1"/>
  <c r="O1509" i="1"/>
  <c r="O1516" i="1"/>
  <c r="O1504" i="1"/>
  <c r="O1507" i="1"/>
  <c r="O1508" i="1"/>
  <c r="O1512" i="1"/>
  <c r="O1492" i="1"/>
  <c r="O1497" i="1"/>
  <c r="O1506" i="1"/>
  <c r="O1494" i="1"/>
  <c r="O1500" i="1"/>
  <c r="O641" i="1"/>
  <c r="O633" i="1"/>
  <c r="O662" i="1"/>
  <c r="O631" i="1"/>
  <c r="O657" i="1"/>
  <c r="O643" i="1"/>
  <c r="O671" i="1"/>
  <c r="O635" i="1"/>
  <c r="O658" i="1"/>
  <c r="O645" i="1"/>
  <c r="O630" i="1"/>
  <c r="O644" i="1"/>
  <c r="O667" i="1"/>
  <c r="O660" i="1"/>
  <c r="O640" i="1"/>
  <c r="O632" i="1"/>
  <c r="O652" i="1"/>
  <c r="O664" i="1"/>
  <c r="O653" i="1"/>
  <c r="O647" i="1"/>
  <c r="O636" i="1"/>
  <c r="O648" i="1"/>
  <c r="O651" i="1"/>
  <c r="O625" i="1"/>
  <c r="O650" i="1"/>
  <c r="O628" i="1"/>
  <c r="O663" i="1"/>
  <c r="O638" i="1"/>
  <c r="O646" i="1"/>
  <c r="O629" i="1"/>
  <c r="O668" i="1"/>
  <c r="O622" i="1"/>
  <c r="O621" i="1"/>
  <c r="O642" i="1"/>
  <c r="O666" i="1"/>
  <c r="O678" i="1"/>
  <c r="O620" i="1"/>
  <c r="O656" i="1"/>
  <c r="O669" i="1"/>
  <c r="O674" i="1"/>
  <c r="O634" i="1"/>
  <c r="O626" i="1"/>
  <c r="O623" i="1"/>
  <c r="O665" i="1"/>
  <c r="O654" i="1"/>
  <c r="O679" i="1"/>
  <c r="O676" i="1"/>
  <c r="O670" i="1"/>
  <c r="O624" i="1"/>
  <c r="O672" i="1"/>
  <c r="O673" i="1"/>
  <c r="O659" i="1"/>
  <c r="O675" i="1"/>
  <c r="O677" i="1"/>
  <c r="O655" i="1"/>
  <c r="O627" i="1"/>
  <c r="O637" i="1"/>
  <c r="O661" i="1"/>
  <c r="O649" i="1"/>
  <c r="O639" i="1"/>
  <c r="O681" i="1"/>
  <c r="O680" i="1"/>
  <c r="O689" i="1"/>
  <c r="O690" i="1"/>
  <c r="O693" i="1"/>
  <c r="O688" i="1"/>
  <c r="O691" i="1"/>
  <c r="O707" i="1"/>
  <c r="O686" i="1"/>
  <c r="O682" i="1"/>
  <c r="O685" i="1"/>
  <c r="O706" i="1"/>
  <c r="O683" i="1"/>
  <c r="O704" i="1"/>
  <c r="O709" i="1"/>
  <c r="O697" i="1"/>
  <c r="O700" i="1"/>
  <c r="O701" i="1"/>
  <c r="O715" i="1"/>
  <c r="O695" i="1"/>
  <c r="O684" i="1"/>
  <c r="O692" i="1"/>
  <c r="O708" i="1"/>
  <c r="O699" i="1"/>
  <c r="O698" i="1"/>
  <c r="O710" i="1"/>
  <c r="O713" i="1"/>
  <c r="O687" i="1"/>
  <c r="O702" i="1"/>
  <c r="O716" i="1"/>
  <c r="O711" i="1"/>
  <c r="O694" i="1"/>
  <c r="O714" i="1"/>
  <c r="O703" i="1"/>
  <c r="O696" i="1"/>
  <c r="O712" i="1"/>
  <c r="O705" i="1"/>
  <c r="O735" i="1"/>
  <c r="O749" i="1"/>
  <c r="O736" i="1"/>
  <c r="O725" i="1"/>
  <c r="O742" i="1"/>
  <c r="O738" i="1"/>
  <c r="O741" i="1"/>
  <c r="O754" i="1"/>
  <c r="O743" i="1"/>
  <c r="O745" i="1"/>
  <c r="O750" i="1"/>
  <c r="O755" i="1"/>
  <c r="O747" i="1"/>
  <c r="O751" i="1"/>
  <c r="O726" i="1"/>
  <c r="O744" i="1"/>
  <c r="O756" i="1"/>
  <c r="O728" i="1"/>
  <c r="O729" i="1"/>
  <c r="O732" i="1"/>
  <c r="O748" i="1"/>
  <c r="O739" i="1"/>
  <c r="O746" i="1"/>
  <c r="O740" i="1"/>
  <c r="O737" i="1"/>
  <c r="O724" i="1"/>
  <c r="O731" i="1"/>
  <c r="O753" i="1"/>
  <c r="O734" i="1"/>
  <c r="O727" i="1"/>
  <c r="O730" i="1"/>
  <c r="O752" i="1"/>
  <c r="O733" i="1"/>
  <c r="O839" i="1"/>
  <c r="O840" i="1"/>
  <c r="O836" i="1"/>
  <c r="O838" i="1"/>
  <c r="O834" i="1"/>
  <c r="O833" i="1"/>
  <c r="O837" i="1"/>
  <c r="O841" i="1"/>
  <c r="O835" i="1"/>
  <c r="O877" i="1"/>
  <c r="O895" i="1"/>
  <c r="O867" i="1"/>
  <c r="O866" i="1"/>
  <c r="O874" i="1"/>
  <c r="O883" i="1"/>
  <c r="O858" i="1"/>
  <c r="O881" i="1"/>
  <c r="O885" i="1"/>
  <c r="O857" i="1"/>
  <c r="O865" i="1"/>
  <c r="O878" i="1"/>
  <c r="O880" i="1"/>
  <c r="O872" i="1"/>
  <c r="O855" i="1"/>
  <c r="O894" i="1"/>
  <c r="O860" i="1"/>
  <c r="O868" i="1"/>
  <c r="O869" i="1"/>
  <c r="O902" i="1"/>
  <c r="O861" i="1"/>
  <c r="O884" i="1"/>
  <c r="O854" i="1"/>
  <c r="O886" i="1"/>
  <c r="O876" i="1"/>
  <c r="O903" i="1"/>
  <c r="O879" i="1"/>
  <c r="O890" i="1"/>
  <c r="O888" i="1"/>
  <c r="O875" i="1"/>
  <c r="O871" i="1"/>
  <c r="O892" i="1"/>
  <c r="O904" i="1"/>
  <c r="O859" i="1"/>
  <c r="O853" i="1"/>
  <c r="O910" i="1"/>
  <c r="O900" i="1"/>
  <c r="O870" i="1"/>
  <c r="O907" i="1"/>
  <c r="O897" i="1"/>
  <c r="O909" i="1"/>
  <c r="O882" i="1"/>
  <c r="O908" i="1"/>
  <c r="O863" i="1"/>
  <c r="O905" i="1"/>
  <c r="O862" i="1"/>
  <c r="O856" i="1"/>
  <c r="O898" i="1"/>
  <c r="O906" i="1"/>
  <c r="O901" i="1"/>
  <c r="O873" i="1"/>
  <c r="O887" i="1"/>
  <c r="O891" i="1"/>
  <c r="O911" i="1"/>
  <c r="O896" i="1"/>
  <c r="O899" i="1"/>
  <c r="O889" i="1"/>
  <c r="O893" i="1"/>
  <c r="O864" i="1"/>
  <c r="O944" i="1"/>
  <c r="O942" i="1"/>
  <c r="O923" i="1"/>
  <c r="O932" i="1"/>
  <c r="O948" i="1"/>
  <c r="O946" i="1"/>
  <c r="O924" i="1"/>
  <c r="O920" i="1"/>
  <c r="O933" i="1"/>
  <c r="O943" i="1"/>
  <c r="O929" i="1"/>
  <c r="O938" i="1"/>
  <c r="O925" i="1"/>
  <c r="O922" i="1"/>
  <c r="O921" i="1"/>
  <c r="O934" i="1"/>
  <c r="O919" i="1"/>
  <c r="O937" i="1"/>
  <c r="O940" i="1"/>
  <c r="O936" i="1"/>
  <c r="O945" i="1"/>
  <c r="O935" i="1"/>
  <c r="O928" i="1"/>
  <c r="O931" i="1"/>
  <c r="O926" i="1"/>
  <c r="O930" i="1"/>
  <c r="O927" i="1"/>
  <c r="O949" i="1"/>
  <c r="O939" i="1"/>
  <c r="O947" i="1"/>
  <c r="O941" i="1"/>
  <c r="O487" i="1"/>
  <c r="O485" i="1"/>
  <c r="O463" i="1"/>
  <c r="O475" i="1"/>
  <c r="O479" i="1"/>
  <c r="O476" i="1"/>
  <c r="O459" i="1"/>
  <c r="O480" i="1"/>
  <c r="O460" i="1"/>
  <c r="O455" i="1"/>
  <c r="O464" i="1"/>
  <c r="O474" i="1"/>
  <c r="O470" i="1"/>
  <c r="O449" i="1"/>
  <c r="O457" i="1"/>
  <c r="O473" i="1"/>
  <c r="O466" i="1"/>
  <c r="O478" i="1"/>
  <c r="O458" i="1"/>
  <c r="O482" i="1"/>
  <c r="O486" i="1"/>
  <c r="O467" i="1"/>
  <c r="O469" i="1"/>
  <c r="O452" i="1"/>
  <c r="O481" i="1"/>
  <c r="O477" i="1"/>
  <c r="O450" i="1"/>
  <c r="O451" i="1"/>
  <c r="O465" i="1"/>
  <c r="O468" i="1"/>
  <c r="O483" i="1"/>
  <c r="O453" i="1"/>
  <c r="O445" i="1"/>
  <c r="O448" i="1"/>
  <c r="O456" i="1"/>
  <c r="O462" i="1"/>
  <c r="O472" i="1"/>
  <c r="O471" i="1"/>
  <c r="O461" i="1"/>
  <c r="O454" i="1"/>
  <c r="O447" i="1"/>
  <c r="O488" i="1"/>
  <c r="O484" i="1"/>
  <c r="O446" i="1"/>
  <c r="O1211" i="1"/>
  <c r="O1189" i="1"/>
  <c r="O1230" i="1"/>
  <c r="O1184" i="1"/>
  <c r="O1228" i="1"/>
  <c r="O1231" i="1"/>
  <c r="O1167" i="1"/>
  <c r="O1156" i="1"/>
  <c r="O1166" i="1"/>
  <c r="O1161" i="1"/>
  <c r="O1159" i="1"/>
  <c r="O1171" i="1"/>
  <c r="O1163" i="1"/>
  <c r="O1202" i="1"/>
  <c r="O1232" i="1"/>
  <c r="O1220" i="1"/>
  <c r="O1235" i="1"/>
  <c r="O1205" i="1"/>
  <c r="O1192" i="1"/>
  <c r="O1182" i="1"/>
  <c r="O1213" i="1"/>
  <c r="O1201" i="1"/>
  <c r="O1176" i="1"/>
  <c r="O1173" i="1"/>
  <c r="O1154" i="1"/>
  <c r="O1164" i="1"/>
  <c r="O1225" i="1"/>
  <c r="O1229" i="1"/>
  <c r="O1215" i="1"/>
  <c r="O1223" i="1"/>
  <c r="O1207" i="1"/>
  <c r="O1151" i="1"/>
  <c r="O1150" i="1"/>
  <c r="O1208" i="1"/>
  <c r="O1148" i="1"/>
  <c r="O1209" i="1"/>
  <c r="O1210" i="1"/>
  <c r="O1194" i="1"/>
  <c r="O1224" i="1"/>
  <c r="O1198" i="1"/>
  <c r="O1216" i="1"/>
  <c r="O1165" i="1"/>
  <c r="O1197" i="1"/>
  <c r="O1175" i="1"/>
  <c r="O1227" i="1"/>
  <c r="O1157" i="1"/>
  <c r="O1226" i="1"/>
  <c r="O1217" i="1"/>
  <c r="O1212" i="1"/>
  <c r="O1195" i="1"/>
  <c r="O1181" i="1"/>
  <c r="O1221" i="1"/>
  <c r="O1234" i="1"/>
  <c r="O1183" i="1"/>
  <c r="O1149" i="1"/>
  <c r="O1193" i="1"/>
  <c r="O1222" i="1"/>
  <c r="O1186" i="1"/>
  <c r="O1180" i="1"/>
  <c r="O1174" i="1"/>
  <c r="O1206" i="1"/>
  <c r="O1191" i="1"/>
  <c r="O1199" i="1"/>
  <c r="O1203" i="1"/>
  <c r="O1187" i="1"/>
  <c r="O1177" i="1"/>
  <c r="O1168" i="1"/>
  <c r="O1190" i="1"/>
  <c r="O1218" i="1"/>
  <c r="O1219" i="1"/>
  <c r="O1236" i="1"/>
  <c r="O1152" i="1"/>
  <c r="O1172" i="1"/>
  <c r="O1200" i="1"/>
  <c r="O1147" i="1"/>
  <c r="O1196" i="1"/>
  <c r="O1178" i="1"/>
  <c r="O1214" i="1"/>
  <c r="O1160" i="1"/>
  <c r="O1155" i="1"/>
  <c r="O1146" i="1"/>
  <c r="O1204" i="1"/>
  <c r="O1153" i="1"/>
  <c r="O1233" i="1"/>
  <c r="O1188" i="1"/>
  <c r="O1162" i="1"/>
  <c r="O1170" i="1"/>
  <c r="O1169" i="1"/>
  <c r="O1179" i="1"/>
  <c r="O1158" i="1"/>
  <c r="O1185" i="1"/>
  <c r="O1296" i="1"/>
  <c r="O1290" i="1"/>
  <c r="O1239" i="1"/>
  <c r="O1258" i="1"/>
  <c r="O1259" i="1"/>
  <c r="O1299" i="1"/>
  <c r="O1284" i="1"/>
  <c r="O1273" i="1"/>
  <c r="O1266" i="1"/>
  <c r="O1272" i="1"/>
  <c r="O1245" i="1"/>
  <c r="O1276" i="1"/>
  <c r="O1268" i="1"/>
  <c r="O1293" i="1"/>
  <c r="O1265" i="1"/>
  <c r="O1278" i="1"/>
  <c r="O1277" i="1"/>
  <c r="O1271" i="1"/>
  <c r="O1251" i="1"/>
  <c r="O1297" i="1"/>
  <c r="O1264" i="1"/>
  <c r="O1274" i="1"/>
  <c r="O1301" i="1"/>
  <c r="O1248" i="1"/>
  <c r="O1280" i="1"/>
  <c r="O1291" i="1"/>
  <c r="O1250" i="1"/>
  <c r="O1294" i="1"/>
  <c r="O1298" i="1"/>
  <c r="O1302" i="1"/>
  <c r="O1303" i="1"/>
  <c r="O1282" i="1"/>
  <c r="O1275" i="1"/>
  <c r="O1254" i="1"/>
  <c r="O1261" i="1"/>
  <c r="O1292" i="1"/>
  <c r="O1288" i="1"/>
  <c r="O1262" i="1"/>
  <c r="O1300" i="1"/>
  <c r="O1281" i="1"/>
  <c r="O1252" i="1"/>
  <c r="O1263" i="1"/>
  <c r="O1246" i="1"/>
  <c r="O1243" i="1"/>
  <c r="O1287" i="1"/>
  <c r="O1238" i="1"/>
  <c r="O1240" i="1"/>
  <c r="O1255" i="1"/>
  <c r="O1244" i="1"/>
  <c r="O1257" i="1"/>
  <c r="O1286" i="1"/>
  <c r="O1256" i="1"/>
  <c r="O1249" i="1"/>
  <c r="O1285" i="1"/>
  <c r="O1247" i="1"/>
  <c r="O1241" i="1"/>
  <c r="O1270" i="1"/>
  <c r="O1289" i="1"/>
  <c r="O1283" i="1"/>
  <c r="O1279" i="1"/>
  <c r="O1242" i="1"/>
  <c r="O1295" i="1"/>
  <c r="O1253" i="1"/>
  <c r="O1269" i="1"/>
  <c r="O1260" i="1"/>
  <c r="O1267" i="1"/>
  <c r="O1321" i="1"/>
  <c r="O1364" i="1"/>
  <c r="O1318" i="1"/>
  <c r="O1325" i="1"/>
  <c r="O1353" i="1"/>
  <c r="O1331" i="1"/>
  <c r="O1317" i="1"/>
  <c r="O1381" i="1"/>
  <c r="O1338" i="1"/>
  <c r="O1349" i="1"/>
  <c r="O1354" i="1"/>
  <c r="O1365" i="1"/>
  <c r="O1359" i="1"/>
  <c r="O1351" i="1"/>
  <c r="O1324" i="1"/>
  <c r="O1316" i="1"/>
  <c r="O1352" i="1"/>
  <c r="O1314" i="1"/>
  <c r="O1328" i="1"/>
  <c r="O1310" i="1"/>
  <c r="O1307" i="1"/>
  <c r="O1311" i="1"/>
  <c r="O1308" i="1"/>
  <c r="O1342" i="1"/>
  <c r="O1348" i="1"/>
  <c r="O1362" i="1"/>
  <c r="O1350" i="1"/>
  <c r="O1327" i="1"/>
  <c r="O1320" i="1"/>
  <c r="O1313" i="1"/>
  <c r="O1319" i="1"/>
  <c r="O1340" i="1"/>
  <c r="O1341" i="1"/>
  <c r="O1326" i="1"/>
  <c r="O1329" i="1"/>
  <c r="O1309" i="1"/>
  <c r="O1346" i="1"/>
  <c r="O1386" i="1"/>
  <c r="O1330" i="1"/>
  <c r="O1315" i="1"/>
  <c r="O1382" i="1"/>
  <c r="O1355" i="1"/>
  <c r="O1378" i="1"/>
  <c r="O1361" i="1"/>
  <c r="O1366" i="1"/>
  <c r="O1368" i="1"/>
  <c r="O1380" i="1"/>
  <c r="O1377" i="1"/>
  <c r="O1339" i="1"/>
  <c r="O1385" i="1"/>
  <c r="O1312" i="1"/>
  <c r="O1379" i="1"/>
  <c r="O1347" i="1"/>
  <c r="O1334" i="1"/>
  <c r="O1358" i="1"/>
  <c r="O1383" i="1"/>
  <c r="O1343" i="1"/>
  <c r="O1376" i="1"/>
  <c r="O1367" i="1"/>
  <c r="O1374" i="1"/>
  <c r="O1357" i="1"/>
  <c r="O1369" i="1"/>
  <c r="O1337" i="1"/>
  <c r="O1375" i="1"/>
  <c r="O1371" i="1"/>
  <c r="O1370" i="1"/>
  <c r="O1384" i="1"/>
  <c r="O1363" i="1"/>
  <c r="O1356" i="1"/>
  <c r="O1344" i="1"/>
  <c r="O1335" i="1"/>
  <c r="O1373" i="1"/>
  <c r="O1333" i="1"/>
  <c r="O1323" i="1"/>
  <c r="O1322" i="1"/>
  <c r="O1332" i="1"/>
  <c r="O1336" i="1"/>
  <c r="O1360" i="1"/>
  <c r="O1345" i="1"/>
  <c r="O1372" i="1"/>
  <c r="O229" i="1"/>
  <c r="O236" i="1"/>
  <c r="O230" i="1"/>
  <c r="O222" i="1"/>
  <c r="O238" i="1"/>
  <c r="O232" i="1"/>
  <c r="O239" i="1"/>
  <c r="O227" i="1"/>
  <c r="O226" i="1"/>
  <c r="O224" i="1"/>
  <c r="O217" i="1"/>
  <c r="O237" i="1"/>
  <c r="O202" i="1"/>
  <c r="F1035" i="1"/>
</calcChain>
</file>

<file path=xl/sharedStrings.xml><?xml version="1.0" encoding="utf-8"?>
<sst xmlns="http://schemas.openxmlformats.org/spreadsheetml/2006/main" count="3723" uniqueCount="56">
  <si>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</si>
  <si>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</si>
  <si>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</si>
  <si>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</si>
  <si>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</si>
  <si>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</si>
  <si>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</si>
  <si>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Quadrat</t>
  </si>
  <si>
    <t>Date</t>
  </si>
  <si>
    <t>Transect</t>
  </si>
  <si>
    <t>Plant Measurementss to Calculate Above Ground Biomass</t>
  </si>
  <si>
    <t>M-4-S</t>
  </si>
  <si>
    <t>S. acutus</t>
  </si>
  <si>
    <t>T. domingensis</t>
  </si>
  <si>
    <t># of leaves (Typha only)</t>
  </si>
  <si>
    <t>Longest Leaf (cm; Typha Only)</t>
  </si>
  <si>
    <t>S. tabernaemontani</t>
  </si>
  <si>
    <t>Notes</t>
  </si>
  <si>
    <t>See 'Transects' for Sp. Con, O2, pH, and stem counts</t>
  </si>
  <si>
    <t>T. latifolia</t>
  </si>
  <si>
    <t>Total of 22 S. acutus or tabernaemontani stems in this quadrat</t>
  </si>
  <si>
    <t>Total of 13 T. domingensis in this quadrat</t>
  </si>
  <si>
    <t>M-4-C</t>
  </si>
  <si>
    <t>S. maritimus</t>
  </si>
  <si>
    <t>Calculated Biomass (g)</t>
  </si>
  <si>
    <t>Total of 11 T. domingensis stems in this quadrat</t>
  </si>
  <si>
    <t>Total of 5 S. acutus in this quadrat</t>
  </si>
  <si>
    <t>Total of 52 S. tabernaemontani in this quadrat</t>
  </si>
  <si>
    <t>M-3</t>
  </si>
  <si>
    <t>S. americanus</t>
  </si>
  <si>
    <t>C-2</t>
  </si>
  <si>
    <t>SAM Stem Count = 39+18 (measured 1/2)</t>
  </si>
  <si>
    <t> </t>
  </si>
  <si>
    <t>M-2</t>
  </si>
  <si>
    <t>Total sam count is 116. Measured 58</t>
  </si>
  <si>
    <t>?</t>
  </si>
  <si>
    <t>C-1</t>
  </si>
  <si>
    <t>M-1-W</t>
  </si>
  <si>
    <t>SAM stem count Dan 76=36 and Jorge 39=20</t>
  </si>
  <si>
    <t>SAM Stem Count 42 = Dan (21) and 32 = Jorge (16)</t>
  </si>
  <si>
    <t>M-4-N</t>
  </si>
  <si>
    <t>At 46 there is some regrowth of typha over matted down plants</t>
  </si>
  <si>
    <t xml:space="preserve">T. domingensis </t>
  </si>
  <si>
    <t>S. californicus</t>
  </si>
  <si>
    <t>M-5</t>
  </si>
  <si>
    <t>Total SAM count = 162. First half 128 = 64. Second half 34 = 17.</t>
  </si>
  <si>
    <t>Total SAM count = 134. first half 46 = 23. Second half 88=44</t>
  </si>
  <si>
    <t>Total SAM count = 177. First half 91 = 45. Second half 86=43</t>
  </si>
  <si>
    <t>M-1-E</t>
  </si>
  <si>
    <t>2 broken S. acutus stems in quadrat</t>
  </si>
  <si>
    <t>30 SAM stem count in first half of quadrat, 50 SAM in second half</t>
  </si>
  <si>
    <t>Total of 66 SAM in this quadrat</t>
  </si>
  <si>
    <t>Caliper was off by .03 cm for CDB, values have been adjusted</t>
  </si>
  <si>
    <t xml:space="preserve">Calculated Volume (if necessary) cm^3 </t>
  </si>
  <si>
    <t>SAM stem count Dan 76=36 and Jorge 39=20 (115 total)</t>
  </si>
  <si>
    <t>SAM Stem Count 42 = Dan (21) and 32 = Jorge (16) total=74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</si>
</sst>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5" fillId="0" borderId="0" xfId="0" applyFont="1"/>
    <xf numFmtId="14" fontId="5" fillId="0" borderId="0" xfId="0" applyNumberFormat="1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2" fontId="0" fillId="0" borderId="0" xfId="0" applyNumberFormat="1"/>
    <xf numFmtId="0" fontId="6" fillId="2" borderId="0" xfId="395"/>
    <xf numFmtId="0" fontId="7" fillId="0" borderId="0" xfId="418"/>
    <xf numFmtId="14" fontId="6" fillId="2" borderId="0" xfId="395" applyNumberFormat="1"/>
    <xf numFmtId="0" fontId="6" fillId="2" borderId="0" xfId="395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447">
    <cellStyle name="Bad" xfId="395" builtinId="27"/>
    <cellStyle name="Explanatory Text" xfId="418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4"/>
  <sheetViews>
    <sheetView tabSelected="1" zoomScale="90" zoomScaleNormal="90" zoomScalePageLayoutView="125" workbookViewId="0">
      <pane ySplit="3" topLeftCell="A1120" activePane="bottomLeft" state="frozen"/>
      <selection pane="bottomLeft" activeCell="O1128" sqref="O1128"/>
    </sheetView>
  </sheetViews>
  <sheetFormatPr defaultColWidth="11" defaultRowHeight="15.75" x14ac:dyDescent="0.25"/>
  <cols>
    <col min="1" max="2" width="10.875" customWidth="1"/>
    <col min="3" max="3" width="8" bestFit="1" customWidth="1"/>
    <col min="4" max="4" width="23" style="6" customWidth="1"/>
    <col min="5" max="5" width="23" customWidth="1"/>
    <col min="6" max="9" width="10.875" customWidth="1"/>
    <col min="13" max="13" width="62.625" hidden="1" customWidth="1"/>
    <col min="14" max="14" width="29.625" customWidth="1"/>
    <col min="15" max="15" width="34.5" customWidth="1"/>
    <col min="16" max="16" width="12.875" customWidth="1"/>
  </cols>
  <sheetData>
    <row r="1" spans="1:16" x14ac:dyDescent="0.25">
      <c r="A1" s="16" t="s">
        <v>10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3"/>
    </row>
    <row r="2" spans="1:16" x14ac:dyDescent="0.25">
      <c r="A2" s="17" t="s">
        <v>18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4"/>
    </row>
    <row r="3" spans="1:16" ht="54.95" customHeight="1" x14ac:dyDescent="0.25">
      <c r="A3" t="s">
        <v>8</v>
      </c>
      <c r="B3" t="s">
        <v>9</v>
      </c>
      <c r="C3" t="s">
        <v>7</v>
      </c>
      <c r="D3" s="5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14</v>
      </c>
      <c r="L3" s="1" t="s">
        <v>15</v>
      </c>
      <c r="M3" s="1" t="s">
        <v>17</v>
      </c>
      <c r="N3" s="1" t="s">
        <v>53</v>
      </c>
      <c r="O3" s="1" t="s">
        <v>24</v>
      </c>
      <c r="P3" s="1"/>
    </row>
    <row r="4" spans="1:16" x14ac:dyDescent="0.25">
      <c r="A4" s="2">
        <v>40724</v>
      </c>
      <c r="B4" t="s">
        <v>22</v>
      </c>
      <c r="C4">
        <v>13</v>
      </c>
      <c r="D4" s="6" t="s">
        <v>12</v>
      </c>
      <c r="E4">
        <v>180</v>
      </c>
      <c r="F4">
        <v>1.33</v>
      </c>
      <c r="G4">
        <v>12</v>
      </c>
      <c r="M4" t="s">
        <v>26</v>
      </c>
      <c r="N4">
        <f>(1/3)*(3.14159)*((F4/2)^2)*E4</f>
        <v>83.357378264999994</v>
      </c>
      <c r="O4">
        <f>((0.03851*E4)+(0.0322*N4))</f>
        <v>9.6159075801330012</v>
      </c>
      <c r="P4" s="2"/>
    </row>
    <row r="5" spans="1:16" x14ac:dyDescent="0.25">
      <c r="A5" s="2">
        <v>40724</v>
      </c>
      <c r="B5" t="s">
        <v>22</v>
      </c>
      <c r="C5">
        <v>13</v>
      </c>
      <c r="D5" s="6" t="s">
        <v>12</v>
      </c>
      <c r="E5">
        <v>213</v>
      </c>
      <c r="F5">
        <v>1.18</v>
      </c>
      <c r="G5">
        <v>5</v>
      </c>
      <c r="M5" t="s">
        <v>26</v>
      </c>
      <c r="N5">
        <f>(1/3)*(3.14159)*((F5/2)^2)*E5</f>
        <v>77.644711008999991</v>
      </c>
      <c r="O5">
        <f>((0.03851*E5)+(0.0322*N5))</f>
        <v>10.7027896944898</v>
      </c>
      <c r="P5" s="2"/>
    </row>
    <row r="6" spans="1:16" x14ac:dyDescent="0.25">
      <c r="A6" s="2">
        <v>40724</v>
      </c>
      <c r="B6" t="s">
        <v>22</v>
      </c>
      <c r="C6">
        <v>13</v>
      </c>
      <c r="D6" s="6" t="s">
        <v>16</v>
      </c>
      <c r="E6">
        <v>143</v>
      </c>
      <c r="F6">
        <v>1.57</v>
      </c>
      <c r="G6">
        <v>0</v>
      </c>
      <c r="M6" t="s">
        <v>27</v>
      </c>
      <c r="N6">
        <f t="shared" ref="N6:N27" si="0">((1/3)*(3.14159)*((F6/2)^2)*E6)</f>
        <v>92.279153526083334</v>
      </c>
      <c r="O6">
        <f>((0.03043*E6)+(0.02936*N6))</f>
        <v>7.0608059475258074</v>
      </c>
      <c r="P6" s="2"/>
    </row>
    <row r="7" spans="1:16" x14ac:dyDescent="0.25">
      <c r="A7" s="2">
        <v>40724</v>
      </c>
      <c r="B7" t="s">
        <v>22</v>
      </c>
      <c r="C7">
        <v>13</v>
      </c>
      <c r="D7" s="6" t="s">
        <v>16</v>
      </c>
      <c r="E7">
        <v>151</v>
      </c>
      <c r="F7">
        <v>1.36</v>
      </c>
      <c r="G7">
        <v>9</v>
      </c>
      <c r="M7" t="s">
        <v>27</v>
      </c>
      <c r="N7">
        <f t="shared" si="0"/>
        <v>73.117784538666669</v>
      </c>
      <c r="O7">
        <f>((0.03851*E7)+(0.0322*N7))</f>
        <v>8.1694026621450675</v>
      </c>
      <c r="P7" s="2"/>
    </row>
    <row r="8" spans="1:16" x14ac:dyDescent="0.25">
      <c r="A8" s="2">
        <v>40724</v>
      </c>
      <c r="B8" t="s">
        <v>22</v>
      </c>
      <c r="C8">
        <v>13</v>
      </c>
      <c r="D8" s="6" t="s">
        <v>16</v>
      </c>
      <c r="E8">
        <v>154</v>
      </c>
      <c r="F8">
        <v>0.44</v>
      </c>
      <c r="G8">
        <v>0</v>
      </c>
      <c r="M8" t="s">
        <v>27</v>
      </c>
      <c r="N8">
        <f t="shared" si="0"/>
        <v>7.8053850746666651</v>
      </c>
      <c r="O8">
        <f>((0.03043*E8)+(0.02936*N8))</f>
        <v>4.915386105792213</v>
      </c>
    </row>
    <row r="9" spans="1:16" x14ac:dyDescent="0.25">
      <c r="A9" s="2">
        <v>40724</v>
      </c>
      <c r="B9" t="s">
        <v>22</v>
      </c>
      <c r="C9">
        <v>13</v>
      </c>
      <c r="D9" s="6" t="s">
        <v>16</v>
      </c>
      <c r="E9">
        <v>182</v>
      </c>
      <c r="F9">
        <v>2.0499999999999998</v>
      </c>
      <c r="G9">
        <v>0</v>
      </c>
      <c r="M9" t="s">
        <v>27</v>
      </c>
      <c r="N9">
        <f t="shared" si="0"/>
        <v>200.23840162083332</v>
      </c>
      <c r="O9">
        <f>((0.03043*E9)+(0.02936*N9))</f>
        <v>11.417259471587666</v>
      </c>
    </row>
    <row r="10" spans="1:16" x14ac:dyDescent="0.25">
      <c r="A10" s="2">
        <v>40724</v>
      </c>
      <c r="B10" t="s">
        <v>22</v>
      </c>
      <c r="C10">
        <v>13</v>
      </c>
      <c r="D10" s="6" t="s">
        <v>16</v>
      </c>
      <c r="E10">
        <v>185</v>
      </c>
      <c r="F10">
        <v>1.25</v>
      </c>
      <c r="G10">
        <v>0</v>
      </c>
      <c r="M10" t="s">
        <v>27</v>
      </c>
      <c r="N10">
        <f t="shared" si="0"/>
        <v>75.67632161458333</v>
      </c>
      <c r="O10">
        <f>((0.03043*E10)+(0.02936*N10))</f>
        <v>7.851406802604167</v>
      </c>
    </row>
    <row r="11" spans="1:16" x14ac:dyDescent="0.25">
      <c r="A11" s="2">
        <v>40724</v>
      </c>
      <c r="B11" t="s">
        <v>22</v>
      </c>
      <c r="C11">
        <v>13</v>
      </c>
      <c r="D11" s="6" t="s">
        <v>16</v>
      </c>
      <c r="E11">
        <v>187</v>
      </c>
      <c r="F11">
        <v>1.44</v>
      </c>
      <c r="G11">
        <v>12</v>
      </c>
      <c r="M11" t="s">
        <v>27</v>
      </c>
      <c r="N11">
        <f t="shared" si="0"/>
        <v>101.51608262399998</v>
      </c>
      <c r="O11">
        <f>((0.03851*E11)+(0.0322*N11))</f>
        <v>10.4701878604928</v>
      </c>
    </row>
    <row r="12" spans="1:16" x14ac:dyDescent="0.25">
      <c r="A12" s="2">
        <v>40724</v>
      </c>
      <c r="B12" t="s">
        <v>22</v>
      </c>
      <c r="C12">
        <v>13</v>
      </c>
      <c r="D12" s="6" t="s">
        <v>16</v>
      </c>
      <c r="E12">
        <v>189</v>
      </c>
      <c r="F12">
        <v>1.46</v>
      </c>
      <c r="G12">
        <v>0</v>
      </c>
      <c r="M12" t="s">
        <v>27</v>
      </c>
      <c r="N12">
        <f t="shared" si="0"/>
        <v>105.47165859299997</v>
      </c>
      <c r="O12">
        <f>((0.03043*E12)+(0.02936*N12))</f>
        <v>8.847917896290479</v>
      </c>
    </row>
    <row r="13" spans="1:16" x14ac:dyDescent="0.25">
      <c r="A13" s="2">
        <v>40724</v>
      </c>
      <c r="B13" t="s">
        <v>22</v>
      </c>
      <c r="C13">
        <v>13</v>
      </c>
      <c r="D13" s="6" t="s">
        <v>16</v>
      </c>
      <c r="E13">
        <v>195</v>
      </c>
      <c r="F13">
        <v>1.65</v>
      </c>
      <c r="G13">
        <v>0</v>
      </c>
      <c r="M13" t="s">
        <v>27</v>
      </c>
      <c r="N13">
        <f t="shared" si="0"/>
        <v>138.98590509374998</v>
      </c>
      <c r="O13">
        <f>((0.03043*E13)+(0.02936*N13))</f>
        <v>10.014476173552499</v>
      </c>
    </row>
    <row r="14" spans="1:16" x14ac:dyDescent="0.25">
      <c r="A14" s="2">
        <v>40724</v>
      </c>
      <c r="B14" t="s">
        <v>22</v>
      </c>
      <c r="C14">
        <v>13</v>
      </c>
      <c r="D14" s="6" t="s">
        <v>16</v>
      </c>
      <c r="E14">
        <v>196</v>
      </c>
      <c r="F14">
        <v>1.25</v>
      </c>
      <c r="G14">
        <v>0</v>
      </c>
      <c r="M14" t="s">
        <v>27</v>
      </c>
      <c r="N14">
        <f t="shared" si="0"/>
        <v>80.175994791666653</v>
      </c>
      <c r="O14">
        <f>((0.03043*E14)+(0.02936*N14))</f>
        <v>8.3182472070833331</v>
      </c>
    </row>
    <row r="15" spans="1:16" x14ac:dyDescent="0.25">
      <c r="A15" s="2">
        <v>40724</v>
      </c>
      <c r="B15" t="s">
        <v>22</v>
      </c>
      <c r="C15">
        <v>13</v>
      </c>
      <c r="D15" s="6" t="s">
        <v>16</v>
      </c>
      <c r="E15">
        <v>202</v>
      </c>
      <c r="F15">
        <v>1.52</v>
      </c>
      <c r="G15">
        <v>0</v>
      </c>
      <c r="M15" t="s">
        <v>27</v>
      </c>
      <c r="N15">
        <f t="shared" si="0"/>
        <v>122.18188052266666</v>
      </c>
      <c r="O15">
        <f>((0.03043*E15)+(0.02936*N15))</f>
        <v>9.7341200121454925</v>
      </c>
    </row>
    <row r="16" spans="1:16" x14ac:dyDescent="0.25">
      <c r="A16" s="2">
        <v>40724</v>
      </c>
      <c r="B16" t="s">
        <v>22</v>
      </c>
      <c r="C16">
        <v>13</v>
      </c>
      <c r="D16" s="6" t="s">
        <v>16</v>
      </c>
      <c r="E16">
        <v>205</v>
      </c>
      <c r="F16">
        <v>1.22</v>
      </c>
      <c r="G16">
        <v>8</v>
      </c>
      <c r="M16" t="s">
        <v>27</v>
      </c>
      <c r="N16">
        <f t="shared" si="0"/>
        <v>79.880685331666655</v>
      </c>
      <c r="O16">
        <f>((0.03851*E16)+(0.0322*N16))</f>
        <v>10.466708067679667</v>
      </c>
    </row>
    <row r="17" spans="1:15" x14ac:dyDescent="0.25">
      <c r="A17" s="2">
        <v>40724</v>
      </c>
      <c r="B17" t="s">
        <v>22</v>
      </c>
      <c r="C17">
        <v>13</v>
      </c>
      <c r="D17" s="6" t="s">
        <v>16</v>
      </c>
      <c r="E17">
        <v>207</v>
      </c>
      <c r="F17">
        <v>0.78</v>
      </c>
      <c r="G17">
        <v>6</v>
      </c>
      <c r="M17" t="s">
        <v>27</v>
      </c>
      <c r="N17">
        <f t="shared" si="0"/>
        <v>32.970672891</v>
      </c>
      <c r="O17">
        <f>((0.03851*E17)+(0.0322*N17))</f>
        <v>9.0332256670901998</v>
      </c>
    </row>
    <row r="18" spans="1:15" x14ac:dyDescent="0.25">
      <c r="A18" s="2">
        <v>40724</v>
      </c>
      <c r="B18" t="s">
        <v>22</v>
      </c>
      <c r="C18">
        <v>13</v>
      </c>
      <c r="D18" s="6" t="s">
        <v>16</v>
      </c>
      <c r="E18">
        <v>207</v>
      </c>
      <c r="F18">
        <v>1.45</v>
      </c>
      <c r="G18">
        <v>8</v>
      </c>
      <c r="M18" t="s">
        <v>27</v>
      </c>
      <c r="N18">
        <f t="shared" si="0"/>
        <v>113.93957881874999</v>
      </c>
      <c r="O18">
        <f>((0.03851*E18)+(0.0322*N18))</f>
        <v>11.64042443796375</v>
      </c>
    </row>
    <row r="19" spans="1:15" x14ac:dyDescent="0.25">
      <c r="A19" s="2">
        <v>40724</v>
      </c>
      <c r="B19" t="s">
        <v>22</v>
      </c>
      <c r="C19">
        <v>13</v>
      </c>
      <c r="D19" s="6" t="s">
        <v>16</v>
      </c>
      <c r="E19">
        <v>207</v>
      </c>
      <c r="F19">
        <v>1.75</v>
      </c>
      <c r="G19">
        <v>4</v>
      </c>
      <c r="M19" t="s">
        <v>27</v>
      </c>
      <c r="N19">
        <f t="shared" si="0"/>
        <v>165.96430921874997</v>
      </c>
      <c r="O19">
        <f>((0.03851*E19)+(0.0322*N19))</f>
        <v>13.315620756843749</v>
      </c>
    </row>
    <row r="20" spans="1:15" x14ac:dyDescent="0.25">
      <c r="A20" s="2">
        <v>40724</v>
      </c>
      <c r="B20" t="s">
        <v>22</v>
      </c>
      <c r="C20">
        <v>13</v>
      </c>
      <c r="D20" s="6" t="s">
        <v>16</v>
      </c>
      <c r="E20">
        <v>208</v>
      </c>
      <c r="F20">
        <v>1.05</v>
      </c>
      <c r="G20">
        <v>7</v>
      </c>
      <c r="M20" t="s">
        <v>27</v>
      </c>
      <c r="N20">
        <f t="shared" si="0"/>
        <v>60.035784899999996</v>
      </c>
      <c r="O20">
        <f>((0.03851*E20)+(0.0322*N20))</f>
        <v>9.9432322737799996</v>
      </c>
    </row>
    <row r="21" spans="1:15" x14ac:dyDescent="0.25">
      <c r="A21" s="2">
        <v>40724</v>
      </c>
      <c r="B21" t="s">
        <v>22</v>
      </c>
      <c r="C21">
        <v>13</v>
      </c>
      <c r="D21" s="6" t="s">
        <v>16</v>
      </c>
      <c r="E21">
        <v>212</v>
      </c>
      <c r="F21">
        <v>1.39</v>
      </c>
      <c r="G21">
        <v>0</v>
      </c>
      <c r="M21" t="s">
        <v>27</v>
      </c>
      <c r="N21">
        <f t="shared" si="0"/>
        <v>107.2343000223333</v>
      </c>
      <c r="O21">
        <f>((0.03043*E21)+(0.02936*N21))</f>
        <v>9.5995590486557063</v>
      </c>
    </row>
    <row r="22" spans="1:15" x14ac:dyDescent="0.25">
      <c r="A22" s="2">
        <v>40724</v>
      </c>
      <c r="B22" t="s">
        <v>22</v>
      </c>
      <c r="C22">
        <v>13</v>
      </c>
      <c r="D22" s="6" t="s">
        <v>16</v>
      </c>
      <c r="E22">
        <v>212</v>
      </c>
      <c r="F22">
        <v>1.57</v>
      </c>
      <c r="G22">
        <v>7</v>
      </c>
      <c r="M22" t="s">
        <v>27</v>
      </c>
      <c r="N22">
        <f t="shared" si="0"/>
        <v>136.80545837433334</v>
      </c>
      <c r="O22">
        <f t="shared" ref="O22:O27" si="1">((0.03851*E22)+(0.0322*N22))</f>
        <v>12.569255759653533</v>
      </c>
    </row>
    <row r="23" spans="1:15" x14ac:dyDescent="0.25">
      <c r="A23" s="2">
        <v>40724</v>
      </c>
      <c r="B23" t="s">
        <v>22</v>
      </c>
      <c r="C23">
        <v>13</v>
      </c>
      <c r="D23" s="6" t="s">
        <v>16</v>
      </c>
      <c r="E23">
        <v>216</v>
      </c>
      <c r="F23">
        <v>1.63</v>
      </c>
      <c r="G23">
        <v>9</v>
      </c>
      <c r="M23" t="s">
        <v>27</v>
      </c>
      <c r="N23">
        <f t="shared" si="0"/>
        <v>150.24402847799996</v>
      </c>
      <c r="O23">
        <f t="shared" si="1"/>
        <v>13.156017716991599</v>
      </c>
    </row>
    <row r="24" spans="1:15" x14ac:dyDescent="0.25">
      <c r="A24" s="2">
        <v>40724</v>
      </c>
      <c r="B24" t="s">
        <v>22</v>
      </c>
      <c r="C24">
        <v>13</v>
      </c>
      <c r="D24" s="6" t="s">
        <v>16</v>
      </c>
      <c r="E24">
        <v>219</v>
      </c>
      <c r="F24">
        <v>1.1499999999999999</v>
      </c>
      <c r="G24">
        <v>9</v>
      </c>
      <c r="M24" t="s">
        <v>27</v>
      </c>
      <c r="N24">
        <f t="shared" si="0"/>
        <v>75.82423814374998</v>
      </c>
      <c r="O24">
        <f t="shared" si="1"/>
        <v>10.87523046822875</v>
      </c>
    </row>
    <row r="25" spans="1:15" x14ac:dyDescent="0.25">
      <c r="A25" s="2">
        <v>40724</v>
      </c>
      <c r="B25" t="s">
        <v>22</v>
      </c>
      <c r="C25">
        <v>13</v>
      </c>
      <c r="D25" s="6" t="s">
        <v>16</v>
      </c>
      <c r="E25">
        <v>230</v>
      </c>
      <c r="F25">
        <v>1.1599999999999999</v>
      </c>
      <c r="G25">
        <v>10</v>
      </c>
      <c r="M25" t="s">
        <v>27</v>
      </c>
      <c r="N25">
        <f t="shared" si="0"/>
        <v>81.023700493333308</v>
      </c>
      <c r="O25">
        <f t="shared" si="1"/>
        <v>11.466263155885333</v>
      </c>
    </row>
    <row r="26" spans="1:15" x14ac:dyDescent="0.25">
      <c r="A26" s="2">
        <v>40724</v>
      </c>
      <c r="B26" t="s">
        <v>22</v>
      </c>
      <c r="C26">
        <v>13</v>
      </c>
      <c r="D26" s="6" t="s">
        <v>16</v>
      </c>
      <c r="E26">
        <v>241</v>
      </c>
      <c r="F26">
        <v>1.41</v>
      </c>
      <c r="G26">
        <v>12</v>
      </c>
      <c r="M26" t="s">
        <v>27</v>
      </c>
      <c r="N26">
        <f t="shared" si="0"/>
        <v>125.43638450324997</v>
      </c>
      <c r="O26">
        <f t="shared" si="1"/>
        <v>13.319961581004648</v>
      </c>
    </row>
    <row r="27" spans="1:15" x14ac:dyDescent="0.25">
      <c r="A27" s="2">
        <v>40724</v>
      </c>
      <c r="B27" t="s">
        <v>22</v>
      </c>
      <c r="C27">
        <v>13</v>
      </c>
      <c r="D27" s="6" t="s">
        <v>16</v>
      </c>
      <c r="E27">
        <v>256</v>
      </c>
      <c r="F27">
        <v>1.49</v>
      </c>
      <c r="G27">
        <v>12</v>
      </c>
      <c r="M27" t="s">
        <v>27</v>
      </c>
      <c r="N27">
        <f t="shared" si="0"/>
        <v>148.79240445866665</v>
      </c>
      <c r="O27">
        <f t="shared" si="1"/>
        <v>14.649675423569068</v>
      </c>
    </row>
    <row r="28" spans="1:15" x14ac:dyDescent="0.25">
      <c r="A28" s="2">
        <v>40724</v>
      </c>
      <c r="B28" t="s">
        <v>22</v>
      </c>
      <c r="C28">
        <v>17</v>
      </c>
      <c r="D28" s="6" t="s">
        <v>23</v>
      </c>
      <c r="E28">
        <v>33</v>
      </c>
      <c r="F28">
        <v>0.35</v>
      </c>
      <c r="G28">
        <v>0</v>
      </c>
      <c r="O28">
        <f t="shared" ref="O28:O48" si="2">((2.21944*F28)+(0.029*E28)+(0.08262*G28)-1.9477)</f>
        <v>-0.21389599999999986</v>
      </c>
    </row>
    <row r="29" spans="1:15" x14ac:dyDescent="0.25">
      <c r="A29" s="2">
        <v>40724</v>
      </c>
      <c r="B29" t="s">
        <v>22</v>
      </c>
      <c r="C29">
        <v>17</v>
      </c>
      <c r="D29" s="6" t="s">
        <v>23</v>
      </c>
      <c r="E29">
        <v>40</v>
      </c>
      <c r="F29">
        <v>1</v>
      </c>
      <c r="G29">
        <v>0</v>
      </c>
      <c r="O29">
        <f t="shared" si="2"/>
        <v>1.4317400000000002</v>
      </c>
    </row>
    <row r="30" spans="1:15" x14ac:dyDescent="0.25">
      <c r="A30" s="2">
        <v>40724</v>
      </c>
      <c r="B30" t="s">
        <v>22</v>
      </c>
      <c r="C30">
        <v>17</v>
      </c>
      <c r="D30" s="6" t="s">
        <v>23</v>
      </c>
      <c r="E30">
        <v>51</v>
      </c>
      <c r="F30">
        <v>0.72</v>
      </c>
      <c r="G30">
        <v>0</v>
      </c>
      <c r="O30">
        <f t="shared" si="2"/>
        <v>1.1292967999999999</v>
      </c>
    </row>
    <row r="31" spans="1:15" x14ac:dyDescent="0.25">
      <c r="A31" s="2">
        <v>40724</v>
      </c>
      <c r="B31" t="s">
        <v>22</v>
      </c>
      <c r="C31">
        <v>17</v>
      </c>
      <c r="D31" s="6" t="s">
        <v>23</v>
      </c>
      <c r="E31">
        <v>57</v>
      </c>
      <c r="F31">
        <v>0.74</v>
      </c>
      <c r="G31">
        <v>0</v>
      </c>
      <c r="O31">
        <f t="shared" si="2"/>
        <v>1.3476856000000004</v>
      </c>
    </row>
    <row r="32" spans="1:15" x14ac:dyDescent="0.25">
      <c r="A32" s="2">
        <v>40724</v>
      </c>
      <c r="B32" t="s">
        <v>22</v>
      </c>
      <c r="C32">
        <v>17</v>
      </c>
      <c r="D32" s="6" t="s">
        <v>23</v>
      </c>
      <c r="E32">
        <v>60</v>
      </c>
      <c r="F32">
        <v>1.23</v>
      </c>
      <c r="G32">
        <v>1</v>
      </c>
      <c r="O32">
        <f t="shared" si="2"/>
        <v>2.6048312000000005</v>
      </c>
    </row>
    <row r="33" spans="1:15" x14ac:dyDescent="0.25">
      <c r="A33" s="2">
        <v>40724</v>
      </c>
      <c r="B33" t="s">
        <v>22</v>
      </c>
      <c r="C33">
        <v>17</v>
      </c>
      <c r="D33" s="6" t="s">
        <v>23</v>
      </c>
      <c r="E33">
        <v>62</v>
      </c>
      <c r="F33">
        <v>0.59</v>
      </c>
      <c r="G33">
        <v>4</v>
      </c>
      <c r="O33">
        <f t="shared" si="2"/>
        <v>1.4902496000000001</v>
      </c>
    </row>
    <row r="34" spans="1:15" x14ac:dyDescent="0.25">
      <c r="A34" s="2">
        <v>40724</v>
      </c>
      <c r="B34" t="s">
        <v>22</v>
      </c>
      <c r="C34">
        <v>17</v>
      </c>
      <c r="D34" s="6" t="s">
        <v>23</v>
      </c>
      <c r="E34">
        <v>64</v>
      </c>
      <c r="F34">
        <v>0.92</v>
      </c>
      <c r="G34">
        <v>5</v>
      </c>
      <c r="O34">
        <f t="shared" si="2"/>
        <v>2.3632847999999997</v>
      </c>
    </row>
    <row r="35" spans="1:15" x14ac:dyDescent="0.25">
      <c r="A35" s="2">
        <v>40724</v>
      </c>
      <c r="B35" t="s">
        <v>22</v>
      </c>
      <c r="C35">
        <v>17</v>
      </c>
      <c r="D35" s="6" t="s">
        <v>23</v>
      </c>
      <c r="E35">
        <v>67</v>
      </c>
      <c r="F35">
        <v>0.5</v>
      </c>
      <c r="G35">
        <v>4</v>
      </c>
      <c r="O35">
        <f t="shared" si="2"/>
        <v>1.4355</v>
      </c>
    </row>
    <row r="36" spans="1:15" x14ac:dyDescent="0.25">
      <c r="A36" s="2">
        <v>40724</v>
      </c>
      <c r="B36" t="s">
        <v>22</v>
      </c>
      <c r="C36">
        <v>17</v>
      </c>
      <c r="D36" s="6" t="s">
        <v>23</v>
      </c>
      <c r="E36">
        <v>69</v>
      </c>
      <c r="F36">
        <v>0.69</v>
      </c>
      <c r="G36">
        <v>5</v>
      </c>
      <c r="O36">
        <f t="shared" si="2"/>
        <v>1.9978136</v>
      </c>
    </row>
    <row r="37" spans="1:15" x14ac:dyDescent="0.25">
      <c r="A37" s="2">
        <v>40724</v>
      </c>
      <c r="B37" t="s">
        <v>22</v>
      </c>
      <c r="C37">
        <v>17</v>
      </c>
      <c r="D37" s="6" t="s">
        <v>23</v>
      </c>
      <c r="E37">
        <v>73</v>
      </c>
      <c r="F37">
        <v>0.81</v>
      </c>
      <c r="G37">
        <v>6</v>
      </c>
      <c r="O37">
        <f t="shared" si="2"/>
        <v>2.4627664000000005</v>
      </c>
    </row>
    <row r="38" spans="1:15" x14ac:dyDescent="0.25">
      <c r="A38" s="2">
        <v>40724</v>
      </c>
      <c r="B38" t="s">
        <v>22</v>
      </c>
      <c r="C38">
        <v>17</v>
      </c>
      <c r="D38" s="6" t="s">
        <v>23</v>
      </c>
      <c r="E38">
        <v>73</v>
      </c>
      <c r="F38">
        <v>1.2</v>
      </c>
      <c r="G38">
        <v>0</v>
      </c>
      <c r="O38">
        <f t="shared" si="2"/>
        <v>2.8326279999999997</v>
      </c>
    </row>
    <row r="39" spans="1:15" x14ac:dyDescent="0.25">
      <c r="A39" s="2">
        <v>40724</v>
      </c>
      <c r="B39" t="s">
        <v>22</v>
      </c>
      <c r="C39">
        <v>17</v>
      </c>
      <c r="D39" s="6" t="s">
        <v>23</v>
      </c>
      <c r="E39">
        <v>73</v>
      </c>
      <c r="F39">
        <v>1.07</v>
      </c>
      <c r="G39">
        <v>5</v>
      </c>
      <c r="O39">
        <f t="shared" si="2"/>
        <v>2.9572007999999999</v>
      </c>
    </row>
    <row r="40" spans="1:15" x14ac:dyDescent="0.25">
      <c r="A40" s="2">
        <v>40724</v>
      </c>
      <c r="B40" t="s">
        <v>22</v>
      </c>
      <c r="C40">
        <v>17</v>
      </c>
      <c r="D40" s="6" t="s">
        <v>23</v>
      </c>
      <c r="E40">
        <v>75</v>
      </c>
      <c r="F40">
        <v>0.97</v>
      </c>
      <c r="G40">
        <v>7</v>
      </c>
      <c r="O40">
        <f t="shared" si="2"/>
        <v>2.9584967999999998</v>
      </c>
    </row>
    <row r="41" spans="1:15" x14ac:dyDescent="0.25">
      <c r="A41" s="2">
        <v>40724</v>
      </c>
      <c r="B41" t="s">
        <v>22</v>
      </c>
      <c r="C41">
        <v>17</v>
      </c>
      <c r="D41" s="6" t="s">
        <v>23</v>
      </c>
      <c r="E41">
        <v>77</v>
      </c>
      <c r="F41">
        <v>0.79</v>
      </c>
      <c r="G41">
        <v>14</v>
      </c>
      <c r="O41">
        <f t="shared" si="2"/>
        <v>3.1953376000000002</v>
      </c>
    </row>
    <row r="42" spans="1:15" x14ac:dyDescent="0.25">
      <c r="A42" s="2">
        <v>40724</v>
      </c>
      <c r="B42" t="s">
        <v>22</v>
      </c>
      <c r="C42">
        <v>17</v>
      </c>
      <c r="D42" s="6" t="s">
        <v>23</v>
      </c>
      <c r="E42">
        <v>81</v>
      </c>
      <c r="F42">
        <v>0.87</v>
      </c>
      <c r="G42">
        <v>7</v>
      </c>
      <c r="O42">
        <f t="shared" si="2"/>
        <v>2.9105527999999996</v>
      </c>
    </row>
    <row r="43" spans="1:15" x14ac:dyDescent="0.25">
      <c r="A43" s="2">
        <v>40724</v>
      </c>
      <c r="B43" t="s">
        <v>22</v>
      </c>
      <c r="C43">
        <v>17</v>
      </c>
      <c r="D43" s="6" t="s">
        <v>23</v>
      </c>
      <c r="E43">
        <v>83</v>
      </c>
      <c r="F43">
        <v>0.71</v>
      </c>
      <c r="G43">
        <v>6</v>
      </c>
      <c r="O43">
        <f t="shared" si="2"/>
        <v>2.5308223999999999</v>
      </c>
    </row>
    <row r="44" spans="1:15" x14ac:dyDescent="0.25">
      <c r="A44" s="2">
        <v>40724</v>
      </c>
      <c r="B44" t="s">
        <v>22</v>
      </c>
      <c r="C44">
        <v>17</v>
      </c>
      <c r="D44" s="6" t="s">
        <v>23</v>
      </c>
      <c r="E44">
        <v>85</v>
      </c>
      <c r="F44">
        <v>1.1000000000000001</v>
      </c>
      <c r="G44">
        <v>7</v>
      </c>
      <c r="O44">
        <f t="shared" si="2"/>
        <v>3.5370240000000006</v>
      </c>
    </row>
    <row r="45" spans="1:15" x14ac:dyDescent="0.25">
      <c r="A45" s="2">
        <v>40724</v>
      </c>
      <c r="B45" t="s">
        <v>22</v>
      </c>
      <c r="C45">
        <v>17</v>
      </c>
      <c r="D45" s="6" t="s">
        <v>23</v>
      </c>
      <c r="E45">
        <v>86</v>
      </c>
      <c r="F45">
        <v>1.1200000000000001</v>
      </c>
      <c r="G45">
        <v>9</v>
      </c>
      <c r="O45">
        <f t="shared" si="2"/>
        <v>3.7756528000000005</v>
      </c>
    </row>
    <row r="46" spans="1:15" x14ac:dyDescent="0.25">
      <c r="A46" s="2">
        <v>40724</v>
      </c>
      <c r="B46" t="s">
        <v>22</v>
      </c>
      <c r="C46">
        <v>17</v>
      </c>
      <c r="D46" s="6" t="s">
        <v>23</v>
      </c>
      <c r="E46">
        <v>88</v>
      </c>
      <c r="F46">
        <v>1.4</v>
      </c>
      <c r="G46">
        <v>0</v>
      </c>
      <c r="O46">
        <f t="shared" si="2"/>
        <v>3.7115159999999996</v>
      </c>
    </row>
    <row r="47" spans="1:15" x14ac:dyDescent="0.25">
      <c r="A47" s="2">
        <v>40724</v>
      </c>
      <c r="B47" t="s">
        <v>22</v>
      </c>
      <c r="C47">
        <v>17</v>
      </c>
      <c r="D47" s="6" t="s">
        <v>23</v>
      </c>
      <c r="E47">
        <v>93</v>
      </c>
      <c r="F47">
        <v>1.21</v>
      </c>
      <c r="G47">
        <v>8</v>
      </c>
      <c r="O47">
        <f t="shared" si="2"/>
        <v>4.0957824</v>
      </c>
    </row>
    <row r="48" spans="1:15" x14ac:dyDescent="0.25">
      <c r="A48" s="2">
        <v>40724</v>
      </c>
      <c r="B48" t="s">
        <v>22</v>
      </c>
      <c r="C48">
        <v>17</v>
      </c>
      <c r="D48" s="6" t="s">
        <v>23</v>
      </c>
      <c r="E48">
        <v>98</v>
      </c>
      <c r="F48">
        <v>0.75</v>
      </c>
      <c r="G48">
        <v>13</v>
      </c>
      <c r="O48">
        <f t="shared" si="2"/>
        <v>3.6329399999999996</v>
      </c>
    </row>
    <row r="49" spans="1:15" x14ac:dyDescent="0.25">
      <c r="A49" s="2">
        <v>40724</v>
      </c>
      <c r="B49" t="s">
        <v>22</v>
      </c>
      <c r="C49">
        <v>27</v>
      </c>
      <c r="D49" s="6" t="s">
        <v>13</v>
      </c>
      <c r="E49">
        <v>250</v>
      </c>
      <c r="F49">
        <v>3.5</v>
      </c>
      <c r="H49">
        <v>31</v>
      </c>
      <c r="I49">
        <v>2.5</v>
      </c>
      <c r="O49">
        <f t="shared" ref="O49:O55" si="3">(0.66164*E49)+(16.34893*F49)+(1.11091*H49)+(-8.40694*I49)-154.2499</f>
        <v>81.802215000000047</v>
      </c>
    </row>
    <row r="50" spans="1:15" x14ac:dyDescent="0.25">
      <c r="A50" s="2">
        <v>40724</v>
      </c>
      <c r="B50" t="s">
        <v>22</v>
      </c>
      <c r="C50">
        <v>27</v>
      </c>
      <c r="D50" s="6" t="s">
        <v>13</v>
      </c>
      <c r="E50">
        <v>264</v>
      </c>
      <c r="F50">
        <v>3.73</v>
      </c>
      <c r="H50">
        <v>30</v>
      </c>
      <c r="I50">
        <v>2.5</v>
      </c>
      <c r="O50">
        <f t="shared" si="3"/>
        <v>93.714518899999973</v>
      </c>
    </row>
    <row r="51" spans="1:15" x14ac:dyDescent="0.25">
      <c r="A51" s="2">
        <v>40724</v>
      </c>
      <c r="B51" t="s">
        <v>22</v>
      </c>
      <c r="C51">
        <v>27</v>
      </c>
      <c r="D51" s="6" t="s">
        <v>13</v>
      </c>
      <c r="E51">
        <v>266</v>
      </c>
      <c r="F51">
        <v>2.78</v>
      </c>
      <c r="H51">
        <v>27</v>
      </c>
      <c r="I51">
        <v>2.5</v>
      </c>
      <c r="O51">
        <f t="shared" si="3"/>
        <v>76.173585400000007</v>
      </c>
    </row>
    <row r="52" spans="1:15" x14ac:dyDescent="0.25">
      <c r="A52" s="2">
        <v>40724</v>
      </c>
      <c r="B52" t="s">
        <v>22</v>
      </c>
      <c r="C52">
        <v>27</v>
      </c>
      <c r="D52" s="6" t="s">
        <v>13</v>
      </c>
      <c r="E52">
        <v>270</v>
      </c>
      <c r="F52">
        <v>2.9</v>
      </c>
      <c r="H52">
        <v>25</v>
      </c>
      <c r="I52">
        <v>2.2999999999999998</v>
      </c>
      <c r="O52">
        <f t="shared" si="3"/>
        <v>80.241584999999986</v>
      </c>
    </row>
    <row r="53" spans="1:15" x14ac:dyDescent="0.25">
      <c r="A53" s="2">
        <v>40724</v>
      </c>
      <c r="B53" t="s">
        <v>22</v>
      </c>
      <c r="C53">
        <v>27</v>
      </c>
      <c r="D53" s="6" t="s">
        <v>13</v>
      </c>
      <c r="E53">
        <v>270</v>
      </c>
      <c r="F53">
        <v>4.0599999999999996</v>
      </c>
      <c r="H53">
        <v>29</v>
      </c>
      <c r="I53">
        <v>2</v>
      </c>
      <c r="O53">
        <f t="shared" si="3"/>
        <v>106.17206580000001</v>
      </c>
    </row>
    <row r="54" spans="1:15" x14ac:dyDescent="0.25">
      <c r="A54" s="2">
        <v>40724</v>
      </c>
      <c r="B54" t="s">
        <v>22</v>
      </c>
      <c r="C54">
        <v>27</v>
      </c>
      <c r="D54" s="6" t="s">
        <v>19</v>
      </c>
      <c r="E54">
        <v>223</v>
      </c>
      <c r="F54">
        <v>2.36</v>
      </c>
      <c r="H54">
        <v>22</v>
      </c>
      <c r="I54">
        <v>0.75</v>
      </c>
      <c r="O54">
        <f t="shared" si="3"/>
        <v>50.0141098</v>
      </c>
    </row>
    <row r="55" spans="1:15" x14ac:dyDescent="0.25">
      <c r="A55" s="2">
        <v>40724</v>
      </c>
      <c r="B55" t="s">
        <v>22</v>
      </c>
      <c r="C55">
        <v>27</v>
      </c>
      <c r="D55" s="6" t="s">
        <v>19</v>
      </c>
      <c r="E55">
        <v>268</v>
      </c>
      <c r="F55">
        <v>2.4</v>
      </c>
      <c r="H55">
        <v>25</v>
      </c>
      <c r="I55">
        <v>1.1000000000000001</v>
      </c>
      <c r="O55">
        <f t="shared" si="3"/>
        <v>80.832168000000024</v>
      </c>
    </row>
    <row r="56" spans="1:15" x14ac:dyDescent="0.25">
      <c r="A56" s="2">
        <v>40724</v>
      </c>
      <c r="B56" t="s">
        <v>22</v>
      </c>
      <c r="C56">
        <v>27</v>
      </c>
      <c r="D56" s="6" t="s">
        <v>19</v>
      </c>
      <c r="F56">
        <v>1.73</v>
      </c>
      <c r="J56">
        <f>100+127+164+160+190</f>
        <v>741</v>
      </c>
      <c r="K56">
        <v>5</v>
      </c>
      <c r="L56">
        <v>190</v>
      </c>
      <c r="O56">
        <f>((-7.02235*K56)+(-0.30125*L56)+(0.09376*J56)+33.03698)</f>
        <v>10.163889999999981</v>
      </c>
    </row>
    <row r="57" spans="1:15" x14ac:dyDescent="0.25">
      <c r="A57" s="2">
        <v>40724</v>
      </c>
      <c r="B57" t="s">
        <v>22</v>
      </c>
      <c r="C57">
        <v>33</v>
      </c>
      <c r="D57" s="6" t="s">
        <v>13</v>
      </c>
      <c r="F57">
        <v>1.91</v>
      </c>
      <c r="J57">
        <f>60+77+84+91</f>
        <v>312</v>
      </c>
      <c r="K57">
        <v>4</v>
      </c>
      <c r="L57">
        <v>91</v>
      </c>
      <c r="O57">
        <f>((-7.02235*K57)+(-0.30125*L57)+(0.09376*J57)+33.03698)</f>
        <v>6.7869499999999938</v>
      </c>
    </row>
    <row r="58" spans="1:15" x14ac:dyDescent="0.25">
      <c r="A58" s="2">
        <v>40724</v>
      </c>
      <c r="B58" t="s">
        <v>22</v>
      </c>
      <c r="C58">
        <v>33</v>
      </c>
      <c r="D58" s="6" t="s">
        <v>13</v>
      </c>
      <c r="F58">
        <v>3.04</v>
      </c>
      <c r="J58">
        <f>83+121+132+160+179+191</f>
        <v>866</v>
      </c>
      <c r="K58">
        <v>6</v>
      </c>
      <c r="L58">
        <v>191</v>
      </c>
      <c r="O58">
        <f>((-7.02235*K58)+(-0.30125*L58)+(0.09376*J58)+33.03698)</f>
        <v>14.560289999999981</v>
      </c>
    </row>
    <row r="59" spans="1:15" x14ac:dyDescent="0.25">
      <c r="A59" s="2">
        <v>40724</v>
      </c>
      <c r="B59" t="s">
        <v>22</v>
      </c>
      <c r="C59">
        <v>33</v>
      </c>
      <c r="D59" s="6" t="s">
        <v>13</v>
      </c>
      <c r="F59">
        <v>3.06</v>
      </c>
      <c r="J59">
        <f>164+163+200+222+239+276+274</f>
        <v>1538</v>
      </c>
      <c r="K59">
        <v>7</v>
      </c>
      <c r="L59">
        <v>276</v>
      </c>
      <c r="O59">
        <f>((-7.02235*K59)+(-0.30125*L59)+(0.09376*J59)+33.03698)</f>
        <v>44.938409999999976</v>
      </c>
    </row>
    <row r="60" spans="1:15" x14ac:dyDescent="0.25">
      <c r="A60" s="2">
        <v>40724</v>
      </c>
      <c r="B60" t="s">
        <v>22</v>
      </c>
      <c r="C60">
        <v>33</v>
      </c>
      <c r="D60" s="6" t="s">
        <v>19</v>
      </c>
      <c r="E60">
        <v>215</v>
      </c>
      <c r="F60">
        <v>4.6399999999999997</v>
      </c>
      <c r="H60">
        <v>38</v>
      </c>
      <c r="I60">
        <v>1.5</v>
      </c>
      <c r="O60">
        <f>(0.66164*E60)+(16.34893*F60)+(1.11091*H60)+(-8.40694*I60)-154.2499</f>
        <v>93.46590519999998</v>
      </c>
    </row>
    <row r="61" spans="1:15" x14ac:dyDescent="0.25">
      <c r="A61" s="2">
        <v>40724</v>
      </c>
      <c r="B61" t="s">
        <v>22</v>
      </c>
      <c r="C61">
        <v>33</v>
      </c>
      <c r="D61" s="6" t="s">
        <v>19</v>
      </c>
      <c r="E61">
        <v>312</v>
      </c>
      <c r="F61">
        <v>5</v>
      </c>
      <c r="H61">
        <v>36</v>
      </c>
      <c r="I61">
        <v>1.4</v>
      </c>
      <c r="O61">
        <f>(0.66164*E61)+(16.34893*F61)+(1.11091*H61)+(-8.40694*I61)-154.2499</f>
        <v>162.14947399999997</v>
      </c>
    </row>
    <row r="62" spans="1:15" x14ac:dyDescent="0.25">
      <c r="A62" s="2">
        <v>40724</v>
      </c>
      <c r="B62" t="s">
        <v>22</v>
      </c>
      <c r="C62">
        <v>33</v>
      </c>
      <c r="D62" s="6" t="s">
        <v>19</v>
      </c>
      <c r="E62">
        <v>324</v>
      </c>
      <c r="F62">
        <v>4.84</v>
      </c>
      <c r="H62">
        <v>35.5</v>
      </c>
      <c r="I62">
        <v>1.5</v>
      </c>
      <c r="O62">
        <f>(0.66164*E62)+(16.34893*F62)+(1.11091*H62)+(-8.40694*I62)-154.2499</f>
        <v>166.07717619999997</v>
      </c>
    </row>
    <row r="63" spans="1:15" x14ac:dyDescent="0.25">
      <c r="A63" s="2">
        <v>40724</v>
      </c>
      <c r="B63" t="s">
        <v>22</v>
      </c>
      <c r="C63">
        <v>33</v>
      </c>
      <c r="D63" s="6" t="s">
        <v>19</v>
      </c>
      <c r="F63">
        <v>6.2</v>
      </c>
      <c r="J63">
        <f>120+226+234+270+318+345+370+362+393</f>
        <v>2638</v>
      </c>
      <c r="K63">
        <v>9</v>
      </c>
      <c r="L63">
        <v>393</v>
      </c>
      <c r="O63">
        <f>((-7.02235*K63)+(-0.30125*L63)+(0.09376*J63)+33.03698)</f>
        <v>98.783459999999963</v>
      </c>
    </row>
    <row r="64" spans="1:15" x14ac:dyDescent="0.25">
      <c r="A64" s="2">
        <v>40724</v>
      </c>
      <c r="B64" t="s">
        <v>22</v>
      </c>
      <c r="C64">
        <v>58</v>
      </c>
      <c r="D64" s="6" t="s">
        <v>12</v>
      </c>
      <c r="E64">
        <v>29</v>
      </c>
      <c r="F64">
        <v>0.78</v>
      </c>
      <c r="G64">
        <v>0</v>
      </c>
      <c r="N64">
        <f t="shared" ref="N64:N104" si="4">(1/3)*(3.14159)*((F64/2)^2)*E64</f>
        <v>4.6190797769999996</v>
      </c>
      <c r="O64">
        <f t="shared" ref="O64:O77" si="5">((0.03043*E64)+(0.02936*N64))</f>
        <v>1.0180861822527199</v>
      </c>
    </row>
    <row r="65" spans="1:15" x14ac:dyDescent="0.25">
      <c r="A65" s="2">
        <v>40724</v>
      </c>
      <c r="B65" t="s">
        <v>22</v>
      </c>
      <c r="C65">
        <v>58</v>
      </c>
      <c r="D65" s="6" t="s">
        <v>12</v>
      </c>
      <c r="E65">
        <v>63</v>
      </c>
      <c r="F65">
        <v>0.85</v>
      </c>
      <c r="G65">
        <v>0</v>
      </c>
      <c r="N65">
        <f t="shared" si="4"/>
        <v>11.916443568749997</v>
      </c>
      <c r="O65">
        <f t="shared" si="5"/>
        <v>2.2669567831784998</v>
      </c>
    </row>
    <row r="66" spans="1:15" x14ac:dyDescent="0.25">
      <c r="A66" s="2">
        <v>40724</v>
      </c>
      <c r="B66" t="s">
        <v>22</v>
      </c>
      <c r="C66">
        <v>58</v>
      </c>
      <c r="D66" s="6" t="s">
        <v>12</v>
      </c>
      <c r="E66">
        <v>74</v>
      </c>
      <c r="F66">
        <v>0.85</v>
      </c>
      <c r="G66">
        <v>0</v>
      </c>
      <c r="N66">
        <f t="shared" si="4"/>
        <v>13.99709244583333</v>
      </c>
      <c r="O66">
        <f t="shared" si="5"/>
        <v>2.6627746342096663</v>
      </c>
    </row>
    <row r="67" spans="1:15" x14ac:dyDescent="0.25">
      <c r="A67" s="2">
        <v>40724</v>
      </c>
      <c r="B67" t="s">
        <v>22</v>
      </c>
      <c r="C67">
        <v>58</v>
      </c>
      <c r="D67" s="6" t="s">
        <v>12</v>
      </c>
      <c r="E67">
        <v>82</v>
      </c>
      <c r="F67">
        <v>0.85</v>
      </c>
      <c r="G67">
        <v>0</v>
      </c>
      <c r="N67">
        <f t="shared" si="4"/>
        <v>15.510291629166662</v>
      </c>
      <c r="O67">
        <f t="shared" si="5"/>
        <v>2.9506421622323331</v>
      </c>
    </row>
    <row r="68" spans="1:15" x14ac:dyDescent="0.25">
      <c r="A68" s="2">
        <v>40724</v>
      </c>
      <c r="B68" t="s">
        <v>22</v>
      </c>
      <c r="C68">
        <v>58</v>
      </c>
      <c r="D68" s="6" t="s">
        <v>12</v>
      </c>
      <c r="E68">
        <v>89</v>
      </c>
      <c r="F68">
        <v>1.21</v>
      </c>
      <c r="G68">
        <v>0</v>
      </c>
      <c r="N68">
        <f t="shared" si="4"/>
        <v>34.113714232583327</v>
      </c>
      <c r="O68">
        <f t="shared" si="5"/>
        <v>3.709848649868646</v>
      </c>
    </row>
    <row r="69" spans="1:15" x14ac:dyDescent="0.25">
      <c r="A69" s="2">
        <v>40724</v>
      </c>
      <c r="B69" t="s">
        <v>22</v>
      </c>
      <c r="C69">
        <v>58</v>
      </c>
      <c r="D69" s="6" t="s">
        <v>12</v>
      </c>
      <c r="E69">
        <v>94</v>
      </c>
      <c r="F69">
        <v>0.82</v>
      </c>
      <c r="G69">
        <v>0</v>
      </c>
      <c r="N69">
        <f t="shared" si="4"/>
        <v>16.547173408666662</v>
      </c>
      <c r="O69">
        <f t="shared" si="5"/>
        <v>3.3462450112784534</v>
      </c>
    </row>
    <row r="70" spans="1:15" x14ac:dyDescent="0.25">
      <c r="A70" s="2">
        <v>40724</v>
      </c>
      <c r="B70" t="s">
        <v>22</v>
      </c>
      <c r="C70">
        <v>58</v>
      </c>
      <c r="D70" s="6" t="s">
        <v>12</v>
      </c>
      <c r="E70">
        <v>94</v>
      </c>
      <c r="F70">
        <v>1.54</v>
      </c>
      <c r="G70">
        <v>0</v>
      </c>
      <c r="N70">
        <f t="shared" si="4"/>
        <v>58.362992944666658</v>
      </c>
      <c r="O70">
        <f t="shared" si="5"/>
        <v>4.5739574728554135</v>
      </c>
    </row>
    <row r="71" spans="1:15" x14ac:dyDescent="0.25">
      <c r="A71" s="2">
        <v>40724</v>
      </c>
      <c r="B71" t="s">
        <v>22</v>
      </c>
      <c r="C71">
        <v>58</v>
      </c>
      <c r="D71" s="6" t="s">
        <v>12</v>
      </c>
      <c r="E71">
        <v>101</v>
      </c>
      <c r="F71">
        <v>1.26</v>
      </c>
      <c r="G71">
        <v>0</v>
      </c>
      <c r="N71">
        <f t="shared" si="4"/>
        <v>41.978868057</v>
      </c>
      <c r="O71">
        <f t="shared" si="5"/>
        <v>4.3059295661535195</v>
      </c>
    </row>
    <row r="72" spans="1:15" x14ac:dyDescent="0.25">
      <c r="A72" s="2">
        <v>40724</v>
      </c>
      <c r="B72" t="s">
        <v>22</v>
      </c>
      <c r="C72">
        <v>58</v>
      </c>
      <c r="D72" s="6" t="s">
        <v>12</v>
      </c>
      <c r="E72">
        <v>105</v>
      </c>
      <c r="F72">
        <v>1.53</v>
      </c>
      <c r="G72">
        <v>0</v>
      </c>
      <c r="N72">
        <f t="shared" si="4"/>
        <v>64.348795271249998</v>
      </c>
      <c r="O72">
        <f t="shared" si="5"/>
        <v>5.0844306291638999</v>
      </c>
    </row>
    <row r="73" spans="1:15" x14ac:dyDescent="0.25">
      <c r="A73" s="2">
        <v>40724</v>
      </c>
      <c r="B73" t="s">
        <v>22</v>
      </c>
      <c r="C73">
        <v>58</v>
      </c>
      <c r="D73" s="6" t="s">
        <v>12</v>
      </c>
      <c r="E73">
        <v>107</v>
      </c>
      <c r="F73">
        <v>1.52</v>
      </c>
      <c r="G73">
        <v>0</v>
      </c>
      <c r="N73">
        <f t="shared" si="4"/>
        <v>64.720105029333325</v>
      </c>
      <c r="O73">
        <f t="shared" si="5"/>
        <v>5.1561922836612268</v>
      </c>
    </row>
    <row r="74" spans="1:15" x14ac:dyDescent="0.25">
      <c r="A74" s="2">
        <v>40724</v>
      </c>
      <c r="B74" t="s">
        <v>22</v>
      </c>
      <c r="C74">
        <v>58</v>
      </c>
      <c r="D74" s="6" t="s">
        <v>12</v>
      </c>
      <c r="E74">
        <v>118</v>
      </c>
      <c r="F74">
        <v>1.32</v>
      </c>
      <c r="G74">
        <v>0</v>
      </c>
      <c r="N74">
        <f t="shared" si="4"/>
        <v>53.826746424</v>
      </c>
      <c r="O74">
        <f t="shared" si="5"/>
        <v>5.1710932750086398</v>
      </c>
    </row>
    <row r="75" spans="1:15" x14ac:dyDescent="0.25">
      <c r="A75" s="2">
        <v>40724</v>
      </c>
      <c r="B75" t="s">
        <v>22</v>
      </c>
      <c r="C75">
        <v>58</v>
      </c>
      <c r="D75" s="6" t="s">
        <v>12</v>
      </c>
      <c r="E75">
        <v>131</v>
      </c>
      <c r="F75">
        <v>1.1499999999999999</v>
      </c>
      <c r="G75">
        <v>0</v>
      </c>
      <c r="N75">
        <f t="shared" si="4"/>
        <v>45.356051127083319</v>
      </c>
      <c r="O75">
        <f t="shared" si="5"/>
        <v>5.3179836610911657</v>
      </c>
    </row>
    <row r="76" spans="1:15" x14ac:dyDescent="0.25">
      <c r="A76" s="2">
        <v>40724</v>
      </c>
      <c r="B76" t="s">
        <v>22</v>
      </c>
      <c r="C76">
        <v>58</v>
      </c>
      <c r="D76" s="6" t="s">
        <v>12</v>
      </c>
      <c r="E76">
        <v>133</v>
      </c>
      <c r="F76">
        <v>2.16</v>
      </c>
      <c r="G76">
        <v>0</v>
      </c>
      <c r="N76">
        <f t="shared" si="4"/>
        <v>162.45287553599999</v>
      </c>
      <c r="O76">
        <f t="shared" si="5"/>
        <v>8.8168064257369601</v>
      </c>
    </row>
    <row r="77" spans="1:15" x14ac:dyDescent="0.25">
      <c r="A77" s="2">
        <v>40724</v>
      </c>
      <c r="B77" t="s">
        <v>22</v>
      </c>
      <c r="C77">
        <v>58</v>
      </c>
      <c r="D77" s="6" t="s">
        <v>12</v>
      </c>
      <c r="E77">
        <v>150</v>
      </c>
      <c r="F77">
        <v>1.52</v>
      </c>
      <c r="G77">
        <v>0</v>
      </c>
      <c r="N77">
        <f t="shared" si="4"/>
        <v>90.7291192</v>
      </c>
      <c r="O77">
        <f t="shared" si="5"/>
        <v>7.2283069397119997</v>
      </c>
    </row>
    <row r="78" spans="1:15" x14ac:dyDescent="0.25">
      <c r="A78" s="2">
        <v>40724</v>
      </c>
      <c r="B78" t="s">
        <v>22</v>
      </c>
      <c r="C78">
        <v>58</v>
      </c>
      <c r="D78" s="6" t="s">
        <v>12</v>
      </c>
      <c r="E78">
        <v>154</v>
      </c>
      <c r="F78">
        <v>2.3199999999999998</v>
      </c>
      <c r="G78">
        <v>5</v>
      </c>
      <c r="N78">
        <f t="shared" si="4"/>
        <v>217.00260653866661</v>
      </c>
      <c r="O78">
        <f>((0.03851*E78)+(0.0322*N78))</f>
        <v>12.918023930545065</v>
      </c>
    </row>
    <row r="79" spans="1:15" x14ac:dyDescent="0.25">
      <c r="A79" s="2">
        <v>40724</v>
      </c>
      <c r="B79" t="s">
        <v>22</v>
      </c>
      <c r="C79">
        <v>58</v>
      </c>
      <c r="D79" s="6" t="s">
        <v>12</v>
      </c>
      <c r="E79">
        <v>156</v>
      </c>
      <c r="F79">
        <v>1.83</v>
      </c>
      <c r="G79">
        <v>0</v>
      </c>
      <c r="N79">
        <f t="shared" si="4"/>
        <v>136.77131976300001</v>
      </c>
      <c r="O79">
        <f>((0.03043*E79)+(0.02936*N79))</f>
        <v>8.7626859482416801</v>
      </c>
    </row>
    <row r="80" spans="1:15" x14ac:dyDescent="0.25">
      <c r="A80" s="2">
        <v>40724</v>
      </c>
      <c r="B80" t="s">
        <v>22</v>
      </c>
      <c r="C80">
        <v>58</v>
      </c>
      <c r="D80" s="6" t="s">
        <v>12</v>
      </c>
      <c r="E80">
        <v>156</v>
      </c>
      <c r="F80">
        <v>2.38</v>
      </c>
      <c r="G80">
        <v>0</v>
      </c>
      <c r="N80">
        <f t="shared" si="4"/>
        <v>231.33789114799995</v>
      </c>
      <c r="O80">
        <f>((0.03043*E80)+(0.02936*N80))</f>
        <v>11.539160484105278</v>
      </c>
    </row>
    <row r="81" spans="1:15" x14ac:dyDescent="0.25">
      <c r="A81" s="2">
        <v>40724</v>
      </c>
      <c r="B81" t="s">
        <v>22</v>
      </c>
      <c r="C81">
        <v>58</v>
      </c>
      <c r="D81" s="6" t="s">
        <v>12</v>
      </c>
      <c r="E81">
        <v>167</v>
      </c>
      <c r="F81">
        <v>1.26</v>
      </c>
      <c r="G81">
        <v>0</v>
      </c>
      <c r="N81">
        <f t="shared" si="4"/>
        <v>69.410603619</v>
      </c>
      <c r="O81">
        <f>((0.03043*E81)+(0.02936*N81))</f>
        <v>7.1197053222538393</v>
      </c>
    </row>
    <row r="82" spans="1:15" x14ac:dyDescent="0.25">
      <c r="A82" s="2">
        <v>40724</v>
      </c>
      <c r="B82" t="s">
        <v>22</v>
      </c>
      <c r="C82">
        <v>58</v>
      </c>
      <c r="D82" s="6" t="s">
        <v>12</v>
      </c>
      <c r="E82">
        <v>167</v>
      </c>
      <c r="F82">
        <v>2.56</v>
      </c>
      <c r="G82">
        <v>9</v>
      </c>
      <c r="N82">
        <f t="shared" si="4"/>
        <v>286.52641211733334</v>
      </c>
      <c r="O82">
        <f>((0.03851*E82)+(0.0322*N82))</f>
        <v>15.657320470178135</v>
      </c>
    </row>
    <row r="83" spans="1:15" x14ac:dyDescent="0.25">
      <c r="A83" s="2">
        <v>40724</v>
      </c>
      <c r="B83" t="s">
        <v>22</v>
      </c>
      <c r="C83">
        <v>58</v>
      </c>
      <c r="D83" s="6" t="s">
        <v>12</v>
      </c>
      <c r="E83">
        <v>173</v>
      </c>
      <c r="F83">
        <v>2.0499999999999998</v>
      </c>
      <c r="G83">
        <v>0</v>
      </c>
      <c r="N83">
        <f t="shared" si="4"/>
        <v>190.3365026395833</v>
      </c>
      <c r="O83">
        <f>((0.03043*E83)+(0.02936*N83))</f>
        <v>10.852669717498166</v>
      </c>
    </row>
    <row r="84" spans="1:15" x14ac:dyDescent="0.25">
      <c r="A84" s="2">
        <v>40724</v>
      </c>
      <c r="B84" t="s">
        <v>22</v>
      </c>
      <c r="C84">
        <v>58</v>
      </c>
      <c r="D84" s="6" t="s">
        <v>12</v>
      </c>
      <c r="E84">
        <v>173</v>
      </c>
      <c r="F84">
        <v>2.78</v>
      </c>
      <c r="G84">
        <v>10</v>
      </c>
      <c r="N84">
        <f t="shared" si="4"/>
        <v>350.02894158233323</v>
      </c>
      <c r="O84">
        <f>((0.03851*E84)+(0.0322*N84))</f>
        <v>17.933161918951129</v>
      </c>
    </row>
    <row r="85" spans="1:15" x14ac:dyDescent="0.25">
      <c r="A85" s="2">
        <v>40724</v>
      </c>
      <c r="B85" t="s">
        <v>22</v>
      </c>
      <c r="C85">
        <v>58</v>
      </c>
      <c r="D85" s="6" t="s">
        <v>12</v>
      </c>
      <c r="E85">
        <v>175</v>
      </c>
      <c r="F85">
        <v>1.4</v>
      </c>
      <c r="G85">
        <v>0</v>
      </c>
      <c r="N85">
        <f t="shared" si="4"/>
        <v>89.797114166666645</v>
      </c>
      <c r="O85">
        <f>((0.03043*E85)+(0.02936*N85))</f>
        <v>7.9616932719333322</v>
      </c>
    </row>
    <row r="86" spans="1:15" x14ac:dyDescent="0.25">
      <c r="A86" s="2">
        <v>40724</v>
      </c>
      <c r="B86" t="s">
        <v>22</v>
      </c>
      <c r="C86">
        <v>58</v>
      </c>
      <c r="D86" s="6" t="s">
        <v>12</v>
      </c>
      <c r="E86">
        <v>175</v>
      </c>
      <c r="F86">
        <v>2.44</v>
      </c>
      <c r="G86">
        <v>7</v>
      </c>
      <c r="N86">
        <f t="shared" si="4"/>
        <v>272.76331576666661</v>
      </c>
      <c r="O86">
        <f>((0.03851*E86)+(0.0322*N86))</f>
        <v>15.522228767686665</v>
      </c>
    </row>
    <row r="87" spans="1:15" x14ac:dyDescent="0.25">
      <c r="A87" s="2">
        <v>40724</v>
      </c>
      <c r="B87" t="s">
        <v>22</v>
      </c>
      <c r="C87">
        <v>58</v>
      </c>
      <c r="D87" s="6" t="s">
        <v>12</v>
      </c>
      <c r="E87">
        <v>178</v>
      </c>
      <c r="F87">
        <v>2.09</v>
      </c>
      <c r="G87">
        <v>9</v>
      </c>
      <c r="N87">
        <f t="shared" si="4"/>
        <v>203.55455930516661</v>
      </c>
      <c r="O87">
        <f>((0.03851*E87)+(0.0322*N87))</f>
        <v>13.409236809626364</v>
      </c>
    </row>
    <row r="88" spans="1:15" x14ac:dyDescent="0.25">
      <c r="A88" s="2">
        <v>40724</v>
      </c>
      <c r="B88" t="s">
        <v>22</v>
      </c>
      <c r="C88">
        <v>58</v>
      </c>
      <c r="D88" s="6" t="s">
        <v>12</v>
      </c>
      <c r="E88">
        <v>181</v>
      </c>
      <c r="F88">
        <v>2.36</v>
      </c>
      <c r="G88">
        <v>8</v>
      </c>
      <c r="N88">
        <f t="shared" si="4"/>
        <v>263.91911159866663</v>
      </c>
      <c r="O88">
        <f>((0.03851*E88)+(0.0322*N88))</f>
        <v>15.468505393477066</v>
      </c>
    </row>
    <row r="89" spans="1:15" x14ac:dyDescent="0.25">
      <c r="A89" s="2">
        <v>40724</v>
      </c>
      <c r="B89" t="s">
        <v>22</v>
      </c>
      <c r="C89">
        <v>58</v>
      </c>
      <c r="D89" s="6" t="s">
        <v>12</v>
      </c>
      <c r="E89">
        <v>188</v>
      </c>
      <c r="F89">
        <v>1.88</v>
      </c>
      <c r="G89">
        <v>0</v>
      </c>
      <c r="N89">
        <f t="shared" si="4"/>
        <v>173.95695923733331</v>
      </c>
      <c r="O89">
        <f>((0.03043*E89)+(0.02936*N89))</f>
        <v>10.828216323208107</v>
      </c>
    </row>
    <row r="90" spans="1:15" x14ac:dyDescent="0.25">
      <c r="A90" s="2">
        <v>40724</v>
      </c>
      <c r="B90" t="s">
        <v>22</v>
      </c>
      <c r="C90">
        <v>58</v>
      </c>
      <c r="D90" s="6" t="s">
        <v>12</v>
      </c>
      <c r="E90">
        <v>188</v>
      </c>
      <c r="F90">
        <v>2.23</v>
      </c>
      <c r="G90">
        <v>0</v>
      </c>
      <c r="N90">
        <f t="shared" si="4"/>
        <v>244.75740227233331</v>
      </c>
      <c r="O90">
        <f>((0.03043*E90)+(0.02936*N90))</f>
        <v>12.906917330715707</v>
      </c>
    </row>
    <row r="91" spans="1:15" x14ac:dyDescent="0.25">
      <c r="A91" s="2">
        <v>40724</v>
      </c>
      <c r="B91" t="s">
        <v>22</v>
      </c>
      <c r="C91">
        <v>58</v>
      </c>
      <c r="D91" s="6" t="s">
        <v>12</v>
      </c>
      <c r="E91">
        <v>190</v>
      </c>
      <c r="F91">
        <v>1.95</v>
      </c>
      <c r="G91">
        <v>0</v>
      </c>
      <c r="N91">
        <f t="shared" si="4"/>
        <v>189.14335293749997</v>
      </c>
      <c r="O91">
        <f>((0.03043*E91)+(0.02936*N91))</f>
        <v>11.334948842244998</v>
      </c>
    </row>
    <row r="92" spans="1:15" x14ac:dyDescent="0.25">
      <c r="A92" s="2">
        <v>40724</v>
      </c>
      <c r="B92" t="s">
        <v>22</v>
      </c>
      <c r="C92">
        <v>58</v>
      </c>
      <c r="D92" s="6" t="s">
        <v>12</v>
      </c>
      <c r="E92">
        <v>199</v>
      </c>
      <c r="F92">
        <v>2.64</v>
      </c>
      <c r="G92">
        <v>5</v>
      </c>
      <c r="N92">
        <f t="shared" si="4"/>
        <v>363.10245892799998</v>
      </c>
      <c r="O92">
        <f>((0.03851*E92)+(0.0322*N92))</f>
        <v>19.355389177481598</v>
      </c>
    </row>
    <row r="93" spans="1:15" x14ac:dyDescent="0.25">
      <c r="A93" s="2">
        <v>40724</v>
      </c>
      <c r="B93" t="s">
        <v>22</v>
      </c>
      <c r="C93">
        <v>58</v>
      </c>
      <c r="D93" s="6" t="s">
        <v>12</v>
      </c>
      <c r="E93">
        <v>200</v>
      </c>
      <c r="F93">
        <v>1.94</v>
      </c>
      <c r="G93">
        <v>0</v>
      </c>
      <c r="N93">
        <f t="shared" si="4"/>
        <v>197.0614687333333</v>
      </c>
      <c r="O93">
        <f>((0.03043*E93)+(0.02936*N93))</f>
        <v>11.871724722010665</v>
      </c>
    </row>
    <row r="94" spans="1:15" x14ac:dyDescent="0.25">
      <c r="A94" s="2">
        <v>40724</v>
      </c>
      <c r="B94" t="s">
        <v>22</v>
      </c>
      <c r="C94">
        <v>58</v>
      </c>
      <c r="D94" s="6" t="s">
        <v>12</v>
      </c>
      <c r="E94">
        <v>202</v>
      </c>
      <c r="F94">
        <v>2.8</v>
      </c>
      <c r="G94">
        <v>6</v>
      </c>
      <c r="N94">
        <f t="shared" si="4"/>
        <v>414.60610426666659</v>
      </c>
      <c r="O94">
        <f>((0.03851*E94)+(0.0322*N94))</f>
        <v>21.129336557386665</v>
      </c>
    </row>
    <row r="95" spans="1:15" x14ac:dyDescent="0.25">
      <c r="A95" s="2">
        <v>40724</v>
      </c>
      <c r="B95" t="s">
        <v>22</v>
      </c>
      <c r="C95">
        <v>58</v>
      </c>
      <c r="D95" s="6" t="s">
        <v>12</v>
      </c>
      <c r="E95">
        <v>211</v>
      </c>
      <c r="F95">
        <v>2.36</v>
      </c>
      <c r="G95">
        <v>0</v>
      </c>
      <c r="N95">
        <f t="shared" si="4"/>
        <v>307.66261075866663</v>
      </c>
      <c r="O95">
        <f>((0.03043*E95)+(0.02936*N95))</f>
        <v>15.453704251874452</v>
      </c>
    </row>
    <row r="96" spans="1:15" x14ac:dyDescent="0.25">
      <c r="A96" s="2">
        <v>40724</v>
      </c>
      <c r="B96" t="s">
        <v>22</v>
      </c>
      <c r="C96">
        <v>58</v>
      </c>
      <c r="D96" s="6" t="s">
        <v>12</v>
      </c>
      <c r="E96">
        <v>211</v>
      </c>
      <c r="F96">
        <v>2.4300000000000002</v>
      </c>
      <c r="G96">
        <v>0</v>
      </c>
      <c r="N96">
        <f t="shared" si="4"/>
        <v>326.18445674174995</v>
      </c>
      <c r="O96">
        <f>((0.03043*E96)+(0.02936*N96))</f>
        <v>15.997505649937779</v>
      </c>
    </row>
    <row r="97" spans="1:15" x14ac:dyDescent="0.25">
      <c r="A97" s="2">
        <v>40724</v>
      </c>
      <c r="B97" t="s">
        <v>11</v>
      </c>
      <c r="C97">
        <v>9</v>
      </c>
      <c r="D97" s="6" t="s">
        <v>12</v>
      </c>
      <c r="E97">
        <v>141</v>
      </c>
      <c r="F97">
        <v>1.93</v>
      </c>
      <c r="G97">
        <v>0</v>
      </c>
      <c r="M97" t="s">
        <v>20</v>
      </c>
      <c r="N97">
        <f t="shared" si="4"/>
        <v>137.49977594424999</v>
      </c>
      <c r="O97">
        <f>((0.03043*E97)+(0.02936*N97))</f>
        <v>8.3276234217231799</v>
      </c>
    </row>
    <row r="98" spans="1:15" x14ac:dyDescent="0.25">
      <c r="A98" s="2">
        <v>40724</v>
      </c>
      <c r="B98" t="s">
        <v>11</v>
      </c>
      <c r="C98">
        <v>9</v>
      </c>
      <c r="D98" s="6" t="s">
        <v>12</v>
      </c>
      <c r="E98">
        <v>230</v>
      </c>
      <c r="F98">
        <v>0.9</v>
      </c>
      <c r="G98">
        <v>0</v>
      </c>
      <c r="M98" t="s">
        <v>20</v>
      </c>
      <c r="N98">
        <f t="shared" si="4"/>
        <v>48.773184749999999</v>
      </c>
      <c r="O98">
        <f>((0.03043*E98)+(0.02936*N98))</f>
        <v>8.4308807042599998</v>
      </c>
    </row>
    <row r="99" spans="1:15" x14ac:dyDescent="0.25">
      <c r="A99" s="2">
        <v>40724</v>
      </c>
      <c r="B99" t="s">
        <v>11</v>
      </c>
      <c r="C99">
        <v>9</v>
      </c>
      <c r="D99" s="6" t="s">
        <v>12</v>
      </c>
      <c r="E99">
        <v>256</v>
      </c>
      <c r="F99">
        <v>0.65</v>
      </c>
      <c r="G99">
        <v>6</v>
      </c>
      <c r="M99" t="s">
        <v>20</v>
      </c>
      <c r="N99">
        <f t="shared" si="4"/>
        <v>28.316197866666666</v>
      </c>
      <c r="O99">
        <f t="shared" ref="O99:O104" si="6">((0.03851*E99)+(0.0322*N99))</f>
        <v>10.770341571306668</v>
      </c>
    </row>
    <row r="100" spans="1:15" x14ac:dyDescent="0.25">
      <c r="A100" s="2">
        <v>40724</v>
      </c>
      <c r="B100" t="s">
        <v>11</v>
      </c>
      <c r="C100">
        <v>9</v>
      </c>
      <c r="D100" s="6" t="s">
        <v>12</v>
      </c>
      <c r="E100">
        <v>270</v>
      </c>
      <c r="F100">
        <v>1.75</v>
      </c>
      <c r="G100">
        <v>4</v>
      </c>
      <c r="M100" t="s">
        <v>20</v>
      </c>
      <c r="N100">
        <f t="shared" si="4"/>
        <v>216.47518593749999</v>
      </c>
      <c r="O100">
        <f t="shared" si="6"/>
        <v>17.3682009871875</v>
      </c>
    </row>
    <row r="101" spans="1:15" x14ac:dyDescent="0.25">
      <c r="A101" s="2">
        <v>40724</v>
      </c>
      <c r="B101" t="s">
        <v>11</v>
      </c>
      <c r="C101">
        <v>9</v>
      </c>
      <c r="D101" s="6" t="s">
        <v>12</v>
      </c>
      <c r="E101">
        <v>280</v>
      </c>
      <c r="F101">
        <v>1.4</v>
      </c>
      <c r="G101">
        <v>4</v>
      </c>
      <c r="M101" t="s">
        <v>20</v>
      </c>
      <c r="N101">
        <f t="shared" si="4"/>
        <v>143.67538266666662</v>
      </c>
      <c r="O101">
        <f t="shared" si="6"/>
        <v>15.409147321866666</v>
      </c>
    </row>
    <row r="102" spans="1:15" x14ac:dyDescent="0.25">
      <c r="A102" s="2">
        <v>40724</v>
      </c>
      <c r="B102" t="s">
        <v>11</v>
      </c>
      <c r="C102">
        <v>9</v>
      </c>
      <c r="D102" s="6" t="s">
        <v>12</v>
      </c>
      <c r="E102">
        <v>295</v>
      </c>
      <c r="F102">
        <v>1.5</v>
      </c>
      <c r="G102">
        <v>9</v>
      </c>
      <c r="M102" t="s">
        <v>20</v>
      </c>
      <c r="N102">
        <f t="shared" si="4"/>
        <v>173.76919687499998</v>
      </c>
      <c r="O102">
        <f t="shared" si="6"/>
        <v>16.955818139374998</v>
      </c>
    </row>
    <row r="103" spans="1:15" x14ac:dyDescent="0.25">
      <c r="A103" s="2">
        <v>40724</v>
      </c>
      <c r="B103" t="s">
        <v>11</v>
      </c>
      <c r="C103">
        <v>9</v>
      </c>
      <c r="D103" s="6" t="s">
        <v>12</v>
      </c>
      <c r="E103">
        <v>297</v>
      </c>
      <c r="F103">
        <v>1.3</v>
      </c>
      <c r="G103">
        <v>6</v>
      </c>
      <c r="M103" t="s">
        <v>20</v>
      </c>
      <c r="N103">
        <f t="shared" si="4"/>
        <v>131.404855725</v>
      </c>
      <c r="O103">
        <f t="shared" si="6"/>
        <v>15.668706354345002</v>
      </c>
    </row>
    <row r="104" spans="1:15" x14ac:dyDescent="0.25">
      <c r="A104" s="2">
        <v>40724</v>
      </c>
      <c r="B104" t="s">
        <v>11</v>
      </c>
      <c r="C104">
        <v>9</v>
      </c>
      <c r="D104" s="6" t="s">
        <v>12</v>
      </c>
      <c r="E104">
        <v>320</v>
      </c>
      <c r="F104">
        <v>1.1200000000000001</v>
      </c>
      <c r="G104">
        <v>5</v>
      </c>
      <c r="M104" t="s">
        <v>20</v>
      </c>
      <c r="N104">
        <f t="shared" si="4"/>
        <v>105.08827989333334</v>
      </c>
      <c r="O104">
        <f t="shared" si="6"/>
        <v>15.707042612565333</v>
      </c>
    </row>
    <row r="105" spans="1:15" x14ac:dyDescent="0.25">
      <c r="A105" s="2">
        <v>40724</v>
      </c>
      <c r="B105" t="s">
        <v>11</v>
      </c>
      <c r="C105">
        <v>9</v>
      </c>
      <c r="D105" s="6" t="s">
        <v>16</v>
      </c>
      <c r="E105">
        <v>240</v>
      </c>
      <c r="F105">
        <v>1</v>
      </c>
      <c r="G105">
        <v>0</v>
      </c>
      <c r="M105" t="s">
        <v>20</v>
      </c>
      <c r="N105">
        <f>((1/3)*(3.14159)*((F105/2)^2)*E105)</f>
        <v>62.831799999999994</v>
      </c>
      <c r="O105">
        <f>((0.03043*E105)+(0.02936*N105))</f>
        <v>9.1479416479999998</v>
      </c>
    </row>
    <row r="106" spans="1:15" x14ac:dyDescent="0.25">
      <c r="A106" s="2">
        <v>40724</v>
      </c>
      <c r="B106" t="s">
        <v>11</v>
      </c>
      <c r="C106">
        <v>9</v>
      </c>
      <c r="D106" s="6" t="s">
        <v>16</v>
      </c>
      <c r="E106">
        <v>334</v>
      </c>
      <c r="F106">
        <v>1</v>
      </c>
      <c r="G106">
        <v>7</v>
      </c>
      <c r="M106" t="s">
        <v>20</v>
      </c>
      <c r="N106">
        <f>((1/3)*(3.14159)*((F106/2)^2)*E106)</f>
        <v>87.440921666666654</v>
      </c>
      <c r="O106">
        <f>((0.03851*E106)+(0.0322*N106))</f>
        <v>15.677937677666668</v>
      </c>
    </row>
    <row r="107" spans="1:15" x14ac:dyDescent="0.25">
      <c r="A107" s="2">
        <v>40724</v>
      </c>
      <c r="B107" t="s">
        <v>11</v>
      </c>
      <c r="C107">
        <v>9</v>
      </c>
      <c r="D107" s="6" t="s">
        <v>16</v>
      </c>
      <c r="E107">
        <v>384</v>
      </c>
      <c r="F107">
        <v>1.1000000000000001</v>
      </c>
      <c r="G107">
        <v>18</v>
      </c>
      <c r="M107" t="s">
        <v>20</v>
      </c>
      <c r="N107">
        <f>((1/3)*(3.14159)*((F107/2)^2)*E107)</f>
        <v>121.6423648</v>
      </c>
      <c r="O107">
        <f>((0.03851*E107)+(0.0322*N107))</f>
        <v>18.70472414656</v>
      </c>
    </row>
    <row r="108" spans="1:15" x14ac:dyDescent="0.25">
      <c r="A108" s="2">
        <v>40724</v>
      </c>
      <c r="B108" t="s">
        <v>11</v>
      </c>
      <c r="C108">
        <v>9</v>
      </c>
      <c r="D108" s="6" t="s">
        <v>13</v>
      </c>
      <c r="E108">
        <v>320</v>
      </c>
      <c r="F108">
        <v>3.6</v>
      </c>
      <c r="H108">
        <v>31</v>
      </c>
      <c r="I108">
        <v>2.25</v>
      </c>
      <c r="M108" t="s">
        <v>21</v>
      </c>
      <c r="O108">
        <f>(0.66164*E108)+(16.34893*F108)+(1.11091*H108)+(-8.40694*I108)-154.2499</f>
        <v>131.85364300000006</v>
      </c>
    </row>
    <row r="109" spans="1:15" x14ac:dyDescent="0.25">
      <c r="A109" s="2">
        <v>40724</v>
      </c>
      <c r="B109" t="s">
        <v>11</v>
      </c>
      <c r="C109">
        <v>9</v>
      </c>
      <c r="D109" s="6" t="s">
        <v>13</v>
      </c>
      <c r="E109">
        <v>321</v>
      </c>
      <c r="F109">
        <v>3.28</v>
      </c>
      <c r="H109">
        <v>25</v>
      </c>
      <c r="I109">
        <v>2.1</v>
      </c>
      <c r="M109" t="s">
        <v>21</v>
      </c>
      <c r="O109">
        <f>(0.66164*E109)+(16.34893*F109)+(1.11091*H109)+(-8.40694*I109)-154.2499</f>
        <v>121.87920639999996</v>
      </c>
    </row>
    <row r="110" spans="1:15" x14ac:dyDescent="0.25">
      <c r="A110" s="2">
        <v>40724</v>
      </c>
      <c r="B110" t="s">
        <v>11</v>
      </c>
      <c r="C110">
        <v>9</v>
      </c>
      <c r="D110" s="6" t="s">
        <v>13</v>
      </c>
      <c r="E110">
        <v>321</v>
      </c>
      <c r="F110">
        <v>4.0999999999999996</v>
      </c>
      <c r="H110">
        <v>30</v>
      </c>
      <c r="I110">
        <v>3</v>
      </c>
      <c r="M110" t="s">
        <v>21</v>
      </c>
      <c r="O110">
        <f>(0.66164*E110)+(16.34893*F110)+(1.11091*H110)+(-8.40694*I110)-154.2499</f>
        <v>133.27363299999999</v>
      </c>
    </row>
    <row r="111" spans="1:15" x14ac:dyDescent="0.25">
      <c r="A111" s="2">
        <v>40724</v>
      </c>
      <c r="B111" t="s">
        <v>11</v>
      </c>
      <c r="C111">
        <v>9</v>
      </c>
      <c r="D111" s="6" t="s">
        <v>13</v>
      </c>
      <c r="E111">
        <v>327</v>
      </c>
      <c r="F111">
        <v>3.27</v>
      </c>
      <c r="H111">
        <v>27</v>
      </c>
      <c r="I111">
        <v>2.5</v>
      </c>
      <c r="M111" t="s">
        <v>21</v>
      </c>
      <c r="O111">
        <f>(0.66164*E111)+(16.34893*F111)+(1.11091*H111)+(-8.40694*I111)-154.2499</f>
        <v>124.54460109999999</v>
      </c>
    </row>
    <row r="112" spans="1:15" x14ac:dyDescent="0.25">
      <c r="A112" s="2">
        <v>40724</v>
      </c>
      <c r="B112" t="s">
        <v>11</v>
      </c>
      <c r="C112">
        <v>9</v>
      </c>
      <c r="D112" s="6" t="s">
        <v>13</v>
      </c>
      <c r="E112">
        <v>334</v>
      </c>
      <c r="F112">
        <v>3.67</v>
      </c>
      <c r="H112">
        <v>41</v>
      </c>
      <c r="I112">
        <v>2.9</v>
      </c>
      <c r="M112" t="s">
        <v>21</v>
      </c>
      <c r="O112">
        <f>(0.66164*E112)+(16.34893*F112)+(1.11091*H112)+(-8.40694*I112)-154.2499</f>
        <v>147.90561709999994</v>
      </c>
    </row>
    <row r="113" spans="1:15" x14ac:dyDescent="0.25">
      <c r="A113" s="2">
        <v>40724</v>
      </c>
      <c r="B113" t="s">
        <v>11</v>
      </c>
      <c r="C113">
        <v>9</v>
      </c>
      <c r="D113" s="6" t="s">
        <v>13</v>
      </c>
      <c r="F113">
        <v>1.23</v>
      </c>
      <c r="J113">
        <f>170+219+219+250+260</f>
        <v>1118</v>
      </c>
      <c r="K113">
        <v>5</v>
      </c>
      <c r="L113">
        <v>260</v>
      </c>
      <c r="M113" t="s">
        <v>21</v>
      </c>
      <c r="O113">
        <f>((-7.02235*K113)+(-0.30125*L113)+(0.09376*J113)+33.03698)</f>
        <v>24.423909999999992</v>
      </c>
    </row>
    <row r="114" spans="1:15" x14ac:dyDescent="0.25">
      <c r="A114" s="2">
        <v>40724</v>
      </c>
      <c r="B114" t="s">
        <v>11</v>
      </c>
      <c r="C114">
        <v>9</v>
      </c>
      <c r="D114" s="6" t="s">
        <v>13</v>
      </c>
      <c r="F114">
        <v>2.09</v>
      </c>
      <c r="J114">
        <f>180+213+258+293+290+299</f>
        <v>1533</v>
      </c>
      <c r="K114">
        <v>6</v>
      </c>
      <c r="L114">
        <v>299</v>
      </c>
      <c r="M114" t="s">
        <v>21</v>
      </c>
      <c r="O114">
        <f>((-7.02235*K114)+(-0.30125*L114)+(0.09376*J114)+33.03698)</f>
        <v>44.563209999999998</v>
      </c>
    </row>
    <row r="115" spans="1:15" x14ac:dyDescent="0.25">
      <c r="A115" s="2">
        <v>40724</v>
      </c>
      <c r="B115" t="s">
        <v>11</v>
      </c>
      <c r="C115">
        <v>9</v>
      </c>
      <c r="D115" s="6" t="s">
        <v>13</v>
      </c>
      <c r="F115">
        <v>2.71</v>
      </c>
      <c r="J115">
        <f>201+238+250+277+284+294</f>
        <v>1544</v>
      </c>
      <c r="K115">
        <v>6</v>
      </c>
      <c r="L115">
        <v>294</v>
      </c>
      <c r="M115" t="s">
        <v>21</v>
      </c>
      <c r="O115">
        <f>((-7.02235*K115)+(-0.30125*L115)+(0.09376*J115)+33.03698)</f>
        <v>47.10081999999997</v>
      </c>
    </row>
    <row r="116" spans="1:15" x14ac:dyDescent="0.25">
      <c r="A116" s="2">
        <v>40724</v>
      </c>
      <c r="B116" t="s">
        <v>11</v>
      </c>
      <c r="C116">
        <v>16</v>
      </c>
      <c r="D116" s="6" t="s">
        <v>13</v>
      </c>
      <c r="E116">
        <v>284</v>
      </c>
      <c r="F116">
        <v>2.95</v>
      </c>
      <c r="H116">
        <v>26</v>
      </c>
      <c r="I116">
        <v>1.2</v>
      </c>
      <c r="O116">
        <f>(0.66164*E116)+(16.34893*F116)+(1.11091*H116)+(-8.40694*I116)-154.2499</f>
        <v>100.68053550000005</v>
      </c>
    </row>
    <row r="117" spans="1:15" x14ac:dyDescent="0.25">
      <c r="A117" s="2">
        <v>40724</v>
      </c>
      <c r="B117" t="s">
        <v>11</v>
      </c>
      <c r="C117">
        <v>16</v>
      </c>
      <c r="D117" s="6" t="s">
        <v>13</v>
      </c>
      <c r="E117">
        <v>295</v>
      </c>
      <c r="F117">
        <v>2.14</v>
      </c>
      <c r="H117">
        <v>18.5</v>
      </c>
      <c r="I117">
        <v>1.5</v>
      </c>
      <c r="O117">
        <f>(0.66164*E117)+(16.34893*F117)+(1.11091*H117)+(-8.40694*I117)-154.2499</f>
        <v>83.862035200000008</v>
      </c>
    </row>
    <row r="118" spans="1:15" x14ac:dyDescent="0.25">
      <c r="A118" s="2">
        <v>40724</v>
      </c>
      <c r="B118" t="s">
        <v>11</v>
      </c>
      <c r="C118">
        <v>16</v>
      </c>
      <c r="D118" s="6" t="s">
        <v>13</v>
      </c>
      <c r="E118">
        <v>300</v>
      </c>
      <c r="F118">
        <v>2.65</v>
      </c>
      <c r="H118">
        <v>18</v>
      </c>
      <c r="I118">
        <v>1.75</v>
      </c>
      <c r="O118">
        <f>(0.66164*E118)+(16.34893*F118)+(1.11091*H118)+(-8.40694*I118)-154.2499</f>
        <v>92.8509995</v>
      </c>
    </row>
    <row r="119" spans="1:15" x14ac:dyDescent="0.25">
      <c r="A119" s="2">
        <v>40724</v>
      </c>
      <c r="B119" t="s">
        <v>11</v>
      </c>
      <c r="C119">
        <v>16</v>
      </c>
      <c r="D119" s="6" t="s">
        <v>13</v>
      </c>
      <c r="E119">
        <v>321</v>
      </c>
      <c r="F119">
        <v>3.9</v>
      </c>
      <c r="H119">
        <v>29</v>
      </c>
      <c r="I119">
        <v>2</v>
      </c>
      <c r="O119">
        <f>(0.66164*E119)+(16.34893*F119)+(1.11091*H119)+(-8.40694*I119)-154.2499</f>
        <v>137.29987700000001</v>
      </c>
    </row>
    <row r="120" spans="1:15" x14ac:dyDescent="0.25">
      <c r="A120" s="2">
        <v>40724</v>
      </c>
      <c r="B120" t="s">
        <v>11</v>
      </c>
      <c r="C120">
        <v>16</v>
      </c>
      <c r="D120" s="6" t="s">
        <v>13</v>
      </c>
      <c r="F120">
        <v>2.14</v>
      </c>
      <c r="J120">
        <f>178+223+274+275+307+304</f>
        <v>1561</v>
      </c>
      <c r="K120">
        <v>6</v>
      </c>
      <c r="L120">
        <v>307</v>
      </c>
      <c r="O120">
        <f>((-7.02235*K120)+(-0.30125*L120)+(0.09376*J120)+33.03698)</f>
        <v>44.778489999999977</v>
      </c>
    </row>
    <row r="121" spans="1:15" x14ac:dyDescent="0.25">
      <c r="A121" s="2">
        <v>40724</v>
      </c>
      <c r="B121" t="s">
        <v>11</v>
      </c>
      <c r="C121">
        <v>16</v>
      </c>
      <c r="D121" s="6" t="s">
        <v>19</v>
      </c>
      <c r="E121">
        <v>270</v>
      </c>
      <c r="F121">
        <v>2.4500000000000002</v>
      </c>
      <c r="H121">
        <v>16</v>
      </c>
      <c r="I121">
        <v>1.2</v>
      </c>
      <c r="O121">
        <f>(0.66164*E121)+(16.34893*F121)+(1.11091*H121)+(-8.40694*I121)-154.2499</f>
        <v>72.134010500000016</v>
      </c>
    </row>
    <row r="122" spans="1:15" x14ac:dyDescent="0.25">
      <c r="A122" s="2">
        <v>40724</v>
      </c>
      <c r="B122" t="s">
        <v>11</v>
      </c>
      <c r="C122">
        <v>16</v>
      </c>
      <c r="D122" s="6" t="s">
        <v>19</v>
      </c>
      <c r="E122">
        <v>278</v>
      </c>
      <c r="F122">
        <v>2.9</v>
      </c>
      <c r="H122">
        <v>17</v>
      </c>
      <c r="I122">
        <v>1</v>
      </c>
      <c r="O122">
        <f>(0.66164*E122)+(16.34893*F122)+(1.11091*H122)+(-8.40694*I122)-154.2499</f>
        <v>87.57644700000003</v>
      </c>
    </row>
    <row r="123" spans="1:15" x14ac:dyDescent="0.25">
      <c r="A123" s="2">
        <v>40724</v>
      </c>
      <c r="B123" t="s">
        <v>11</v>
      </c>
      <c r="C123">
        <v>16</v>
      </c>
      <c r="D123" s="6" t="s">
        <v>19</v>
      </c>
      <c r="E123">
        <v>296</v>
      </c>
      <c r="F123">
        <v>2.85</v>
      </c>
      <c r="H123">
        <v>19</v>
      </c>
      <c r="I123">
        <v>1</v>
      </c>
      <c r="O123">
        <f>(0.66164*E123)+(16.34893*F123)+(1.11091*H123)+(-8.40694*I123)-154.2499</f>
        <v>100.89034049999998</v>
      </c>
    </row>
    <row r="124" spans="1:15" x14ac:dyDescent="0.25">
      <c r="A124" s="2">
        <v>40724</v>
      </c>
      <c r="B124" t="s">
        <v>11</v>
      </c>
      <c r="C124">
        <v>35</v>
      </c>
      <c r="D124" s="6" t="s">
        <v>12</v>
      </c>
      <c r="E124">
        <v>145</v>
      </c>
      <c r="F124">
        <v>1.1000000000000001</v>
      </c>
      <c r="G124">
        <v>0</v>
      </c>
      <c r="N124">
        <f>(1/3)*(3.14159)*((F124/2)^2)*E124</f>
        <v>45.93266379166667</v>
      </c>
      <c r="O124">
        <f>((0.03043*E124)+(0.02936*N124))</f>
        <v>5.7609330089233337</v>
      </c>
    </row>
    <row r="125" spans="1:15" x14ac:dyDescent="0.25">
      <c r="A125" s="2">
        <v>40724</v>
      </c>
      <c r="B125" t="s">
        <v>11</v>
      </c>
      <c r="C125">
        <v>35</v>
      </c>
      <c r="D125" s="6" t="s">
        <v>12</v>
      </c>
      <c r="E125">
        <v>290</v>
      </c>
      <c r="F125">
        <v>1.75</v>
      </c>
      <c r="G125">
        <v>0</v>
      </c>
      <c r="N125">
        <f>(1/3)*(3.14159)*((F125/2)^2)*E125</f>
        <v>232.51038489583331</v>
      </c>
      <c r="O125">
        <f>((0.03043*E125)+(0.02936*N125))</f>
        <v>15.651204900541666</v>
      </c>
    </row>
    <row r="126" spans="1:15" x14ac:dyDescent="0.25">
      <c r="A126" s="2">
        <v>40724</v>
      </c>
      <c r="B126" t="s">
        <v>11</v>
      </c>
      <c r="C126">
        <v>35</v>
      </c>
      <c r="D126" s="6" t="s">
        <v>13</v>
      </c>
      <c r="E126">
        <v>293</v>
      </c>
      <c r="F126">
        <v>2.85</v>
      </c>
      <c r="H126">
        <v>18</v>
      </c>
      <c r="I126">
        <v>1.4</v>
      </c>
      <c r="O126">
        <f t="shared" ref="O126:O131" si="7">(0.66164*E126)+(16.34893*F126)+(1.11091*H126)+(-8.40694*I126)-154.2499</f>
        <v>94.431734500000005</v>
      </c>
    </row>
    <row r="127" spans="1:15" x14ac:dyDescent="0.25">
      <c r="A127" s="2">
        <v>40724</v>
      </c>
      <c r="B127" t="s">
        <v>11</v>
      </c>
      <c r="C127">
        <v>35</v>
      </c>
      <c r="D127" s="6" t="s">
        <v>13</v>
      </c>
      <c r="E127">
        <v>340</v>
      </c>
      <c r="F127">
        <v>3.4</v>
      </c>
      <c r="H127">
        <v>30</v>
      </c>
      <c r="I127">
        <v>1.6</v>
      </c>
      <c r="O127">
        <f t="shared" si="7"/>
        <v>146.17025800000002</v>
      </c>
    </row>
    <row r="128" spans="1:15" x14ac:dyDescent="0.25">
      <c r="A128" s="2">
        <v>40724</v>
      </c>
      <c r="B128" t="s">
        <v>11</v>
      </c>
      <c r="C128">
        <v>35</v>
      </c>
      <c r="D128" s="6" t="s">
        <v>13</v>
      </c>
      <c r="E128">
        <v>340</v>
      </c>
      <c r="F128">
        <v>5.4</v>
      </c>
      <c r="H128">
        <v>42</v>
      </c>
      <c r="I128">
        <v>2.7</v>
      </c>
      <c r="O128">
        <f t="shared" si="7"/>
        <v>182.951404</v>
      </c>
    </row>
    <row r="129" spans="1:15" x14ac:dyDescent="0.25">
      <c r="A129" s="2">
        <v>40724</v>
      </c>
      <c r="B129" t="s">
        <v>11</v>
      </c>
      <c r="C129">
        <v>35</v>
      </c>
      <c r="D129" s="6" t="s">
        <v>13</v>
      </c>
      <c r="E129">
        <v>344</v>
      </c>
      <c r="F129">
        <v>3.91</v>
      </c>
      <c r="H129">
        <v>43</v>
      </c>
      <c r="I129">
        <v>3</v>
      </c>
      <c r="O129">
        <f t="shared" si="7"/>
        <v>159.82688630000004</v>
      </c>
    </row>
    <row r="130" spans="1:15" x14ac:dyDescent="0.25">
      <c r="A130" s="2">
        <v>40724</v>
      </c>
      <c r="B130" t="s">
        <v>11</v>
      </c>
      <c r="C130">
        <v>35</v>
      </c>
      <c r="D130" s="6" t="s">
        <v>13</v>
      </c>
      <c r="E130">
        <v>346</v>
      </c>
      <c r="F130">
        <v>3.7</v>
      </c>
      <c r="H130">
        <v>23</v>
      </c>
      <c r="I130">
        <v>2.4</v>
      </c>
      <c r="O130">
        <f t="shared" si="7"/>
        <v>140.542855</v>
      </c>
    </row>
    <row r="131" spans="1:15" x14ac:dyDescent="0.25">
      <c r="A131" s="2">
        <v>40724</v>
      </c>
      <c r="B131" t="s">
        <v>11</v>
      </c>
      <c r="C131">
        <v>35</v>
      </c>
      <c r="D131" s="6" t="s">
        <v>13</v>
      </c>
      <c r="E131">
        <v>390</v>
      </c>
      <c r="F131">
        <v>4.2</v>
      </c>
      <c r="H131">
        <v>36</v>
      </c>
      <c r="I131">
        <v>2</v>
      </c>
      <c r="O131">
        <f t="shared" si="7"/>
        <v>195.634086</v>
      </c>
    </row>
    <row r="132" spans="1:15" x14ac:dyDescent="0.25">
      <c r="A132" s="2">
        <v>40724</v>
      </c>
      <c r="B132" t="s">
        <v>11</v>
      </c>
      <c r="C132">
        <v>35</v>
      </c>
      <c r="D132" s="6" t="s">
        <v>13</v>
      </c>
      <c r="F132">
        <v>2.84</v>
      </c>
      <c r="J132">
        <f>255+275+320+351+378</f>
        <v>1579</v>
      </c>
      <c r="K132">
        <v>5</v>
      </c>
      <c r="L132">
        <v>378</v>
      </c>
      <c r="O132">
        <f>((-7.02235*K132)+(-0.30125*L132)+(0.09376*J132)+33.03698)</f>
        <v>32.099769999999978</v>
      </c>
    </row>
    <row r="133" spans="1:15" x14ac:dyDescent="0.25">
      <c r="A133" s="2">
        <v>40724</v>
      </c>
      <c r="B133" t="s">
        <v>11</v>
      </c>
      <c r="C133">
        <v>35</v>
      </c>
      <c r="D133" s="6" t="s">
        <v>13</v>
      </c>
      <c r="F133">
        <v>4.63</v>
      </c>
      <c r="J133">
        <f>294+292+355+357+394+410+492</f>
        <v>2594</v>
      </c>
      <c r="K133">
        <v>7</v>
      </c>
      <c r="L133">
        <v>492</v>
      </c>
      <c r="O133">
        <f>((-7.02235*K133)+(-0.30125*L133)+(0.09376*J133)+33.03698)</f>
        <v>78.878969999999981</v>
      </c>
    </row>
    <row r="134" spans="1:15" x14ac:dyDescent="0.25">
      <c r="A134" s="2">
        <v>40724</v>
      </c>
      <c r="B134" t="s">
        <v>11</v>
      </c>
      <c r="C134">
        <v>37</v>
      </c>
      <c r="D134" s="6" t="s">
        <v>13</v>
      </c>
      <c r="E134">
        <v>363</v>
      </c>
      <c r="F134">
        <v>3.5</v>
      </c>
      <c r="H134">
        <v>32</v>
      </c>
      <c r="I134">
        <v>2.5</v>
      </c>
      <c r="M134" t="s">
        <v>25</v>
      </c>
      <c r="O134">
        <f>(0.66164*E134)+(16.34893*F134)+(1.11091*H134)+(-8.40694*I134)-154.2499</f>
        <v>157.67844499999998</v>
      </c>
    </row>
    <row r="135" spans="1:15" x14ac:dyDescent="0.25">
      <c r="A135" s="2">
        <v>40724</v>
      </c>
      <c r="B135" t="s">
        <v>11</v>
      </c>
      <c r="C135">
        <v>37</v>
      </c>
      <c r="D135" s="6" t="s">
        <v>13</v>
      </c>
      <c r="F135">
        <v>2.4</v>
      </c>
      <c r="J135">
        <f>114+264+300+314+363</f>
        <v>1355</v>
      </c>
      <c r="K135">
        <v>5</v>
      </c>
      <c r="L135">
        <v>363</v>
      </c>
      <c r="M135" t="s">
        <v>25</v>
      </c>
      <c r="O135">
        <f t="shared" ref="O135:O140" si="8">((-7.02235*K135)+(-0.30125*L135)+(0.09376*J135)+33.03698)</f>
        <v>15.616279999999975</v>
      </c>
    </row>
    <row r="136" spans="1:15" x14ac:dyDescent="0.25">
      <c r="A136" s="2">
        <v>40724</v>
      </c>
      <c r="B136" t="s">
        <v>11</v>
      </c>
      <c r="C136">
        <v>37</v>
      </c>
      <c r="D136" s="6" t="s">
        <v>13</v>
      </c>
      <c r="F136">
        <v>2.4</v>
      </c>
      <c r="J136">
        <f>192+219+288+289+326</f>
        <v>1314</v>
      </c>
      <c r="K136">
        <v>5</v>
      </c>
      <c r="L136">
        <v>326</v>
      </c>
      <c r="M136" t="s">
        <v>25</v>
      </c>
      <c r="O136">
        <f t="shared" si="8"/>
        <v>22.918369999999982</v>
      </c>
    </row>
    <row r="137" spans="1:15" x14ac:dyDescent="0.25">
      <c r="A137" s="2">
        <v>40724</v>
      </c>
      <c r="B137" t="s">
        <v>11</v>
      </c>
      <c r="C137">
        <v>37</v>
      </c>
      <c r="D137" s="6" t="s">
        <v>13</v>
      </c>
      <c r="F137">
        <v>3.1</v>
      </c>
      <c r="J137">
        <f>156+164+284+356+414+435</f>
        <v>1809</v>
      </c>
      <c r="K137">
        <v>6</v>
      </c>
      <c r="L137">
        <v>435</v>
      </c>
      <c r="M137" t="s">
        <v>25</v>
      </c>
      <c r="O137">
        <f t="shared" si="8"/>
        <v>29.470969999999966</v>
      </c>
    </row>
    <row r="138" spans="1:15" x14ac:dyDescent="0.25">
      <c r="A138" s="2">
        <v>40724</v>
      </c>
      <c r="B138" t="s">
        <v>11</v>
      </c>
      <c r="C138">
        <v>37</v>
      </c>
      <c r="D138" s="6" t="s">
        <v>13</v>
      </c>
      <c r="F138">
        <v>4.8</v>
      </c>
      <c r="J138">
        <f>173+288+270+354+368+390</f>
        <v>1843</v>
      </c>
      <c r="K138">
        <v>6</v>
      </c>
      <c r="L138">
        <v>390</v>
      </c>
      <c r="M138" t="s">
        <v>25</v>
      </c>
      <c r="O138">
        <f t="shared" si="8"/>
        <v>46.215059999999994</v>
      </c>
    </row>
    <row r="139" spans="1:15" x14ac:dyDescent="0.25">
      <c r="A139" s="2">
        <v>40724</v>
      </c>
      <c r="B139" t="s">
        <v>11</v>
      </c>
      <c r="C139">
        <v>37</v>
      </c>
      <c r="D139" s="6" t="s">
        <v>13</v>
      </c>
      <c r="F139">
        <v>4.75</v>
      </c>
      <c r="J139">
        <f>207+294+335+348+368+408+426</f>
        <v>2386</v>
      </c>
      <c r="K139">
        <v>7</v>
      </c>
      <c r="L139">
        <v>426</v>
      </c>
      <c r="M139" t="s">
        <v>25</v>
      </c>
      <c r="O139">
        <f t="shared" si="8"/>
        <v>79.259389999999968</v>
      </c>
    </row>
    <row r="140" spans="1:15" x14ac:dyDescent="0.25">
      <c r="A140" s="2">
        <v>40724</v>
      </c>
      <c r="B140" t="s">
        <v>11</v>
      </c>
      <c r="C140">
        <v>37</v>
      </c>
      <c r="D140" s="6" t="s">
        <v>13</v>
      </c>
      <c r="F140">
        <v>4.4000000000000004</v>
      </c>
      <c r="J140">
        <f>212+224+324+373+390+407+418+424</f>
        <v>2772</v>
      </c>
      <c r="K140">
        <v>8</v>
      </c>
      <c r="L140">
        <v>424</v>
      </c>
      <c r="M140" t="s">
        <v>25</v>
      </c>
      <c r="O140">
        <f t="shared" si="8"/>
        <v>109.03089999999997</v>
      </c>
    </row>
    <row r="141" spans="1:15" x14ac:dyDescent="0.25">
      <c r="A141" s="2">
        <v>40724</v>
      </c>
      <c r="B141" t="s">
        <v>11</v>
      </c>
      <c r="C141">
        <v>43</v>
      </c>
      <c r="D141" s="6" t="s">
        <v>12</v>
      </c>
      <c r="E141">
        <v>36</v>
      </c>
      <c r="F141">
        <v>0.7</v>
      </c>
      <c r="G141">
        <v>0</v>
      </c>
      <c r="N141">
        <f t="shared" ref="N141:N153" si="9">(1/3)*(3.14159)*((F141/2)^2)*E141</f>
        <v>4.618137299999999</v>
      </c>
      <c r="O141">
        <f>((0.03043*E141)+(0.02936*N141))</f>
        <v>1.231068511128</v>
      </c>
    </row>
    <row r="142" spans="1:15" x14ac:dyDescent="0.25">
      <c r="A142" s="2">
        <v>40724</v>
      </c>
      <c r="B142" t="s">
        <v>11</v>
      </c>
      <c r="C142">
        <v>43</v>
      </c>
      <c r="D142" s="6" t="s">
        <v>12</v>
      </c>
      <c r="E142">
        <v>72</v>
      </c>
      <c r="F142">
        <v>1.65</v>
      </c>
      <c r="G142">
        <v>0</v>
      </c>
      <c r="N142">
        <f t="shared" si="9"/>
        <v>51.317872649999991</v>
      </c>
      <c r="O142">
        <f>((0.03043*E142)+(0.02936*N142))</f>
        <v>3.6976527410040001</v>
      </c>
    </row>
    <row r="143" spans="1:15" x14ac:dyDescent="0.25">
      <c r="A143" s="2">
        <v>40724</v>
      </c>
      <c r="B143" t="s">
        <v>11</v>
      </c>
      <c r="C143">
        <v>43</v>
      </c>
      <c r="D143" s="6" t="s">
        <v>12</v>
      </c>
      <c r="E143">
        <v>141</v>
      </c>
      <c r="F143">
        <v>1.39</v>
      </c>
      <c r="G143">
        <v>0</v>
      </c>
      <c r="N143">
        <f t="shared" si="9"/>
        <v>71.320925958249973</v>
      </c>
      <c r="O143">
        <f>((0.03043*E143)+(0.02936*N143))</f>
        <v>6.3846123861342194</v>
      </c>
    </row>
    <row r="144" spans="1:15" x14ac:dyDescent="0.25">
      <c r="A144" s="2">
        <v>40724</v>
      </c>
      <c r="B144" t="s">
        <v>11</v>
      </c>
      <c r="C144">
        <v>43</v>
      </c>
      <c r="D144" s="6" t="s">
        <v>12</v>
      </c>
      <c r="E144">
        <v>173</v>
      </c>
      <c r="F144">
        <v>0.72</v>
      </c>
      <c r="G144">
        <v>0</v>
      </c>
      <c r="N144">
        <f t="shared" si="9"/>
        <v>23.478987023999995</v>
      </c>
      <c r="O144">
        <f>((0.03043*E144)+(0.02936*N144))</f>
        <v>5.9537330590246391</v>
      </c>
    </row>
    <row r="145" spans="1:15" x14ac:dyDescent="0.25">
      <c r="A145" s="2">
        <v>40724</v>
      </c>
      <c r="B145" t="s">
        <v>11</v>
      </c>
      <c r="C145">
        <v>43</v>
      </c>
      <c r="D145" s="6" t="s">
        <v>12</v>
      </c>
      <c r="E145">
        <v>213</v>
      </c>
      <c r="F145">
        <v>1.2</v>
      </c>
      <c r="G145">
        <v>10</v>
      </c>
      <c r="N145">
        <f t="shared" si="9"/>
        <v>80.299040399999996</v>
      </c>
      <c r="O145">
        <f>((0.03851*E145)+(0.0322*N145))</f>
        <v>10.788259100880001</v>
      </c>
    </row>
    <row r="146" spans="1:15" x14ac:dyDescent="0.25">
      <c r="A146" s="2">
        <v>40724</v>
      </c>
      <c r="B146" t="s">
        <v>11</v>
      </c>
      <c r="C146">
        <v>43</v>
      </c>
      <c r="D146" s="6" t="s">
        <v>12</v>
      </c>
      <c r="E146">
        <v>219</v>
      </c>
      <c r="F146">
        <v>1.69</v>
      </c>
      <c r="G146">
        <v>0</v>
      </c>
      <c r="N146">
        <f t="shared" si="9"/>
        <v>163.75168738174997</v>
      </c>
      <c r="O146">
        <f>((0.03043*E146)+(0.02936*N146))</f>
        <v>11.471919541528178</v>
      </c>
    </row>
    <row r="147" spans="1:15" x14ac:dyDescent="0.25">
      <c r="A147" s="2">
        <v>40724</v>
      </c>
      <c r="B147" t="s">
        <v>11</v>
      </c>
      <c r="C147">
        <v>43</v>
      </c>
      <c r="D147" s="6" t="s">
        <v>12</v>
      </c>
      <c r="E147">
        <v>236</v>
      </c>
      <c r="F147">
        <v>1.3</v>
      </c>
      <c r="G147">
        <v>0</v>
      </c>
      <c r="N147">
        <f t="shared" si="9"/>
        <v>104.41597963333334</v>
      </c>
      <c r="O147">
        <f>((0.03043*E147)+(0.02936*N147))</f>
        <v>10.247133162034666</v>
      </c>
    </row>
    <row r="148" spans="1:15" x14ac:dyDescent="0.25">
      <c r="A148" s="2">
        <v>40724</v>
      </c>
      <c r="B148" t="s">
        <v>11</v>
      </c>
      <c r="C148">
        <v>43</v>
      </c>
      <c r="D148" s="6" t="s">
        <v>12</v>
      </c>
      <c r="E148">
        <v>240</v>
      </c>
      <c r="F148">
        <v>1.3</v>
      </c>
      <c r="G148">
        <v>0</v>
      </c>
      <c r="N148">
        <f t="shared" si="9"/>
        <v>106.185742</v>
      </c>
      <c r="O148">
        <f>((0.03043*E148)+(0.02936*N148))</f>
        <v>10.420813385119999</v>
      </c>
    </row>
    <row r="149" spans="1:15" x14ac:dyDescent="0.25">
      <c r="A149" s="2">
        <v>40724</v>
      </c>
      <c r="B149" t="s">
        <v>11</v>
      </c>
      <c r="C149">
        <v>43</v>
      </c>
      <c r="D149" s="6" t="s">
        <v>12</v>
      </c>
      <c r="E149">
        <v>250</v>
      </c>
      <c r="F149">
        <v>1.4</v>
      </c>
      <c r="G149">
        <v>8</v>
      </c>
      <c r="N149">
        <f t="shared" si="9"/>
        <v>128.28159166666663</v>
      </c>
      <c r="O149">
        <f>((0.03851*E149)+(0.0322*N149))</f>
        <v>13.758167251666666</v>
      </c>
    </row>
    <row r="150" spans="1:15" x14ac:dyDescent="0.25">
      <c r="A150" s="2">
        <v>40724</v>
      </c>
      <c r="B150" t="s">
        <v>11</v>
      </c>
      <c r="C150">
        <v>43</v>
      </c>
      <c r="D150" s="6" t="s">
        <v>12</v>
      </c>
      <c r="E150">
        <v>284</v>
      </c>
      <c r="F150">
        <v>2.4</v>
      </c>
      <c r="G150">
        <v>0</v>
      </c>
      <c r="N150">
        <f t="shared" si="9"/>
        <v>428.26154879999996</v>
      </c>
      <c r="O150">
        <f>((0.03043*E150)+(0.02936*N150))</f>
        <v>21.215879072767997</v>
      </c>
    </row>
    <row r="151" spans="1:15" x14ac:dyDescent="0.25">
      <c r="A151" s="2">
        <v>40724</v>
      </c>
      <c r="B151" t="s">
        <v>11</v>
      </c>
      <c r="C151">
        <v>43</v>
      </c>
      <c r="D151" s="6" t="s">
        <v>12</v>
      </c>
      <c r="E151">
        <v>290</v>
      </c>
      <c r="F151">
        <v>1.9</v>
      </c>
      <c r="G151">
        <v>0</v>
      </c>
      <c r="N151">
        <f t="shared" si="9"/>
        <v>274.07754758333328</v>
      </c>
      <c r="O151">
        <f>((0.03043*E151)+(0.02936*N151))</f>
        <v>16.871616797046663</v>
      </c>
    </row>
    <row r="152" spans="1:15" x14ac:dyDescent="0.25">
      <c r="A152" s="2">
        <v>40724</v>
      </c>
      <c r="B152" t="s">
        <v>11</v>
      </c>
      <c r="C152">
        <v>43</v>
      </c>
      <c r="D152" s="6" t="s">
        <v>12</v>
      </c>
      <c r="E152">
        <v>313</v>
      </c>
      <c r="F152">
        <v>2</v>
      </c>
      <c r="G152">
        <v>0</v>
      </c>
      <c r="N152">
        <f t="shared" si="9"/>
        <v>327.77255666666662</v>
      </c>
      <c r="O152">
        <f>((0.03043*E152)+(0.02936*N152))</f>
        <v>19.147992263733332</v>
      </c>
    </row>
    <row r="153" spans="1:15" x14ac:dyDescent="0.25">
      <c r="A153" s="2">
        <v>40724</v>
      </c>
      <c r="B153" t="s">
        <v>11</v>
      </c>
      <c r="C153">
        <v>43</v>
      </c>
      <c r="D153" s="6" t="s">
        <v>12</v>
      </c>
      <c r="E153">
        <v>324</v>
      </c>
      <c r="F153">
        <v>1.65</v>
      </c>
      <c r="G153">
        <v>0</v>
      </c>
      <c r="N153">
        <f t="shared" si="9"/>
        <v>230.93042692499995</v>
      </c>
      <c r="O153">
        <f>((0.03043*E153)+(0.02936*N153))</f>
        <v>16.639437334518</v>
      </c>
    </row>
    <row r="154" spans="1:15" x14ac:dyDescent="0.25">
      <c r="A154" s="2">
        <v>40724</v>
      </c>
      <c r="B154" t="s">
        <v>11</v>
      </c>
      <c r="C154">
        <v>43</v>
      </c>
      <c r="D154" s="6" t="s">
        <v>16</v>
      </c>
      <c r="E154">
        <v>289</v>
      </c>
      <c r="F154">
        <v>1.4</v>
      </c>
      <c r="G154">
        <v>12</v>
      </c>
      <c r="N154">
        <f>((1/3)*(3.14159)*((F154/2)^2)*E154)</f>
        <v>148.29351996666662</v>
      </c>
      <c r="O154">
        <f>((0.03851*E154)+(0.0322*N154))</f>
        <v>15.904441342926667</v>
      </c>
    </row>
    <row r="155" spans="1:15" x14ac:dyDescent="0.25">
      <c r="A155" s="2">
        <v>40724</v>
      </c>
      <c r="B155" t="s">
        <v>11</v>
      </c>
      <c r="C155">
        <v>43</v>
      </c>
      <c r="D155" s="6" t="s">
        <v>16</v>
      </c>
      <c r="E155">
        <v>315</v>
      </c>
      <c r="F155">
        <v>1.3</v>
      </c>
      <c r="G155">
        <v>6</v>
      </c>
      <c r="N155">
        <f>((1/3)*(3.14159)*((F155/2)^2)*E155)</f>
        <v>139.36878637499998</v>
      </c>
      <c r="O155">
        <f>((0.03851*E155)+(0.0322*N155))</f>
        <v>16.618324921275001</v>
      </c>
    </row>
    <row r="156" spans="1:15" x14ac:dyDescent="0.25">
      <c r="A156" s="2">
        <v>40724</v>
      </c>
      <c r="B156" t="s">
        <v>11</v>
      </c>
      <c r="C156">
        <v>43</v>
      </c>
      <c r="D156" s="6" t="s">
        <v>13</v>
      </c>
      <c r="E156">
        <v>347</v>
      </c>
      <c r="F156">
        <v>4.6500000000000004</v>
      </c>
      <c r="H156">
        <v>53</v>
      </c>
      <c r="I156">
        <v>2</v>
      </c>
      <c r="O156">
        <f>(0.66164*E156)+(16.34893*F156)+(1.11091*H156)+(-8.40694*I156)-154.2499</f>
        <v>193.42605450000005</v>
      </c>
    </row>
    <row r="157" spans="1:15" x14ac:dyDescent="0.25">
      <c r="A157" s="2">
        <v>40724</v>
      </c>
      <c r="B157" t="s">
        <v>11</v>
      </c>
      <c r="C157">
        <v>43</v>
      </c>
      <c r="D157" s="6" t="s">
        <v>13</v>
      </c>
      <c r="F157">
        <v>2.0499999999999998</v>
      </c>
      <c r="J157">
        <f>65+66+101+93</f>
        <v>325</v>
      </c>
      <c r="K157">
        <v>4</v>
      </c>
      <c r="L157">
        <v>101</v>
      </c>
      <c r="O157">
        <f>((-7.02235*K157)+(-0.30125*L157)+(0.09376*J157)+33.03698)</f>
        <v>4.9933299999999896</v>
      </c>
    </row>
    <row r="158" spans="1:15" x14ac:dyDescent="0.25">
      <c r="A158" s="2">
        <v>40724</v>
      </c>
      <c r="B158" t="s">
        <v>11</v>
      </c>
      <c r="C158">
        <v>43</v>
      </c>
      <c r="D158" s="6" t="s">
        <v>13</v>
      </c>
      <c r="F158">
        <v>1.22</v>
      </c>
      <c r="J158">
        <f>62+85+105+108</f>
        <v>360</v>
      </c>
      <c r="K158">
        <v>4</v>
      </c>
      <c r="L158">
        <v>108</v>
      </c>
      <c r="O158">
        <f>((-7.02235*K158)+(-0.30125*L158)+(0.09376*J158)+33.03698)</f>
        <v>6.16617999999999</v>
      </c>
    </row>
    <row r="159" spans="1:15" x14ac:dyDescent="0.25">
      <c r="A159" s="2">
        <v>40724</v>
      </c>
      <c r="B159" t="s">
        <v>11</v>
      </c>
      <c r="C159">
        <v>43</v>
      </c>
      <c r="D159" s="6" t="s">
        <v>13</v>
      </c>
      <c r="F159">
        <v>5.6</v>
      </c>
      <c r="J159">
        <f>282+266+316+347+352+363+378</f>
        <v>2304</v>
      </c>
      <c r="K159">
        <v>7</v>
      </c>
      <c r="L159">
        <v>378</v>
      </c>
      <c r="O159">
        <f>((-7.02235*K159)+(-0.30125*L159)+(0.09376*J159)+33.03698)</f>
        <v>86.031069999999971</v>
      </c>
    </row>
    <row r="160" spans="1:15" x14ac:dyDescent="0.25">
      <c r="A160" s="2">
        <v>40724</v>
      </c>
      <c r="B160" t="s">
        <v>11</v>
      </c>
      <c r="C160">
        <v>43</v>
      </c>
      <c r="D160" s="6" t="s">
        <v>13</v>
      </c>
      <c r="F160">
        <v>8</v>
      </c>
      <c r="J160">
        <f>445+420+454+180+230+260+353+380+410</f>
        <v>3132</v>
      </c>
      <c r="K160">
        <v>9</v>
      </c>
      <c r="L160">
        <v>454</v>
      </c>
      <c r="O160">
        <f>((-7.02235*K160)+(-0.30125*L160)+(0.09376*J160)+33.03698)</f>
        <v>126.72464999999997</v>
      </c>
    </row>
    <row r="161" spans="1:15" x14ac:dyDescent="0.25">
      <c r="A161" s="2">
        <v>40731</v>
      </c>
      <c r="B161" s="3" t="s">
        <v>30</v>
      </c>
      <c r="C161">
        <v>5</v>
      </c>
      <c r="D161" s="7" t="s">
        <v>12</v>
      </c>
      <c r="E161">
        <v>126</v>
      </c>
      <c r="F161">
        <v>0.81</v>
      </c>
      <c r="G161">
        <v>0</v>
      </c>
      <c r="N161">
        <f t="shared" ref="N161:N185" si="10">(1/3)*(3.14159)*((F161/2)^2)*E161</f>
        <v>21.642570589500004</v>
      </c>
      <c r="O161">
        <f>((0.03043*E161)+(0.02936*N161))</f>
        <v>4.4696058725077199</v>
      </c>
    </row>
    <row r="162" spans="1:15" x14ac:dyDescent="0.25">
      <c r="A162" s="2">
        <v>40731</v>
      </c>
      <c r="B162" s="3" t="s">
        <v>30</v>
      </c>
      <c r="C162">
        <v>5</v>
      </c>
      <c r="D162" s="7" t="s">
        <v>12</v>
      </c>
      <c r="E162">
        <v>184</v>
      </c>
      <c r="F162">
        <v>0.75</v>
      </c>
      <c r="G162">
        <v>12</v>
      </c>
      <c r="N162">
        <f t="shared" si="10"/>
        <v>27.096213749999997</v>
      </c>
      <c r="O162">
        <f>((0.03851*E162)+(0.0322*N162))</f>
        <v>7.9583380827500001</v>
      </c>
    </row>
    <row r="163" spans="1:15" x14ac:dyDescent="0.25">
      <c r="A163" s="2">
        <v>40731</v>
      </c>
      <c r="B163" s="3" t="s">
        <v>30</v>
      </c>
      <c r="C163">
        <v>5</v>
      </c>
      <c r="D163" s="7" t="s">
        <v>12</v>
      </c>
      <c r="E163">
        <v>218</v>
      </c>
      <c r="F163">
        <v>1.61</v>
      </c>
      <c r="G163">
        <v>0</v>
      </c>
      <c r="N163">
        <f t="shared" si="10"/>
        <v>147.93689714183333</v>
      </c>
      <c r="O163">
        <f>((0.03043*E163)+(0.02936*N163))</f>
        <v>10.977167300084226</v>
      </c>
    </row>
    <row r="164" spans="1:15" x14ac:dyDescent="0.25">
      <c r="A164" s="2">
        <v>40731</v>
      </c>
      <c r="B164" s="3" t="s">
        <v>30</v>
      </c>
      <c r="C164">
        <v>5</v>
      </c>
      <c r="D164" s="7" t="s">
        <v>12</v>
      </c>
      <c r="E164">
        <v>243</v>
      </c>
      <c r="F164">
        <v>1.52</v>
      </c>
      <c r="G164">
        <v>0</v>
      </c>
      <c r="N164">
        <f t="shared" si="10"/>
        <v>146.98117310399999</v>
      </c>
      <c r="O164">
        <f>((0.03043*E164)+(0.02936*N164))</f>
        <v>11.709857242333438</v>
      </c>
    </row>
    <row r="165" spans="1:15" x14ac:dyDescent="0.25">
      <c r="A165" s="2">
        <v>40731</v>
      </c>
      <c r="B165" s="3" t="s">
        <v>30</v>
      </c>
      <c r="C165">
        <v>5</v>
      </c>
      <c r="D165" s="7" t="s">
        <v>12</v>
      </c>
      <c r="E165">
        <v>243</v>
      </c>
      <c r="F165">
        <v>1.1100000000000001</v>
      </c>
      <c r="G165">
        <v>13</v>
      </c>
      <c r="N165">
        <f t="shared" si="10"/>
        <v>78.382749039749996</v>
      </c>
      <c r="O165">
        <f>((0.03851*E165)+(0.0322*N165))</f>
        <v>11.881854519079951</v>
      </c>
    </row>
    <row r="166" spans="1:15" x14ac:dyDescent="0.25">
      <c r="A166" s="2">
        <v>40731</v>
      </c>
      <c r="B166" s="3" t="s">
        <v>30</v>
      </c>
      <c r="C166">
        <v>5</v>
      </c>
      <c r="D166" s="7" t="s">
        <v>12</v>
      </c>
      <c r="E166">
        <v>259</v>
      </c>
      <c r="F166">
        <v>0.71</v>
      </c>
      <c r="G166">
        <v>0</v>
      </c>
      <c r="N166">
        <f t="shared" si="10"/>
        <v>34.180996618416664</v>
      </c>
      <c r="O166">
        <f>((0.03043*E166)+(0.02936*N166))</f>
        <v>8.8849240607167133</v>
      </c>
    </row>
    <row r="167" spans="1:15" x14ac:dyDescent="0.25">
      <c r="A167" s="2">
        <v>40731</v>
      </c>
      <c r="B167" s="3" t="s">
        <v>30</v>
      </c>
      <c r="C167">
        <v>5</v>
      </c>
      <c r="D167" s="7" t="s">
        <v>12</v>
      </c>
      <c r="E167">
        <v>265</v>
      </c>
      <c r="F167">
        <v>1.45</v>
      </c>
      <c r="G167">
        <v>0</v>
      </c>
      <c r="N167">
        <f t="shared" si="10"/>
        <v>145.86467819791665</v>
      </c>
      <c r="O167">
        <f>((0.03043*E167)+(0.02936*N167))</f>
        <v>12.346536951890833</v>
      </c>
    </row>
    <row r="168" spans="1:15" x14ac:dyDescent="0.25">
      <c r="A168" s="2">
        <v>40731</v>
      </c>
      <c r="B168" s="3" t="s">
        <v>30</v>
      </c>
      <c r="C168">
        <v>5</v>
      </c>
      <c r="D168" s="7" t="s">
        <v>12</v>
      </c>
      <c r="E168">
        <v>269</v>
      </c>
      <c r="F168">
        <v>1.22</v>
      </c>
      <c r="G168">
        <v>3</v>
      </c>
      <c r="N168">
        <f t="shared" si="10"/>
        <v>104.81904563033332</v>
      </c>
      <c r="O168">
        <f>((0.03851*E168)+(0.0322*N168))</f>
        <v>13.734363269296733</v>
      </c>
    </row>
    <row r="169" spans="1:15" x14ac:dyDescent="0.25">
      <c r="A169" s="2">
        <v>40731</v>
      </c>
      <c r="B169" s="3" t="s">
        <v>30</v>
      </c>
      <c r="C169">
        <v>5</v>
      </c>
      <c r="D169" s="7" t="s">
        <v>12</v>
      </c>
      <c r="E169">
        <v>276</v>
      </c>
      <c r="F169">
        <v>1.25</v>
      </c>
      <c r="G169">
        <v>0</v>
      </c>
      <c r="N169">
        <f t="shared" si="10"/>
        <v>112.90089062499999</v>
      </c>
      <c r="O169">
        <f t="shared" ref="O169:O174" si="11">((0.03043*E169)+(0.02936*N169))</f>
        <v>11.713450148749999</v>
      </c>
    </row>
    <row r="170" spans="1:15" x14ac:dyDescent="0.25">
      <c r="A170" s="2">
        <v>40731</v>
      </c>
      <c r="B170" s="3" t="s">
        <v>30</v>
      </c>
      <c r="C170">
        <v>5</v>
      </c>
      <c r="D170" s="7" t="s">
        <v>12</v>
      </c>
      <c r="E170">
        <v>283</v>
      </c>
      <c r="F170">
        <v>1.99</v>
      </c>
      <c r="G170">
        <v>0</v>
      </c>
      <c r="N170">
        <f t="shared" si="10"/>
        <v>293.40049901641669</v>
      </c>
      <c r="O170">
        <f t="shared" si="11"/>
        <v>17.225928651121993</v>
      </c>
    </row>
    <row r="171" spans="1:15" x14ac:dyDescent="0.25">
      <c r="A171" s="2">
        <v>40731</v>
      </c>
      <c r="B171" s="3" t="s">
        <v>30</v>
      </c>
      <c r="C171">
        <v>5</v>
      </c>
      <c r="D171" s="6" t="s">
        <v>12</v>
      </c>
      <c r="E171">
        <v>287</v>
      </c>
      <c r="F171">
        <v>1.24</v>
      </c>
      <c r="G171">
        <v>0</v>
      </c>
      <c r="N171">
        <f t="shared" si="10"/>
        <v>115.52966841733333</v>
      </c>
      <c r="O171">
        <f t="shared" si="11"/>
        <v>12.125361064732907</v>
      </c>
    </row>
    <row r="172" spans="1:15" x14ac:dyDescent="0.25">
      <c r="A172" s="2">
        <v>40731</v>
      </c>
      <c r="B172" s="3" t="s">
        <v>30</v>
      </c>
      <c r="C172">
        <v>5</v>
      </c>
      <c r="D172" s="6" t="s">
        <v>12</v>
      </c>
      <c r="E172">
        <v>291</v>
      </c>
      <c r="F172">
        <v>2.21</v>
      </c>
      <c r="G172">
        <v>0</v>
      </c>
      <c r="N172">
        <f t="shared" si="10"/>
        <v>372.08811318574999</v>
      </c>
      <c r="O172">
        <f t="shared" si="11"/>
        <v>19.779637003133619</v>
      </c>
    </row>
    <row r="173" spans="1:15" x14ac:dyDescent="0.25">
      <c r="A173" s="2">
        <v>40731</v>
      </c>
      <c r="B173" s="3" t="s">
        <v>30</v>
      </c>
      <c r="C173">
        <v>5</v>
      </c>
      <c r="D173" s="7" t="s">
        <v>12</v>
      </c>
      <c r="E173">
        <v>293</v>
      </c>
      <c r="F173">
        <v>1.06</v>
      </c>
      <c r="G173">
        <v>0</v>
      </c>
      <c r="N173">
        <f t="shared" si="10"/>
        <v>86.188160294333343</v>
      </c>
      <c r="O173">
        <f t="shared" si="11"/>
        <v>11.446474386241626</v>
      </c>
    </row>
    <row r="174" spans="1:15" x14ac:dyDescent="0.25">
      <c r="A174" s="2">
        <v>40731</v>
      </c>
      <c r="B174" s="3" t="s">
        <v>30</v>
      </c>
      <c r="C174">
        <v>5</v>
      </c>
      <c r="D174" s="7" t="s">
        <v>12</v>
      </c>
      <c r="E174">
        <v>294</v>
      </c>
      <c r="F174">
        <v>1.94</v>
      </c>
      <c r="G174">
        <v>0</v>
      </c>
      <c r="N174">
        <f t="shared" si="10"/>
        <v>289.68035903799995</v>
      </c>
      <c r="O174">
        <f t="shared" si="11"/>
        <v>17.451435341355676</v>
      </c>
    </row>
    <row r="175" spans="1:15" x14ac:dyDescent="0.25">
      <c r="A175" s="2">
        <v>40731</v>
      </c>
      <c r="B175" s="3" t="s">
        <v>30</v>
      </c>
      <c r="C175">
        <v>5</v>
      </c>
      <c r="D175" s="7" t="s">
        <v>12</v>
      </c>
      <c r="E175">
        <v>295</v>
      </c>
      <c r="F175">
        <v>1.54</v>
      </c>
      <c r="G175">
        <v>9</v>
      </c>
      <c r="N175">
        <f t="shared" si="10"/>
        <v>183.16045658166664</v>
      </c>
      <c r="O175">
        <f>((0.03851*E175)+(0.0322*N175))</f>
        <v>17.258216701929666</v>
      </c>
    </row>
    <row r="176" spans="1:15" x14ac:dyDescent="0.25">
      <c r="A176" s="2">
        <v>40731</v>
      </c>
      <c r="B176" s="3" t="s">
        <v>30</v>
      </c>
      <c r="C176">
        <v>5</v>
      </c>
      <c r="D176" s="7" t="s">
        <v>12</v>
      </c>
      <c r="E176">
        <v>300</v>
      </c>
      <c r="F176">
        <v>1.26</v>
      </c>
      <c r="G176">
        <v>7</v>
      </c>
      <c r="N176">
        <f t="shared" si="10"/>
        <v>124.68970710000001</v>
      </c>
      <c r="O176">
        <f>((0.03851*E176)+(0.0322*N176))</f>
        <v>15.568008568620002</v>
      </c>
    </row>
    <row r="177" spans="1:15" x14ac:dyDescent="0.25">
      <c r="A177" s="2">
        <v>40731</v>
      </c>
      <c r="B177" s="3" t="s">
        <v>30</v>
      </c>
      <c r="C177">
        <v>5</v>
      </c>
      <c r="D177" s="7" t="s">
        <v>12</v>
      </c>
      <c r="E177">
        <v>303</v>
      </c>
      <c r="F177">
        <v>2.1800000000000002</v>
      </c>
      <c r="G177">
        <v>0</v>
      </c>
      <c r="N177">
        <f t="shared" si="10"/>
        <v>376.98483097900004</v>
      </c>
      <c r="O177">
        <f>((0.03043*E177)+(0.02936*N177))</f>
        <v>20.288564637543441</v>
      </c>
    </row>
    <row r="178" spans="1:15" x14ac:dyDescent="0.25">
      <c r="A178" s="2">
        <v>40731</v>
      </c>
      <c r="B178" s="3" t="s">
        <v>30</v>
      </c>
      <c r="C178">
        <v>5</v>
      </c>
      <c r="D178" s="6" t="s">
        <v>12</v>
      </c>
      <c r="E178">
        <v>304</v>
      </c>
      <c r="F178">
        <v>1.24</v>
      </c>
      <c r="G178">
        <v>12</v>
      </c>
      <c r="N178">
        <f t="shared" si="10"/>
        <v>122.37288919466666</v>
      </c>
      <c r="O178">
        <f>((0.03851*E178)+(0.0322*N178))</f>
        <v>15.647447032068268</v>
      </c>
    </row>
    <row r="179" spans="1:15" x14ac:dyDescent="0.25">
      <c r="A179" s="2">
        <v>40731</v>
      </c>
      <c r="B179" s="3" t="s">
        <v>30</v>
      </c>
      <c r="C179">
        <v>5</v>
      </c>
      <c r="D179" s="6" t="s">
        <v>12</v>
      </c>
      <c r="E179">
        <v>316</v>
      </c>
      <c r="F179">
        <v>1.55</v>
      </c>
      <c r="G179">
        <v>0</v>
      </c>
      <c r="N179">
        <f t="shared" si="10"/>
        <v>198.75530934166667</v>
      </c>
      <c r="O179">
        <f>((0.03043*E179)+(0.02936*N179))</f>
        <v>15.451335882271334</v>
      </c>
    </row>
    <row r="180" spans="1:15" x14ac:dyDescent="0.25">
      <c r="A180" s="2">
        <v>40731</v>
      </c>
      <c r="B180" s="3" t="s">
        <v>30</v>
      </c>
      <c r="C180">
        <v>5</v>
      </c>
      <c r="D180" s="6" t="s">
        <v>12</v>
      </c>
      <c r="E180">
        <v>321</v>
      </c>
      <c r="F180">
        <v>1.5</v>
      </c>
      <c r="G180">
        <v>0</v>
      </c>
      <c r="N180">
        <f t="shared" si="10"/>
        <v>189.08444812499997</v>
      </c>
      <c r="O180">
        <f>((0.03043*E180)+(0.02936*N180))</f>
        <v>15.319549396949999</v>
      </c>
    </row>
    <row r="181" spans="1:15" x14ac:dyDescent="0.25">
      <c r="A181" s="2">
        <v>40731</v>
      </c>
      <c r="B181" s="3" t="s">
        <v>30</v>
      </c>
      <c r="C181">
        <v>5</v>
      </c>
      <c r="D181" s="7" t="s">
        <v>12</v>
      </c>
      <c r="E181">
        <v>326</v>
      </c>
      <c r="F181">
        <v>2.33</v>
      </c>
      <c r="G181">
        <v>0</v>
      </c>
      <c r="N181">
        <f t="shared" si="10"/>
        <v>463.33776766883335</v>
      </c>
      <c r="O181">
        <f>((0.03043*E181)+(0.02936*N181))</f>
        <v>23.523776858756946</v>
      </c>
    </row>
    <row r="182" spans="1:15" x14ac:dyDescent="0.25">
      <c r="A182" s="2">
        <v>40731</v>
      </c>
      <c r="B182" s="3" t="s">
        <v>30</v>
      </c>
      <c r="C182">
        <v>5</v>
      </c>
      <c r="D182" s="6" t="s">
        <v>12</v>
      </c>
      <c r="E182">
        <v>329</v>
      </c>
      <c r="F182">
        <v>1.37</v>
      </c>
      <c r="G182">
        <v>2</v>
      </c>
      <c r="N182">
        <f t="shared" si="10"/>
        <v>161.66101159658334</v>
      </c>
      <c r="O182">
        <f>((0.03851*E182)+(0.0322*N182))</f>
        <v>17.875274573409985</v>
      </c>
    </row>
    <row r="183" spans="1:15" x14ac:dyDescent="0.25">
      <c r="A183" s="2">
        <v>40731</v>
      </c>
      <c r="B183" s="3" t="s">
        <v>30</v>
      </c>
      <c r="C183">
        <v>5</v>
      </c>
      <c r="D183" s="6" t="s">
        <v>12</v>
      </c>
      <c r="E183">
        <v>340</v>
      </c>
      <c r="F183">
        <v>1.75</v>
      </c>
      <c r="G183">
        <v>1</v>
      </c>
      <c r="N183">
        <f t="shared" si="10"/>
        <v>272.59838229166667</v>
      </c>
      <c r="O183">
        <f>((0.03851*E183)+(0.0322*N183))</f>
        <v>21.87106790979167</v>
      </c>
    </row>
    <row r="184" spans="1:15" x14ac:dyDescent="0.25">
      <c r="A184" s="2">
        <v>40731</v>
      </c>
      <c r="B184" s="3" t="s">
        <v>30</v>
      </c>
      <c r="C184">
        <v>5</v>
      </c>
      <c r="D184" s="7" t="s">
        <v>12</v>
      </c>
      <c r="E184">
        <v>346</v>
      </c>
      <c r="F184">
        <v>1.95</v>
      </c>
      <c r="G184">
        <v>0</v>
      </c>
      <c r="N184">
        <f t="shared" si="10"/>
        <v>344.44000061249994</v>
      </c>
      <c r="O184">
        <f>((0.03043*E184)+(0.02936*N184))</f>
        <v>20.641538417983</v>
      </c>
    </row>
    <row r="185" spans="1:15" x14ac:dyDescent="0.25">
      <c r="A185" s="2">
        <v>40731</v>
      </c>
      <c r="B185" s="3" t="s">
        <v>30</v>
      </c>
      <c r="C185">
        <v>5</v>
      </c>
      <c r="D185" s="7" t="s">
        <v>12</v>
      </c>
      <c r="E185">
        <v>349</v>
      </c>
      <c r="F185">
        <v>1.05</v>
      </c>
      <c r="G185">
        <v>9</v>
      </c>
      <c r="N185">
        <f t="shared" si="10"/>
        <v>100.73311985625</v>
      </c>
      <c r="O185">
        <f>((0.03851*E185)+(0.0322*N185))</f>
        <v>16.683596459371252</v>
      </c>
    </row>
    <row r="186" spans="1:15" x14ac:dyDescent="0.25">
      <c r="A186" s="2">
        <v>40731</v>
      </c>
      <c r="B186" s="3" t="s">
        <v>30</v>
      </c>
      <c r="C186">
        <v>5</v>
      </c>
      <c r="D186" s="7" t="s">
        <v>16</v>
      </c>
      <c r="E186">
        <v>315</v>
      </c>
      <c r="F186">
        <v>1.34</v>
      </c>
      <c r="G186">
        <v>8</v>
      </c>
      <c r="N186">
        <f t="shared" ref="N186:N191" si="12">((1/3)*(3.14159)*((F186/2)^2)*E186)</f>
        <v>148.07727385499999</v>
      </c>
      <c r="O186">
        <f>((0.03851*E186)+(0.0322*N186))</f>
        <v>16.898738218131001</v>
      </c>
    </row>
    <row r="187" spans="1:15" x14ac:dyDescent="0.25">
      <c r="A187" s="2">
        <v>40731</v>
      </c>
      <c r="B187" s="3" t="s">
        <v>30</v>
      </c>
      <c r="C187">
        <v>5</v>
      </c>
      <c r="D187" s="6" t="s">
        <v>16</v>
      </c>
      <c r="E187">
        <v>332</v>
      </c>
      <c r="F187">
        <v>1.41</v>
      </c>
      <c r="G187">
        <v>7</v>
      </c>
      <c r="N187">
        <f t="shared" si="12"/>
        <v>172.80033051899997</v>
      </c>
      <c r="O187">
        <f>((0.03851*E187)+(0.0322*N187))</f>
        <v>18.3494906427118</v>
      </c>
    </row>
    <row r="188" spans="1:15" x14ac:dyDescent="0.25">
      <c r="A188" s="2">
        <v>40731</v>
      </c>
      <c r="B188" s="3" t="s">
        <v>30</v>
      </c>
      <c r="C188">
        <v>5</v>
      </c>
      <c r="D188" s="7" t="s">
        <v>16</v>
      </c>
      <c r="E188">
        <v>332</v>
      </c>
      <c r="F188">
        <v>1.48</v>
      </c>
      <c r="G188">
        <v>8</v>
      </c>
      <c r="N188">
        <f t="shared" si="12"/>
        <v>190.3837050293333</v>
      </c>
      <c r="O188">
        <f>((0.03851*E188)+(0.0322*N188))</f>
        <v>18.915675301944532</v>
      </c>
    </row>
    <row r="189" spans="1:15" x14ac:dyDescent="0.25">
      <c r="A189" s="2">
        <v>40731</v>
      </c>
      <c r="B189" s="3" t="s">
        <v>30</v>
      </c>
      <c r="C189">
        <v>5</v>
      </c>
      <c r="D189" s="7" t="s">
        <v>16</v>
      </c>
      <c r="E189">
        <v>357</v>
      </c>
      <c r="F189">
        <v>1.9</v>
      </c>
      <c r="G189">
        <v>9</v>
      </c>
      <c r="N189">
        <f t="shared" si="12"/>
        <v>337.39891202499996</v>
      </c>
      <c r="O189">
        <f>((0.03851*E189)+(0.0322*N189))</f>
        <v>24.612314967204998</v>
      </c>
    </row>
    <row r="190" spans="1:15" x14ac:dyDescent="0.25">
      <c r="A190" s="2">
        <v>40731</v>
      </c>
      <c r="B190" s="3" t="s">
        <v>30</v>
      </c>
      <c r="C190">
        <v>5</v>
      </c>
      <c r="D190" s="7" t="s">
        <v>16</v>
      </c>
      <c r="E190">
        <v>361</v>
      </c>
      <c r="F190">
        <v>1.61</v>
      </c>
      <c r="G190">
        <v>0</v>
      </c>
      <c r="N190">
        <f t="shared" si="12"/>
        <v>244.97807278991667</v>
      </c>
      <c r="O190">
        <f>((0.03043*E190)+(0.02936*N190))</f>
        <v>18.177786217111954</v>
      </c>
    </row>
    <row r="191" spans="1:15" x14ac:dyDescent="0.25">
      <c r="A191" s="2">
        <v>40731</v>
      </c>
      <c r="B191" s="3" t="s">
        <v>30</v>
      </c>
      <c r="C191">
        <v>5</v>
      </c>
      <c r="D191" s="7" t="s">
        <v>16</v>
      </c>
      <c r="E191">
        <v>384</v>
      </c>
      <c r="F191">
        <v>1.69</v>
      </c>
      <c r="G191">
        <v>0</v>
      </c>
      <c r="N191">
        <f t="shared" si="12"/>
        <v>287.12624636799995</v>
      </c>
      <c r="O191">
        <f>((0.03043*E191)+(0.02936*N191))</f>
        <v>20.115146593364479</v>
      </c>
    </row>
    <row r="192" spans="1:15" x14ac:dyDescent="0.25">
      <c r="A192" s="2">
        <v>40731</v>
      </c>
      <c r="B192" s="3" t="s">
        <v>30</v>
      </c>
      <c r="C192">
        <v>5</v>
      </c>
      <c r="D192" s="6" t="s">
        <v>19</v>
      </c>
      <c r="E192">
        <v>233</v>
      </c>
      <c r="F192">
        <v>1.5</v>
      </c>
      <c r="H192">
        <v>18</v>
      </c>
      <c r="I192">
        <v>2</v>
      </c>
      <c r="O192">
        <f>(0.66164*E192)+(16.34893*F192)+(1.11091*H192)+(-8.40694*I192)-154.2499</f>
        <v>27.618114999999989</v>
      </c>
    </row>
    <row r="193" spans="1:15" x14ac:dyDescent="0.25">
      <c r="A193" s="2">
        <v>40731</v>
      </c>
      <c r="B193" s="3" t="s">
        <v>30</v>
      </c>
      <c r="C193">
        <v>5</v>
      </c>
      <c r="D193" s="6" t="s">
        <v>19</v>
      </c>
      <c r="E193">
        <v>316</v>
      </c>
      <c r="F193">
        <v>1.76</v>
      </c>
      <c r="H193">
        <v>16</v>
      </c>
      <c r="I193">
        <v>2</v>
      </c>
      <c r="O193">
        <f>(0.66164*E193)+(16.34893*F193)+(1.11091*H193)+(-8.40694*I193)-154.2499</f>
        <v>84.563136799999995</v>
      </c>
    </row>
    <row r="194" spans="1:15" x14ac:dyDescent="0.25">
      <c r="A194" s="2">
        <v>40731</v>
      </c>
      <c r="B194" s="3" t="s">
        <v>30</v>
      </c>
      <c r="C194">
        <v>5</v>
      </c>
      <c r="D194" s="6" t="s">
        <v>19</v>
      </c>
      <c r="E194">
        <v>317</v>
      </c>
      <c r="F194">
        <v>2.23</v>
      </c>
      <c r="H194">
        <v>29</v>
      </c>
      <c r="I194">
        <v>1.9</v>
      </c>
      <c r="O194">
        <f>(0.66164*E194)+(16.34893*F194)+(1.11091*H194)+(-8.40694*I194)-154.2499</f>
        <v>108.19129790000002</v>
      </c>
    </row>
    <row r="195" spans="1:15" x14ac:dyDescent="0.25">
      <c r="A195" s="2">
        <v>40731</v>
      </c>
      <c r="B195" s="3" t="s">
        <v>30</v>
      </c>
      <c r="C195">
        <v>5</v>
      </c>
      <c r="D195" s="6" t="s">
        <v>19</v>
      </c>
      <c r="E195">
        <v>321</v>
      </c>
      <c r="F195">
        <v>1.65</v>
      </c>
      <c r="H195">
        <v>20</v>
      </c>
      <c r="I195">
        <v>1.6</v>
      </c>
      <c r="O195">
        <f>(0.66164*E195)+(16.34893*F195)+(1.11091*H195)+(-8.40694*I195)-154.2499</f>
        <v>93.879370500000022</v>
      </c>
    </row>
    <row r="196" spans="1:15" x14ac:dyDescent="0.25">
      <c r="A196" s="2">
        <v>40731</v>
      </c>
      <c r="B196" s="3" t="s">
        <v>30</v>
      </c>
      <c r="C196">
        <v>5</v>
      </c>
      <c r="D196" s="6" t="s">
        <v>19</v>
      </c>
      <c r="E196">
        <v>328</v>
      </c>
      <c r="F196">
        <v>1.76</v>
      </c>
      <c r="H196">
        <v>21</v>
      </c>
      <c r="I196">
        <v>1.8</v>
      </c>
      <c r="O196">
        <f>(0.66164*E196)+(16.34893*F196)+(1.11091*H196)+(-8.40694*I196)-154.2499</f>
        <v>99.738754800000009</v>
      </c>
    </row>
    <row r="197" spans="1:15" x14ac:dyDescent="0.25">
      <c r="A197" s="2">
        <v>40731</v>
      </c>
      <c r="B197" s="3" t="s">
        <v>30</v>
      </c>
      <c r="C197">
        <v>5</v>
      </c>
      <c r="D197" s="6" t="s">
        <v>19</v>
      </c>
      <c r="F197">
        <v>0.96</v>
      </c>
      <c r="J197">
        <f>SUM(222,294,150)</f>
        <v>666</v>
      </c>
      <c r="K197">
        <v>3</v>
      </c>
      <c r="L197">
        <v>294</v>
      </c>
      <c r="O197">
        <f>((-7.02235*K197)+(-0.30125*L197)+(0.09376*J197)+33.03698)</f>
        <v>-14.153410000000022</v>
      </c>
    </row>
    <row r="198" spans="1:15" x14ac:dyDescent="0.25">
      <c r="A198" s="2">
        <v>40731</v>
      </c>
      <c r="B198" s="3" t="s">
        <v>30</v>
      </c>
      <c r="C198">
        <v>5</v>
      </c>
      <c r="D198" s="6" t="s">
        <v>19</v>
      </c>
      <c r="F198">
        <v>1.01</v>
      </c>
      <c r="J198">
        <f>SUM(178,226,255)</f>
        <v>659</v>
      </c>
      <c r="K198">
        <v>3</v>
      </c>
      <c r="L198">
        <v>255</v>
      </c>
      <c r="O198">
        <f>((-7.02235*K198)+(-0.30125*L198)+(0.09376*J198)+33.03698)</f>
        <v>-3.060980000000022</v>
      </c>
    </row>
    <row r="199" spans="1:15" x14ac:dyDescent="0.25">
      <c r="A199" s="2">
        <v>40731</v>
      </c>
      <c r="B199" s="3" t="s">
        <v>30</v>
      </c>
      <c r="C199">
        <v>5</v>
      </c>
      <c r="D199" s="6" t="s">
        <v>19</v>
      </c>
      <c r="F199">
        <v>0.7</v>
      </c>
      <c r="J199">
        <f>SUM(196,151,196)</f>
        <v>543</v>
      </c>
      <c r="K199">
        <v>3</v>
      </c>
      <c r="L199">
        <v>196</v>
      </c>
      <c r="O199">
        <f>((-7.02235*K199)+(-0.30125*L199)+(0.09376*J199)+33.03698)</f>
        <v>3.8366099999999861</v>
      </c>
    </row>
    <row r="200" spans="1:15" x14ac:dyDescent="0.25">
      <c r="A200" s="2">
        <v>40731</v>
      </c>
      <c r="B200" s="3" t="s">
        <v>30</v>
      </c>
      <c r="C200">
        <v>5</v>
      </c>
      <c r="D200" s="6" t="s">
        <v>19</v>
      </c>
      <c r="F200">
        <v>2.14</v>
      </c>
      <c r="J200">
        <f>SUM(301,243,143,314,266)</f>
        <v>1267</v>
      </c>
      <c r="K200">
        <v>5</v>
      </c>
      <c r="L200">
        <v>314</v>
      </c>
      <c r="O200">
        <f>((-7.02235*K200)+(-0.30125*L200)+(0.09376*J200)+33.03698)</f>
        <v>22.126649999999998</v>
      </c>
    </row>
    <row r="201" spans="1:15" x14ac:dyDescent="0.25">
      <c r="A201" s="2">
        <v>40731</v>
      </c>
      <c r="B201" s="3" t="s">
        <v>30</v>
      </c>
      <c r="C201">
        <v>5</v>
      </c>
      <c r="D201" s="6" t="s">
        <v>19</v>
      </c>
      <c r="F201">
        <v>2.7</v>
      </c>
      <c r="J201">
        <f>SUM(219,369,351,340,336,320)</f>
        <v>1935</v>
      </c>
      <c r="K201">
        <v>6</v>
      </c>
      <c r="L201">
        <v>369</v>
      </c>
      <c r="O201">
        <f>((-7.02235*K201)+(-0.30125*L201)+(0.09376*J201)+33.03698)</f>
        <v>61.167229999999989</v>
      </c>
    </row>
    <row r="202" spans="1:15" x14ac:dyDescent="0.25">
      <c r="A202" s="2">
        <v>40731</v>
      </c>
      <c r="B202" s="3" t="s">
        <v>30</v>
      </c>
      <c r="C202">
        <v>16</v>
      </c>
      <c r="D202" s="6" t="s">
        <v>29</v>
      </c>
      <c r="E202">
        <v>179</v>
      </c>
      <c r="F202">
        <v>0.71</v>
      </c>
      <c r="G202">
        <v>0</v>
      </c>
      <c r="O202">
        <f>((3.55251*F202)+(0.01568*E202)-2.29794)</f>
        <v>3.0310621000000002</v>
      </c>
    </row>
    <row r="203" spans="1:15" x14ac:dyDescent="0.25">
      <c r="A203" s="2">
        <v>40731</v>
      </c>
      <c r="B203" s="3" t="s">
        <v>30</v>
      </c>
      <c r="C203">
        <v>16</v>
      </c>
      <c r="D203" s="6" t="s">
        <v>19</v>
      </c>
      <c r="E203">
        <v>302</v>
      </c>
      <c r="F203">
        <v>2.42</v>
      </c>
      <c r="H203">
        <v>30</v>
      </c>
      <c r="I203">
        <v>2.1</v>
      </c>
      <c r="O203">
        <f t="shared" ref="O203:O213" si="13">(0.66164*E203)+(16.34893*F203)+(1.11091*H203)+(-8.40694*I203)-154.2499</f>
        <v>100.80251659999999</v>
      </c>
    </row>
    <row r="204" spans="1:15" x14ac:dyDescent="0.25">
      <c r="A204" s="2">
        <v>40731</v>
      </c>
      <c r="B204" s="3" t="s">
        <v>30</v>
      </c>
      <c r="C204">
        <v>16</v>
      </c>
      <c r="D204" s="6" t="s">
        <v>19</v>
      </c>
      <c r="E204">
        <v>309</v>
      </c>
      <c r="F204">
        <v>2.5</v>
      </c>
      <c r="H204">
        <v>32</v>
      </c>
      <c r="I204">
        <v>1.9</v>
      </c>
      <c r="O204">
        <f t="shared" si="13"/>
        <v>110.64511899999999</v>
      </c>
    </row>
    <row r="205" spans="1:15" x14ac:dyDescent="0.25">
      <c r="A205" s="2">
        <v>40731</v>
      </c>
      <c r="B205" s="3" t="s">
        <v>30</v>
      </c>
      <c r="C205">
        <v>16</v>
      </c>
      <c r="D205" s="6" t="s">
        <v>19</v>
      </c>
      <c r="E205">
        <v>311</v>
      </c>
      <c r="F205">
        <v>2.57</v>
      </c>
      <c r="H205">
        <v>35</v>
      </c>
      <c r="I205">
        <v>2.1</v>
      </c>
      <c r="O205">
        <f t="shared" si="13"/>
        <v>114.76416609999998</v>
      </c>
    </row>
    <row r="206" spans="1:15" x14ac:dyDescent="0.25">
      <c r="A206" s="2">
        <v>40731</v>
      </c>
      <c r="B206" s="3" t="s">
        <v>30</v>
      </c>
      <c r="C206">
        <v>16</v>
      </c>
      <c r="D206" s="6" t="s">
        <v>19</v>
      </c>
      <c r="E206">
        <v>314</v>
      </c>
      <c r="F206">
        <v>2.38</v>
      </c>
      <c r="H206">
        <v>31</v>
      </c>
      <c r="I206">
        <v>2.1</v>
      </c>
      <c r="O206">
        <f t="shared" si="13"/>
        <v>109.19914939999998</v>
      </c>
    </row>
    <row r="207" spans="1:15" x14ac:dyDescent="0.25">
      <c r="A207" s="2">
        <v>40731</v>
      </c>
      <c r="B207" s="3" t="s">
        <v>30</v>
      </c>
      <c r="C207">
        <v>16</v>
      </c>
      <c r="D207" s="6" t="s">
        <v>19</v>
      </c>
      <c r="E207">
        <v>315</v>
      </c>
      <c r="F207">
        <v>2.5</v>
      </c>
      <c r="H207">
        <v>40</v>
      </c>
      <c r="I207">
        <v>2.1</v>
      </c>
      <c r="O207">
        <f t="shared" si="13"/>
        <v>121.82085099999998</v>
      </c>
    </row>
    <row r="208" spans="1:15" x14ac:dyDescent="0.25">
      <c r="A208" s="2">
        <v>40731</v>
      </c>
      <c r="B208" s="3" t="s">
        <v>30</v>
      </c>
      <c r="C208">
        <v>16</v>
      </c>
      <c r="D208" s="6" t="s">
        <v>19</v>
      </c>
      <c r="E208">
        <v>326</v>
      </c>
      <c r="F208">
        <v>2.7</v>
      </c>
      <c r="H208">
        <v>26</v>
      </c>
      <c r="I208">
        <v>1.2</v>
      </c>
      <c r="O208">
        <f t="shared" si="13"/>
        <v>124.38218300000003</v>
      </c>
    </row>
    <row r="209" spans="1:15" x14ac:dyDescent="0.25">
      <c r="A209" s="2">
        <v>40731</v>
      </c>
      <c r="B209" s="3" t="s">
        <v>30</v>
      </c>
      <c r="C209">
        <v>16</v>
      </c>
      <c r="D209" s="6" t="s">
        <v>19</v>
      </c>
      <c r="E209">
        <v>335</v>
      </c>
      <c r="F209">
        <v>2.1</v>
      </c>
      <c r="H209">
        <v>34</v>
      </c>
      <c r="I209">
        <v>2.4</v>
      </c>
      <c r="O209">
        <f t="shared" si="13"/>
        <v>119.32653700000006</v>
      </c>
    </row>
    <row r="210" spans="1:15" x14ac:dyDescent="0.25">
      <c r="A210" s="2">
        <v>40731</v>
      </c>
      <c r="B210" s="3" t="s">
        <v>30</v>
      </c>
      <c r="C210">
        <v>16</v>
      </c>
      <c r="D210" s="6" t="s">
        <v>19</v>
      </c>
      <c r="E210">
        <v>359</v>
      </c>
      <c r="F210">
        <v>2.57</v>
      </c>
      <c r="H210">
        <v>33</v>
      </c>
      <c r="I210">
        <v>2.1</v>
      </c>
      <c r="O210">
        <f t="shared" si="13"/>
        <v>144.30106609999999</v>
      </c>
    </row>
    <row r="211" spans="1:15" x14ac:dyDescent="0.25">
      <c r="A211" s="2">
        <v>40731</v>
      </c>
      <c r="B211" s="3" t="s">
        <v>30</v>
      </c>
      <c r="C211">
        <v>16</v>
      </c>
      <c r="D211" s="6" t="s">
        <v>19</v>
      </c>
      <c r="E211">
        <v>367</v>
      </c>
      <c r="F211">
        <v>4.07</v>
      </c>
      <c r="H211">
        <v>30</v>
      </c>
      <c r="I211">
        <v>1.3</v>
      </c>
      <c r="O211">
        <f t="shared" si="13"/>
        <v>177.51040309999999</v>
      </c>
    </row>
    <row r="212" spans="1:15" x14ac:dyDescent="0.25">
      <c r="A212" s="2">
        <v>40731</v>
      </c>
      <c r="B212" s="3" t="s">
        <v>30</v>
      </c>
      <c r="C212">
        <v>16</v>
      </c>
      <c r="D212" s="6" t="s">
        <v>19</v>
      </c>
      <c r="E212">
        <v>377</v>
      </c>
      <c r="F212">
        <v>2.74</v>
      </c>
      <c r="H212">
        <v>33</v>
      </c>
      <c r="I212">
        <v>2.5</v>
      </c>
      <c r="O212">
        <f t="shared" si="13"/>
        <v>155.62712819999999</v>
      </c>
    </row>
    <row r="213" spans="1:15" x14ac:dyDescent="0.25">
      <c r="A213" s="2">
        <v>40731</v>
      </c>
      <c r="B213" s="3" t="s">
        <v>30</v>
      </c>
      <c r="C213">
        <v>16</v>
      </c>
      <c r="D213" s="6" t="s">
        <v>19</v>
      </c>
      <c r="E213">
        <v>379</v>
      </c>
      <c r="F213">
        <v>3.12</v>
      </c>
      <c r="H213">
        <v>27</v>
      </c>
      <c r="I213">
        <v>2</v>
      </c>
      <c r="O213">
        <f t="shared" si="13"/>
        <v>160.70101160000004</v>
      </c>
    </row>
    <row r="214" spans="1:15" x14ac:dyDescent="0.25">
      <c r="A214" s="2">
        <v>40731</v>
      </c>
      <c r="B214" s="3" t="s">
        <v>30</v>
      </c>
      <c r="C214">
        <v>16</v>
      </c>
      <c r="D214" s="6" t="s">
        <v>19</v>
      </c>
      <c r="F214">
        <v>0.85</v>
      </c>
      <c r="J214">
        <f>SUM(222,223,239)</f>
        <v>684</v>
      </c>
      <c r="K214">
        <v>3</v>
      </c>
      <c r="L214">
        <v>239</v>
      </c>
      <c r="O214">
        <f>((-7.02235*K214)+(-0.30125*L214)+(0.09376*J214)+33.03698)</f>
        <v>4.1030200000000008</v>
      </c>
    </row>
    <row r="215" spans="1:15" x14ac:dyDescent="0.25">
      <c r="A215" s="2">
        <v>40731</v>
      </c>
      <c r="B215" s="3" t="s">
        <v>30</v>
      </c>
      <c r="C215">
        <v>16</v>
      </c>
      <c r="D215" s="6" t="s">
        <v>19</v>
      </c>
      <c r="F215">
        <v>1.55</v>
      </c>
      <c r="J215">
        <f>SUM(210,264,287,306,307)</f>
        <v>1374</v>
      </c>
      <c r="K215">
        <v>5</v>
      </c>
      <c r="L215">
        <v>307</v>
      </c>
      <c r="O215">
        <f>((-7.02235*K215)+(-0.30125*L215)+(0.09376*J215)+33.03698)</f>
        <v>34.267719999999983</v>
      </c>
    </row>
    <row r="216" spans="1:15" x14ac:dyDescent="0.25">
      <c r="A216" s="2">
        <v>40731</v>
      </c>
      <c r="B216" s="3" t="s">
        <v>30</v>
      </c>
      <c r="C216">
        <v>17</v>
      </c>
      <c r="D216" s="6" t="s">
        <v>29</v>
      </c>
      <c r="E216">
        <v>32</v>
      </c>
      <c r="F216">
        <v>0.64</v>
      </c>
      <c r="G216">
        <v>0</v>
      </c>
      <c r="O216">
        <f>((3.55251*F216)+(0.01568*E216)-2.29794)</f>
        <v>0.4774263999999997</v>
      </c>
    </row>
    <row r="217" spans="1:15" x14ac:dyDescent="0.25">
      <c r="A217" s="2">
        <v>40731</v>
      </c>
      <c r="B217" s="3" t="s">
        <v>30</v>
      </c>
      <c r="C217">
        <v>17</v>
      </c>
      <c r="D217" s="6" t="s">
        <v>29</v>
      </c>
      <c r="E217">
        <v>47</v>
      </c>
      <c r="F217">
        <v>0.95</v>
      </c>
      <c r="G217">
        <v>0</v>
      </c>
      <c r="O217">
        <f t="shared" ref="O216:O240" si="14">((3.55251*F217)+(0.01568*E217)-2.29794)</f>
        <v>1.8139045</v>
      </c>
    </row>
    <row r="218" spans="1:15" x14ac:dyDescent="0.25">
      <c r="A218" s="2">
        <v>40731</v>
      </c>
      <c r="B218" s="3" t="s">
        <v>30</v>
      </c>
      <c r="C218">
        <v>17</v>
      </c>
      <c r="D218" s="6" t="s">
        <v>29</v>
      </c>
      <c r="E218">
        <v>70</v>
      </c>
      <c r="F218">
        <v>0.79</v>
      </c>
      <c r="G218">
        <v>0</v>
      </c>
      <c r="O218">
        <f t="shared" si="14"/>
        <v>1.6061428999999996</v>
      </c>
    </row>
    <row r="219" spans="1:15" x14ac:dyDescent="0.25">
      <c r="A219" s="2">
        <v>40731</v>
      </c>
      <c r="B219" s="3" t="s">
        <v>30</v>
      </c>
      <c r="C219">
        <v>17</v>
      </c>
      <c r="D219" s="6" t="s">
        <v>29</v>
      </c>
      <c r="E219">
        <v>74</v>
      </c>
      <c r="F219">
        <v>0.56999999999999995</v>
      </c>
      <c r="G219">
        <v>0</v>
      </c>
      <c r="O219">
        <f t="shared" si="14"/>
        <v>0.88731069999999956</v>
      </c>
    </row>
    <row r="220" spans="1:15" x14ac:dyDescent="0.25">
      <c r="A220" s="2">
        <v>40731</v>
      </c>
      <c r="B220" s="3" t="s">
        <v>30</v>
      </c>
      <c r="C220">
        <v>17</v>
      </c>
      <c r="D220" s="6" t="s">
        <v>29</v>
      </c>
      <c r="E220">
        <v>76</v>
      </c>
      <c r="F220">
        <v>0.46</v>
      </c>
      <c r="G220">
        <v>1</v>
      </c>
      <c r="O220">
        <f t="shared" si="14"/>
        <v>0.52789459999999977</v>
      </c>
    </row>
    <row r="221" spans="1:15" x14ac:dyDescent="0.25">
      <c r="A221" s="2">
        <v>40731</v>
      </c>
      <c r="B221" s="3" t="s">
        <v>30</v>
      </c>
      <c r="C221">
        <v>17</v>
      </c>
      <c r="D221" s="6" t="s">
        <v>29</v>
      </c>
      <c r="E221">
        <v>78</v>
      </c>
      <c r="F221">
        <v>0.62</v>
      </c>
      <c r="G221">
        <v>0</v>
      </c>
      <c r="O221">
        <f t="shared" si="14"/>
        <v>1.1276562000000001</v>
      </c>
    </row>
    <row r="222" spans="1:15" x14ac:dyDescent="0.25">
      <c r="A222" s="2">
        <v>40731</v>
      </c>
      <c r="B222" s="3" t="s">
        <v>30</v>
      </c>
      <c r="C222">
        <v>17</v>
      </c>
      <c r="D222" s="6" t="s">
        <v>29</v>
      </c>
      <c r="E222">
        <v>80</v>
      </c>
      <c r="F222">
        <v>0.72</v>
      </c>
      <c r="G222">
        <v>0</v>
      </c>
      <c r="O222">
        <f t="shared" si="14"/>
        <v>1.5142671999999995</v>
      </c>
    </row>
    <row r="223" spans="1:15" x14ac:dyDescent="0.25">
      <c r="A223" s="2">
        <v>40731</v>
      </c>
      <c r="B223" s="3" t="s">
        <v>30</v>
      </c>
      <c r="C223">
        <v>17</v>
      </c>
      <c r="D223" s="6" t="s">
        <v>29</v>
      </c>
      <c r="E223">
        <v>94</v>
      </c>
      <c r="F223">
        <v>0.64</v>
      </c>
      <c r="G223">
        <v>0</v>
      </c>
      <c r="O223">
        <f t="shared" si="14"/>
        <v>1.4495863999999998</v>
      </c>
    </row>
    <row r="224" spans="1:15" x14ac:dyDescent="0.25">
      <c r="A224" s="2">
        <v>40731</v>
      </c>
      <c r="B224" s="3" t="s">
        <v>30</v>
      </c>
      <c r="C224">
        <v>17</v>
      </c>
      <c r="D224" s="6" t="s">
        <v>29</v>
      </c>
      <c r="E224">
        <v>96</v>
      </c>
      <c r="F224">
        <v>0.59</v>
      </c>
      <c r="G224">
        <v>0</v>
      </c>
      <c r="O224">
        <f t="shared" si="14"/>
        <v>1.3033208999999997</v>
      </c>
    </row>
    <row r="225" spans="1:15" x14ac:dyDescent="0.25">
      <c r="A225" s="2">
        <v>40731</v>
      </c>
      <c r="B225" s="3" t="s">
        <v>30</v>
      </c>
      <c r="C225">
        <v>17</v>
      </c>
      <c r="D225" s="6" t="s">
        <v>29</v>
      </c>
      <c r="E225">
        <v>101</v>
      </c>
      <c r="F225">
        <v>0.49</v>
      </c>
      <c r="G225">
        <v>0</v>
      </c>
      <c r="O225">
        <f t="shared" si="14"/>
        <v>1.0264698999999999</v>
      </c>
    </row>
    <row r="226" spans="1:15" x14ac:dyDescent="0.25">
      <c r="A226" s="2">
        <v>40731</v>
      </c>
      <c r="B226" s="3" t="s">
        <v>30</v>
      </c>
      <c r="C226">
        <v>17</v>
      </c>
      <c r="D226" s="6" t="s">
        <v>29</v>
      </c>
      <c r="E226">
        <v>102</v>
      </c>
      <c r="F226">
        <v>0.2</v>
      </c>
      <c r="G226">
        <v>0</v>
      </c>
      <c r="O226">
        <f t="shared" si="14"/>
        <v>1.1921999999999766E-2</v>
      </c>
    </row>
    <row r="227" spans="1:15" x14ac:dyDescent="0.25">
      <c r="A227" s="2">
        <v>40731</v>
      </c>
      <c r="B227" s="3" t="s">
        <v>30</v>
      </c>
      <c r="C227">
        <v>17</v>
      </c>
      <c r="D227" s="6" t="s">
        <v>29</v>
      </c>
      <c r="E227">
        <v>109</v>
      </c>
      <c r="F227">
        <v>0.3</v>
      </c>
      <c r="G227">
        <v>0</v>
      </c>
      <c r="O227">
        <f t="shared" si="14"/>
        <v>0.47693299999999983</v>
      </c>
    </row>
    <row r="228" spans="1:15" x14ac:dyDescent="0.25">
      <c r="A228" s="2">
        <v>40731</v>
      </c>
      <c r="B228" s="3" t="s">
        <v>30</v>
      </c>
      <c r="C228">
        <v>17</v>
      </c>
      <c r="D228" s="6" t="s">
        <v>29</v>
      </c>
      <c r="E228">
        <v>111</v>
      </c>
      <c r="F228">
        <v>0.78</v>
      </c>
      <c r="G228">
        <v>0</v>
      </c>
      <c r="O228">
        <f t="shared" si="14"/>
        <v>2.2134978000000003</v>
      </c>
    </row>
    <row r="229" spans="1:15" x14ac:dyDescent="0.25">
      <c r="A229" s="2">
        <v>40731</v>
      </c>
      <c r="B229" s="3" t="s">
        <v>30</v>
      </c>
      <c r="C229">
        <v>17</v>
      </c>
      <c r="D229" s="6" t="s">
        <v>29</v>
      </c>
      <c r="E229">
        <v>113</v>
      </c>
      <c r="F229">
        <v>0.43</v>
      </c>
      <c r="G229">
        <v>0</v>
      </c>
      <c r="O229">
        <f t="shared" si="14"/>
        <v>1.0014792999999997</v>
      </c>
    </row>
    <row r="230" spans="1:15" x14ac:dyDescent="0.25">
      <c r="A230" s="2">
        <v>40731</v>
      </c>
      <c r="B230" s="3" t="s">
        <v>30</v>
      </c>
      <c r="C230">
        <v>17</v>
      </c>
      <c r="D230" s="6" t="s">
        <v>29</v>
      </c>
      <c r="E230">
        <v>128</v>
      </c>
      <c r="F230">
        <v>0.73</v>
      </c>
      <c r="G230">
        <v>0</v>
      </c>
      <c r="O230">
        <f t="shared" si="14"/>
        <v>2.3024323</v>
      </c>
    </row>
    <row r="231" spans="1:15" x14ac:dyDescent="0.25">
      <c r="A231" s="2">
        <v>40731</v>
      </c>
      <c r="B231" s="3" t="s">
        <v>30</v>
      </c>
      <c r="C231">
        <v>17</v>
      </c>
      <c r="D231" s="6" t="s">
        <v>29</v>
      </c>
      <c r="E231">
        <v>130</v>
      </c>
      <c r="F231">
        <v>0.6</v>
      </c>
      <c r="G231">
        <v>0</v>
      </c>
      <c r="O231">
        <f t="shared" si="14"/>
        <v>1.8719659999999991</v>
      </c>
    </row>
    <row r="232" spans="1:15" x14ac:dyDescent="0.25">
      <c r="A232" s="2">
        <v>40731</v>
      </c>
      <c r="B232" s="3" t="s">
        <v>30</v>
      </c>
      <c r="C232">
        <v>17</v>
      </c>
      <c r="D232" s="6" t="s">
        <v>29</v>
      </c>
      <c r="E232">
        <v>157</v>
      </c>
      <c r="F232">
        <v>0.43</v>
      </c>
      <c r="G232">
        <v>0</v>
      </c>
      <c r="O232">
        <f t="shared" si="14"/>
        <v>1.6913993</v>
      </c>
    </row>
    <row r="233" spans="1:15" x14ac:dyDescent="0.25">
      <c r="A233" s="2">
        <v>40731</v>
      </c>
      <c r="B233" s="3" t="s">
        <v>30</v>
      </c>
      <c r="C233">
        <v>17</v>
      </c>
      <c r="D233" s="6" t="s">
        <v>29</v>
      </c>
      <c r="E233">
        <v>167</v>
      </c>
      <c r="F233">
        <v>0.38</v>
      </c>
      <c r="G233">
        <v>0</v>
      </c>
      <c r="O233">
        <f t="shared" si="14"/>
        <v>1.6705738000000001</v>
      </c>
    </row>
    <row r="234" spans="1:15" x14ac:dyDescent="0.25">
      <c r="A234" s="2">
        <v>40731</v>
      </c>
      <c r="B234" s="3" t="s">
        <v>30</v>
      </c>
      <c r="C234">
        <v>17</v>
      </c>
      <c r="D234" s="6" t="s">
        <v>29</v>
      </c>
      <c r="E234">
        <v>168</v>
      </c>
      <c r="F234">
        <v>0.55000000000000004</v>
      </c>
      <c r="G234">
        <v>1</v>
      </c>
      <c r="O234">
        <f t="shared" si="14"/>
        <v>2.2901805000000004</v>
      </c>
    </row>
    <row r="235" spans="1:15" x14ac:dyDescent="0.25">
      <c r="A235" s="2">
        <v>40731</v>
      </c>
      <c r="B235" s="3" t="s">
        <v>30</v>
      </c>
      <c r="C235">
        <v>17</v>
      </c>
      <c r="D235" s="6" t="s">
        <v>29</v>
      </c>
      <c r="E235">
        <v>174</v>
      </c>
      <c r="F235">
        <v>0.66</v>
      </c>
      <c r="G235">
        <v>0</v>
      </c>
      <c r="O235">
        <f t="shared" si="14"/>
        <v>2.7750366000000004</v>
      </c>
    </row>
    <row r="236" spans="1:15" x14ac:dyDescent="0.25">
      <c r="A236" s="2">
        <v>40731</v>
      </c>
      <c r="B236" s="3" t="s">
        <v>30</v>
      </c>
      <c r="C236">
        <v>17</v>
      </c>
      <c r="D236" s="6" t="s">
        <v>29</v>
      </c>
      <c r="E236">
        <v>179</v>
      </c>
      <c r="F236">
        <v>0.63</v>
      </c>
      <c r="G236">
        <v>0</v>
      </c>
      <c r="O236">
        <f t="shared" si="14"/>
        <v>2.7468612999999995</v>
      </c>
    </row>
    <row r="237" spans="1:15" x14ac:dyDescent="0.25">
      <c r="A237" s="2">
        <v>40731</v>
      </c>
      <c r="B237" s="3" t="s">
        <v>30</v>
      </c>
      <c r="C237">
        <v>17</v>
      </c>
      <c r="D237" s="6" t="s">
        <v>29</v>
      </c>
      <c r="E237">
        <v>180</v>
      </c>
      <c r="F237">
        <v>0.72</v>
      </c>
      <c r="G237">
        <v>0</v>
      </c>
      <c r="O237">
        <f t="shared" si="14"/>
        <v>3.0822671999999991</v>
      </c>
    </row>
    <row r="238" spans="1:15" x14ac:dyDescent="0.25">
      <c r="A238" s="2">
        <v>40731</v>
      </c>
      <c r="B238" s="3" t="s">
        <v>30</v>
      </c>
      <c r="C238">
        <v>17</v>
      </c>
      <c r="D238" s="6" t="s">
        <v>29</v>
      </c>
      <c r="E238">
        <v>181</v>
      </c>
      <c r="F238">
        <v>0.48</v>
      </c>
      <c r="G238">
        <v>0</v>
      </c>
      <c r="O238">
        <f t="shared" si="14"/>
        <v>2.2453447999999994</v>
      </c>
    </row>
    <row r="239" spans="1:15" x14ac:dyDescent="0.25">
      <c r="A239" s="2">
        <v>40731</v>
      </c>
      <c r="B239" s="3" t="s">
        <v>30</v>
      </c>
      <c r="C239">
        <v>17</v>
      </c>
      <c r="D239" s="6" t="s">
        <v>29</v>
      </c>
      <c r="E239">
        <v>241</v>
      </c>
      <c r="F239">
        <v>0.68</v>
      </c>
      <c r="G239">
        <v>0</v>
      </c>
      <c r="O239">
        <f t="shared" si="14"/>
        <v>3.8966467999999996</v>
      </c>
    </row>
    <row r="240" spans="1:15" x14ac:dyDescent="0.25">
      <c r="A240" s="2">
        <v>40731</v>
      </c>
      <c r="B240" s="3" t="s">
        <v>30</v>
      </c>
      <c r="C240">
        <v>17</v>
      </c>
      <c r="D240" s="6" t="s">
        <v>29</v>
      </c>
      <c r="E240">
        <v>288</v>
      </c>
      <c r="F240">
        <v>0.78</v>
      </c>
      <c r="G240">
        <v>0</v>
      </c>
      <c r="O240">
        <f t="shared" si="14"/>
        <v>4.9888577999999999</v>
      </c>
    </row>
    <row r="241" spans="1:15" x14ac:dyDescent="0.25">
      <c r="A241" s="2">
        <v>40731</v>
      </c>
      <c r="B241" s="3" t="s">
        <v>30</v>
      </c>
      <c r="C241">
        <v>17</v>
      </c>
      <c r="D241" s="6" t="s">
        <v>23</v>
      </c>
      <c r="E241" s="15">
        <v>101</v>
      </c>
      <c r="F241">
        <v>0.22</v>
      </c>
      <c r="G241">
        <v>0</v>
      </c>
      <c r="O241">
        <f>((2.21944*F241)+(0.029*E241)+(0.08262*G241)-1.9477)</f>
        <v>1.4695768000000002</v>
      </c>
    </row>
    <row r="242" spans="1:15" x14ac:dyDescent="0.25">
      <c r="A242" s="2">
        <v>40731</v>
      </c>
      <c r="B242" s="3" t="s">
        <v>30</v>
      </c>
      <c r="C242">
        <v>17</v>
      </c>
      <c r="D242" s="6" t="s">
        <v>19</v>
      </c>
      <c r="E242">
        <v>216</v>
      </c>
      <c r="F242">
        <v>1.99</v>
      </c>
      <c r="H242">
        <v>14</v>
      </c>
      <c r="I242">
        <v>0.9</v>
      </c>
      <c r="O242">
        <f t="shared" ref="O242:O247" si="15">(0.66164*E242)+(16.34893*F242)+(1.11091*H242)+(-8.40694*I242)-154.2499</f>
        <v>29.185204700000014</v>
      </c>
    </row>
    <row r="243" spans="1:15" x14ac:dyDescent="0.25">
      <c r="A243" s="2">
        <v>40731</v>
      </c>
      <c r="B243" s="3" t="s">
        <v>30</v>
      </c>
      <c r="C243">
        <v>17</v>
      </c>
      <c r="D243" s="6" t="s">
        <v>19</v>
      </c>
      <c r="E243">
        <v>306</v>
      </c>
      <c r="F243">
        <v>2.2200000000000002</v>
      </c>
      <c r="H243">
        <v>24</v>
      </c>
      <c r="I243">
        <v>1.4</v>
      </c>
      <c r="O243">
        <f t="shared" si="15"/>
        <v>99.398688600000014</v>
      </c>
    </row>
    <row r="244" spans="1:15" x14ac:dyDescent="0.25">
      <c r="A244" s="2">
        <v>40731</v>
      </c>
      <c r="B244" s="3" t="s">
        <v>30</v>
      </c>
      <c r="C244">
        <v>17</v>
      </c>
      <c r="D244" s="6" t="s">
        <v>19</v>
      </c>
      <c r="E244">
        <v>314</v>
      </c>
      <c r="F244">
        <v>2.88</v>
      </c>
      <c r="H244">
        <v>37</v>
      </c>
      <c r="I244">
        <v>2.1</v>
      </c>
      <c r="O244">
        <f t="shared" si="15"/>
        <v>124.03907439999998</v>
      </c>
    </row>
    <row r="245" spans="1:15" x14ac:dyDescent="0.25">
      <c r="A245" s="2">
        <v>40731</v>
      </c>
      <c r="B245" s="3" t="s">
        <v>30</v>
      </c>
      <c r="C245">
        <v>17</v>
      </c>
      <c r="D245" s="6" t="s">
        <v>19</v>
      </c>
      <c r="E245">
        <v>354</v>
      </c>
      <c r="F245">
        <v>3.04</v>
      </c>
      <c r="H245">
        <v>22</v>
      </c>
      <c r="I245">
        <v>1.5</v>
      </c>
      <c r="O245">
        <f t="shared" si="15"/>
        <v>141.50101720000001</v>
      </c>
    </row>
    <row r="246" spans="1:15" x14ac:dyDescent="0.25">
      <c r="A246" s="2">
        <v>40731</v>
      </c>
      <c r="B246" s="3" t="s">
        <v>30</v>
      </c>
      <c r="C246">
        <v>17</v>
      </c>
      <c r="D246" s="6" t="s">
        <v>19</v>
      </c>
      <c r="E246">
        <v>394</v>
      </c>
      <c r="F246">
        <v>3.25</v>
      </c>
      <c r="H246">
        <v>29</v>
      </c>
      <c r="I246">
        <v>1.5</v>
      </c>
      <c r="O246">
        <f t="shared" si="15"/>
        <v>179.17626250000004</v>
      </c>
    </row>
    <row r="247" spans="1:15" x14ac:dyDescent="0.25">
      <c r="A247" s="2">
        <v>40731</v>
      </c>
      <c r="B247" s="3" t="s">
        <v>30</v>
      </c>
      <c r="C247">
        <v>17</v>
      </c>
      <c r="D247" s="6" t="s">
        <v>19</v>
      </c>
      <c r="E247">
        <v>394</v>
      </c>
      <c r="F247">
        <v>3.79</v>
      </c>
      <c r="H247">
        <v>32</v>
      </c>
      <c r="I247">
        <v>2.5</v>
      </c>
      <c r="O247">
        <f t="shared" si="15"/>
        <v>182.93047470000002</v>
      </c>
    </row>
    <row r="248" spans="1:15" x14ac:dyDescent="0.25">
      <c r="A248" s="2">
        <v>40731</v>
      </c>
      <c r="B248" s="3" t="s">
        <v>30</v>
      </c>
      <c r="C248">
        <v>17</v>
      </c>
      <c r="D248" s="6" t="s">
        <v>19</v>
      </c>
      <c r="F248">
        <v>1.95</v>
      </c>
      <c r="J248">
        <f>SUM(230,274,300,301)</f>
        <v>1105</v>
      </c>
      <c r="K248">
        <v>4</v>
      </c>
      <c r="L248">
        <v>301</v>
      </c>
      <c r="O248">
        <f>((-7.02235*K248)+(-0.30125*L248)+(0.09376*J248)+33.03698)</f>
        <v>17.876129999999989</v>
      </c>
    </row>
    <row r="249" spans="1:15" x14ac:dyDescent="0.25">
      <c r="A249" s="2">
        <v>40731</v>
      </c>
      <c r="B249" s="3" t="s">
        <v>30</v>
      </c>
      <c r="C249">
        <v>17</v>
      </c>
      <c r="D249" s="6" t="s">
        <v>19</v>
      </c>
      <c r="F249">
        <v>1.6</v>
      </c>
      <c r="J249">
        <f>SUM(274,321,357,347)</f>
        <v>1299</v>
      </c>
      <c r="K249">
        <v>4</v>
      </c>
      <c r="L249">
        <v>357</v>
      </c>
      <c r="O249">
        <f>((-7.02235*K249)+(-0.30125*L249)+(0.09376*J249)+33.03698)</f>
        <v>19.195570000000004</v>
      </c>
    </row>
    <row r="250" spans="1:15" x14ac:dyDescent="0.25">
      <c r="A250" s="2">
        <v>40731</v>
      </c>
      <c r="B250" s="3" t="s">
        <v>30</v>
      </c>
      <c r="C250">
        <v>17</v>
      </c>
      <c r="D250" s="6" t="s">
        <v>19</v>
      </c>
      <c r="F250">
        <v>2.5</v>
      </c>
      <c r="J250">
        <f>SUM(185,248,288,324,344,357)</f>
        <v>1746</v>
      </c>
      <c r="K250">
        <v>6</v>
      </c>
      <c r="L250">
        <v>357</v>
      </c>
      <c r="O250">
        <f>((-7.02235*K250)+(-0.30125*L250)+(0.09376*J250)+33.03698)</f>
        <v>47.061589999999995</v>
      </c>
    </row>
    <row r="251" spans="1:15" x14ac:dyDescent="0.25">
      <c r="A251" s="2">
        <v>40731</v>
      </c>
      <c r="B251" s="3" t="s">
        <v>30</v>
      </c>
      <c r="C251">
        <v>18</v>
      </c>
      <c r="D251" s="6" t="s">
        <v>29</v>
      </c>
      <c r="E251">
        <v>31</v>
      </c>
      <c r="F251">
        <v>0.7</v>
      </c>
      <c r="G251">
        <v>0</v>
      </c>
      <c r="M251" t="s">
        <v>31</v>
      </c>
      <c r="O251">
        <f t="shared" ref="O251:O279" si="16">((3.55251*F251)+(0.01568*E251)-2.29794)</f>
        <v>0.67489699999999964</v>
      </c>
    </row>
    <row r="252" spans="1:15" x14ac:dyDescent="0.25">
      <c r="A252" s="2">
        <v>40731</v>
      </c>
      <c r="B252" s="3" t="s">
        <v>30</v>
      </c>
      <c r="C252">
        <v>18</v>
      </c>
      <c r="D252" s="6" t="s">
        <v>29</v>
      </c>
      <c r="E252">
        <v>48</v>
      </c>
      <c r="F252">
        <v>0.95</v>
      </c>
      <c r="G252">
        <v>0</v>
      </c>
      <c r="M252" t="s">
        <v>31</v>
      </c>
      <c r="O252">
        <f t="shared" si="16"/>
        <v>1.8295844999999997</v>
      </c>
    </row>
    <row r="253" spans="1:15" x14ac:dyDescent="0.25">
      <c r="A253" s="2">
        <v>40731</v>
      </c>
      <c r="B253" s="3" t="s">
        <v>30</v>
      </c>
      <c r="C253">
        <v>18</v>
      </c>
      <c r="D253" s="6" t="s">
        <v>29</v>
      </c>
      <c r="E253">
        <v>51</v>
      </c>
      <c r="F253">
        <v>0.69</v>
      </c>
      <c r="G253">
        <v>0</v>
      </c>
      <c r="M253" t="s">
        <v>31</v>
      </c>
      <c r="O253">
        <f t="shared" si="16"/>
        <v>0.95297189999999965</v>
      </c>
    </row>
    <row r="254" spans="1:15" x14ac:dyDescent="0.25">
      <c r="A254" s="2">
        <v>40731</v>
      </c>
      <c r="B254" s="3" t="s">
        <v>30</v>
      </c>
      <c r="C254">
        <v>18</v>
      </c>
      <c r="D254" s="6" t="s">
        <v>29</v>
      </c>
      <c r="E254">
        <v>60</v>
      </c>
      <c r="F254">
        <v>0.87</v>
      </c>
      <c r="G254">
        <v>0</v>
      </c>
      <c r="M254" t="s">
        <v>31</v>
      </c>
      <c r="O254">
        <f t="shared" si="16"/>
        <v>1.7335436999999998</v>
      </c>
    </row>
    <row r="255" spans="1:15" x14ac:dyDescent="0.25">
      <c r="A255" s="2">
        <v>40731</v>
      </c>
      <c r="B255" s="3" t="s">
        <v>30</v>
      </c>
      <c r="C255">
        <v>18</v>
      </c>
      <c r="D255" s="6" t="s">
        <v>29</v>
      </c>
      <c r="E255">
        <v>107</v>
      </c>
      <c r="F255">
        <v>0.54</v>
      </c>
      <c r="G255">
        <v>0</v>
      </c>
      <c r="M255" t="s">
        <v>31</v>
      </c>
      <c r="O255">
        <f t="shared" si="16"/>
        <v>1.2981753999999999</v>
      </c>
    </row>
    <row r="256" spans="1:15" x14ac:dyDescent="0.25">
      <c r="A256" s="2">
        <v>40731</v>
      </c>
      <c r="B256" s="3" t="s">
        <v>30</v>
      </c>
      <c r="C256">
        <v>18</v>
      </c>
      <c r="D256" s="6" t="s">
        <v>29</v>
      </c>
      <c r="E256">
        <v>138</v>
      </c>
      <c r="F256">
        <v>0.24</v>
      </c>
      <c r="G256">
        <v>1</v>
      </c>
      <c r="M256" t="s">
        <v>31</v>
      </c>
      <c r="O256">
        <f t="shared" si="16"/>
        <v>0.71850239999999976</v>
      </c>
    </row>
    <row r="257" spans="1:15" x14ac:dyDescent="0.25">
      <c r="A257" s="2">
        <v>40731</v>
      </c>
      <c r="B257" s="3" t="s">
        <v>30</v>
      </c>
      <c r="C257">
        <v>18</v>
      </c>
      <c r="D257" s="6" t="s">
        <v>29</v>
      </c>
      <c r="E257">
        <v>139</v>
      </c>
      <c r="F257">
        <v>0.49</v>
      </c>
      <c r="G257">
        <v>0</v>
      </c>
      <c r="M257" t="s">
        <v>31</v>
      </c>
      <c r="O257">
        <f t="shared" si="16"/>
        <v>1.6223098999999999</v>
      </c>
    </row>
    <row r="258" spans="1:15" x14ac:dyDescent="0.25">
      <c r="A258" s="2">
        <v>40731</v>
      </c>
      <c r="B258" s="3" t="s">
        <v>30</v>
      </c>
      <c r="C258">
        <v>18</v>
      </c>
      <c r="D258" s="6" t="s">
        <v>29</v>
      </c>
      <c r="E258">
        <v>144</v>
      </c>
      <c r="F258">
        <v>0.39</v>
      </c>
      <c r="G258">
        <v>1</v>
      </c>
      <c r="M258" t="s">
        <v>31</v>
      </c>
      <c r="O258">
        <f t="shared" si="16"/>
        <v>1.3454589000000001</v>
      </c>
    </row>
    <row r="259" spans="1:15" x14ac:dyDescent="0.25">
      <c r="A259" s="2">
        <v>40731</v>
      </c>
      <c r="B259" s="3" t="s">
        <v>30</v>
      </c>
      <c r="C259">
        <v>18</v>
      </c>
      <c r="D259" s="6" t="s">
        <v>29</v>
      </c>
      <c r="E259">
        <v>145</v>
      </c>
      <c r="F259">
        <v>0.22</v>
      </c>
      <c r="G259">
        <v>0</v>
      </c>
      <c r="M259" t="s">
        <v>31</v>
      </c>
      <c r="O259">
        <f t="shared" si="16"/>
        <v>0.75721220000000011</v>
      </c>
    </row>
    <row r="260" spans="1:15" x14ac:dyDescent="0.25">
      <c r="A260" s="2">
        <v>40731</v>
      </c>
      <c r="B260" s="3" t="s">
        <v>30</v>
      </c>
      <c r="C260">
        <v>18</v>
      </c>
      <c r="D260" s="6" t="s">
        <v>29</v>
      </c>
      <c r="E260">
        <v>151</v>
      </c>
      <c r="F260">
        <v>0.45</v>
      </c>
      <c r="G260">
        <v>1</v>
      </c>
      <c r="M260" t="s">
        <v>31</v>
      </c>
      <c r="O260">
        <f t="shared" si="16"/>
        <v>1.6683694999999998</v>
      </c>
    </row>
    <row r="261" spans="1:15" x14ac:dyDescent="0.25">
      <c r="A261" s="2">
        <v>40731</v>
      </c>
      <c r="B261" s="3" t="s">
        <v>30</v>
      </c>
      <c r="C261">
        <v>18</v>
      </c>
      <c r="D261" s="6" t="s">
        <v>29</v>
      </c>
      <c r="E261">
        <v>154</v>
      </c>
      <c r="F261">
        <v>0.52</v>
      </c>
      <c r="G261">
        <v>0</v>
      </c>
      <c r="M261" t="s">
        <v>31</v>
      </c>
      <c r="O261">
        <f t="shared" si="16"/>
        <v>1.9640852</v>
      </c>
    </row>
    <row r="262" spans="1:15" x14ac:dyDescent="0.25">
      <c r="A262" s="2">
        <v>40731</v>
      </c>
      <c r="B262" s="3" t="s">
        <v>30</v>
      </c>
      <c r="C262">
        <v>18</v>
      </c>
      <c r="D262" s="6" t="s">
        <v>29</v>
      </c>
      <c r="E262">
        <v>160</v>
      </c>
      <c r="F262">
        <v>0.75</v>
      </c>
      <c r="G262">
        <v>0</v>
      </c>
      <c r="M262" t="s">
        <v>31</v>
      </c>
      <c r="O262">
        <f t="shared" si="16"/>
        <v>2.8752424999999993</v>
      </c>
    </row>
    <row r="263" spans="1:15" x14ac:dyDescent="0.25">
      <c r="A263" s="2">
        <v>40731</v>
      </c>
      <c r="B263" s="3" t="s">
        <v>30</v>
      </c>
      <c r="C263">
        <v>18</v>
      </c>
      <c r="D263" s="6" t="s">
        <v>29</v>
      </c>
      <c r="E263">
        <v>161</v>
      </c>
      <c r="F263">
        <v>0.3</v>
      </c>
      <c r="G263">
        <v>1</v>
      </c>
      <c r="M263" t="s">
        <v>31</v>
      </c>
      <c r="O263">
        <f t="shared" si="16"/>
        <v>1.2922929999999999</v>
      </c>
    </row>
    <row r="264" spans="1:15" x14ac:dyDescent="0.25">
      <c r="A264" s="2">
        <v>40731</v>
      </c>
      <c r="B264" s="3" t="s">
        <v>30</v>
      </c>
      <c r="C264">
        <v>18</v>
      </c>
      <c r="D264" s="6" t="s">
        <v>29</v>
      </c>
      <c r="E264">
        <v>163</v>
      </c>
      <c r="F264">
        <v>0.4</v>
      </c>
      <c r="G264">
        <v>0</v>
      </c>
      <c r="M264" t="s">
        <v>31</v>
      </c>
      <c r="O264">
        <f t="shared" si="16"/>
        <v>1.6789039999999997</v>
      </c>
    </row>
    <row r="265" spans="1:15" x14ac:dyDescent="0.25">
      <c r="A265" s="2">
        <v>40731</v>
      </c>
      <c r="B265" s="3" t="s">
        <v>30</v>
      </c>
      <c r="C265">
        <v>18</v>
      </c>
      <c r="D265" s="6" t="s">
        <v>29</v>
      </c>
      <c r="E265">
        <v>170</v>
      </c>
      <c r="F265">
        <v>0.62</v>
      </c>
      <c r="G265">
        <v>0</v>
      </c>
      <c r="M265" t="s">
        <v>31</v>
      </c>
      <c r="O265">
        <f t="shared" si="16"/>
        <v>2.5702161999999995</v>
      </c>
    </row>
    <row r="266" spans="1:15" x14ac:dyDescent="0.25">
      <c r="A266" s="2">
        <v>40731</v>
      </c>
      <c r="B266" s="3" t="s">
        <v>30</v>
      </c>
      <c r="C266">
        <v>18</v>
      </c>
      <c r="D266" s="6" t="s">
        <v>29</v>
      </c>
      <c r="E266">
        <v>171</v>
      </c>
      <c r="F266">
        <v>0.4</v>
      </c>
      <c r="G266">
        <v>0</v>
      </c>
      <c r="M266" t="s">
        <v>31</v>
      </c>
      <c r="O266">
        <f t="shared" si="16"/>
        <v>1.8043439999999999</v>
      </c>
    </row>
    <row r="267" spans="1:15" x14ac:dyDescent="0.25">
      <c r="A267" s="2">
        <v>40731</v>
      </c>
      <c r="B267" s="3" t="s">
        <v>30</v>
      </c>
      <c r="C267">
        <v>18</v>
      </c>
      <c r="D267" s="6" t="s">
        <v>29</v>
      </c>
      <c r="E267">
        <v>175</v>
      </c>
      <c r="F267">
        <v>0.44</v>
      </c>
      <c r="G267">
        <v>1</v>
      </c>
      <c r="M267" t="s">
        <v>31</v>
      </c>
      <c r="O267">
        <f t="shared" si="16"/>
        <v>2.0091644</v>
      </c>
    </row>
    <row r="268" spans="1:15" x14ac:dyDescent="0.25">
      <c r="A268" s="2">
        <v>40731</v>
      </c>
      <c r="B268" s="3" t="s">
        <v>30</v>
      </c>
      <c r="C268">
        <v>18</v>
      </c>
      <c r="D268" s="6" t="s">
        <v>29</v>
      </c>
      <c r="E268">
        <v>175</v>
      </c>
      <c r="F268">
        <v>0.56000000000000005</v>
      </c>
      <c r="G268">
        <v>0</v>
      </c>
      <c r="M268" t="s">
        <v>31</v>
      </c>
      <c r="O268">
        <f t="shared" si="16"/>
        <v>2.4354655999999992</v>
      </c>
    </row>
    <row r="269" spans="1:15" x14ac:dyDescent="0.25">
      <c r="A269" s="2">
        <v>40731</v>
      </c>
      <c r="B269" s="3" t="s">
        <v>30</v>
      </c>
      <c r="C269">
        <v>18</v>
      </c>
      <c r="D269" s="6" t="s">
        <v>29</v>
      </c>
      <c r="E269">
        <v>176</v>
      </c>
      <c r="F269">
        <v>0.75</v>
      </c>
      <c r="G269">
        <v>0</v>
      </c>
      <c r="M269" t="s">
        <v>31</v>
      </c>
      <c r="O269">
        <f t="shared" si="16"/>
        <v>3.1261224999999997</v>
      </c>
    </row>
    <row r="270" spans="1:15" x14ac:dyDescent="0.25">
      <c r="A270" s="2">
        <v>40731</v>
      </c>
      <c r="B270" s="3" t="s">
        <v>30</v>
      </c>
      <c r="C270">
        <v>18</v>
      </c>
      <c r="D270" s="6" t="s">
        <v>29</v>
      </c>
      <c r="E270">
        <v>178</v>
      </c>
      <c r="F270">
        <v>0.46</v>
      </c>
      <c r="G270">
        <v>0</v>
      </c>
      <c r="M270" t="s">
        <v>31</v>
      </c>
      <c r="O270">
        <f t="shared" si="16"/>
        <v>2.1272545999999992</v>
      </c>
    </row>
    <row r="271" spans="1:15" x14ac:dyDescent="0.25">
      <c r="A271" s="2">
        <v>40731</v>
      </c>
      <c r="B271" s="3" t="s">
        <v>30</v>
      </c>
      <c r="C271">
        <v>18</v>
      </c>
      <c r="D271" s="6" t="s">
        <v>29</v>
      </c>
      <c r="E271">
        <v>182</v>
      </c>
      <c r="F271">
        <v>0.51</v>
      </c>
      <c r="G271">
        <v>0</v>
      </c>
      <c r="M271" t="s">
        <v>31</v>
      </c>
      <c r="O271">
        <f t="shared" si="16"/>
        <v>2.3676000999999993</v>
      </c>
    </row>
    <row r="272" spans="1:15" x14ac:dyDescent="0.25">
      <c r="A272" s="2">
        <v>40731</v>
      </c>
      <c r="B272" s="3" t="s">
        <v>30</v>
      </c>
      <c r="C272">
        <v>18</v>
      </c>
      <c r="D272" s="6" t="s">
        <v>29</v>
      </c>
      <c r="E272">
        <v>186</v>
      </c>
      <c r="F272">
        <v>0.51</v>
      </c>
      <c r="G272">
        <v>0</v>
      </c>
      <c r="M272" t="s">
        <v>31</v>
      </c>
      <c r="O272">
        <f t="shared" si="16"/>
        <v>2.4303200999999999</v>
      </c>
    </row>
    <row r="273" spans="1:15" x14ac:dyDescent="0.25">
      <c r="A273" s="2">
        <v>40731</v>
      </c>
      <c r="B273" s="3" t="s">
        <v>30</v>
      </c>
      <c r="C273">
        <v>18</v>
      </c>
      <c r="D273" s="6" t="s">
        <v>29</v>
      </c>
      <c r="E273">
        <v>195</v>
      </c>
      <c r="F273">
        <v>0.34</v>
      </c>
      <c r="G273">
        <v>1</v>
      </c>
      <c r="M273" t="s">
        <v>31</v>
      </c>
      <c r="O273">
        <f t="shared" si="16"/>
        <v>1.9675134000000001</v>
      </c>
    </row>
    <row r="274" spans="1:15" x14ac:dyDescent="0.25">
      <c r="A274" s="2">
        <v>40731</v>
      </c>
      <c r="B274" s="3" t="s">
        <v>30</v>
      </c>
      <c r="C274">
        <v>18</v>
      </c>
      <c r="D274" s="6" t="s">
        <v>29</v>
      </c>
      <c r="E274">
        <v>203</v>
      </c>
      <c r="F274">
        <v>0.51</v>
      </c>
      <c r="G274">
        <v>1</v>
      </c>
      <c r="M274" t="s">
        <v>31</v>
      </c>
      <c r="O274">
        <f t="shared" si="16"/>
        <v>2.6968801</v>
      </c>
    </row>
    <row r="275" spans="1:15" x14ac:dyDescent="0.25">
      <c r="A275" s="2">
        <v>40731</v>
      </c>
      <c r="B275" s="3" t="s">
        <v>30</v>
      </c>
      <c r="C275">
        <v>18</v>
      </c>
      <c r="D275" s="6" t="s">
        <v>29</v>
      </c>
      <c r="E275">
        <v>206</v>
      </c>
      <c r="F275">
        <v>0.46</v>
      </c>
      <c r="G275">
        <v>0</v>
      </c>
      <c r="M275" t="s">
        <v>31</v>
      </c>
      <c r="O275">
        <f t="shared" si="16"/>
        <v>2.5662945999999995</v>
      </c>
    </row>
    <row r="276" spans="1:15" x14ac:dyDescent="0.25">
      <c r="A276" s="2">
        <v>40731</v>
      </c>
      <c r="B276" s="3" t="s">
        <v>30</v>
      </c>
      <c r="C276">
        <v>18</v>
      </c>
      <c r="D276" s="6" t="s">
        <v>29</v>
      </c>
      <c r="E276">
        <v>222</v>
      </c>
      <c r="F276">
        <v>0.48</v>
      </c>
      <c r="G276">
        <v>0</v>
      </c>
      <c r="M276" t="s">
        <v>31</v>
      </c>
      <c r="O276">
        <f t="shared" si="16"/>
        <v>2.8882248000000001</v>
      </c>
    </row>
    <row r="277" spans="1:15" x14ac:dyDescent="0.25">
      <c r="A277" s="2">
        <v>40731</v>
      </c>
      <c r="B277" s="3" t="s">
        <v>30</v>
      </c>
      <c r="C277">
        <v>18</v>
      </c>
      <c r="D277" s="6" t="s">
        <v>29</v>
      </c>
      <c r="E277">
        <v>230</v>
      </c>
      <c r="F277">
        <v>0.47</v>
      </c>
      <c r="G277">
        <v>1</v>
      </c>
      <c r="M277" t="s">
        <v>31</v>
      </c>
      <c r="O277">
        <f t="shared" si="16"/>
        <v>2.9781396999999994</v>
      </c>
    </row>
    <row r="278" spans="1:15" x14ac:dyDescent="0.25">
      <c r="A278" s="2">
        <v>40731</v>
      </c>
      <c r="B278" s="3" t="s">
        <v>30</v>
      </c>
      <c r="C278">
        <v>18</v>
      </c>
      <c r="D278" s="6" t="s">
        <v>29</v>
      </c>
      <c r="E278">
        <v>233</v>
      </c>
      <c r="F278">
        <v>0.45</v>
      </c>
      <c r="G278">
        <v>1</v>
      </c>
      <c r="M278" t="s">
        <v>31</v>
      </c>
      <c r="O278">
        <f t="shared" si="16"/>
        <v>2.9541294999999992</v>
      </c>
    </row>
    <row r="279" spans="1:15" x14ac:dyDescent="0.25">
      <c r="A279" s="2">
        <v>40731</v>
      </c>
      <c r="B279" s="3" t="s">
        <v>30</v>
      </c>
      <c r="C279">
        <v>18</v>
      </c>
      <c r="D279" s="6" t="s">
        <v>29</v>
      </c>
      <c r="E279">
        <v>255</v>
      </c>
      <c r="F279">
        <v>0.77</v>
      </c>
      <c r="G279">
        <v>0</v>
      </c>
      <c r="M279" t="s">
        <v>31</v>
      </c>
      <c r="O279">
        <f t="shared" si="16"/>
        <v>4.4358927000000001</v>
      </c>
    </row>
    <row r="280" spans="1:15" x14ac:dyDescent="0.25">
      <c r="A280" s="2">
        <v>40731</v>
      </c>
      <c r="B280" s="3" t="s">
        <v>30</v>
      </c>
      <c r="C280">
        <v>18</v>
      </c>
      <c r="D280" s="6" t="s">
        <v>19</v>
      </c>
      <c r="E280">
        <v>227</v>
      </c>
      <c r="F280">
        <v>2.4</v>
      </c>
      <c r="H280">
        <v>17</v>
      </c>
      <c r="I280">
        <v>1.8</v>
      </c>
      <c r="M280" t="s">
        <v>31</v>
      </c>
      <c r="O280">
        <f t="shared" ref="O280:O286" si="17">(0.66164*E280)+(16.34893*F280)+(1.11091*H280)+(-8.40694*I280)-154.2499</f>
        <v>38.932789999999983</v>
      </c>
    </row>
    <row r="281" spans="1:15" x14ac:dyDescent="0.25">
      <c r="A281" s="2">
        <v>40731</v>
      </c>
      <c r="B281" s="3" t="s">
        <v>30</v>
      </c>
      <c r="C281">
        <v>18</v>
      </c>
      <c r="D281" s="6" t="s">
        <v>19</v>
      </c>
      <c r="E281">
        <v>242</v>
      </c>
      <c r="F281">
        <v>1.77</v>
      </c>
      <c r="G281" t="s">
        <v>32</v>
      </c>
      <c r="H281">
        <v>17</v>
      </c>
      <c r="I281">
        <v>1.1000000000000001</v>
      </c>
      <c r="M281" t="s">
        <v>31</v>
      </c>
      <c r="O281">
        <f t="shared" si="17"/>
        <v>44.442422100000016</v>
      </c>
    </row>
    <row r="282" spans="1:15" x14ac:dyDescent="0.25">
      <c r="A282" s="2">
        <v>40731</v>
      </c>
      <c r="B282" s="3" t="s">
        <v>30</v>
      </c>
      <c r="C282">
        <v>18</v>
      </c>
      <c r="D282" s="6" t="s">
        <v>19</v>
      </c>
      <c r="E282">
        <v>285</v>
      </c>
      <c r="F282">
        <v>2.41</v>
      </c>
      <c r="H282">
        <v>23</v>
      </c>
      <c r="I282">
        <v>1.4</v>
      </c>
      <c r="M282" t="s">
        <v>31</v>
      </c>
      <c r="O282">
        <f t="shared" si="17"/>
        <v>87.499635299999994</v>
      </c>
    </row>
    <row r="283" spans="1:15" x14ac:dyDescent="0.25">
      <c r="A283" s="2">
        <v>40731</v>
      </c>
      <c r="B283" s="3" t="s">
        <v>30</v>
      </c>
      <c r="C283">
        <v>18</v>
      </c>
      <c r="D283" s="6" t="s">
        <v>19</v>
      </c>
      <c r="E283">
        <v>291</v>
      </c>
      <c r="F283">
        <v>2.2999999999999998</v>
      </c>
      <c r="H283">
        <v>26</v>
      </c>
      <c r="I283">
        <v>1.6</v>
      </c>
      <c r="M283" t="s">
        <v>31</v>
      </c>
      <c r="O283">
        <f t="shared" si="17"/>
        <v>91.322435000000013</v>
      </c>
    </row>
    <row r="284" spans="1:15" x14ac:dyDescent="0.25">
      <c r="A284" s="2">
        <v>40731</v>
      </c>
      <c r="B284" s="3" t="s">
        <v>30</v>
      </c>
      <c r="C284">
        <v>18</v>
      </c>
      <c r="D284" s="6" t="s">
        <v>19</v>
      </c>
      <c r="E284">
        <v>292</v>
      </c>
      <c r="F284">
        <v>2.99</v>
      </c>
      <c r="H284">
        <v>29</v>
      </c>
      <c r="I284">
        <v>1.3</v>
      </c>
      <c r="M284" t="s">
        <v>31</v>
      </c>
      <c r="O284">
        <f t="shared" si="17"/>
        <v>109.11964870000006</v>
      </c>
    </row>
    <row r="285" spans="1:15" x14ac:dyDescent="0.25">
      <c r="A285" s="2">
        <v>40731</v>
      </c>
      <c r="B285" s="3" t="s">
        <v>30</v>
      </c>
      <c r="C285">
        <v>18</v>
      </c>
      <c r="D285" s="6" t="s">
        <v>19</v>
      </c>
      <c r="E285">
        <v>295</v>
      </c>
      <c r="F285">
        <v>1.9</v>
      </c>
      <c r="H285">
        <v>27</v>
      </c>
      <c r="I285">
        <v>2</v>
      </c>
      <c r="M285" t="s">
        <v>31</v>
      </c>
      <c r="O285">
        <f t="shared" si="17"/>
        <v>85.177556999999979</v>
      </c>
    </row>
    <row r="286" spans="1:15" x14ac:dyDescent="0.25">
      <c r="A286" s="2">
        <v>40731</v>
      </c>
      <c r="B286" s="3" t="s">
        <v>30</v>
      </c>
      <c r="C286">
        <v>18</v>
      </c>
      <c r="D286" s="6" t="s">
        <v>19</v>
      </c>
      <c r="E286">
        <v>312</v>
      </c>
      <c r="F286">
        <v>2.0699999999999998</v>
      </c>
      <c r="H286">
        <v>26</v>
      </c>
      <c r="I286">
        <v>2</v>
      </c>
      <c r="M286" t="s">
        <v>31</v>
      </c>
      <c r="O286">
        <f t="shared" si="17"/>
        <v>98.09384510000001</v>
      </c>
    </row>
    <row r="287" spans="1:15" x14ac:dyDescent="0.25">
      <c r="A287" s="2">
        <v>40731</v>
      </c>
      <c r="B287" s="3" t="s">
        <v>30</v>
      </c>
      <c r="C287">
        <v>18</v>
      </c>
      <c r="D287" s="6" t="s">
        <v>19</v>
      </c>
      <c r="F287">
        <v>0.9</v>
      </c>
      <c r="J287">
        <f>SUM(182,242,255,281)</f>
        <v>960</v>
      </c>
      <c r="K287">
        <v>4</v>
      </c>
      <c r="L287">
        <v>281</v>
      </c>
      <c r="M287" t="s">
        <v>31</v>
      </c>
      <c r="O287">
        <f>((-7.02235*K287)+(-0.30125*L287)+(0.09376*J287)+33.03698)</f>
        <v>10.305929999999989</v>
      </c>
    </row>
    <row r="288" spans="1:15" x14ac:dyDescent="0.25">
      <c r="A288" s="2">
        <v>40731</v>
      </c>
      <c r="B288" s="3" t="s">
        <v>30</v>
      </c>
      <c r="C288">
        <v>18</v>
      </c>
      <c r="D288" s="6" t="s">
        <v>19</v>
      </c>
      <c r="F288">
        <v>2.2000000000000002</v>
      </c>
      <c r="J288">
        <f>SUM(190,248,288,298,300)</f>
        <v>1324</v>
      </c>
      <c r="K288">
        <v>5</v>
      </c>
      <c r="L288">
        <v>300</v>
      </c>
      <c r="M288" t="s">
        <v>31</v>
      </c>
      <c r="O288">
        <f>((-7.02235*K288)+(-0.30125*L288)+(0.09376*J288)+33.03698)</f>
        <v>31.688469999999995</v>
      </c>
    </row>
    <row r="289" spans="1:15" x14ac:dyDescent="0.25">
      <c r="A289" s="2">
        <v>40731</v>
      </c>
      <c r="B289" s="3" t="s">
        <v>30</v>
      </c>
      <c r="C289">
        <v>30</v>
      </c>
      <c r="D289" s="6" t="s">
        <v>12</v>
      </c>
      <c r="E289">
        <v>200</v>
      </c>
      <c r="F289">
        <v>1.1200000000000001</v>
      </c>
      <c r="G289">
        <v>0</v>
      </c>
      <c r="M289" t="s">
        <v>50</v>
      </c>
      <c r="N289">
        <f t="shared" ref="N289:N304" si="18">(1/3)*(3.14159)*((F289/2)^2)*E289</f>
        <v>65.680174933333333</v>
      </c>
      <c r="O289">
        <f>((0.03043*E289)+(0.02936*N289))</f>
        <v>8.0143699360426659</v>
      </c>
    </row>
    <row r="290" spans="1:15" x14ac:dyDescent="0.25">
      <c r="A290" s="2">
        <v>40731</v>
      </c>
      <c r="B290" s="3" t="s">
        <v>30</v>
      </c>
      <c r="C290">
        <v>30</v>
      </c>
      <c r="D290" s="6" t="s">
        <v>12</v>
      </c>
      <c r="E290">
        <v>211</v>
      </c>
      <c r="F290">
        <v>1.32</v>
      </c>
      <c r="G290">
        <v>4</v>
      </c>
      <c r="M290" t="s">
        <v>50</v>
      </c>
      <c r="N290">
        <f t="shared" si="18"/>
        <v>96.249521147999999</v>
      </c>
      <c r="O290">
        <f>((0.03851*E290)+(0.0322*N290))</f>
        <v>11.2248445809656</v>
      </c>
    </row>
    <row r="291" spans="1:15" x14ac:dyDescent="0.25">
      <c r="A291" s="2">
        <v>40731</v>
      </c>
      <c r="B291" s="3" t="s">
        <v>30</v>
      </c>
      <c r="C291">
        <v>30</v>
      </c>
      <c r="D291" s="6" t="s">
        <v>12</v>
      </c>
      <c r="E291">
        <v>224</v>
      </c>
      <c r="F291">
        <v>1.35</v>
      </c>
      <c r="G291">
        <v>0</v>
      </c>
      <c r="M291" t="s">
        <v>50</v>
      </c>
      <c r="N291">
        <f t="shared" si="18"/>
        <v>106.87689180000001</v>
      </c>
      <c r="O291">
        <f>((0.03043*E291)+(0.02936*N291))</f>
        <v>9.9542255432480005</v>
      </c>
    </row>
    <row r="292" spans="1:15" x14ac:dyDescent="0.25">
      <c r="A292" s="2">
        <v>40731</v>
      </c>
      <c r="B292" s="3" t="s">
        <v>30</v>
      </c>
      <c r="C292">
        <v>30</v>
      </c>
      <c r="D292" s="6" t="s">
        <v>12</v>
      </c>
      <c r="E292">
        <v>231</v>
      </c>
      <c r="F292">
        <v>0.57999999999999996</v>
      </c>
      <c r="G292">
        <v>0</v>
      </c>
      <c r="M292" t="s">
        <v>50</v>
      </c>
      <c r="N292">
        <f t="shared" si="18"/>
        <v>20.343994362999997</v>
      </c>
      <c r="O292">
        <f>((0.03043*E292)+(0.02936*N292))</f>
        <v>7.6266296744976803</v>
      </c>
    </row>
    <row r="293" spans="1:15" x14ac:dyDescent="0.25">
      <c r="A293" s="2">
        <v>40731</v>
      </c>
      <c r="B293" s="3" t="s">
        <v>30</v>
      </c>
      <c r="C293">
        <v>30</v>
      </c>
      <c r="D293" s="6" t="s">
        <v>12</v>
      </c>
      <c r="E293">
        <v>240</v>
      </c>
      <c r="F293">
        <v>0.5</v>
      </c>
      <c r="G293">
        <v>0</v>
      </c>
      <c r="M293" t="s">
        <v>50</v>
      </c>
      <c r="N293">
        <f t="shared" si="18"/>
        <v>15.707949999999999</v>
      </c>
      <c r="O293">
        <f>((0.03043*E293)+(0.02936*N293))</f>
        <v>7.7643854119999993</v>
      </c>
    </row>
    <row r="294" spans="1:15" x14ac:dyDescent="0.25">
      <c r="A294" s="2">
        <v>40731</v>
      </c>
      <c r="B294" s="3" t="s">
        <v>30</v>
      </c>
      <c r="C294">
        <v>30</v>
      </c>
      <c r="D294" s="6" t="s">
        <v>12</v>
      </c>
      <c r="E294">
        <v>242</v>
      </c>
      <c r="F294">
        <v>1.63</v>
      </c>
      <c r="G294">
        <v>2</v>
      </c>
      <c r="M294" t="s">
        <v>50</v>
      </c>
      <c r="N294">
        <f t="shared" si="18"/>
        <v>168.32895783183329</v>
      </c>
      <c r="O294">
        <f>((0.03851*E294)+(0.0322*N294))</f>
        <v>14.739612442185033</v>
      </c>
    </row>
    <row r="295" spans="1:15" x14ac:dyDescent="0.25">
      <c r="A295" s="2">
        <v>40731</v>
      </c>
      <c r="B295" s="3" t="s">
        <v>30</v>
      </c>
      <c r="C295">
        <v>30</v>
      </c>
      <c r="D295" s="6" t="s">
        <v>12</v>
      </c>
      <c r="E295">
        <v>243</v>
      </c>
      <c r="F295">
        <v>0.74</v>
      </c>
      <c r="G295">
        <v>5</v>
      </c>
      <c r="M295" t="s">
        <v>50</v>
      </c>
      <c r="N295">
        <f t="shared" si="18"/>
        <v>34.836777350999995</v>
      </c>
      <c r="O295">
        <f>((0.03851*E295)+(0.0322*N295))</f>
        <v>10.479674230702201</v>
      </c>
    </row>
    <row r="296" spans="1:15" x14ac:dyDescent="0.25">
      <c r="A296" s="2">
        <v>40731</v>
      </c>
      <c r="B296" s="3" t="s">
        <v>30</v>
      </c>
      <c r="C296">
        <v>30</v>
      </c>
      <c r="D296" s="6" t="s">
        <v>12</v>
      </c>
      <c r="E296">
        <v>256</v>
      </c>
      <c r="F296">
        <v>1.4</v>
      </c>
      <c r="G296">
        <v>0</v>
      </c>
      <c r="M296" t="s">
        <v>50</v>
      </c>
      <c r="N296">
        <f t="shared" si="18"/>
        <v>131.36034986666664</v>
      </c>
      <c r="O296">
        <f>((0.03043*E296)+(0.02936*N296))</f>
        <v>11.646819872085333</v>
      </c>
    </row>
    <row r="297" spans="1:15" x14ac:dyDescent="0.25">
      <c r="A297" s="2">
        <v>40731</v>
      </c>
      <c r="B297" s="3" t="s">
        <v>30</v>
      </c>
      <c r="C297">
        <v>30</v>
      </c>
      <c r="D297" s="6" t="s">
        <v>12</v>
      </c>
      <c r="E297">
        <v>257</v>
      </c>
      <c r="F297">
        <v>1.1299999999999999</v>
      </c>
      <c r="G297">
        <v>0</v>
      </c>
      <c r="M297" t="s">
        <v>50</v>
      </c>
      <c r="N297">
        <f t="shared" si="18"/>
        <v>85.912878470583294</v>
      </c>
      <c r="O297">
        <f>((0.03043*E297)+(0.02936*N297))</f>
        <v>10.342912111896325</v>
      </c>
    </row>
    <row r="298" spans="1:15" x14ac:dyDescent="0.25">
      <c r="A298" s="2">
        <v>40731</v>
      </c>
      <c r="B298" s="3" t="s">
        <v>30</v>
      </c>
      <c r="C298">
        <v>30</v>
      </c>
      <c r="D298" s="6" t="s">
        <v>12</v>
      </c>
      <c r="E298">
        <v>263</v>
      </c>
      <c r="F298">
        <v>1.89</v>
      </c>
      <c r="G298">
        <v>0</v>
      </c>
      <c r="M298" t="s">
        <v>50</v>
      </c>
      <c r="N298">
        <f t="shared" si="18"/>
        <v>245.95044725474997</v>
      </c>
      <c r="O298">
        <f>((0.03043*E298)+(0.02936*N298))</f>
        <v>15.224195131399458</v>
      </c>
    </row>
    <row r="299" spans="1:15" x14ac:dyDescent="0.25">
      <c r="A299" s="2">
        <v>40731</v>
      </c>
      <c r="B299" s="3" t="s">
        <v>30</v>
      </c>
      <c r="C299">
        <v>30</v>
      </c>
      <c r="D299" s="6" t="s">
        <v>12</v>
      </c>
      <c r="E299">
        <v>265</v>
      </c>
      <c r="F299">
        <v>1.8</v>
      </c>
      <c r="G299">
        <v>0</v>
      </c>
      <c r="M299" t="s">
        <v>50</v>
      </c>
      <c r="N299">
        <f t="shared" si="18"/>
        <v>224.7807645</v>
      </c>
      <c r="O299">
        <f>((0.03043*E299)+(0.02936*N299))</f>
        <v>14.663513245720001</v>
      </c>
    </row>
    <row r="300" spans="1:15" x14ac:dyDescent="0.25">
      <c r="A300" s="2">
        <v>40731</v>
      </c>
      <c r="B300" s="3" t="s">
        <v>30</v>
      </c>
      <c r="C300">
        <v>30</v>
      </c>
      <c r="D300" s="6" t="s">
        <v>12</v>
      </c>
      <c r="E300">
        <v>273</v>
      </c>
      <c r="F300">
        <v>1.03</v>
      </c>
      <c r="G300">
        <v>1</v>
      </c>
      <c r="M300" t="s">
        <v>50</v>
      </c>
      <c r="N300">
        <f t="shared" si="18"/>
        <v>75.823766905249997</v>
      </c>
      <c r="O300">
        <f>((0.03851*E300)+(0.0322*N300))</f>
        <v>12.95475529434905</v>
      </c>
    </row>
    <row r="301" spans="1:15" x14ac:dyDescent="0.25">
      <c r="A301" s="2">
        <v>40731</v>
      </c>
      <c r="B301" s="3" t="s">
        <v>30</v>
      </c>
      <c r="C301">
        <v>30</v>
      </c>
      <c r="D301" s="6" t="s">
        <v>12</v>
      </c>
      <c r="E301">
        <v>287</v>
      </c>
      <c r="F301">
        <v>1.1299999999999999</v>
      </c>
      <c r="G301">
        <v>13</v>
      </c>
      <c r="M301" t="s">
        <v>50</v>
      </c>
      <c r="N301">
        <f t="shared" si="18"/>
        <v>95.941619148083291</v>
      </c>
      <c r="O301">
        <f>((0.03851*E301)+(0.0322*N301))</f>
        <v>14.141690136568283</v>
      </c>
    </row>
    <row r="302" spans="1:15" x14ac:dyDescent="0.25">
      <c r="A302" s="2">
        <v>40731</v>
      </c>
      <c r="B302" s="3" t="s">
        <v>30</v>
      </c>
      <c r="C302">
        <v>30</v>
      </c>
      <c r="D302" s="6" t="s">
        <v>12</v>
      </c>
      <c r="E302">
        <v>330</v>
      </c>
      <c r="F302">
        <v>1.23</v>
      </c>
      <c r="G302">
        <v>0</v>
      </c>
      <c r="M302" t="s">
        <v>50</v>
      </c>
      <c r="N302">
        <f t="shared" si="18"/>
        <v>130.70506655249997</v>
      </c>
      <c r="O302">
        <f>((0.03043*E302)+(0.02936*N302))</f>
        <v>13.8794007539814</v>
      </c>
    </row>
    <row r="303" spans="1:15" x14ac:dyDescent="0.25">
      <c r="A303" s="2">
        <v>40731</v>
      </c>
      <c r="B303" s="3" t="s">
        <v>30</v>
      </c>
      <c r="C303">
        <v>30</v>
      </c>
      <c r="D303" s="6" t="s">
        <v>12</v>
      </c>
      <c r="E303">
        <v>367</v>
      </c>
      <c r="F303">
        <v>1.76</v>
      </c>
      <c r="G303">
        <v>12</v>
      </c>
      <c r="M303" t="s">
        <v>50</v>
      </c>
      <c r="N303">
        <f t="shared" si="18"/>
        <v>297.61831921066664</v>
      </c>
      <c r="O303">
        <f>((0.03851*E303)+(0.0322*N303))</f>
        <v>23.716479878583467</v>
      </c>
    </row>
    <row r="304" spans="1:15" x14ac:dyDescent="0.25">
      <c r="A304" s="2">
        <v>40731</v>
      </c>
      <c r="B304" s="3" t="s">
        <v>30</v>
      </c>
      <c r="C304">
        <v>30</v>
      </c>
      <c r="D304" s="6" t="s">
        <v>12</v>
      </c>
      <c r="E304">
        <v>370</v>
      </c>
      <c r="F304">
        <v>1.1499999999999999</v>
      </c>
      <c r="G304">
        <v>19</v>
      </c>
      <c r="M304" t="s">
        <v>50</v>
      </c>
      <c r="N304">
        <f t="shared" si="18"/>
        <v>128.10487722916662</v>
      </c>
      <c r="O304">
        <f>((0.03851*E304)+(0.0322*N304))</f>
        <v>18.373677046779164</v>
      </c>
    </row>
    <row r="305" spans="1:15" x14ac:dyDescent="0.25">
      <c r="A305" s="2">
        <v>40731</v>
      </c>
      <c r="B305" s="3" t="s">
        <v>30</v>
      </c>
      <c r="C305">
        <v>30</v>
      </c>
      <c r="D305" s="6" t="s">
        <v>29</v>
      </c>
      <c r="E305">
        <v>42</v>
      </c>
      <c r="F305">
        <v>0.39</v>
      </c>
      <c r="G305">
        <v>0</v>
      </c>
      <c r="M305" t="s">
        <v>50</v>
      </c>
      <c r="O305">
        <f t="shared" ref="O305:O344" si="19">((3.55251*F305)+(0.01568*E305)-2.29794)</f>
        <v>-0.25390109999999977</v>
      </c>
    </row>
    <row r="306" spans="1:15" x14ac:dyDescent="0.25">
      <c r="A306" s="2">
        <v>40731</v>
      </c>
      <c r="B306" s="3" t="s">
        <v>30</v>
      </c>
      <c r="C306">
        <v>30</v>
      </c>
      <c r="D306" s="6" t="s">
        <v>29</v>
      </c>
      <c r="E306">
        <f>45</f>
        <v>45</v>
      </c>
      <c r="F306">
        <v>0.69</v>
      </c>
      <c r="G306">
        <v>0</v>
      </c>
      <c r="M306" t="s">
        <v>50</v>
      </c>
      <c r="O306">
        <f t="shared" si="19"/>
        <v>0.85889189999999971</v>
      </c>
    </row>
    <row r="307" spans="1:15" x14ac:dyDescent="0.25">
      <c r="A307" s="2">
        <v>40731</v>
      </c>
      <c r="B307" s="3" t="s">
        <v>30</v>
      </c>
      <c r="C307">
        <v>30</v>
      </c>
      <c r="D307" s="6" t="s">
        <v>29</v>
      </c>
      <c r="E307">
        <v>66</v>
      </c>
      <c r="F307">
        <v>0.38</v>
      </c>
      <c r="G307">
        <v>0</v>
      </c>
      <c r="M307" t="s">
        <v>50</v>
      </c>
      <c r="O307">
        <f t="shared" si="19"/>
        <v>8.689379999999991E-2</v>
      </c>
    </row>
    <row r="308" spans="1:15" x14ac:dyDescent="0.25">
      <c r="A308" s="2">
        <v>40731</v>
      </c>
      <c r="B308" s="3" t="s">
        <v>30</v>
      </c>
      <c r="C308">
        <v>30</v>
      </c>
      <c r="D308" s="6" t="s">
        <v>29</v>
      </c>
      <c r="E308">
        <v>80</v>
      </c>
      <c r="F308">
        <v>0.56000000000000005</v>
      </c>
      <c r="G308">
        <v>0</v>
      </c>
      <c r="M308" t="s">
        <v>50</v>
      </c>
      <c r="O308">
        <f t="shared" si="19"/>
        <v>0.94586559999999986</v>
      </c>
    </row>
    <row r="309" spans="1:15" x14ac:dyDescent="0.25">
      <c r="A309" s="2">
        <v>40731</v>
      </c>
      <c r="B309" s="3" t="s">
        <v>30</v>
      </c>
      <c r="C309">
        <v>30</v>
      </c>
      <c r="D309" s="6" t="s">
        <v>29</v>
      </c>
      <c r="E309">
        <v>109</v>
      </c>
      <c r="F309">
        <v>0.62</v>
      </c>
      <c r="G309">
        <v>0</v>
      </c>
      <c r="M309" t="s">
        <v>50</v>
      </c>
      <c r="O309">
        <f t="shared" si="19"/>
        <v>1.6137362</v>
      </c>
    </row>
    <row r="310" spans="1:15" x14ac:dyDescent="0.25">
      <c r="A310" s="2">
        <v>40731</v>
      </c>
      <c r="B310" s="3" t="s">
        <v>30</v>
      </c>
      <c r="C310">
        <v>30</v>
      </c>
      <c r="D310" s="6" t="s">
        <v>29</v>
      </c>
      <c r="E310">
        <v>115</v>
      </c>
      <c r="F310">
        <v>0.52</v>
      </c>
      <c r="G310">
        <v>0</v>
      </c>
      <c r="M310" t="s">
        <v>50</v>
      </c>
      <c r="O310">
        <f t="shared" si="19"/>
        <v>1.3525651999999995</v>
      </c>
    </row>
    <row r="311" spans="1:15" x14ac:dyDescent="0.25">
      <c r="A311" s="2">
        <v>40731</v>
      </c>
      <c r="B311" s="3" t="s">
        <v>30</v>
      </c>
      <c r="C311">
        <v>30</v>
      </c>
      <c r="D311" s="6" t="s">
        <v>29</v>
      </c>
      <c r="E311">
        <v>118</v>
      </c>
      <c r="F311">
        <v>0.38</v>
      </c>
      <c r="G311">
        <v>0</v>
      </c>
      <c r="M311" t="s">
        <v>50</v>
      </c>
      <c r="O311">
        <f t="shared" si="19"/>
        <v>0.90225379999999999</v>
      </c>
    </row>
    <row r="312" spans="1:15" x14ac:dyDescent="0.25">
      <c r="A312" s="2">
        <v>40731</v>
      </c>
      <c r="B312" s="3" t="s">
        <v>30</v>
      </c>
      <c r="C312">
        <v>30</v>
      </c>
      <c r="D312" s="6" t="s">
        <v>29</v>
      </c>
      <c r="E312">
        <v>121</v>
      </c>
      <c r="F312">
        <v>0.79</v>
      </c>
      <c r="G312">
        <v>0</v>
      </c>
      <c r="M312" t="s">
        <v>50</v>
      </c>
      <c r="O312">
        <f t="shared" si="19"/>
        <v>2.4058228999999991</v>
      </c>
    </row>
    <row r="313" spans="1:15" x14ac:dyDescent="0.25">
      <c r="A313" s="2">
        <v>40731</v>
      </c>
      <c r="B313" s="3" t="s">
        <v>30</v>
      </c>
      <c r="C313">
        <v>30</v>
      </c>
      <c r="D313" s="6" t="s">
        <v>29</v>
      </c>
      <c r="E313">
        <v>135</v>
      </c>
      <c r="F313">
        <v>0.35</v>
      </c>
      <c r="G313">
        <v>0</v>
      </c>
      <c r="M313" t="s">
        <v>50</v>
      </c>
      <c r="O313">
        <f t="shared" si="19"/>
        <v>1.0622384999999999</v>
      </c>
    </row>
    <row r="314" spans="1:15" x14ac:dyDescent="0.25">
      <c r="A314" s="2">
        <v>40731</v>
      </c>
      <c r="B314" s="3" t="s">
        <v>30</v>
      </c>
      <c r="C314">
        <v>30</v>
      </c>
      <c r="D314" s="6" t="s">
        <v>29</v>
      </c>
      <c r="E314">
        <v>136</v>
      </c>
      <c r="F314">
        <v>0.4</v>
      </c>
      <c r="G314">
        <v>0</v>
      </c>
      <c r="M314" t="s">
        <v>50</v>
      </c>
      <c r="O314">
        <f t="shared" si="19"/>
        <v>1.255544</v>
      </c>
    </row>
    <row r="315" spans="1:15" x14ac:dyDescent="0.25">
      <c r="A315" s="2">
        <v>40731</v>
      </c>
      <c r="B315" s="3" t="s">
        <v>30</v>
      </c>
      <c r="C315">
        <v>30</v>
      </c>
      <c r="D315" s="6" t="s">
        <v>29</v>
      </c>
      <c r="E315">
        <v>141</v>
      </c>
      <c r="F315">
        <v>0.42</v>
      </c>
      <c r="G315">
        <v>0</v>
      </c>
      <c r="M315" t="s">
        <v>50</v>
      </c>
      <c r="O315">
        <f t="shared" si="19"/>
        <v>1.4049941999999995</v>
      </c>
    </row>
    <row r="316" spans="1:15" x14ac:dyDescent="0.25">
      <c r="A316" s="2">
        <v>40731</v>
      </c>
      <c r="B316" s="3" t="s">
        <v>30</v>
      </c>
      <c r="C316">
        <v>30</v>
      </c>
      <c r="D316" s="6" t="s">
        <v>29</v>
      </c>
      <c r="E316">
        <v>143</v>
      </c>
      <c r="F316">
        <v>0.42</v>
      </c>
      <c r="G316">
        <v>0</v>
      </c>
      <c r="M316" t="s">
        <v>50</v>
      </c>
      <c r="O316">
        <f t="shared" si="19"/>
        <v>1.4363541999999998</v>
      </c>
    </row>
    <row r="317" spans="1:15" x14ac:dyDescent="0.25">
      <c r="A317" s="2">
        <v>40731</v>
      </c>
      <c r="B317" s="3" t="s">
        <v>30</v>
      </c>
      <c r="C317">
        <v>30</v>
      </c>
      <c r="D317" s="6" t="s">
        <v>29</v>
      </c>
      <c r="E317">
        <v>147</v>
      </c>
      <c r="F317">
        <v>0.42</v>
      </c>
      <c r="G317">
        <v>0</v>
      </c>
      <c r="M317" t="s">
        <v>50</v>
      </c>
      <c r="O317">
        <f t="shared" si="19"/>
        <v>1.4990741999999995</v>
      </c>
    </row>
    <row r="318" spans="1:15" x14ac:dyDescent="0.25">
      <c r="A318" s="2">
        <v>40731</v>
      </c>
      <c r="B318" s="3" t="s">
        <v>30</v>
      </c>
      <c r="C318">
        <v>30</v>
      </c>
      <c r="D318" s="6" t="s">
        <v>29</v>
      </c>
      <c r="E318">
        <v>148</v>
      </c>
      <c r="F318">
        <v>0.56000000000000005</v>
      </c>
      <c r="G318">
        <v>0</v>
      </c>
      <c r="M318" t="s">
        <v>50</v>
      </c>
      <c r="O318">
        <f t="shared" si="19"/>
        <v>2.0121056000000004</v>
      </c>
    </row>
    <row r="319" spans="1:15" x14ac:dyDescent="0.25">
      <c r="A319" s="2">
        <v>40731</v>
      </c>
      <c r="B319" s="3" t="s">
        <v>30</v>
      </c>
      <c r="C319">
        <v>30</v>
      </c>
      <c r="D319" s="6" t="s">
        <v>29</v>
      </c>
      <c r="E319">
        <v>150</v>
      </c>
      <c r="F319">
        <v>0.42</v>
      </c>
      <c r="G319">
        <v>0</v>
      </c>
      <c r="M319" t="s">
        <v>50</v>
      </c>
      <c r="O319">
        <f t="shared" si="19"/>
        <v>1.5461141999999994</v>
      </c>
    </row>
    <row r="320" spans="1:15" x14ac:dyDescent="0.25">
      <c r="A320" s="2">
        <v>40731</v>
      </c>
      <c r="B320" s="3" t="s">
        <v>30</v>
      </c>
      <c r="C320">
        <v>30</v>
      </c>
      <c r="D320" s="6" t="s">
        <v>29</v>
      </c>
      <c r="E320">
        <v>151</v>
      </c>
      <c r="F320">
        <v>0.43</v>
      </c>
      <c r="G320">
        <v>0</v>
      </c>
      <c r="M320" t="s">
        <v>50</v>
      </c>
      <c r="O320">
        <f t="shared" si="19"/>
        <v>1.5973193000000001</v>
      </c>
    </row>
    <row r="321" spans="1:15" x14ac:dyDescent="0.25">
      <c r="A321" s="2">
        <v>40731</v>
      </c>
      <c r="B321" s="3" t="s">
        <v>30</v>
      </c>
      <c r="C321">
        <v>30</v>
      </c>
      <c r="D321" s="6" t="s">
        <v>29</v>
      </c>
      <c r="E321">
        <v>151</v>
      </c>
      <c r="F321">
        <v>0.71</v>
      </c>
      <c r="G321">
        <v>0</v>
      </c>
      <c r="M321" t="s">
        <v>50</v>
      </c>
      <c r="O321">
        <f t="shared" si="19"/>
        <v>2.5920220999999999</v>
      </c>
    </row>
    <row r="322" spans="1:15" x14ac:dyDescent="0.25">
      <c r="A322" s="2">
        <v>40731</v>
      </c>
      <c r="B322" s="3" t="s">
        <v>30</v>
      </c>
      <c r="C322">
        <v>30</v>
      </c>
      <c r="D322" s="6" t="s">
        <v>29</v>
      </c>
      <c r="E322">
        <v>152</v>
      </c>
      <c r="F322">
        <v>0.61</v>
      </c>
      <c r="G322">
        <v>0</v>
      </c>
      <c r="M322" t="s">
        <v>50</v>
      </c>
      <c r="O322">
        <f t="shared" si="19"/>
        <v>2.2524510999999996</v>
      </c>
    </row>
    <row r="323" spans="1:15" x14ac:dyDescent="0.25">
      <c r="A323" s="2">
        <v>40731</v>
      </c>
      <c r="B323" s="3" t="s">
        <v>30</v>
      </c>
      <c r="C323">
        <v>30</v>
      </c>
      <c r="D323" s="6" t="s">
        <v>29</v>
      </c>
      <c r="E323">
        <v>156</v>
      </c>
      <c r="F323">
        <v>0.32</v>
      </c>
      <c r="G323">
        <v>0</v>
      </c>
      <c r="M323" t="s">
        <v>50</v>
      </c>
      <c r="O323">
        <f t="shared" si="19"/>
        <v>1.2849431999999994</v>
      </c>
    </row>
    <row r="324" spans="1:15" x14ac:dyDescent="0.25">
      <c r="A324" s="2">
        <v>40731</v>
      </c>
      <c r="B324" s="3" t="s">
        <v>30</v>
      </c>
      <c r="C324">
        <v>30</v>
      </c>
      <c r="D324" s="6" t="s">
        <v>29</v>
      </c>
      <c r="E324">
        <v>158</v>
      </c>
      <c r="F324">
        <v>0.54</v>
      </c>
      <c r="G324">
        <v>0</v>
      </c>
      <c r="M324" t="s">
        <v>50</v>
      </c>
      <c r="O324">
        <f t="shared" si="19"/>
        <v>2.0978553999999998</v>
      </c>
    </row>
    <row r="325" spans="1:15" x14ac:dyDescent="0.25">
      <c r="A325" s="2">
        <v>40731</v>
      </c>
      <c r="B325" s="3" t="s">
        <v>30</v>
      </c>
      <c r="C325">
        <v>30</v>
      </c>
      <c r="D325" s="6" t="s">
        <v>29</v>
      </c>
      <c r="E325">
        <v>162</v>
      </c>
      <c r="F325">
        <v>0.42</v>
      </c>
      <c r="G325">
        <v>0</v>
      </c>
      <c r="M325" t="s">
        <v>50</v>
      </c>
      <c r="O325">
        <f t="shared" si="19"/>
        <v>1.7342741999999993</v>
      </c>
    </row>
    <row r="326" spans="1:15" x14ac:dyDescent="0.25">
      <c r="A326" s="2">
        <v>40731</v>
      </c>
      <c r="B326" s="3" t="s">
        <v>30</v>
      </c>
      <c r="C326">
        <v>30</v>
      </c>
      <c r="D326" s="6" t="s">
        <v>29</v>
      </c>
      <c r="E326">
        <v>167</v>
      </c>
      <c r="F326">
        <v>0.52</v>
      </c>
      <c r="G326">
        <v>0</v>
      </c>
      <c r="M326" t="s">
        <v>50</v>
      </c>
      <c r="O326">
        <f t="shared" si="19"/>
        <v>2.1679251999999996</v>
      </c>
    </row>
    <row r="327" spans="1:15" x14ac:dyDescent="0.25">
      <c r="A327" s="2">
        <v>40731</v>
      </c>
      <c r="B327" s="3" t="s">
        <v>30</v>
      </c>
      <c r="C327">
        <v>30</v>
      </c>
      <c r="D327" s="6" t="s">
        <v>29</v>
      </c>
      <c r="E327">
        <v>175</v>
      </c>
      <c r="F327">
        <v>0.67</v>
      </c>
      <c r="G327">
        <v>0</v>
      </c>
      <c r="M327" t="s">
        <v>50</v>
      </c>
      <c r="O327">
        <f t="shared" si="19"/>
        <v>2.8262416999999993</v>
      </c>
    </row>
    <row r="328" spans="1:15" x14ac:dyDescent="0.25">
      <c r="A328" s="2">
        <v>40731</v>
      </c>
      <c r="B328" s="3" t="s">
        <v>30</v>
      </c>
      <c r="C328">
        <v>30</v>
      </c>
      <c r="D328" s="6" t="s">
        <v>29</v>
      </c>
      <c r="E328">
        <v>177</v>
      </c>
      <c r="F328">
        <v>0.39</v>
      </c>
      <c r="G328">
        <v>0</v>
      </c>
      <c r="M328" t="s">
        <v>50</v>
      </c>
      <c r="O328">
        <f t="shared" si="19"/>
        <v>1.8628988999999998</v>
      </c>
    </row>
    <row r="329" spans="1:15" x14ac:dyDescent="0.25">
      <c r="A329" s="2">
        <v>40731</v>
      </c>
      <c r="B329" s="3" t="s">
        <v>30</v>
      </c>
      <c r="C329">
        <v>30</v>
      </c>
      <c r="D329" s="6" t="s">
        <v>29</v>
      </c>
      <c r="E329">
        <v>177</v>
      </c>
      <c r="F329">
        <v>0.54</v>
      </c>
      <c r="G329">
        <v>0</v>
      </c>
      <c r="M329" t="s">
        <v>50</v>
      </c>
      <c r="O329">
        <f t="shared" si="19"/>
        <v>2.3957754000000002</v>
      </c>
    </row>
    <row r="330" spans="1:15" x14ac:dyDescent="0.25">
      <c r="A330" s="2">
        <v>40731</v>
      </c>
      <c r="B330" s="3" t="s">
        <v>30</v>
      </c>
      <c r="C330">
        <v>30</v>
      </c>
      <c r="D330" s="6" t="s">
        <v>29</v>
      </c>
      <c r="E330">
        <v>182</v>
      </c>
      <c r="F330">
        <v>0.3</v>
      </c>
      <c r="G330">
        <v>1</v>
      </c>
      <c r="M330" t="s">
        <v>50</v>
      </c>
      <c r="O330">
        <f t="shared" si="19"/>
        <v>1.6215729999999997</v>
      </c>
    </row>
    <row r="331" spans="1:15" x14ac:dyDescent="0.25">
      <c r="A331" s="2">
        <v>40731</v>
      </c>
      <c r="B331" s="3" t="s">
        <v>30</v>
      </c>
      <c r="C331">
        <v>30</v>
      </c>
      <c r="D331" s="6" t="s">
        <v>29</v>
      </c>
      <c r="E331">
        <v>188</v>
      </c>
      <c r="F331">
        <v>0.57999999999999996</v>
      </c>
      <c r="G331">
        <v>0</v>
      </c>
      <c r="M331" t="s">
        <v>50</v>
      </c>
      <c r="O331">
        <f t="shared" si="19"/>
        <v>2.710355799999999</v>
      </c>
    </row>
    <row r="332" spans="1:15" x14ac:dyDescent="0.25">
      <c r="A332" s="2">
        <v>40731</v>
      </c>
      <c r="B332" s="3" t="s">
        <v>30</v>
      </c>
      <c r="C332">
        <v>30</v>
      </c>
      <c r="D332" s="6" t="s">
        <v>29</v>
      </c>
      <c r="E332">
        <v>189</v>
      </c>
      <c r="F332">
        <v>0.67</v>
      </c>
      <c r="G332">
        <v>0</v>
      </c>
      <c r="M332" t="s">
        <v>50</v>
      </c>
      <c r="O332">
        <f t="shared" si="19"/>
        <v>3.0457617000000003</v>
      </c>
    </row>
    <row r="333" spans="1:15" x14ac:dyDescent="0.25">
      <c r="A333" s="2">
        <v>40731</v>
      </c>
      <c r="B333" s="3" t="s">
        <v>30</v>
      </c>
      <c r="C333">
        <v>30</v>
      </c>
      <c r="D333" s="6" t="s">
        <v>29</v>
      </c>
      <c r="E333">
        <v>191</v>
      </c>
      <c r="F333">
        <v>0.4</v>
      </c>
      <c r="G333">
        <v>0</v>
      </c>
      <c r="M333" t="s">
        <v>50</v>
      </c>
      <c r="O333">
        <f t="shared" si="19"/>
        <v>2.117944</v>
      </c>
    </row>
    <row r="334" spans="1:15" x14ac:dyDescent="0.25">
      <c r="A334" s="2">
        <v>40731</v>
      </c>
      <c r="B334" s="3" t="s">
        <v>30</v>
      </c>
      <c r="C334">
        <v>30</v>
      </c>
      <c r="D334" s="6" t="s">
        <v>29</v>
      </c>
      <c r="E334">
        <v>192</v>
      </c>
      <c r="F334">
        <v>0.6</v>
      </c>
      <c r="G334">
        <v>0</v>
      </c>
      <c r="M334" t="s">
        <v>50</v>
      </c>
      <c r="O334">
        <f t="shared" si="19"/>
        <v>2.8441259999999997</v>
      </c>
    </row>
    <row r="335" spans="1:15" x14ac:dyDescent="0.25">
      <c r="A335" s="2">
        <v>40731</v>
      </c>
      <c r="B335" s="3" t="s">
        <v>30</v>
      </c>
      <c r="C335">
        <v>30</v>
      </c>
      <c r="D335" s="6" t="s">
        <v>29</v>
      </c>
      <c r="E335">
        <v>200</v>
      </c>
      <c r="F335">
        <v>0.77</v>
      </c>
      <c r="G335">
        <v>0</v>
      </c>
      <c r="M335" t="s">
        <v>50</v>
      </c>
      <c r="O335">
        <f t="shared" si="19"/>
        <v>3.5734926999999996</v>
      </c>
    </row>
    <row r="336" spans="1:15" x14ac:dyDescent="0.25">
      <c r="A336" s="2">
        <v>40731</v>
      </c>
      <c r="B336" s="3" t="s">
        <v>30</v>
      </c>
      <c r="C336">
        <v>30</v>
      </c>
      <c r="D336" s="6" t="s">
        <v>29</v>
      </c>
      <c r="E336">
        <v>218</v>
      </c>
      <c r="F336">
        <v>0.42</v>
      </c>
      <c r="G336">
        <v>0</v>
      </c>
      <c r="M336" t="s">
        <v>50</v>
      </c>
      <c r="O336">
        <f t="shared" si="19"/>
        <v>2.6123542</v>
      </c>
    </row>
    <row r="337" spans="1:15" x14ac:dyDescent="0.25">
      <c r="A337" s="2">
        <v>40731</v>
      </c>
      <c r="B337" s="3" t="s">
        <v>30</v>
      </c>
      <c r="C337">
        <v>30</v>
      </c>
      <c r="D337" s="6" t="s">
        <v>29</v>
      </c>
      <c r="E337">
        <v>220</v>
      </c>
      <c r="F337">
        <v>0.67</v>
      </c>
      <c r="G337">
        <v>0</v>
      </c>
      <c r="M337" t="s">
        <v>50</v>
      </c>
      <c r="O337">
        <f t="shared" si="19"/>
        <v>3.5318416999999998</v>
      </c>
    </row>
    <row r="338" spans="1:15" x14ac:dyDescent="0.25">
      <c r="A338" s="2">
        <v>40731</v>
      </c>
      <c r="B338" s="3" t="s">
        <v>30</v>
      </c>
      <c r="C338">
        <v>30</v>
      </c>
      <c r="D338" s="6" t="s">
        <v>29</v>
      </c>
      <c r="E338">
        <v>225</v>
      </c>
      <c r="F338">
        <v>0.46</v>
      </c>
      <c r="G338">
        <v>0</v>
      </c>
      <c r="M338" t="s">
        <v>50</v>
      </c>
      <c r="O338">
        <f t="shared" si="19"/>
        <v>2.8642145999999999</v>
      </c>
    </row>
    <row r="339" spans="1:15" x14ac:dyDescent="0.25">
      <c r="A339" s="2">
        <v>40731</v>
      </c>
      <c r="B339" s="3" t="s">
        <v>30</v>
      </c>
      <c r="C339">
        <v>30</v>
      </c>
      <c r="D339" s="6" t="s">
        <v>29</v>
      </c>
      <c r="E339">
        <v>228</v>
      </c>
      <c r="F339">
        <v>0.52</v>
      </c>
      <c r="G339">
        <v>0</v>
      </c>
      <c r="M339" t="s">
        <v>50</v>
      </c>
      <c r="O339">
        <f t="shared" si="19"/>
        <v>3.1244051999999995</v>
      </c>
    </row>
    <row r="340" spans="1:15" x14ac:dyDescent="0.25">
      <c r="A340" s="2">
        <v>40731</v>
      </c>
      <c r="B340" s="3" t="s">
        <v>30</v>
      </c>
      <c r="C340">
        <v>30</v>
      </c>
      <c r="D340" s="6" t="s">
        <v>29</v>
      </c>
      <c r="E340">
        <v>231</v>
      </c>
      <c r="F340">
        <v>0.52</v>
      </c>
      <c r="G340">
        <v>0</v>
      </c>
      <c r="M340" t="s">
        <v>50</v>
      </c>
      <c r="O340">
        <f t="shared" si="19"/>
        <v>3.1714451999999995</v>
      </c>
    </row>
    <row r="341" spans="1:15" x14ac:dyDescent="0.25">
      <c r="A341" s="2">
        <v>40731</v>
      </c>
      <c r="B341" s="3" t="s">
        <v>30</v>
      </c>
      <c r="C341">
        <v>30</v>
      </c>
      <c r="D341" s="6" t="s">
        <v>29</v>
      </c>
      <c r="E341">
        <v>233</v>
      </c>
      <c r="F341">
        <v>0.52</v>
      </c>
      <c r="G341">
        <v>5</v>
      </c>
      <c r="M341" t="s">
        <v>50</v>
      </c>
      <c r="O341">
        <f t="shared" si="19"/>
        <v>3.2028051999999998</v>
      </c>
    </row>
    <row r="342" spans="1:15" x14ac:dyDescent="0.25">
      <c r="A342" s="2">
        <v>40731</v>
      </c>
      <c r="B342" s="3" t="s">
        <v>30</v>
      </c>
      <c r="C342">
        <v>30</v>
      </c>
      <c r="D342" s="6" t="s">
        <v>29</v>
      </c>
      <c r="E342">
        <v>239</v>
      </c>
      <c r="F342">
        <v>0.57999999999999996</v>
      </c>
      <c r="G342">
        <v>0</v>
      </c>
      <c r="M342" t="s">
        <v>50</v>
      </c>
      <c r="O342">
        <f t="shared" si="19"/>
        <v>3.5100357999999994</v>
      </c>
    </row>
    <row r="343" spans="1:15" x14ac:dyDescent="0.25">
      <c r="A343" s="2">
        <v>40731</v>
      </c>
      <c r="B343" s="3" t="s">
        <v>30</v>
      </c>
      <c r="C343">
        <v>30</v>
      </c>
      <c r="D343" s="6" t="s">
        <v>29</v>
      </c>
      <c r="E343">
        <v>277</v>
      </c>
      <c r="F343">
        <v>0.72</v>
      </c>
      <c r="G343">
        <v>0</v>
      </c>
      <c r="M343" t="s">
        <v>50</v>
      </c>
      <c r="O343">
        <f t="shared" si="19"/>
        <v>4.6032271999999992</v>
      </c>
    </row>
    <row r="344" spans="1:15" x14ac:dyDescent="0.25">
      <c r="A344" s="2">
        <v>40731</v>
      </c>
      <c r="B344" s="3" t="s">
        <v>30</v>
      </c>
      <c r="C344">
        <v>30</v>
      </c>
      <c r="D344" s="6" t="s">
        <v>29</v>
      </c>
      <c r="E344">
        <v>280</v>
      </c>
      <c r="F344">
        <v>0.62</v>
      </c>
      <c r="G344">
        <v>0</v>
      </c>
      <c r="M344" t="s">
        <v>50</v>
      </c>
      <c r="O344">
        <f t="shared" si="19"/>
        <v>4.2950161999999992</v>
      </c>
    </row>
    <row r="345" spans="1:15" x14ac:dyDescent="0.25">
      <c r="A345" s="2">
        <v>40731</v>
      </c>
      <c r="B345" s="3" t="s">
        <v>30</v>
      </c>
      <c r="C345">
        <v>30</v>
      </c>
      <c r="D345" s="6" t="s">
        <v>19</v>
      </c>
      <c r="E345">
        <v>292</v>
      </c>
      <c r="F345">
        <v>2.94</v>
      </c>
      <c r="H345">
        <v>19</v>
      </c>
      <c r="I345">
        <v>0.9</v>
      </c>
      <c r="M345" t="s">
        <v>50</v>
      </c>
      <c r="O345">
        <f>(0.66164*E345)+(16.34893*F345)+(1.11091*H345)+(-8.40694*I345)-154.2499</f>
        <v>100.5558782</v>
      </c>
    </row>
    <row r="346" spans="1:15" x14ac:dyDescent="0.25">
      <c r="A346" s="2">
        <v>40731</v>
      </c>
      <c r="B346" s="3" t="s">
        <v>30</v>
      </c>
      <c r="C346">
        <v>30</v>
      </c>
      <c r="D346" s="6" t="s">
        <v>19</v>
      </c>
      <c r="E346">
        <v>305</v>
      </c>
      <c r="F346">
        <v>2.58</v>
      </c>
      <c r="H346">
        <v>34</v>
      </c>
      <c r="I346">
        <v>2.2000000000000002</v>
      </c>
      <c r="M346" t="s">
        <v>50</v>
      </c>
      <c r="O346">
        <f>(0.66164*E346)+(16.34893*F346)+(1.11091*H346)+(-8.40694*I346)-154.2499</f>
        <v>109.00621140000001</v>
      </c>
    </row>
    <row r="347" spans="1:15" x14ac:dyDescent="0.25">
      <c r="A347" s="2">
        <v>40731</v>
      </c>
      <c r="B347" s="3" t="s">
        <v>30</v>
      </c>
      <c r="C347">
        <v>30</v>
      </c>
      <c r="D347" s="6" t="s">
        <v>19</v>
      </c>
      <c r="E347">
        <v>321</v>
      </c>
      <c r="F347">
        <v>2.46</v>
      </c>
      <c r="H347">
        <v>33</v>
      </c>
      <c r="I347">
        <v>2.4</v>
      </c>
      <c r="M347" t="s">
        <v>50</v>
      </c>
      <c r="O347">
        <f>(0.66164*E347)+(16.34893*F347)+(1.11091*H347)+(-8.40694*I347)-154.2499</f>
        <v>114.83828180000003</v>
      </c>
    </row>
    <row r="348" spans="1:15" x14ac:dyDescent="0.25">
      <c r="A348" s="2">
        <v>40731</v>
      </c>
      <c r="B348" s="3" t="s">
        <v>30</v>
      </c>
      <c r="C348">
        <v>30</v>
      </c>
      <c r="D348" s="6" t="s">
        <v>19</v>
      </c>
      <c r="E348">
        <v>339</v>
      </c>
      <c r="F348">
        <v>3.01</v>
      </c>
      <c r="H348">
        <v>32</v>
      </c>
      <c r="I348">
        <v>2.6</v>
      </c>
      <c r="M348" t="s">
        <v>50</v>
      </c>
      <c r="O348">
        <f>(0.66164*E348)+(16.34893*F348)+(1.11091*H348)+(-8.40694*I348)-154.2499</f>
        <v>132.94741530000002</v>
      </c>
    </row>
    <row r="349" spans="1:15" x14ac:dyDescent="0.25">
      <c r="A349" s="2">
        <v>40731</v>
      </c>
      <c r="B349" s="3" t="s">
        <v>30</v>
      </c>
      <c r="C349">
        <v>30</v>
      </c>
      <c r="D349" s="6" t="s">
        <v>19</v>
      </c>
      <c r="E349">
        <v>342</v>
      </c>
      <c r="F349">
        <v>2.86</v>
      </c>
      <c r="H349">
        <v>32</v>
      </c>
      <c r="I349">
        <v>2.1</v>
      </c>
      <c r="M349" t="s">
        <v>50</v>
      </c>
      <c r="O349">
        <f>(0.66164*E349)+(16.34893*F349)+(1.11091*H349)+(-8.40694*I349)-154.2499</f>
        <v>136.68346579999999</v>
      </c>
    </row>
    <row r="350" spans="1:15" x14ac:dyDescent="0.25">
      <c r="A350" s="2">
        <v>40731</v>
      </c>
      <c r="B350" s="3" t="s">
        <v>30</v>
      </c>
      <c r="C350">
        <v>30</v>
      </c>
      <c r="D350" s="6" t="s">
        <v>19</v>
      </c>
      <c r="F350">
        <v>3.42</v>
      </c>
      <c r="J350">
        <f>225+254+281+334+352+382+410</f>
        <v>2238</v>
      </c>
      <c r="K350">
        <v>7</v>
      </c>
      <c r="L350">
        <v>410</v>
      </c>
      <c r="M350" t="s">
        <v>50</v>
      </c>
      <c r="O350">
        <f>((-7.02235*K350)+(-0.30125*L350)+(0.09376*J350)+33.03698)</f>
        <v>70.202910000000003</v>
      </c>
    </row>
    <row r="351" spans="1:15" x14ac:dyDescent="0.25">
      <c r="A351" s="2">
        <v>40731</v>
      </c>
      <c r="B351" s="3" t="s">
        <v>28</v>
      </c>
      <c r="C351">
        <v>2</v>
      </c>
      <c r="D351" s="6" t="s">
        <v>19</v>
      </c>
      <c r="E351">
        <v>144</v>
      </c>
      <c r="F351">
        <v>2.35</v>
      </c>
      <c r="H351">
        <v>24</v>
      </c>
      <c r="I351">
        <v>0.7</v>
      </c>
      <c r="O351">
        <f t="shared" ref="O351:O357" si="20">(0.66164*E351)+(16.34893*F351)+(1.11091*H351)+(-8.40694*I351)-154.2499</f>
        <v>0.22322750000000724</v>
      </c>
    </row>
    <row r="352" spans="1:15" x14ac:dyDescent="0.25">
      <c r="A352" s="2">
        <v>40731</v>
      </c>
      <c r="B352" s="3" t="s">
        <v>28</v>
      </c>
      <c r="C352">
        <v>2</v>
      </c>
      <c r="D352" s="6" t="s">
        <v>19</v>
      </c>
      <c r="E352">
        <v>151</v>
      </c>
      <c r="F352">
        <v>3.1</v>
      </c>
      <c r="H352">
        <v>28</v>
      </c>
      <c r="I352">
        <v>0.8</v>
      </c>
      <c r="O352">
        <f t="shared" si="20"/>
        <v>20.719351000000017</v>
      </c>
    </row>
    <row r="353" spans="1:15" x14ac:dyDescent="0.25">
      <c r="A353" s="2">
        <v>40731</v>
      </c>
      <c r="B353" s="3" t="s">
        <v>28</v>
      </c>
      <c r="C353">
        <v>2</v>
      </c>
      <c r="D353" s="6" t="s">
        <v>19</v>
      </c>
      <c r="E353">
        <v>212</v>
      </c>
      <c r="F353">
        <v>2.12</v>
      </c>
      <c r="H353">
        <v>17</v>
      </c>
      <c r="I353">
        <v>1.7</v>
      </c>
      <c r="O353">
        <f t="shared" si="20"/>
        <v>25.271183600000029</v>
      </c>
    </row>
    <row r="354" spans="1:15" x14ac:dyDescent="0.25">
      <c r="A354" s="2">
        <v>40731</v>
      </c>
      <c r="B354" s="3" t="s">
        <v>28</v>
      </c>
      <c r="C354">
        <v>2</v>
      </c>
      <c r="D354" s="6" t="s">
        <v>19</v>
      </c>
      <c r="E354">
        <v>222</v>
      </c>
      <c r="F354">
        <v>2.0499999999999998</v>
      </c>
      <c r="H354">
        <v>26</v>
      </c>
      <c r="I354">
        <v>2.5</v>
      </c>
      <c r="O354">
        <f t="shared" si="20"/>
        <v>34.015796499999993</v>
      </c>
    </row>
    <row r="355" spans="1:15" x14ac:dyDescent="0.25">
      <c r="A355" s="2">
        <v>40731</v>
      </c>
      <c r="B355" s="3" t="s">
        <v>28</v>
      </c>
      <c r="C355">
        <v>2</v>
      </c>
      <c r="D355" s="6" t="s">
        <v>19</v>
      </c>
      <c r="E355">
        <v>233</v>
      </c>
      <c r="F355">
        <v>2.48</v>
      </c>
      <c r="H355">
        <v>24</v>
      </c>
      <c r="I355">
        <v>2</v>
      </c>
      <c r="O355">
        <f t="shared" si="20"/>
        <v>50.305526399999991</v>
      </c>
    </row>
    <row r="356" spans="1:15" x14ac:dyDescent="0.25">
      <c r="A356" s="2">
        <v>40731</v>
      </c>
      <c r="B356" s="3" t="s">
        <v>28</v>
      </c>
      <c r="C356">
        <v>2</v>
      </c>
      <c r="D356" s="6" t="s">
        <v>19</v>
      </c>
      <c r="E356">
        <v>243</v>
      </c>
      <c r="F356">
        <v>3</v>
      </c>
      <c r="H356">
        <v>32</v>
      </c>
      <c r="I356">
        <v>2</v>
      </c>
      <c r="O356">
        <f t="shared" si="20"/>
        <v>74.31065000000001</v>
      </c>
    </row>
    <row r="357" spans="1:15" x14ac:dyDescent="0.25">
      <c r="A357" s="2">
        <v>40731</v>
      </c>
      <c r="B357" s="3" t="s">
        <v>28</v>
      </c>
      <c r="C357">
        <v>2</v>
      </c>
      <c r="D357" s="6" t="s">
        <v>19</v>
      </c>
      <c r="E357">
        <v>263</v>
      </c>
      <c r="F357">
        <v>3.02</v>
      </c>
      <c r="H357">
        <v>27</v>
      </c>
      <c r="I357">
        <v>2.4</v>
      </c>
      <c r="O357">
        <f t="shared" si="20"/>
        <v>78.953102600000022</v>
      </c>
    </row>
    <row r="358" spans="1:15" x14ac:dyDescent="0.25">
      <c r="A358" s="2">
        <v>40731</v>
      </c>
      <c r="B358" s="3" t="s">
        <v>28</v>
      </c>
      <c r="C358">
        <v>2</v>
      </c>
      <c r="D358" s="6" t="s">
        <v>19</v>
      </c>
      <c r="F358">
        <v>0.85</v>
      </c>
      <c r="J358">
        <f>SUM(161,161,102)</f>
        <v>424</v>
      </c>
      <c r="K358">
        <v>3</v>
      </c>
      <c r="L358">
        <v>161</v>
      </c>
      <c r="O358">
        <f>((-7.02235*K358)+(-0.30125*L358)+(0.09376*J358)+33.03698)</f>
        <v>3.2229199999999878</v>
      </c>
    </row>
    <row r="359" spans="1:15" x14ac:dyDescent="0.25">
      <c r="A359" s="2">
        <v>40731</v>
      </c>
      <c r="B359" s="3" t="s">
        <v>28</v>
      </c>
      <c r="C359">
        <v>2</v>
      </c>
      <c r="D359" s="6" t="s">
        <v>19</v>
      </c>
      <c r="F359">
        <v>2.17</v>
      </c>
      <c r="J359">
        <f>SUM(170,200,78,141,143,176)</f>
        <v>908</v>
      </c>
      <c r="K359">
        <v>6</v>
      </c>
      <c r="L359">
        <v>200</v>
      </c>
      <c r="O359">
        <f>((-7.02235*K359)+(-0.30125*L359)+(0.09376*J359)+33.03698)</f>
        <v>15.786959999999993</v>
      </c>
    </row>
    <row r="360" spans="1:15" x14ac:dyDescent="0.25">
      <c r="A360" s="2">
        <v>40731</v>
      </c>
      <c r="B360" s="3" t="s">
        <v>28</v>
      </c>
      <c r="C360">
        <v>19</v>
      </c>
      <c r="D360" s="6" t="s">
        <v>12</v>
      </c>
      <c r="E360">
        <v>228</v>
      </c>
      <c r="F360">
        <v>1.2</v>
      </c>
      <c r="G360">
        <v>8</v>
      </c>
      <c r="N360">
        <f>(1/3)*(3.14159)*((F360/2)^2)*E360</f>
        <v>85.95390239999999</v>
      </c>
      <c r="O360">
        <f>((0.03851*E360)+(0.0322*N360))</f>
        <v>11.547995657280001</v>
      </c>
    </row>
    <row r="361" spans="1:15" x14ac:dyDescent="0.25">
      <c r="A361" s="2">
        <v>40731</v>
      </c>
      <c r="B361" s="3" t="s">
        <v>28</v>
      </c>
      <c r="C361">
        <v>19</v>
      </c>
      <c r="D361" s="6" t="s">
        <v>12</v>
      </c>
      <c r="E361">
        <v>260</v>
      </c>
      <c r="F361">
        <v>1.26</v>
      </c>
      <c r="G361">
        <v>11</v>
      </c>
      <c r="N361">
        <f>(1/3)*(3.14159)*((F361/2)^2)*E361</f>
        <v>108.06441282</v>
      </c>
      <c r="O361">
        <f>((0.03851*E361)+(0.0322*N361))</f>
        <v>13.492274092804001</v>
      </c>
    </row>
    <row r="362" spans="1:15" x14ac:dyDescent="0.25">
      <c r="A362" s="2">
        <v>40731</v>
      </c>
      <c r="B362" s="3" t="s">
        <v>28</v>
      </c>
      <c r="C362">
        <v>19</v>
      </c>
      <c r="D362" s="6" t="s">
        <v>12</v>
      </c>
      <c r="E362">
        <v>274</v>
      </c>
      <c r="F362">
        <v>0.84</v>
      </c>
      <c r="G362">
        <v>0</v>
      </c>
      <c r="N362">
        <f>(1/3)*(3.14159)*((F362/2)^2)*E362</f>
        <v>50.614784807999989</v>
      </c>
      <c r="O362">
        <f>((0.03043*E362)+(0.02936*N362))</f>
        <v>9.8238700819628786</v>
      </c>
    </row>
    <row r="363" spans="1:15" x14ac:dyDescent="0.25">
      <c r="A363" s="2">
        <v>40731</v>
      </c>
      <c r="B363" s="3" t="s">
        <v>28</v>
      </c>
      <c r="C363">
        <v>19</v>
      </c>
      <c r="D363" s="6" t="s">
        <v>12</v>
      </c>
      <c r="E363">
        <v>292</v>
      </c>
      <c r="F363">
        <v>1.5</v>
      </c>
      <c r="G363">
        <v>4</v>
      </c>
      <c r="N363">
        <f>(1/3)*(3.14159)*((F363/2)^2)*E363</f>
        <v>172.00205249999999</v>
      </c>
      <c r="O363">
        <f>((0.03851*E363)+(0.0322*N363))</f>
        <v>16.783386090500002</v>
      </c>
    </row>
    <row r="364" spans="1:15" x14ac:dyDescent="0.25">
      <c r="A364" s="2">
        <v>40731</v>
      </c>
      <c r="B364" s="3" t="s">
        <v>28</v>
      </c>
      <c r="C364">
        <v>19</v>
      </c>
      <c r="D364" s="6" t="s">
        <v>12</v>
      </c>
      <c r="E364">
        <v>325</v>
      </c>
      <c r="F364">
        <v>1.75</v>
      </c>
      <c r="G364">
        <v>10</v>
      </c>
      <c r="N364">
        <f>(1/3)*(3.14159)*((F364/2)^2)*E364</f>
        <v>260.57198307291662</v>
      </c>
      <c r="O364">
        <f>((0.03851*E364)+(0.0322*N364))</f>
        <v>20.906167854947917</v>
      </c>
    </row>
    <row r="365" spans="1:15" x14ac:dyDescent="0.25">
      <c r="A365" s="2">
        <v>40731</v>
      </c>
      <c r="B365" s="3" t="s">
        <v>28</v>
      </c>
      <c r="C365">
        <v>19</v>
      </c>
      <c r="D365" s="6" t="s">
        <v>16</v>
      </c>
      <c r="E365">
        <v>71</v>
      </c>
      <c r="F365">
        <v>1.05</v>
      </c>
      <c r="G365">
        <v>0</v>
      </c>
      <c r="N365">
        <f t="shared" ref="N365:N374" si="21">((1/3)*(3.14159)*((F365/2)^2)*E365)</f>
        <v>20.49298426875</v>
      </c>
      <c r="O365">
        <f>((0.03043*E365)+(0.02936*N365))</f>
        <v>2.7622040181305003</v>
      </c>
    </row>
    <row r="366" spans="1:15" x14ac:dyDescent="0.25">
      <c r="A366" s="2">
        <v>40731</v>
      </c>
      <c r="B366" s="3" t="s">
        <v>28</v>
      </c>
      <c r="C366">
        <v>19</v>
      </c>
      <c r="D366" s="6" t="s">
        <v>16</v>
      </c>
      <c r="E366">
        <v>155</v>
      </c>
      <c r="F366">
        <v>0.9</v>
      </c>
      <c r="G366">
        <v>0</v>
      </c>
      <c r="N366">
        <f t="shared" si="21"/>
        <v>32.868885374999998</v>
      </c>
      <c r="O366">
        <f>((0.03043*E366)+(0.02936*N366))</f>
        <v>5.6816804746099994</v>
      </c>
    </row>
    <row r="367" spans="1:15" x14ac:dyDescent="0.25">
      <c r="A367" s="2">
        <v>40731</v>
      </c>
      <c r="B367" s="3" t="s">
        <v>28</v>
      </c>
      <c r="C367">
        <v>19</v>
      </c>
      <c r="D367" s="6" t="s">
        <v>16</v>
      </c>
      <c r="E367">
        <v>184</v>
      </c>
      <c r="F367">
        <v>0.98</v>
      </c>
      <c r="G367">
        <v>0</v>
      </c>
      <c r="N367">
        <f t="shared" si="21"/>
        <v>46.263473218666654</v>
      </c>
      <c r="O367">
        <f>((0.03043*E367)+(0.02936*N367))</f>
        <v>6.9574155737000529</v>
      </c>
    </row>
    <row r="368" spans="1:15" x14ac:dyDescent="0.25">
      <c r="A368" s="2">
        <v>40731</v>
      </c>
      <c r="B368" s="3" t="s">
        <v>28</v>
      </c>
      <c r="C368">
        <v>19</v>
      </c>
      <c r="D368" s="6" t="s">
        <v>16</v>
      </c>
      <c r="E368">
        <v>242</v>
      </c>
      <c r="F368">
        <v>1.29</v>
      </c>
      <c r="G368">
        <v>0</v>
      </c>
      <c r="N368">
        <f t="shared" si="21"/>
        <v>105.4297183665</v>
      </c>
      <c r="O368">
        <f>((0.03043*E368)+(0.02936*N368))</f>
        <v>10.459476531240439</v>
      </c>
    </row>
    <row r="369" spans="1:15" x14ac:dyDescent="0.25">
      <c r="A369" s="2">
        <v>40731</v>
      </c>
      <c r="B369" s="3" t="s">
        <v>28</v>
      </c>
      <c r="C369">
        <v>19</v>
      </c>
      <c r="D369" s="6" t="s">
        <v>16</v>
      </c>
      <c r="E369">
        <v>248</v>
      </c>
      <c r="F369">
        <v>1.32</v>
      </c>
      <c r="G369">
        <v>8</v>
      </c>
      <c r="N369">
        <f t="shared" si="21"/>
        <v>113.127399264</v>
      </c>
      <c r="O369">
        <f>((0.03851*E369)+(0.0322*N369))</f>
        <v>13.193182256300801</v>
      </c>
    </row>
    <row r="370" spans="1:15" x14ac:dyDescent="0.25">
      <c r="A370" s="2">
        <v>40731</v>
      </c>
      <c r="B370" s="3" t="s">
        <v>28</v>
      </c>
      <c r="C370">
        <v>19</v>
      </c>
      <c r="D370" s="6" t="s">
        <v>16</v>
      </c>
      <c r="E370">
        <v>250</v>
      </c>
      <c r="F370">
        <v>1.17</v>
      </c>
      <c r="G370">
        <v>0</v>
      </c>
      <c r="N370">
        <f t="shared" si="21"/>
        <v>89.594219812499972</v>
      </c>
      <c r="O370">
        <f>((0.03043*E370)+(0.02936*N370))</f>
        <v>10.237986293694998</v>
      </c>
    </row>
    <row r="371" spans="1:15" x14ac:dyDescent="0.25">
      <c r="A371" s="2">
        <v>40731</v>
      </c>
      <c r="B371" s="3" t="s">
        <v>28</v>
      </c>
      <c r="C371">
        <v>19</v>
      </c>
      <c r="D371" s="6" t="s">
        <v>16</v>
      </c>
      <c r="E371">
        <v>251</v>
      </c>
      <c r="F371">
        <v>1.45</v>
      </c>
      <c r="G371">
        <v>12</v>
      </c>
      <c r="N371">
        <f t="shared" si="21"/>
        <v>138.15861972708333</v>
      </c>
      <c r="O371">
        <f>((0.03851*E371)+(0.0322*N371))</f>
        <v>14.114717555212083</v>
      </c>
    </row>
    <row r="372" spans="1:15" x14ac:dyDescent="0.25">
      <c r="A372" s="2">
        <v>40731</v>
      </c>
      <c r="B372" s="3" t="s">
        <v>28</v>
      </c>
      <c r="C372">
        <v>19</v>
      </c>
      <c r="D372" s="6" t="s">
        <v>16</v>
      </c>
      <c r="E372">
        <v>252</v>
      </c>
      <c r="F372">
        <v>1.5</v>
      </c>
      <c r="G372">
        <v>0</v>
      </c>
      <c r="N372">
        <f t="shared" si="21"/>
        <v>148.44012749999999</v>
      </c>
      <c r="O372">
        <f>((0.03043*E372)+(0.02936*N372))</f>
        <v>12.0265621434</v>
      </c>
    </row>
    <row r="373" spans="1:15" x14ac:dyDescent="0.25">
      <c r="A373" s="2">
        <v>40731</v>
      </c>
      <c r="B373" s="3" t="s">
        <v>28</v>
      </c>
      <c r="C373">
        <v>19</v>
      </c>
      <c r="D373" s="6" t="s">
        <v>16</v>
      </c>
      <c r="E373">
        <v>254</v>
      </c>
      <c r="F373">
        <v>1.33</v>
      </c>
      <c r="G373">
        <v>1</v>
      </c>
      <c r="N373">
        <f t="shared" si="21"/>
        <v>117.62652266283334</v>
      </c>
      <c r="O373">
        <f>((0.03851*E373)+(0.0322*N373))</f>
        <v>13.569114029743234</v>
      </c>
    </row>
    <row r="374" spans="1:15" x14ac:dyDescent="0.25">
      <c r="A374" s="2">
        <v>40731</v>
      </c>
      <c r="B374" s="3" t="s">
        <v>28</v>
      </c>
      <c r="C374">
        <v>19</v>
      </c>
      <c r="D374" s="6" t="s">
        <v>16</v>
      </c>
      <c r="E374">
        <v>300</v>
      </c>
      <c r="F374">
        <v>1.4</v>
      </c>
      <c r="G374">
        <v>2</v>
      </c>
      <c r="N374">
        <f t="shared" si="21"/>
        <v>153.93790999999996</v>
      </c>
      <c r="O374">
        <f>((0.03851*E374)+(0.0322*N374))</f>
        <v>16.509800702</v>
      </c>
    </row>
    <row r="375" spans="1:15" x14ac:dyDescent="0.25">
      <c r="A375" s="2">
        <v>40731</v>
      </c>
      <c r="B375" s="3" t="s">
        <v>28</v>
      </c>
      <c r="C375">
        <v>19</v>
      </c>
      <c r="D375" s="6" t="s">
        <v>19</v>
      </c>
      <c r="E375">
        <v>246</v>
      </c>
      <c r="F375">
        <v>2.0699999999999998</v>
      </c>
      <c r="H375">
        <v>29</v>
      </c>
      <c r="I375">
        <v>2</v>
      </c>
      <c r="O375">
        <f t="shared" ref="O375:O383" si="22">(0.66164*E375)+(16.34893*F375)+(1.11091*H375)+(-8.40694*I375)-154.2499</f>
        <v>57.758335100000011</v>
      </c>
    </row>
    <row r="376" spans="1:15" x14ac:dyDescent="0.25">
      <c r="A376" s="2">
        <v>40731</v>
      </c>
      <c r="B376" s="3" t="s">
        <v>28</v>
      </c>
      <c r="C376">
        <v>19</v>
      </c>
      <c r="D376" s="6" t="s">
        <v>19</v>
      </c>
      <c r="E376">
        <v>258</v>
      </c>
      <c r="F376">
        <v>1.72</v>
      </c>
      <c r="H376">
        <v>18</v>
      </c>
      <c r="I376">
        <v>2.1</v>
      </c>
      <c r="O376">
        <f t="shared" si="22"/>
        <v>46.915185600000029</v>
      </c>
    </row>
    <row r="377" spans="1:15" x14ac:dyDescent="0.25">
      <c r="A377" s="2">
        <v>40731</v>
      </c>
      <c r="B377" s="3" t="s">
        <v>28</v>
      </c>
      <c r="C377">
        <v>19</v>
      </c>
      <c r="D377" s="6" t="s">
        <v>19</v>
      </c>
      <c r="E377">
        <v>268</v>
      </c>
      <c r="F377">
        <v>2.0099999999999998</v>
      </c>
      <c r="H377">
        <v>23</v>
      </c>
      <c r="I377">
        <v>2.6</v>
      </c>
      <c r="O377">
        <f t="shared" si="22"/>
        <v>59.623855300000002</v>
      </c>
    </row>
    <row r="378" spans="1:15" x14ac:dyDescent="0.25">
      <c r="A378" s="2">
        <v>40731</v>
      </c>
      <c r="B378" s="3" t="s">
        <v>28</v>
      </c>
      <c r="C378">
        <v>19</v>
      </c>
      <c r="D378" s="6" t="s">
        <v>19</v>
      </c>
      <c r="E378">
        <v>272</v>
      </c>
      <c r="F378">
        <v>2.11</v>
      </c>
      <c r="H378">
        <v>28</v>
      </c>
      <c r="I378">
        <v>2.2999999999999998</v>
      </c>
      <c r="O378">
        <f t="shared" si="22"/>
        <v>71.981940300000019</v>
      </c>
    </row>
    <row r="379" spans="1:15" x14ac:dyDescent="0.25">
      <c r="A379" s="2">
        <v>40731</v>
      </c>
      <c r="B379" s="3" t="s">
        <v>28</v>
      </c>
      <c r="C379">
        <v>19</v>
      </c>
      <c r="D379" s="6" t="s">
        <v>19</v>
      </c>
      <c r="E379">
        <v>290</v>
      </c>
      <c r="F379">
        <v>1.75</v>
      </c>
      <c r="H379">
        <v>21</v>
      </c>
      <c r="I379">
        <v>2.2999999999999998</v>
      </c>
      <c r="O379">
        <f t="shared" si="22"/>
        <v>70.229475500000007</v>
      </c>
    </row>
    <row r="380" spans="1:15" x14ac:dyDescent="0.25">
      <c r="A380" s="2">
        <v>40731</v>
      </c>
      <c r="B380" s="3" t="s">
        <v>28</v>
      </c>
      <c r="C380">
        <v>19</v>
      </c>
      <c r="D380" s="6" t="s">
        <v>19</v>
      </c>
      <c r="E380">
        <v>297</v>
      </c>
      <c r="F380">
        <v>1.05</v>
      </c>
      <c r="H380">
        <v>32</v>
      </c>
      <c r="I380">
        <v>2.5</v>
      </c>
      <c r="O380">
        <f t="shared" si="22"/>
        <v>73.955326500000012</v>
      </c>
    </row>
    <row r="381" spans="1:15" x14ac:dyDescent="0.25">
      <c r="A381" s="2">
        <v>40731</v>
      </c>
      <c r="B381" s="3" t="s">
        <v>28</v>
      </c>
      <c r="C381">
        <v>19</v>
      </c>
      <c r="D381" s="6" t="s">
        <v>19</v>
      </c>
      <c r="E381">
        <v>297</v>
      </c>
      <c r="F381">
        <v>2</v>
      </c>
      <c r="H381">
        <v>23</v>
      </c>
      <c r="I381">
        <v>2.4</v>
      </c>
      <c r="O381">
        <f t="shared" si="22"/>
        <v>80.329313999999982</v>
      </c>
    </row>
    <row r="382" spans="1:15" x14ac:dyDescent="0.25">
      <c r="A382" s="2">
        <v>40731</v>
      </c>
      <c r="B382" s="3" t="s">
        <v>28</v>
      </c>
      <c r="C382">
        <v>19</v>
      </c>
      <c r="D382" s="6" t="s">
        <v>19</v>
      </c>
      <c r="E382">
        <v>341</v>
      </c>
      <c r="F382">
        <v>2.4500000000000002</v>
      </c>
      <c r="H382">
        <v>29</v>
      </c>
      <c r="I382">
        <v>2.8</v>
      </c>
      <c r="O382">
        <f t="shared" si="22"/>
        <v>120.10117649999998</v>
      </c>
    </row>
    <row r="383" spans="1:15" x14ac:dyDescent="0.25">
      <c r="A383" s="2">
        <v>40731</v>
      </c>
      <c r="B383" s="3" t="s">
        <v>28</v>
      </c>
      <c r="C383">
        <v>19</v>
      </c>
      <c r="D383" s="6" t="s">
        <v>19</v>
      </c>
      <c r="E383">
        <v>355</v>
      </c>
      <c r="F383">
        <v>2.5</v>
      </c>
      <c r="H383">
        <v>28</v>
      </c>
      <c r="I383">
        <v>2.5</v>
      </c>
      <c r="O383">
        <f t="shared" si="22"/>
        <v>131.59275499999998</v>
      </c>
    </row>
    <row r="384" spans="1:15" x14ac:dyDescent="0.25">
      <c r="A384" s="2">
        <v>40731</v>
      </c>
      <c r="B384" s="3" t="s">
        <v>28</v>
      </c>
      <c r="C384">
        <v>19</v>
      </c>
      <c r="D384" s="6" t="s">
        <v>19</v>
      </c>
      <c r="F384">
        <v>0.98</v>
      </c>
      <c r="J384">
        <f>SUM(165,187,210,248)</f>
        <v>810</v>
      </c>
      <c r="K384">
        <v>4</v>
      </c>
      <c r="L384">
        <v>248</v>
      </c>
      <c r="O384">
        <f t="shared" ref="O384:O390" si="23">((-7.02235*K384)+(-0.30125*L384)+(0.09376*J384)+33.03698)</f>
        <v>6.183179999999993</v>
      </c>
    </row>
    <row r="385" spans="1:15" x14ac:dyDescent="0.25">
      <c r="A385" s="2">
        <v>40731</v>
      </c>
      <c r="B385" s="3" t="s">
        <v>28</v>
      </c>
      <c r="C385">
        <v>19</v>
      </c>
      <c r="D385" s="6" t="s">
        <v>19</v>
      </c>
      <c r="F385">
        <v>0.85</v>
      </c>
      <c r="J385">
        <f>SUM(179,207,241,259)</f>
        <v>886</v>
      </c>
      <c r="K385">
        <v>4</v>
      </c>
      <c r="L385">
        <v>259</v>
      </c>
      <c r="O385">
        <f t="shared" si="23"/>
        <v>9.9951899999999938</v>
      </c>
    </row>
    <row r="386" spans="1:15" x14ac:dyDescent="0.25">
      <c r="A386" s="2">
        <v>40731</v>
      </c>
      <c r="B386" s="3" t="s">
        <v>28</v>
      </c>
      <c r="C386">
        <v>19</v>
      </c>
      <c r="D386" s="6" t="s">
        <v>19</v>
      </c>
      <c r="F386">
        <v>1.45</v>
      </c>
      <c r="J386">
        <f>SUM(223,252,272,287)</f>
        <v>1034</v>
      </c>
      <c r="K386">
        <v>4</v>
      </c>
      <c r="L386">
        <v>287</v>
      </c>
      <c r="O386">
        <f t="shared" si="23"/>
        <v>15.436669999999992</v>
      </c>
    </row>
    <row r="387" spans="1:15" x14ac:dyDescent="0.25">
      <c r="A387" s="2">
        <v>40731</v>
      </c>
      <c r="B387" s="3" t="s">
        <v>28</v>
      </c>
      <c r="C387">
        <v>19</v>
      </c>
      <c r="D387" s="6" t="s">
        <v>19</v>
      </c>
      <c r="F387">
        <v>2</v>
      </c>
      <c r="J387">
        <f>SUM(140,166,190,236,240)</f>
        <v>972</v>
      </c>
      <c r="K387">
        <v>5</v>
      </c>
      <c r="L387">
        <v>240</v>
      </c>
      <c r="O387">
        <f t="shared" si="23"/>
        <v>16.759949999999989</v>
      </c>
    </row>
    <row r="388" spans="1:15" x14ac:dyDescent="0.25">
      <c r="A388" s="2">
        <v>40731</v>
      </c>
      <c r="B388" s="3" t="s">
        <v>28</v>
      </c>
      <c r="C388">
        <v>19</v>
      </c>
      <c r="D388" s="6" t="s">
        <v>19</v>
      </c>
      <c r="F388">
        <v>1.27</v>
      </c>
      <c r="J388">
        <f>SUM(239,250,264,276)</f>
        <v>1029</v>
      </c>
      <c r="K388">
        <v>4</v>
      </c>
      <c r="L388">
        <v>276</v>
      </c>
      <c r="O388">
        <f t="shared" si="23"/>
        <v>18.28161999999999</v>
      </c>
    </row>
    <row r="389" spans="1:15" x14ac:dyDescent="0.25">
      <c r="A389" s="2">
        <v>40731</v>
      </c>
      <c r="B389" s="3" t="s">
        <v>28</v>
      </c>
      <c r="C389">
        <v>19</v>
      </c>
      <c r="D389" s="6" t="s">
        <v>19</v>
      </c>
      <c r="F389">
        <v>1.57</v>
      </c>
      <c r="J389">
        <f>SUM(310,339,363,374)</f>
        <v>1386</v>
      </c>
      <c r="K389">
        <v>4</v>
      </c>
      <c r="L389">
        <v>374</v>
      </c>
      <c r="O389">
        <f t="shared" si="23"/>
        <v>22.231439999999992</v>
      </c>
    </row>
    <row r="390" spans="1:15" x14ac:dyDescent="0.25">
      <c r="A390" s="2">
        <v>40731</v>
      </c>
      <c r="B390" s="3" t="s">
        <v>28</v>
      </c>
      <c r="C390">
        <v>19</v>
      </c>
      <c r="D390" s="6" t="s">
        <v>19</v>
      </c>
      <c r="F390">
        <v>1.8</v>
      </c>
      <c r="J390">
        <f>SUM(181,248,245,262,277)</f>
        <v>1213</v>
      </c>
      <c r="K390">
        <v>5</v>
      </c>
      <c r="L390">
        <v>277</v>
      </c>
      <c r="O390">
        <f t="shared" si="23"/>
        <v>28.209859999999992</v>
      </c>
    </row>
    <row r="391" spans="1:15" x14ac:dyDescent="0.25">
      <c r="A391" s="4">
        <v>40731</v>
      </c>
      <c r="B391" s="3" t="s">
        <v>28</v>
      </c>
      <c r="C391">
        <v>20</v>
      </c>
      <c r="D391" s="6" t="s">
        <v>23</v>
      </c>
      <c r="E391">
        <v>82</v>
      </c>
      <c r="F391">
        <v>0.45</v>
      </c>
      <c r="G391">
        <v>0</v>
      </c>
      <c r="O391">
        <f>((2.21944*F391)+(0.029*E391)+(0.08262*G391)-1.9477)</f>
        <v>1.4290480000000001</v>
      </c>
    </row>
    <row r="392" spans="1:15" x14ac:dyDescent="0.25">
      <c r="A392" s="4">
        <v>40731</v>
      </c>
      <c r="B392" s="3" t="s">
        <v>28</v>
      </c>
      <c r="C392">
        <v>20</v>
      </c>
      <c r="D392" s="6" t="s">
        <v>23</v>
      </c>
      <c r="E392" s="15">
        <v>93</v>
      </c>
      <c r="F392">
        <v>0.28999999999999998</v>
      </c>
      <c r="G392">
        <v>0</v>
      </c>
      <c r="O392">
        <f>((2.21944*F392)+(0.029*E392)+(0.08262*G392)-1.9477)</f>
        <v>1.3929376</v>
      </c>
    </row>
    <row r="393" spans="1:15" x14ac:dyDescent="0.25">
      <c r="A393" s="4">
        <v>40731</v>
      </c>
      <c r="B393" s="3" t="s">
        <v>28</v>
      </c>
      <c r="C393">
        <v>20</v>
      </c>
      <c r="D393" s="6" t="s">
        <v>23</v>
      </c>
      <c r="E393">
        <v>105</v>
      </c>
      <c r="F393">
        <v>0.4</v>
      </c>
      <c r="G393">
        <v>0</v>
      </c>
      <c r="O393">
        <f>((2.21944*F393)+(0.029*E393)+(0.08262*G393)-1.9477)</f>
        <v>1.9850760000000005</v>
      </c>
    </row>
    <row r="394" spans="1:15" x14ac:dyDescent="0.25">
      <c r="A394" s="4">
        <v>40731</v>
      </c>
      <c r="B394" s="3" t="s">
        <v>28</v>
      </c>
      <c r="C394">
        <v>20</v>
      </c>
      <c r="D394" s="6" t="s">
        <v>23</v>
      </c>
      <c r="E394">
        <v>162</v>
      </c>
      <c r="F394">
        <v>0.55000000000000004</v>
      </c>
      <c r="G394">
        <v>3</v>
      </c>
      <c r="O394">
        <f>((2.21944*F394)+(0.029*E394)+(0.08262*G394)-1.9477)</f>
        <v>4.218852</v>
      </c>
    </row>
    <row r="395" spans="1:15" x14ac:dyDescent="0.25">
      <c r="A395" s="4">
        <v>40731</v>
      </c>
      <c r="B395" s="3" t="s">
        <v>28</v>
      </c>
      <c r="C395">
        <v>20</v>
      </c>
      <c r="D395" s="6" t="s">
        <v>16</v>
      </c>
      <c r="E395">
        <v>151</v>
      </c>
      <c r="F395">
        <v>0.83</v>
      </c>
      <c r="G395">
        <v>0</v>
      </c>
      <c r="N395">
        <f t="shared" ref="N395:N409" si="24">((1/3)*(3.14159)*((F395/2)^2)*E395)</f>
        <v>27.233370333416662</v>
      </c>
      <c r="O395">
        <f>((0.03043*E395)+(0.02936*N395))</f>
        <v>5.3945017529891128</v>
      </c>
    </row>
    <row r="396" spans="1:15" x14ac:dyDescent="0.25">
      <c r="A396" s="4">
        <v>40731</v>
      </c>
      <c r="B396" s="3" t="s">
        <v>28</v>
      </c>
      <c r="C396">
        <v>20</v>
      </c>
      <c r="D396" s="6" t="s">
        <v>16</v>
      </c>
      <c r="E396">
        <v>192</v>
      </c>
      <c r="F396">
        <v>0.78</v>
      </c>
      <c r="G396">
        <v>8</v>
      </c>
      <c r="N396">
        <f t="shared" si="24"/>
        <v>30.581493695999995</v>
      </c>
      <c r="O396">
        <f>((0.03851*E396)+(0.0322*N396))</f>
        <v>8.3786440970112004</v>
      </c>
    </row>
    <row r="397" spans="1:15" x14ac:dyDescent="0.25">
      <c r="A397" s="4">
        <v>40731</v>
      </c>
      <c r="B397" s="3" t="s">
        <v>28</v>
      </c>
      <c r="C397">
        <v>20</v>
      </c>
      <c r="D397" s="6" t="s">
        <v>16</v>
      </c>
      <c r="E397">
        <v>195</v>
      </c>
      <c r="F397">
        <v>0.76</v>
      </c>
      <c r="G397">
        <v>6</v>
      </c>
      <c r="N397">
        <f t="shared" si="24"/>
        <v>29.48696374</v>
      </c>
      <c r="O397">
        <f>((0.03851*E397)+(0.0322*N397))</f>
        <v>8.4589302324280009</v>
      </c>
    </row>
    <row r="398" spans="1:15" x14ac:dyDescent="0.25">
      <c r="A398" s="4">
        <v>40731</v>
      </c>
      <c r="B398" s="3" t="s">
        <v>28</v>
      </c>
      <c r="C398">
        <v>20</v>
      </c>
      <c r="D398" s="6" t="s">
        <v>16</v>
      </c>
      <c r="E398">
        <v>256</v>
      </c>
      <c r="F398">
        <v>1.08</v>
      </c>
      <c r="G398">
        <v>11</v>
      </c>
      <c r="N398">
        <f t="shared" si="24"/>
        <v>78.172812288000003</v>
      </c>
      <c r="O398">
        <f>((0.03851*E398)+(0.0322*N398))</f>
        <v>12.375724555673601</v>
      </c>
    </row>
    <row r="399" spans="1:15" x14ac:dyDescent="0.25">
      <c r="A399" s="4">
        <v>40731</v>
      </c>
      <c r="B399" s="3" t="s">
        <v>28</v>
      </c>
      <c r="C399">
        <v>20</v>
      </c>
      <c r="D399" s="6" t="s">
        <v>16</v>
      </c>
      <c r="E399">
        <v>270</v>
      </c>
      <c r="F399">
        <v>1.2</v>
      </c>
      <c r="G399">
        <v>0</v>
      </c>
      <c r="N399">
        <f t="shared" si="24"/>
        <v>101.78751599999998</v>
      </c>
      <c r="O399">
        <f>((0.03043*E399)+(0.02936*N399))</f>
        <v>11.204581469759999</v>
      </c>
    </row>
    <row r="400" spans="1:15" x14ac:dyDescent="0.25">
      <c r="A400" s="4">
        <v>40731</v>
      </c>
      <c r="B400" s="3" t="s">
        <v>28</v>
      </c>
      <c r="C400">
        <v>20</v>
      </c>
      <c r="D400" s="6" t="s">
        <v>16</v>
      </c>
      <c r="E400">
        <v>278</v>
      </c>
      <c r="F400">
        <v>1.02</v>
      </c>
      <c r="G400">
        <v>16</v>
      </c>
      <c r="N400">
        <f t="shared" si="24"/>
        <v>75.720487133999981</v>
      </c>
      <c r="O400">
        <f>((0.03851*E400)+(0.0322*N400))</f>
        <v>13.1439796857148</v>
      </c>
    </row>
    <row r="401" spans="1:15" x14ac:dyDescent="0.25">
      <c r="A401" s="4">
        <v>40731</v>
      </c>
      <c r="B401" s="3" t="s">
        <v>28</v>
      </c>
      <c r="C401">
        <v>20</v>
      </c>
      <c r="D401" s="6" t="s">
        <v>16</v>
      </c>
      <c r="E401">
        <v>291</v>
      </c>
      <c r="F401">
        <v>0.92</v>
      </c>
      <c r="G401">
        <v>0</v>
      </c>
      <c r="N401">
        <f t="shared" si="24"/>
        <v>64.481763067999992</v>
      </c>
      <c r="O401">
        <f>((0.03043*E401)+(0.02936*N401))</f>
        <v>10.748314563676479</v>
      </c>
    </row>
    <row r="402" spans="1:15" x14ac:dyDescent="0.25">
      <c r="A402" s="4">
        <v>40731</v>
      </c>
      <c r="B402" s="3" t="s">
        <v>28</v>
      </c>
      <c r="C402">
        <v>20</v>
      </c>
      <c r="D402" s="6" t="s">
        <v>16</v>
      </c>
      <c r="E402">
        <v>291</v>
      </c>
      <c r="F402">
        <v>1.42</v>
      </c>
      <c r="G402">
        <v>0</v>
      </c>
      <c r="N402">
        <f t="shared" si="24"/>
        <v>153.61652534300001</v>
      </c>
      <c r="O402">
        <f>((0.03043*E402)+(0.02936*N402))</f>
        <v>13.365311184070478</v>
      </c>
    </row>
    <row r="403" spans="1:15" x14ac:dyDescent="0.25">
      <c r="A403" s="4">
        <v>40731</v>
      </c>
      <c r="B403" s="3" t="s">
        <v>28</v>
      </c>
      <c r="C403">
        <v>20</v>
      </c>
      <c r="D403" s="6" t="s">
        <v>16</v>
      </c>
      <c r="E403">
        <v>297</v>
      </c>
      <c r="F403">
        <v>1.53</v>
      </c>
      <c r="G403">
        <v>0</v>
      </c>
      <c r="N403">
        <f t="shared" si="24"/>
        <v>182.01516376724999</v>
      </c>
      <c r="O403">
        <f>((0.03043*E403)+(0.02936*N403))</f>
        <v>14.38167520820646</v>
      </c>
    </row>
    <row r="404" spans="1:15" x14ac:dyDescent="0.25">
      <c r="A404" s="4">
        <v>40731</v>
      </c>
      <c r="B404" s="3" t="s">
        <v>28</v>
      </c>
      <c r="C404">
        <v>20</v>
      </c>
      <c r="D404" s="6" t="s">
        <v>16</v>
      </c>
      <c r="E404">
        <v>299</v>
      </c>
      <c r="F404">
        <v>0.99</v>
      </c>
      <c r="G404">
        <v>0</v>
      </c>
      <c r="N404">
        <f t="shared" si="24"/>
        <v>76.720219611749997</v>
      </c>
      <c r="O404">
        <f>((0.03043*E404)+(0.02936*N404))</f>
        <v>11.351075647800981</v>
      </c>
    </row>
    <row r="405" spans="1:15" x14ac:dyDescent="0.25">
      <c r="A405" s="4">
        <v>40731</v>
      </c>
      <c r="B405" s="3" t="s">
        <v>28</v>
      </c>
      <c r="C405">
        <v>20</v>
      </c>
      <c r="D405" s="6" t="s">
        <v>16</v>
      </c>
      <c r="E405">
        <v>306</v>
      </c>
      <c r="F405">
        <v>1.64</v>
      </c>
      <c r="G405">
        <v>0</v>
      </c>
      <c r="N405">
        <f t="shared" si="24"/>
        <v>215.46532183199994</v>
      </c>
      <c r="O405">
        <f>((0.03043*E405)+(0.02936*N405))</f>
        <v>15.637641848987517</v>
      </c>
    </row>
    <row r="406" spans="1:15" x14ac:dyDescent="0.25">
      <c r="A406" s="4">
        <v>40731</v>
      </c>
      <c r="B406" s="3" t="s">
        <v>28</v>
      </c>
      <c r="C406">
        <v>20</v>
      </c>
      <c r="D406" s="6" t="s">
        <v>16</v>
      </c>
      <c r="E406">
        <v>315</v>
      </c>
      <c r="F406">
        <v>1.99</v>
      </c>
      <c r="G406">
        <v>3</v>
      </c>
      <c r="N406">
        <f t="shared" si="24"/>
        <v>326.57652717375004</v>
      </c>
      <c r="O406">
        <f>((0.03851*E406)+(0.0322*N406))</f>
        <v>22.646414174994753</v>
      </c>
    </row>
    <row r="407" spans="1:15" x14ac:dyDescent="0.25">
      <c r="A407" s="4">
        <v>40731</v>
      </c>
      <c r="B407" s="3" t="s">
        <v>28</v>
      </c>
      <c r="C407">
        <v>20</v>
      </c>
      <c r="D407" s="6" t="s">
        <v>16</v>
      </c>
      <c r="E407">
        <v>319</v>
      </c>
      <c r="F407">
        <v>1.77</v>
      </c>
      <c r="G407">
        <v>0</v>
      </c>
      <c r="N407">
        <f t="shared" si="24"/>
        <v>261.64080435074999</v>
      </c>
      <c r="O407">
        <f>((0.03043*E407)+(0.02936*N407))</f>
        <v>17.388944015738019</v>
      </c>
    </row>
    <row r="408" spans="1:15" x14ac:dyDescent="0.25">
      <c r="A408" s="4">
        <v>40731</v>
      </c>
      <c r="B408" s="3" t="s">
        <v>28</v>
      </c>
      <c r="C408">
        <v>20</v>
      </c>
      <c r="D408" s="6" t="s">
        <v>16</v>
      </c>
      <c r="E408">
        <v>336</v>
      </c>
      <c r="F408">
        <v>1.29</v>
      </c>
      <c r="G408">
        <v>4</v>
      </c>
      <c r="N408">
        <f t="shared" si="24"/>
        <v>146.38175773199998</v>
      </c>
      <c r="O408">
        <f>((0.03851*E408)+(0.0322*N408))</f>
        <v>17.652852598970398</v>
      </c>
    </row>
    <row r="409" spans="1:15" x14ac:dyDescent="0.25">
      <c r="A409" s="4">
        <v>40731</v>
      </c>
      <c r="B409" s="3" t="s">
        <v>28</v>
      </c>
      <c r="C409">
        <v>20</v>
      </c>
      <c r="D409" s="6" t="s">
        <v>16</v>
      </c>
      <c r="E409">
        <v>353</v>
      </c>
      <c r="F409">
        <v>1.25</v>
      </c>
      <c r="G409">
        <v>2</v>
      </c>
      <c r="N409">
        <f t="shared" si="24"/>
        <v>144.39860286458332</v>
      </c>
      <c r="O409">
        <f>((0.03851*E409)+(0.0322*N409))</f>
        <v>18.243665012239582</v>
      </c>
    </row>
    <row r="410" spans="1:15" x14ac:dyDescent="0.25">
      <c r="A410" s="4">
        <v>40731</v>
      </c>
      <c r="B410" s="3" t="s">
        <v>28</v>
      </c>
      <c r="C410">
        <v>20</v>
      </c>
      <c r="D410" s="6" t="s">
        <v>19</v>
      </c>
      <c r="E410">
        <v>269</v>
      </c>
      <c r="F410">
        <v>1.79</v>
      </c>
      <c r="H410">
        <v>15</v>
      </c>
      <c r="I410">
        <v>1.8</v>
      </c>
      <c r="O410">
        <f>(0.66164*E410)+(16.34893*F410)+(1.11091*H410)+(-8.40694*I410)-154.2499</f>
        <v>54.527002699999969</v>
      </c>
    </row>
    <row r="411" spans="1:15" x14ac:dyDescent="0.25">
      <c r="A411" s="4">
        <v>40731</v>
      </c>
      <c r="B411" s="3" t="s">
        <v>28</v>
      </c>
      <c r="C411">
        <v>20</v>
      </c>
      <c r="D411" s="6" t="s">
        <v>19</v>
      </c>
      <c r="E411">
        <v>297</v>
      </c>
      <c r="F411">
        <v>1.8</v>
      </c>
      <c r="H411">
        <v>24</v>
      </c>
      <c r="I411">
        <v>2.2000000000000002</v>
      </c>
      <c r="O411">
        <f>(0.66164*E411)+(16.34893*F411)+(1.11091*H411)+(-8.40694*I411)-154.2499</f>
        <v>79.851826000000017</v>
      </c>
    </row>
    <row r="412" spans="1:15" x14ac:dyDescent="0.25">
      <c r="A412" s="4">
        <v>40731</v>
      </c>
      <c r="B412" s="3" t="s">
        <v>28</v>
      </c>
      <c r="C412">
        <v>20</v>
      </c>
      <c r="D412" s="6" t="s">
        <v>19</v>
      </c>
      <c r="F412">
        <v>1.18</v>
      </c>
      <c r="J412">
        <f>(212+233+258+271)</f>
        <v>974</v>
      </c>
      <c r="K412">
        <v>4</v>
      </c>
      <c r="L412">
        <v>271</v>
      </c>
      <c r="O412">
        <f>((-7.02235*K412)+(-0.30125*L412)+(0.09376*J412)+33.03698)</f>
        <v>14.631069999999994</v>
      </c>
    </row>
    <row r="413" spans="1:15" x14ac:dyDescent="0.25">
      <c r="A413" s="4">
        <v>40731</v>
      </c>
      <c r="B413" s="3" t="s">
        <v>28</v>
      </c>
      <c r="C413">
        <v>20</v>
      </c>
      <c r="D413" s="6" t="s">
        <v>19</v>
      </c>
      <c r="F413">
        <v>1.25</v>
      </c>
      <c r="J413">
        <f>SUM(301,323,345,350)</f>
        <v>1319</v>
      </c>
      <c r="K413">
        <v>4</v>
      </c>
      <c r="L413">
        <v>350</v>
      </c>
      <c r="O413">
        <f>((-7.02235*K413)+(-0.30125*L413)+(0.09376*J413)+33.03698)</f>
        <v>23.179519999999982</v>
      </c>
    </row>
    <row r="414" spans="1:15" x14ac:dyDescent="0.25">
      <c r="A414" s="4">
        <v>40731</v>
      </c>
      <c r="B414" s="3" t="s">
        <v>28</v>
      </c>
      <c r="C414">
        <v>20</v>
      </c>
      <c r="D414" s="6" t="s">
        <v>19</v>
      </c>
      <c r="J414">
        <f>SUM(292,330,331,360,361)</f>
        <v>1674</v>
      </c>
      <c r="K414">
        <v>5</v>
      </c>
      <c r="L414">
        <v>361</v>
      </c>
      <c r="O414">
        <f>((-7.02235*K414)+(-0.30125*L414)+(0.09376*J414)+33.03698)</f>
        <v>46.128219999999999</v>
      </c>
    </row>
    <row r="415" spans="1:15" x14ac:dyDescent="0.25">
      <c r="A415" s="2">
        <v>40731</v>
      </c>
      <c r="B415" t="s">
        <v>28</v>
      </c>
      <c r="C415">
        <v>23</v>
      </c>
      <c r="D415" s="6" t="s">
        <v>16</v>
      </c>
      <c r="E415">
        <v>216</v>
      </c>
      <c r="F415">
        <v>1.1499999999999999</v>
      </c>
      <c r="G415">
        <v>0</v>
      </c>
      <c r="N415">
        <f t="shared" ref="N415:N439" si="25">((1/3)*(3.14159)*((F415/2)^2)*E415)</f>
        <v>74.785549949999975</v>
      </c>
      <c r="O415">
        <f t="shared" ref="O415:O422" si="26">((0.03043*E415)+(0.02936*N415))</f>
        <v>8.7685837465319985</v>
      </c>
    </row>
    <row r="416" spans="1:15" x14ac:dyDescent="0.25">
      <c r="A416" s="2">
        <v>40731</v>
      </c>
      <c r="B416" t="s">
        <v>28</v>
      </c>
      <c r="C416">
        <v>23</v>
      </c>
      <c r="D416" s="6" t="s">
        <v>16</v>
      </c>
      <c r="E416">
        <v>226</v>
      </c>
      <c r="F416">
        <v>0.87</v>
      </c>
      <c r="G416">
        <v>0</v>
      </c>
      <c r="N416">
        <f t="shared" si="25"/>
        <v>44.783208370499999</v>
      </c>
      <c r="O416">
        <f t="shared" si="26"/>
        <v>8.1920149977578802</v>
      </c>
    </row>
    <row r="417" spans="1:15" x14ac:dyDescent="0.25">
      <c r="A417" s="2">
        <v>40731</v>
      </c>
      <c r="B417" t="s">
        <v>28</v>
      </c>
      <c r="C417">
        <v>23</v>
      </c>
      <c r="D417" s="6" t="s">
        <v>16</v>
      </c>
      <c r="E417">
        <v>233</v>
      </c>
      <c r="F417">
        <v>1.1000000000000001</v>
      </c>
      <c r="G417">
        <v>0</v>
      </c>
      <c r="N417">
        <f t="shared" si="25"/>
        <v>73.80903905833334</v>
      </c>
      <c r="O417">
        <f t="shared" si="26"/>
        <v>9.257223386752667</v>
      </c>
    </row>
    <row r="418" spans="1:15" x14ac:dyDescent="0.25">
      <c r="A418" s="2">
        <v>40731</v>
      </c>
      <c r="B418" t="s">
        <v>28</v>
      </c>
      <c r="C418">
        <v>23</v>
      </c>
      <c r="D418" s="6" t="s">
        <v>16</v>
      </c>
      <c r="E418">
        <v>235</v>
      </c>
      <c r="F418">
        <v>1.1299999999999999</v>
      </c>
      <c r="G418">
        <v>0</v>
      </c>
      <c r="N418">
        <f t="shared" si="25"/>
        <v>78.558468640416635</v>
      </c>
      <c r="O418">
        <f t="shared" si="26"/>
        <v>9.4575266392826318</v>
      </c>
    </row>
    <row r="419" spans="1:15" x14ac:dyDescent="0.25">
      <c r="A419" s="2">
        <v>40731</v>
      </c>
      <c r="B419" t="s">
        <v>28</v>
      </c>
      <c r="C419">
        <v>23</v>
      </c>
      <c r="D419" s="6" t="s">
        <v>16</v>
      </c>
      <c r="E419">
        <v>237</v>
      </c>
      <c r="F419">
        <v>1.37</v>
      </c>
      <c r="G419">
        <v>0</v>
      </c>
      <c r="N419">
        <f t="shared" si="25"/>
        <v>116.45489285225</v>
      </c>
      <c r="O419">
        <f t="shared" si="26"/>
        <v>10.631025654142061</v>
      </c>
    </row>
    <row r="420" spans="1:15" x14ac:dyDescent="0.25">
      <c r="A420" s="2">
        <v>40731</v>
      </c>
      <c r="B420" t="s">
        <v>28</v>
      </c>
      <c r="C420">
        <v>23</v>
      </c>
      <c r="D420" s="6" t="s">
        <v>16</v>
      </c>
      <c r="E420">
        <v>239</v>
      </c>
      <c r="F420">
        <v>1.28</v>
      </c>
      <c r="G420">
        <v>0</v>
      </c>
      <c r="N420">
        <f t="shared" si="25"/>
        <v>102.51468936533334</v>
      </c>
      <c r="O420">
        <f t="shared" si="26"/>
        <v>10.282601279766187</v>
      </c>
    </row>
    <row r="421" spans="1:15" x14ac:dyDescent="0.25">
      <c r="A421" s="2">
        <v>40731</v>
      </c>
      <c r="B421" t="s">
        <v>28</v>
      </c>
      <c r="C421">
        <v>23</v>
      </c>
      <c r="D421" s="6" t="s">
        <v>16</v>
      </c>
      <c r="E421">
        <v>271</v>
      </c>
      <c r="F421">
        <v>1.52</v>
      </c>
      <c r="G421">
        <v>0</v>
      </c>
      <c r="N421">
        <f t="shared" si="25"/>
        <v>163.91727535466666</v>
      </c>
      <c r="O421">
        <f t="shared" si="26"/>
        <v>13.059141204413013</v>
      </c>
    </row>
    <row r="422" spans="1:15" x14ac:dyDescent="0.25">
      <c r="A422" s="2">
        <v>40731</v>
      </c>
      <c r="B422" t="s">
        <v>28</v>
      </c>
      <c r="C422">
        <v>23</v>
      </c>
      <c r="D422" s="6" t="s">
        <v>16</v>
      </c>
      <c r="E422">
        <v>278</v>
      </c>
      <c r="F422">
        <v>1</v>
      </c>
      <c r="G422">
        <v>0</v>
      </c>
      <c r="N422">
        <f t="shared" si="25"/>
        <v>72.780168333333322</v>
      </c>
      <c r="O422">
        <f t="shared" si="26"/>
        <v>10.596365742266666</v>
      </c>
    </row>
    <row r="423" spans="1:15" x14ac:dyDescent="0.25">
      <c r="A423" s="2">
        <v>40731</v>
      </c>
      <c r="B423" t="s">
        <v>28</v>
      </c>
      <c r="C423">
        <v>23</v>
      </c>
      <c r="D423" s="6" t="s">
        <v>16</v>
      </c>
      <c r="E423">
        <v>288</v>
      </c>
      <c r="F423">
        <v>1.21</v>
      </c>
      <c r="G423">
        <v>7</v>
      </c>
      <c r="N423">
        <f t="shared" si="25"/>
        <v>110.39044605599999</v>
      </c>
      <c r="O423">
        <f>((0.03851*E423)+(0.0322*N423))</f>
        <v>14.6454523630032</v>
      </c>
    </row>
    <row r="424" spans="1:15" x14ac:dyDescent="0.25">
      <c r="A424" s="2">
        <v>40731</v>
      </c>
      <c r="B424" t="s">
        <v>28</v>
      </c>
      <c r="C424">
        <v>23</v>
      </c>
      <c r="D424" t="s">
        <v>16</v>
      </c>
      <c r="E424">
        <v>289</v>
      </c>
      <c r="F424">
        <v>2.41</v>
      </c>
      <c r="G424">
        <v>0</v>
      </c>
      <c r="N424">
        <f t="shared" si="25"/>
        <v>439.44060883591669</v>
      </c>
      <c r="O424">
        <f>((0.03043*E424)+(0.02936*N424))</f>
        <v>21.696246275422514</v>
      </c>
    </row>
    <row r="425" spans="1:15" x14ac:dyDescent="0.25">
      <c r="A425" s="2">
        <v>40731</v>
      </c>
      <c r="B425" t="s">
        <v>28</v>
      </c>
      <c r="C425">
        <v>23</v>
      </c>
      <c r="D425" s="6" t="s">
        <v>16</v>
      </c>
      <c r="E425">
        <v>295</v>
      </c>
      <c r="F425">
        <v>0.9</v>
      </c>
      <c r="G425">
        <v>0</v>
      </c>
      <c r="N425">
        <f t="shared" si="25"/>
        <v>62.556910875</v>
      </c>
      <c r="O425">
        <f>((0.03043*E425)+(0.02936*N425))</f>
        <v>10.813520903289998</v>
      </c>
    </row>
    <row r="426" spans="1:15" x14ac:dyDescent="0.25">
      <c r="A426" s="2">
        <v>40731</v>
      </c>
      <c r="B426" t="s">
        <v>28</v>
      </c>
      <c r="C426">
        <v>23</v>
      </c>
      <c r="D426" s="6" t="s">
        <v>16</v>
      </c>
      <c r="E426">
        <v>295</v>
      </c>
      <c r="F426">
        <v>2.0499999999999998</v>
      </c>
      <c r="G426">
        <v>11</v>
      </c>
      <c r="N426">
        <f t="shared" si="25"/>
        <v>324.56224438541665</v>
      </c>
      <c r="O426">
        <f>((0.03851*E426)+(0.0322*N426))</f>
        <v>21.811354269210415</v>
      </c>
    </row>
    <row r="427" spans="1:15" x14ac:dyDescent="0.25">
      <c r="A427" s="2">
        <v>40731</v>
      </c>
      <c r="B427" t="s">
        <v>28</v>
      </c>
      <c r="C427">
        <v>23</v>
      </c>
      <c r="D427" s="6" t="s">
        <v>16</v>
      </c>
      <c r="E427">
        <v>296</v>
      </c>
      <c r="F427">
        <v>1.19</v>
      </c>
      <c r="G427">
        <v>15</v>
      </c>
      <c r="N427">
        <f t="shared" si="25"/>
        <v>109.73720477533331</v>
      </c>
      <c r="O427">
        <f>((0.03851*E427)+(0.0322*N427))</f>
        <v>14.932497993765733</v>
      </c>
    </row>
    <row r="428" spans="1:15" x14ac:dyDescent="0.25">
      <c r="A428" s="2">
        <v>40731</v>
      </c>
      <c r="B428" t="s">
        <v>28</v>
      </c>
      <c r="C428">
        <v>23</v>
      </c>
      <c r="D428" s="6" t="s">
        <v>16</v>
      </c>
      <c r="E428">
        <v>299</v>
      </c>
      <c r="F428">
        <v>1.96</v>
      </c>
      <c r="G428">
        <v>0</v>
      </c>
      <c r="N428">
        <f t="shared" si="25"/>
        <v>300.71257592133327</v>
      </c>
      <c r="O428">
        <f>((0.03043*E428)+(0.02936*N428))</f>
        <v>17.927491229050347</v>
      </c>
    </row>
    <row r="429" spans="1:15" x14ac:dyDescent="0.25">
      <c r="A429" s="2">
        <v>40731</v>
      </c>
      <c r="B429" t="s">
        <v>28</v>
      </c>
      <c r="C429">
        <v>23</v>
      </c>
      <c r="D429" s="6" t="s">
        <v>16</v>
      </c>
      <c r="E429">
        <v>306</v>
      </c>
      <c r="F429">
        <v>1.4</v>
      </c>
      <c r="G429">
        <v>8</v>
      </c>
      <c r="N429">
        <f t="shared" si="25"/>
        <v>157.01666819999997</v>
      </c>
      <c r="O429">
        <f>((0.03851*E429)+(0.0322*N429))</f>
        <v>16.839996716039998</v>
      </c>
    </row>
    <row r="430" spans="1:15" x14ac:dyDescent="0.25">
      <c r="A430" s="2">
        <v>40731</v>
      </c>
      <c r="B430" t="s">
        <v>28</v>
      </c>
      <c r="C430">
        <v>23</v>
      </c>
      <c r="D430" s="6" t="s">
        <v>16</v>
      </c>
      <c r="E430">
        <v>307</v>
      </c>
      <c r="F430">
        <v>1.6</v>
      </c>
      <c r="G430">
        <v>0</v>
      </c>
      <c r="N430">
        <f t="shared" si="25"/>
        <v>205.75320106666669</v>
      </c>
      <c r="O430">
        <f>((0.03043*E430)+(0.02936*N430))</f>
        <v>15.382923983317333</v>
      </c>
    </row>
    <row r="431" spans="1:15" x14ac:dyDescent="0.25">
      <c r="A431" s="2">
        <v>40731</v>
      </c>
      <c r="B431" t="s">
        <v>28</v>
      </c>
      <c r="C431">
        <v>23</v>
      </c>
      <c r="D431" s="6" t="s">
        <v>16</v>
      </c>
      <c r="E431">
        <v>315</v>
      </c>
      <c r="F431">
        <v>0.98</v>
      </c>
      <c r="G431">
        <v>14</v>
      </c>
      <c r="N431">
        <f t="shared" si="25"/>
        <v>79.201054694999982</v>
      </c>
      <c r="O431">
        <f>((0.03851*E431)+(0.0322*N431))</f>
        <v>14.680923961179001</v>
      </c>
    </row>
    <row r="432" spans="1:15" x14ac:dyDescent="0.25">
      <c r="A432" s="2">
        <v>40731</v>
      </c>
      <c r="B432" t="s">
        <v>28</v>
      </c>
      <c r="C432">
        <v>23</v>
      </c>
      <c r="D432" s="6" t="s">
        <v>16</v>
      </c>
      <c r="E432">
        <v>320</v>
      </c>
      <c r="F432">
        <v>1.39</v>
      </c>
      <c r="G432">
        <v>8</v>
      </c>
      <c r="N432">
        <f t="shared" si="25"/>
        <v>161.8630943733333</v>
      </c>
      <c r="O432">
        <f>((0.03851*E432)+(0.0322*N432))</f>
        <v>17.535191638821331</v>
      </c>
    </row>
    <row r="433" spans="1:15" x14ac:dyDescent="0.25">
      <c r="A433" s="2">
        <v>40731</v>
      </c>
      <c r="B433" t="s">
        <v>28</v>
      </c>
      <c r="C433">
        <v>23</v>
      </c>
      <c r="D433" s="6" t="s">
        <v>16</v>
      </c>
      <c r="E433">
        <v>329</v>
      </c>
      <c r="F433">
        <v>1.28</v>
      </c>
      <c r="G433">
        <v>15</v>
      </c>
      <c r="N433">
        <f t="shared" si="25"/>
        <v>141.11854728533334</v>
      </c>
      <c r="O433">
        <f>((0.03851*E433)+(0.0322*N433))</f>
        <v>17.213807222587732</v>
      </c>
    </row>
    <row r="434" spans="1:15" x14ac:dyDescent="0.25">
      <c r="A434" s="2">
        <v>40731</v>
      </c>
      <c r="B434" t="s">
        <v>28</v>
      </c>
      <c r="C434">
        <v>23</v>
      </c>
      <c r="D434" s="6" t="s">
        <v>16</v>
      </c>
      <c r="E434">
        <v>336</v>
      </c>
      <c r="F434">
        <v>1.5</v>
      </c>
      <c r="G434">
        <v>29</v>
      </c>
      <c r="N434">
        <f t="shared" si="25"/>
        <v>197.92016999999998</v>
      </c>
      <c r="O434">
        <f>((0.03851*E434)+(0.0322*N434))</f>
        <v>19.312389474</v>
      </c>
    </row>
    <row r="435" spans="1:15" x14ac:dyDescent="0.25">
      <c r="A435" s="2">
        <v>40731</v>
      </c>
      <c r="B435" t="s">
        <v>28</v>
      </c>
      <c r="C435">
        <v>23</v>
      </c>
      <c r="D435" s="6" t="s">
        <v>16</v>
      </c>
      <c r="E435">
        <v>339</v>
      </c>
      <c r="F435">
        <v>1.45</v>
      </c>
      <c r="G435">
        <v>0</v>
      </c>
      <c r="N435">
        <f t="shared" si="25"/>
        <v>186.59670154374999</v>
      </c>
      <c r="O435">
        <f>((0.03043*E435)+(0.02936*N435))</f>
        <v>15.794249157324497</v>
      </c>
    </row>
    <row r="436" spans="1:15" x14ac:dyDescent="0.25">
      <c r="A436" s="2">
        <v>40731</v>
      </c>
      <c r="B436" t="s">
        <v>28</v>
      </c>
      <c r="C436">
        <v>23</v>
      </c>
      <c r="D436" s="6" t="s">
        <v>16</v>
      </c>
      <c r="E436">
        <v>339</v>
      </c>
      <c r="F436">
        <v>1.64</v>
      </c>
      <c r="G436">
        <v>6</v>
      </c>
      <c r="N436">
        <f t="shared" si="25"/>
        <v>238.70177810799993</v>
      </c>
      <c r="O436">
        <f>((0.03851*E436)+(0.0322*N436))</f>
        <v>20.741087255077598</v>
      </c>
    </row>
    <row r="437" spans="1:15" x14ac:dyDescent="0.25">
      <c r="A437" s="2">
        <v>40731</v>
      </c>
      <c r="B437" t="s">
        <v>28</v>
      </c>
      <c r="C437">
        <v>23</v>
      </c>
      <c r="D437" s="6" t="s">
        <v>16</v>
      </c>
      <c r="E437">
        <v>366</v>
      </c>
      <c r="F437">
        <v>1.24</v>
      </c>
      <c r="G437">
        <v>8</v>
      </c>
      <c r="N437">
        <f t="shared" si="25"/>
        <v>147.33051791199998</v>
      </c>
      <c r="O437">
        <f>((0.03851*E437)+(0.0322*N437))</f>
        <v>18.838702676766399</v>
      </c>
    </row>
    <row r="438" spans="1:15" x14ac:dyDescent="0.25">
      <c r="A438" s="2">
        <v>40731</v>
      </c>
      <c r="B438" t="s">
        <v>28</v>
      </c>
      <c r="C438">
        <v>23</v>
      </c>
      <c r="D438" s="6" t="s">
        <v>16</v>
      </c>
      <c r="E438">
        <v>382</v>
      </c>
      <c r="F438">
        <v>1.5</v>
      </c>
      <c r="G438">
        <v>0</v>
      </c>
      <c r="N438">
        <f t="shared" si="25"/>
        <v>225.01638374999996</v>
      </c>
      <c r="O438">
        <f>((0.03043*E438)+(0.02936*N438))</f>
        <v>18.230741026899999</v>
      </c>
    </row>
    <row r="439" spans="1:15" x14ac:dyDescent="0.25">
      <c r="A439" s="2">
        <v>40731</v>
      </c>
      <c r="B439" t="s">
        <v>28</v>
      </c>
      <c r="C439">
        <v>23</v>
      </c>
      <c r="D439" s="6" t="s">
        <v>16</v>
      </c>
      <c r="E439">
        <v>383</v>
      </c>
      <c r="F439">
        <v>1.55</v>
      </c>
      <c r="G439">
        <v>8</v>
      </c>
      <c r="N439">
        <f t="shared" si="25"/>
        <v>240.89646670208333</v>
      </c>
      <c r="O439">
        <f>((0.03851*E439)+(0.0322*N439))</f>
        <v>22.506196227807084</v>
      </c>
    </row>
    <row r="440" spans="1:15" x14ac:dyDescent="0.25">
      <c r="A440" s="2">
        <v>40731</v>
      </c>
      <c r="B440" t="s">
        <v>28</v>
      </c>
      <c r="C440">
        <v>23</v>
      </c>
      <c r="D440" s="6" t="s">
        <v>19</v>
      </c>
      <c r="E440">
        <v>293</v>
      </c>
      <c r="F440">
        <v>2.11</v>
      </c>
      <c r="H440">
        <v>33</v>
      </c>
      <c r="I440">
        <v>2.1</v>
      </c>
      <c r="O440">
        <f>(0.66164*E440)+(16.34893*F440)+(1.11091*H440)+(-8.40694*I440)-154.2499</f>
        <v>93.112318300000027</v>
      </c>
    </row>
    <row r="441" spans="1:15" x14ac:dyDescent="0.25">
      <c r="A441" s="2">
        <v>40731</v>
      </c>
      <c r="B441" t="s">
        <v>28</v>
      </c>
      <c r="C441">
        <v>23</v>
      </c>
      <c r="D441" s="6" t="s">
        <v>19</v>
      </c>
      <c r="E441">
        <v>294</v>
      </c>
      <c r="F441">
        <v>2.25</v>
      </c>
      <c r="H441">
        <v>33</v>
      </c>
      <c r="I441">
        <v>2.2000000000000002</v>
      </c>
      <c r="O441">
        <f>(0.66164*E441)+(16.34893*F441)+(1.11091*H441)+(-8.40694*I441)-154.2499</f>
        <v>95.222114500000004</v>
      </c>
    </row>
    <row r="442" spans="1:15" x14ac:dyDescent="0.25">
      <c r="A442" s="2">
        <v>40731</v>
      </c>
      <c r="B442" t="s">
        <v>28</v>
      </c>
      <c r="C442">
        <v>23</v>
      </c>
      <c r="D442" s="6" t="s">
        <v>19</v>
      </c>
      <c r="E442">
        <v>298</v>
      </c>
      <c r="F442">
        <v>2.42</v>
      </c>
      <c r="H442">
        <v>34</v>
      </c>
      <c r="I442">
        <v>2.2999999999999998</v>
      </c>
      <c r="O442">
        <f>(0.66164*E442)+(16.34893*F442)+(1.11091*H442)+(-8.40694*I442)-154.2499</f>
        <v>100.91820860000004</v>
      </c>
    </row>
    <row r="443" spans="1:15" x14ac:dyDescent="0.25">
      <c r="A443" s="2">
        <v>40731</v>
      </c>
      <c r="B443" t="s">
        <v>28</v>
      </c>
      <c r="C443">
        <v>23</v>
      </c>
      <c r="D443" s="6" t="s">
        <v>19</v>
      </c>
      <c r="E443">
        <v>299</v>
      </c>
      <c r="F443">
        <v>2.2200000000000002</v>
      </c>
      <c r="H443">
        <v>31</v>
      </c>
      <c r="I443">
        <v>2.2000000000000002</v>
      </c>
      <c r="O443">
        <f>(0.66164*E443)+(16.34893*F443)+(1.11091*H443)+(-8.40694*I443)-154.2499</f>
        <v>95.818026600000024</v>
      </c>
    </row>
    <row r="444" spans="1:15" x14ac:dyDescent="0.25">
      <c r="A444" s="2">
        <v>40731</v>
      </c>
      <c r="B444" t="s">
        <v>28</v>
      </c>
      <c r="C444">
        <v>23</v>
      </c>
      <c r="D444" s="6" t="s">
        <v>19</v>
      </c>
      <c r="E444">
        <v>301</v>
      </c>
      <c r="F444">
        <v>2.13</v>
      </c>
      <c r="H444">
        <v>28</v>
      </c>
      <c r="I444">
        <v>2</v>
      </c>
      <c r="O444">
        <f>(0.66164*E444)+(16.34893*F444)+(1.11091*H444)+(-8.40694*I444)-154.2499</f>
        <v>94.018560899999954</v>
      </c>
    </row>
    <row r="445" spans="1:15" x14ac:dyDescent="0.25">
      <c r="A445" s="2">
        <v>40731</v>
      </c>
      <c r="B445" t="s">
        <v>28</v>
      </c>
      <c r="C445">
        <v>28</v>
      </c>
      <c r="D445" s="6" t="s">
        <v>29</v>
      </c>
      <c r="E445">
        <v>31</v>
      </c>
      <c r="F445">
        <v>0.37</v>
      </c>
      <c r="G445">
        <v>0</v>
      </c>
      <c r="O445">
        <f t="shared" ref="O445:O488" si="27">((3.55251*F445)+(0.01568*E445)-2.29794)</f>
        <v>-0.49743130000000013</v>
      </c>
    </row>
    <row r="446" spans="1:15" x14ac:dyDescent="0.25">
      <c r="A446" s="2">
        <v>40731</v>
      </c>
      <c r="B446" t="s">
        <v>28</v>
      </c>
      <c r="C446">
        <v>28</v>
      </c>
      <c r="D446" s="6" t="s">
        <v>29</v>
      </c>
      <c r="E446">
        <v>38</v>
      </c>
      <c r="F446">
        <v>0.82</v>
      </c>
      <c r="G446">
        <v>0</v>
      </c>
      <c r="O446">
        <f t="shared" si="27"/>
        <v>1.2109581999999994</v>
      </c>
    </row>
    <row r="447" spans="1:15" x14ac:dyDescent="0.25">
      <c r="A447" s="2">
        <v>40731</v>
      </c>
      <c r="B447" t="s">
        <v>28</v>
      </c>
      <c r="C447">
        <v>28</v>
      </c>
      <c r="D447" s="6" t="s">
        <v>29</v>
      </c>
      <c r="E447">
        <v>48</v>
      </c>
      <c r="F447">
        <v>0.79</v>
      </c>
      <c r="G447">
        <v>0</v>
      </c>
      <c r="O447">
        <f t="shared" si="27"/>
        <v>1.2611828999999997</v>
      </c>
    </row>
    <row r="448" spans="1:15" x14ac:dyDescent="0.25">
      <c r="A448" s="2">
        <v>40731</v>
      </c>
      <c r="B448" t="s">
        <v>28</v>
      </c>
      <c r="C448">
        <v>28</v>
      </c>
      <c r="D448" s="6" t="s">
        <v>29</v>
      </c>
      <c r="E448">
        <v>48</v>
      </c>
      <c r="F448">
        <v>0.98</v>
      </c>
      <c r="G448">
        <v>0</v>
      </c>
      <c r="O448">
        <f t="shared" si="27"/>
        <v>1.9361597999999991</v>
      </c>
    </row>
    <row r="449" spans="1:15" x14ac:dyDescent="0.25">
      <c r="A449" s="2">
        <v>40731</v>
      </c>
      <c r="B449" t="s">
        <v>28</v>
      </c>
      <c r="C449">
        <v>28</v>
      </c>
      <c r="D449" s="6" t="s">
        <v>29</v>
      </c>
      <c r="E449">
        <v>59</v>
      </c>
      <c r="F449">
        <v>0.37</v>
      </c>
      <c r="G449">
        <v>0</v>
      </c>
      <c r="O449">
        <f t="shared" si="27"/>
        <v>-5.8391300000000257E-2</v>
      </c>
    </row>
    <row r="450" spans="1:15" x14ac:dyDescent="0.25">
      <c r="A450" s="2">
        <v>40731</v>
      </c>
      <c r="B450" t="s">
        <v>28</v>
      </c>
      <c r="C450">
        <v>28</v>
      </c>
      <c r="D450" s="6" t="s">
        <v>29</v>
      </c>
      <c r="E450">
        <v>71</v>
      </c>
      <c r="F450">
        <v>0.5</v>
      </c>
      <c r="G450">
        <v>0</v>
      </c>
      <c r="O450">
        <f t="shared" si="27"/>
        <v>0.59159499999999987</v>
      </c>
    </row>
    <row r="451" spans="1:15" x14ac:dyDescent="0.25">
      <c r="A451" s="2">
        <v>40731</v>
      </c>
      <c r="B451" t="s">
        <v>28</v>
      </c>
      <c r="C451">
        <v>28</v>
      </c>
      <c r="D451" s="6" t="s">
        <v>29</v>
      </c>
      <c r="E451">
        <v>77</v>
      </c>
      <c r="F451">
        <v>0.35</v>
      </c>
      <c r="G451">
        <v>0</v>
      </c>
      <c r="O451">
        <f t="shared" si="27"/>
        <v>0.15279849999999984</v>
      </c>
    </row>
    <row r="452" spans="1:15" x14ac:dyDescent="0.25">
      <c r="A452" s="2">
        <v>40731</v>
      </c>
      <c r="B452" t="s">
        <v>28</v>
      </c>
      <c r="C452">
        <v>28</v>
      </c>
      <c r="D452" s="6" t="s">
        <v>29</v>
      </c>
      <c r="E452">
        <v>81</v>
      </c>
      <c r="F452">
        <v>0.59</v>
      </c>
      <c r="G452">
        <v>0</v>
      </c>
      <c r="O452">
        <f t="shared" si="27"/>
        <v>1.0681208999999998</v>
      </c>
    </row>
    <row r="453" spans="1:15" x14ac:dyDescent="0.25">
      <c r="A453" s="2">
        <v>40731</v>
      </c>
      <c r="B453" t="s">
        <v>28</v>
      </c>
      <c r="C453">
        <v>28</v>
      </c>
      <c r="D453" s="6" t="s">
        <v>29</v>
      </c>
      <c r="E453">
        <v>86</v>
      </c>
      <c r="F453">
        <v>0.33</v>
      </c>
      <c r="G453">
        <v>0</v>
      </c>
      <c r="O453">
        <f t="shared" si="27"/>
        <v>0.22286829999999958</v>
      </c>
    </row>
    <row r="454" spans="1:15" x14ac:dyDescent="0.25">
      <c r="A454" s="2">
        <v>40731</v>
      </c>
      <c r="B454" t="s">
        <v>28</v>
      </c>
      <c r="C454">
        <v>28</v>
      </c>
      <c r="D454" s="6" t="s">
        <v>29</v>
      </c>
      <c r="E454">
        <v>86</v>
      </c>
      <c r="F454">
        <v>0.45</v>
      </c>
      <c r="G454">
        <v>0</v>
      </c>
      <c r="O454">
        <f t="shared" si="27"/>
        <v>0.64916949999999973</v>
      </c>
    </row>
    <row r="455" spans="1:15" x14ac:dyDescent="0.25">
      <c r="A455" s="2">
        <v>40731</v>
      </c>
      <c r="B455" t="s">
        <v>28</v>
      </c>
      <c r="C455">
        <v>28</v>
      </c>
      <c r="D455" s="6" t="s">
        <v>29</v>
      </c>
      <c r="E455">
        <v>94</v>
      </c>
      <c r="F455">
        <v>0.38</v>
      </c>
      <c r="G455">
        <v>0</v>
      </c>
      <c r="O455">
        <f t="shared" si="27"/>
        <v>0.52593379999999978</v>
      </c>
    </row>
    <row r="456" spans="1:15" x14ac:dyDescent="0.25">
      <c r="A456" s="2">
        <v>40731</v>
      </c>
      <c r="B456" t="s">
        <v>28</v>
      </c>
      <c r="C456">
        <v>28</v>
      </c>
      <c r="D456" s="6" t="s">
        <v>29</v>
      </c>
      <c r="E456">
        <v>94</v>
      </c>
      <c r="F456">
        <v>0.42</v>
      </c>
      <c r="G456">
        <v>0</v>
      </c>
      <c r="O456">
        <f t="shared" si="27"/>
        <v>0.66803419999999969</v>
      </c>
    </row>
    <row r="457" spans="1:15" x14ac:dyDescent="0.25">
      <c r="A457" s="2">
        <v>40731</v>
      </c>
      <c r="B457" t="s">
        <v>28</v>
      </c>
      <c r="C457">
        <v>28</v>
      </c>
      <c r="D457" s="6" t="s">
        <v>29</v>
      </c>
      <c r="E457">
        <v>95</v>
      </c>
      <c r="F457">
        <v>0.5</v>
      </c>
      <c r="G457">
        <v>0</v>
      </c>
      <c r="O457">
        <f t="shared" si="27"/>
        <v>0.96791500000000008</v>
      </c>
    </row>
    <row r="458" spans="1:15" x14ac:dyDescent="0.25">
      <c r="A458" s="2">
        <v>40731</v>
      </c>
      <c r="B458" t="s">
        <v>28</v>
      </c>
      <c r="C458">
        <v>28</v>
      </c>
      <c r="D458" s="6" t="s">
        <v>29</v>
      </c>
      <c r="E458">
        <v>96</v>
      </c>
      <c r="F458">
        <v>0.17</v>
      </c>
      <c r="G458">
        <v>0</v>
      </c>
      <c r="O458">
        <f t="shared" si="27"/>
        <v>-0.18873329999999999</v>
      </c>
    </row>
    <row r="459" spans="1:15" x14ac:dyDescent="0.25">
      <c r="A459" s="2">
        <v>40731</v>
      </c>
      <c r="B459" t="s">
        <v>28</v>
      </c>
      <c r="C459">
        <v>28</v>
      </c>
      <c r="D459" s="6" t="s">
        <v>29</v>
      </c>
      <c r="E459">
        <v>104</v>
      </c>
      <c r="F459">
        <v>0.39</v>
      </c>
      <c r="G459">
        <v>0</v>
      </c>
      <c r="O459">
        <f t="shared" si="27"/>
        <v>0.71825889999999992</v>
      </c>
    </row>
    <row r="460" spans="1:15" x14ac:dyDescent="0.25">
      <c r="A460" s="2">
        <v>40731</v>
      </c>
      <c r="B460" t="s">
        <v>28</v>
      </c>
      <c r="C460">
        <v>28</v>
      </c>
      <c r="D460" s="6" t="s">
        <v>29</v>
      </c>
      <c r="E460">
        <v>106</v>
      </c>
      <c r="F460">
        <v>0.67</v>
      </c>
      <c r="G460">
        <v>0</v>
      </c>
      <c r="O460">
        <f t="shared" si="27"/>
        <v>1.7443217</v>
      </c>
    </row>
    <row r="461" spans="1:15" x14ac:dyDescent="0.25">
      <c r="A461" s="2">
        <v>40731</v>
      </c>
      <c r="B461" t="s">
        <v>28</v>
      </c>
      <c r="C461">
        <v>28</v>
      </c>
      <c r="D461" s="6" t="s">
        <v>29</v>
      </c>
      <c r="E461">
        <v>112</v>
      </c>
      <c r="F461">
        <v>0.59</v>
      </c>
      <c r="G461">
        <v>0</v>
      </c>
      <c r="O461">
        <f t="shared" si="27"/>
        <v>1.5542008999999997</v>
      </c>
    </row>
    <row r="462" spans="1:15" x14ac:dyDescent="0.25">
      <c r="A462" s="2">
        <v>40731</v>
      </c>
      <c r="B462" t="s">
        <v>28</v>
      </c>
      <c r="C462">
        <v>28</v>
      </c>
      <c r="D462" s="6" t="s">
        <v>29</v>
      </c>
      <c r="E462">
        <v>122</v>
      </c>
      <c r="F462">
        <v>0.53</v>
      </c>
      <c r="G462">
        <v>0</v>
      </c>
      <c r="O462">
        <f t="shared" si="27"/>
        <v>1.4978503000000001</v>
      </c>
    </row>
    <row r="463" spans="1:15" x14ac:dyDescent="0.25">
      <c r="A463" s="2">
        <v>40731</v>
      </c>
      <c r="B463" t="s">
        <v>28</v>
      </c>
      <c r="C463">
        <v>28</v>
      </c>
      <c r="D463" s="6" t="s">
        <v>29</v>
      </c>
      <c r="E463">
        <v>123</v>
      </c>
      <c r="F463">
        <v>0.51</v>
      </c>
      <c r="G463">
        <v>0</v>
      </c>
      <c r="O463">
        <f t="shared" si="27"/>
        <v>1.4424800999999996</v>
      </c>
    </row>
    <row r="464" spans="1:15" x14ac:dyDescent="0.25">
      <c r="A464" s="2">
        <v>40731</v>
      </c>
      <c r="B464" t="s">
        <v>28</v>
      </c>
      <c r="C464">
        <v>28</v>
      </c>
      <c r="D464" s="6" t="s">
        <v>29</v>
      </c>
      <c r="E464">
        <v>124</v>
      </c>
      <c r="F464">
        <v>0.9</v>
      </c>
      <c r="G464">
        <v>0</v>
      </c>
      <c r="O464">
        <f t="shared" si="27"/>
        <v>2.843639</v>
      </c>
    </row>
    <row r="465" spans="1:15" x14ac:dyDescent="0.25">
      <c r="A465" s="2">
        <v>40731</v>
      </c>
      <c r="B465" t="s">
        <v>28</v>
      </c>
      <c r="C465">
        <v>28</v>
      </c>
      <c r="D465" s="6" t="s">
        <v>29</v>
      </c>
      <c r="E465">
        <v>128</v>
      </c>
      <c r="F465">
        <v>0.31</v>
      </c>
      <c r="G465">
        <v>0</v>
      </c>
      <c r="O465">
        <f t="shared" si="27"/>
        <v>0.81037809999999988</v>
      </c>
    </row>
    <row r="466" spans="1:15" x14ac:dyDescent="0.25">
      <c r="A466" s="2">
        <v>40731</v>
      </c>
      <c r="B466" t="s">
        <v>28</v>
      </c>
      <c r="C466">
        <v>28</v>
      </c>
      <c r="D466" s="6" t="s">
        <v>29</v>
      </c>
      <c r="E466">
        <v>129</v>
      </c>
      <c r="F466">
        <v>0.53</v>
      </c>
      <c r="G466">
        <v>0</v>
      </c>
      <c r="O466">
        <f t="shared" si="27"/>
        <v>1.6076102999999997</v>
      </c>
    </row>
    <row r="467" spans="1:15" x14ac:dyDescent="0.25">
      <c r="A467" s="2">
        <v>40731</v>
      </c>
      <c r="B467" t="s">
        <v>28</v>
      </c>
      <c r="C467">
        <v>28</v>
      </c>
      <c r="D467" s="6" t="s">
        <v>29</v>
      </c>
      <c r="E467">
        <v>132</v>
      </c>
      <c r="F467">
        <v>0.6</v>
      </c>
      <c r="G467">
        <v>0</v>
      </c>
      <c r="O467">
        <f t="shared" si="27"/>
        <v>1.9033260000000003</v>
      </c>
    </row>
    <row r="468" spans="1:15" x14ac:dyDescent="0.25">
      <c r="A468" s="2">
        <v>40731</v>
      </c>
      <c r="B468" t="s">
        <v>28</v>
      </c>
      <c r="C468">
        <v>28</v>
      </c>
      <c r="D468" s="6" t="s">
        <v>29</v>
      </c>
      <c r="E468">
        <v>136</v>
      </c>
      <c r="F468">
        <v>0.84</v>
      </c>
      <c r="G468">
        <v>0</v>
      </c>
      <c r="O468">
        <f t="shared" si="27"/>
        <v>2.8186483999999994</v>
      </c>
    </row>
    <row r="469" spans="1:15" x14ac:dyDescent="0.25">
      <c r="A469" s="2">
        <v>40731</v>
      </c>
      <c r="B469" t="s">
        <v>28</v>
      </c>
      <c r="C469">
        <v>28</v>
      </c>
      <c r="D469" s="6" t="s">
        <v>29</v>
      </c>
      <c r="E469">
        <v>140</v>
      </c>
      <c r="F469">
        <v>0.53</v>
      </c>
      <c r="G469">
        <v>0</v>
      </c>
      <c r="O469">
        <f t="shared" si="27"/>
        <v>1.7800902999999999</v>
      </c>
    </row>
    <row r="470" spans="1:15" x14ac:dyDescent="0.25">
      <c r="A470" s="2">
        <v>40731</v>
      </c>
      <c r="B470" t="s">
        <v>28</v>
      </c>
      <c r="C470">
        <v>28</v>
      </c>
      <c r="D470" s="6" t="s">
        <v>29</v>
      </c>
      <c r="E470">
        <v>147</v>
      </c>
      <c r="F470">
        <v>0.42</v>
      </c>
      <c r="G470">
        <v>0</v>
      </c>
      <c r="O470">
        <f t="shared" si="27"/>
        <v>1.4990741999999995</v>
      </c>
    </row>
    <row r="471" spans="1:15" x14ac:dyDescent="0.25">
      <c r="A471" s="2">
        <v>40731</v>
      </c>
      <c r="B471" t="s">
        <v>28</v>
      </c>
      <c r="C471">
        <v>28</v>
      </c>
      <c r="D471" s="6" t="s">
        <v>29</v>
      </c>
      <c r="E471">
        <v>157</v>
      </c>
      <c r="F471">
        <v>0.42</v>
      </c>
      <c r="G471">
        <v>0</v>
      </c>
      <c r="O471">
        <f t="shared" si="27"/>
        <v>1.6558742</v>
      </c>
    </row>
    <row r="472" spans="1:15" x14ac:dyDescent="0.25">
      <c r="A472" s="2">
        <v>40731</v>
      </c>
      <c r="B472" t="s">
        <v>28</v>
      </c>
      <c r="C472">
        <v>28</v>
      </c>
      <c r="D472" s="6" t="s">
        <v>29</v>
      </c>
      <c r="E472">
        <v>157</v>
      </c>
      <c r="F472">
        <v>0.82</v>
      </c>
      <c r="G472">
        <v>0</v>
      </c>
      <c r="O472">
        <f t="shared" si="27"/>
        <v>3.0768781999999999</v>
      </c>
    </row>
    <row r="473" spans="1:15" x14ac:dyDescent="0.25">
      <c r="A473" s="2">
        <v>40731</v>
      </c>
      <c r="B473" t="s">
        <v>28</v>
      </c>
      <c r="C473">
        <v>28</v>
      </c>
      <c r="D473" s="6" t="s">
        <v>29</v>
      </c>
      <c r="E473">
        <v>165</v>
      </c>
      <c r="F473">
        <v>0.59</v>
      </c>
      <c r="G473">
        <v>0</v>
      </c>
      <c r="O473">
        <f t="shared" si="27"/>
        <v>2.3852408999999999</v>
      </c>
    </row>
    <row r="474" spans="1:15" x14ac:dyDescent="0.25">
      <c r="A474" s="2">
        <v>40731</v>
      </c>
      <c r="B474" t="s">
        <v>28</v>
      </c>
      <c r="C474">
        <v>28</v>
      </c>
      <c r="D474" s="6" t="s">
        <v>29</v>
      </c>
      <c r="E474">
        <v>169</v>
      </c>
      <c r="F474">
        <v>0.53</v>
      </c>
      <c r="G474">
        <v>0</v>
      </c>
      <c r="O474">
        <f t="shared" si="27"/>
        <v>2.2348102999999999</v>
      </c>
    </row>
    <row r="475" spans="1:15" x14ac:dyDescent="0.25">
      <c r="A475" s="2">
        <v>40731</v>
      </c>
      <c r="B475" t="s">
        <v>28</v>
      </c>
      <c r="C475">
        <v>28</v>
      </c>
      <c r="D475" s="6" t="s">
        <v>29</v>
      </c>
      <c r="E475">
        <v>173</v>
      </c>
      <c r="F475">
        <v>0.55000000000000004</v>
      </c>
      <c r="G475">
        <v>0</v>
      </c>
      <c r="O475">
        <f t="shared" si="27"/>
        <v>2.3685804999999998</v>
      </c>
    </row>
    <row r="476" spans="1:15" x14ac:dyDescent="0.25">
      <c r="A476" s="2">
        <v>40731</v>
      </c>
      <c r="B476" t="s">
        <v>28</v>
      </c>
      <c r="C476">
        <v>28</v>
      </c>
      <c r="D476" s="6" t="s">
        <v>29</v>
      </c>
      <c r="E476">
        <v>178</v>
      </c>
      <c r="F476">
        <v>0.6</v>
      </c>
      <c r="G476">
        <v>0</v>
      </c>
      <c r="O476">
        <f t="shared" si="27"/>
        <v>2.6246059999999996</v>
      </c>
    </row>
    <row r="477" spans="1:15" x14ac:dyDescent="0.25">
      <c r="A477" s="2">
        <v>40731</v>
      </c>
      <c r="B477" t="s">
        <v>28</v>
      </c>
      <c r="C477">
        <v>28</v>
      </c>
      <c r="D477" s="6" t="s">
        <v>29</v>
      </c>
      <c r="E477">
        <v>189</v>
      </c>
      <c r="F477">
        <v>0.66</v>
      </c>
      <c r="G477">
        <v>0</v>
      </c>
      <c r="O477">
        <f t="shared" si="27"/>
        <v>3.0102365999999994</v>
      </c>
    </row>
    <row r="478" spans="1:15" x14ac:dyDescent="0.25">
      <c r="A478" s="2">
        <v>40731</v>
      </c>
      <c r="B478" t="s">
        <v>28</v>
      </c>
      <c r="C478">
        <v>28</v>
      </c>
      <c r="D478" s="6" t="s">
        <v>29</v>
      </c>
      <c r="E478">
        <v>192</v>
      </c>
      <c r="F478">
        <v>0.76</v>
      </c>
      <c r="G478">
        <v>0</v>
      </c>
      <c r="O478">
        <f t="shared" si="27"/>
        <v>3.4125275999999993</v>
      </c>
    </row>
    <row r="479" spans="1:15" x14ac:dyDescent="0.25">
      <c r="A479" s="2">
        <v>40731</v>
      </c>
      <c r="B479" t="s">
        <v>28</v>
      </c>
      <c r="C479">
        <v>28</v>
      </c>
      <c r="D479" s="6" t="s">
        <v>29</v>
      </c>
      <c r="E479">
        <v>196</v>
      </c>
      <c r="F479">
        <v>0.88</v>
      </c>
      <c r="G479">
        <v>0</v>
      </c>
      <c r="O479">
        <f t="shared" si="27"/>
        <v>3.9015487999999992</v>
      </c>
    </row>
    <row r="480" spans="1:15" x14ac:dyDescent="0.25">
      <c r="A480" s="2">
        <v>40731</v>
      </c>
      <c r="B480" t="s">
        <v>28</v>
      </c>
      <c r="C480">
        <v>28</v>
      </c>
      <c r="D480" s="6" t="s">
        <v>29</v>
      </c>
      <c r="E480">
        <v>206</v>
      </c>
      <c r="F480">
        <v>0.7</v>
      </c>
      <c r="G480">
        <v>0</v>
      </c>
      <c r="O480">
        <f t="shared" si="27"/>
        <v>3.4188969999999999</v>
      </c>
    </row>
    <row r="481" spans="1:15" x14ac:dyDescent="0.25">
      <c r="A481" s="2">
        <v>40731</v>
      </c>
      <c r="B481" t="s">
        <v>28</v>
      </c>
      <c r="C481">
        <v>28</v>
      </c>
      <c r="D481" s="6" t="s">
        <v>29</v>
      </c>
      <c r="E481">
        <v>212</v>
      </c>
      <c r="F481">
        <v>0.57999999999999996</v>
      </c>
      <c r="G481">
        <v>0</v>
      </c>
      <c r="O481">
        <f t="shared" si="27"/>
        <v>3.0866757999999996</v>
      </c>
    </row>
    <row r="482" spans="1:15" x14ac:dyDescent="0.25">
      <c r="A482" s="2">
        <v>40731</v>
      </c>
      <c r="B482" t="s">
        <v>28</v>
      </c>
      <c r="C482">
        <v>28</v>
      </c>
      <c r="D482" s="6" t="s">
        <v>29</v>
      </c>
      <c r="E482">
        <v>214</v>
      </c>
      <c r="F482">
        <v>0.67</v>
      </c>
      <c r="G482">
        <v>0</v>
      </c>
      <c r="O482">
        <f t="shared" si="27"/>
        <v>3.4377616999999998</v>
      </c>
    </row>
    <row r="483" spans="1:15" x14ac:dyDescent="0.25">
      <c r="A483" s="2">
        <v>40731</v>
      </c>
      <c r="B483" t="s">
        <v>28</v>
      </c>
      <c r="C483">
        <v>28</v>
      </c>
      <c r="D483" s="6" t="s">
        <v>29</v>
      </c>
      <c r="E483">
        <v>219</v>
      </c>
      <c r="F483">
        <v>0.81</v>
      </c>
      <c r="G483">
        <v>0</v>
      </c>
      <c r="O483">
        <f t="shared" si="27"/>
        <v>4.0135130999999991</v>
      </c>
    </row>
    <row r="484" spans="1:15" x14ac:dyDescent="0.25">
      <c r="A484" s="2">
        <v>40731</v>
      </c>
      <c r="B484" t="s">
        <v>28</v>
      </c>
      <c r="C484">
        <v>28</v>
      </c>
      <c r="D484" s="6" t="s">
        <v>29</v>
      </c>
      <c r="E484">
        <v>235</v>
      </c>
      <c r="F484">
        <v>0.79</v>
      </c>
      <c r="G484">
        <v>0</v>
      </c>
      <c r="O484">
        <f t="shared" si="27"/>
        <v>4.1933428999999993</v>
      </c>
    </row>
    <row r="485" spans="1:15" x14ac:dyDescent="0.25">
      <c r="A485" s="2">
        <v>40731</v>
      </c>
      <c r="B485" t="s">
        <v>28</v>
      </c>
      <c r="C485">
        <v>28</v>
      </c>
      <c r="D485" s="6" t="s">
        <v>29</v>
      </c>
      <c r="E485">
        <v>238</v>
      </c>
      <c r="F485">
        <v>0.56000000000000005</v>
      </c>
      <c r="G485">
        <v>0</v>
      </c>
      <c r="O485">
        <f t="shared" si="27"/>
        <v>3.4233055999999995</v>
      </c>
    </row>
    <row r="486" spans="1:15" x14ac:dyDescent="0.25">
      <c r="A486" s="2">
        <v>40731</v>
      </c>
      <c r="B486" t="s">
        <v>28</v>
      </c>
      <c r="C486">
        <v>28</v>
      </c>
      <c r="D486" s="6" t="s">
        <v>29</v>
      </c>
      <c r="E486">
        <v>255</v>
      </c>
      <c r="F486">
        <v>0.71</v>
      </c>
      <c r="G486">
        <v>0</v>
      </c>
      <c r="O486">
        <f t="shared" si="27"/>
        <v>4.2227420999999996</v>
      </c>
    </row>
    <row r="487" spans="1:15" x14ac:dyDescent="0.25">
      <c r="A487" s="2">
        <v>40731</v>
      </c>
      <c r="B487" t="s">
        <v>28</v>
      </c>
      <c r="C487">
        <v>28</v>
      </c>
      <c r="D487" s="6" t="s">
        <v>29</v>
      </c>
      <c r="E487">
        <v>290</v>
      </c>
      <c r="F487">
        <v>0.44</v>
      </c>
      <c r="G487">
        <v>0</v>
      </c>
      <c r="O487">
        <f t="shared" si="27"/>
        <v>3.8123644000000003</v>
      </c>
    </row>
    <row r="488" spans="1:15" x14ac:dyDescent="0.25">
      <c r="A488" s="2">
        <v>40731</v>
      </c>
      <c r="B488" t="s">
        <v>28</v>
      </c>
      <c r="C488">
        <v>28</v>
      </c>
      <c r="D488" s="6" t="s">
        <v>29</v>
      </c>
      <c r="E488">
        <v>173</v>
      </c>
      <c r="F488">
        <v>0.76</v>
      </c>
      <c r="G488">
        <v>0</v>
      </c>
      <c r="O488">
        <f t="shared" si="27"/>
        <v>3.1146075999999998</v>
      </c>
    </row>
    <row r="489" spans="1:15" x14ac:dyDescent="0.25">
      <c r="A489" s="2">
        <v>40731</v>
      </c>
      <c r="B489" t="s">
        <v>28</v>
      </c>
      <c r="C489">
        <v>28</v>
      </c>
      <c r="D489" s="6" t="s">
        <v>19</v>
      </c>
      <c r="E489">
        <v>301</v>
      </c>
      <c r="F489">
        <v>2.58</v>
      </c>
      <c r="H489">
        <v>25</v>
      </c>
      <c r="I489">
        <v>2.6</v>
      </c>
      <c r="O489">
        <f>(0.66164*E489)+(16.34893*F489)+(1.11091*H489)+(-8.40694*I489)-154.2499</f>
        <v>92.998685399999971</v>
      </c>
    </row>
    <row r="490" spans="1:15" x14ac:dyDescent="0.25">
      <c r="A490" s="2">
        <v>40731</v>
      </c>
      <c r="B490" t="s">
        <v>28</v>
      </c>
      <c r="C490">
        <v>28</v>
      </c>
      <c r="D490" s="6" t="s">
        <v>19</v>
      </c>
      <c r="F490">
        <v>2.2400000000000002</v>
      </c>
      <c r="J490">
        <f>(82+149+158+220+244)</f>
        <v>853</v>
      </c>
      <c r="K490">
        <v>5</v>
      </c>
      <c r="L490">
        <v>244</v>
      </c>
      <c r="O490">
        <f>((-7.02235*K490)+(-0.30125*L490)+(0.09376*J490)+33.03698)</f>
        <v>4.3975099999999827</v>
      </c>
    </row>
    <row r="491" spans="1:15" x14ac:dyDescent="0.25">
      <c r="A491" s="2">
        <v>40731</v>
      </c>
      <c r="B491" t="s">
        <v>28</v>
      </c>
      <c r="C491">
        <v>28</v>
      </c>
      <c r="D491" s="6" t="s">
        <v>19</v>
      </c>
      <c r="F491">
        <v>2.1800000000000002</v>
      </c>
      <c r="J491">
        <f>(109+125+186+186+229+250)</f>
        <v>1085</v>
      </c>
      <c r="K491">
        <v>6</v>
      </c>
      <c r="L491">
        <v>250</v>
      </c>
      <c r="O491">
        <f>((-7.02235*K491)+(-0.30125*L491)+(0.09376*J491)+33.03698)</f>
        <v>17.319979999999987</v>
      </c>
    </row>
    <row r="492" spans="1:15" x14ac:dyDescent="0.25">
      <c r="A492" s="2">
        <v>40732</v>
      </c>
      <c r="B492" t="s">
        <v>36</v>
      </c>
      <c r="C492">
        <v>6</v>
      </c>
      <c r="D492" s="6" t="s">
        <v>12</v>
      </c>
      <c r="E492">
        <v>109</v>
      </c>
      <c r="F492">
        <v>0.63</v>
      </c>
      <c r="G492">
        <v>0</v>
      </c>
      <c r="N492">
        <f t="shared" ref="N492:N506" si="28">(1/3)*(3.14159)*((F492/2)^2)*E492</f>
        <v>11.325981728249999</v>
      </c>
      <c r="O492">
        <f>((0.03043*E492)+(0.02936*N492))</f>
        <v>3.6494008235414199</v>
      </c>
    </row>
    <row r="493" spans="1:15" x14ac:dyDescent="0.25">
      <c r="A493" s="2">
        <v>40732</v>
      </c>
      <c r="B493" t="s">
        <v>36</v>
      </c>
      <c r="C493">
        <v>6</v>
      </c>
      <c r="D493" s="6" t="s">
        <v>12</v>
      </c>
      <c r="E493">
        <v>127</v>
      </c>
      <c r="F493">
        <v>0.35</v>
      </c>
      <c r="G493">
        <v>0</v>
      </c>
      <c r="N493">
        <f t="shared" si="28"/>
        <v>4.0729405354166657</v>
      </c>
      <c r="O493">
        <f>((0.03043*E493)+(0.02936*N493))</f>
        <v>3.9841915341198333</v>
      </c>
    </row>
    <row r="494" spans="1:15" x14ac:dyDescent="0.25">
      <c r="A494" s="2">
        <v>40732</v>
      </c>
      <c r="B494" t="s">
        <v>36</v>
      </c>
      <c r="C494">
        <v>6</v>
      </c>
      <c r="D494" s="6" t="s">
        <v>12</v>
      </c>
      <c r="E494">
        <v>171</v>
      </c>
      <c r="F494">
        <v>0.35</v>
      </c>
      <c r="G494">
        <v>0</v>
      </c>
      <c r="N494">
        <f t="shared" si="28"/>
        <v>5.4840380437499991</v>
      </c>
      <c r="O494">
        <f>((0.03043*E494)+(0.02936*N494))</f>
        <v>5.3645413569644997</v>
      </c>
    </row>
    <row r="495" spans="1:15" x14ac:dyDescent="0.25">
      <c r="A495" s="2">
        <v>40732</v>
      </c>
      <c r="B495" t="s">
        <v>36</v>
      </c>
      <c r="C495">
        <v>6</v>
      </c>
      <c r="D495" s="6" t="s">
        <v>12</v>
      </c>
      <c r="E495">
        <v>171</v>
      </c>
      <c r="F495">
        <v>0.7</v>
      </c>
      <c r="G495">
        <v>2</v>
      </c>
      <c r="N495">
        <f t="shared" si="28"/>
        <v>21.936152174999997</v>
      </c>
      <c r="O495">
        <f>((0.03851*E495)+(0.0322*N495))</f>
        <v>7.2915541000350004</v>
      </c>
    </row>
    <row r="496" spans="1:15" x14ac:dyDescent="0.25">
      <c r="A496" s="2">
        <v>40732</v>
      </c>
      <c r="B496" t="s">
        <v>36</v>
      </c>
      <c r="C496">
        <v>6</v>
      </c>
      <c r="D496" s="6" t="s">
        <v>12</v>
      </c>
      <c r="E496">
        <v>209</v>
      </c>
      <c r="F496">
        <v>0.34</v>
      </c>
      <c r="G496">
        <v>0</v>
      </c>
      <c r="N496">
        <f t="shared" si="28"/>
        <v>6.3251725863333332</v>
      </c>
      <c r="O496">
        <f t="shared" ref="O496:O506" si="29">((0.03043*E496)+(0.02936*N496))</f>
        <v>6.5455770671347464</v>
      </c>
    </row>
    <row r="497" spans="1:15" x14ac:dyDescent="0.25">
      <c r="A497" s="2">
        <v>40732</v>
      </c>
      <c r="B497" t="s">
        <v>36</v>
      </c>
      <c r="C497">
        <v>6</v>
      </c>
      <c r="D497" s="6" t="s">
        <v>12</v>
      </c>
      <c r="E497">
        <v>215</v>
      </c>
      <c r="F497">
        <v>0.84</v>
      </c>
      <c r="G497">
        <v>0</v>
      </c>
      <c r="N497">
        <f t="shared" si="28"/>
        <v>39.715980779999995</v>
      </c>
      <c r="O497">
        <f t="shared" si="29"/>
        <v>7.7085111957007992</v>
      </c>
    </row>
    <row r="498" spans="1:15" x14ac:dyDescent="0.25">
      <c r="A498" s="2">
        <v>40732</v>
      </c>
      <c r="B498" t="s">
        <v>36</v>
      </c>
      <c r="C498">
        <v>6</v>
      </c>
      <c r="D498" s="6" t="s">
        <v>12</v>
      </c>
      <c r="E498">
        <v>225</v>
      </c>
      <c r="F498">
        <v>0.6</v>
      </c>
      <c r="G498">
        <v>0</v>
      </c>
      <c r="N498">
        <f t="shared" si="28"/>
        <v>21.205732499999996</v>
      </c>
      <c r="O498">
        <f t="shared" si="29"/>
        <v>7.4693503062</v>
      </c>
    </row>
    <row r="499" spans="1:15" x14ac:dyDescent="0.25">
      <c r="A499" s="2">
        <v>40732</v>
      </c>
      <c r="B499" t="s">
        <v>36</v>
      </c>
      <c r="C499">
        <v>6</v>
      </c>
      <c r="D499" s="6" t="s">
        <v>12</v>
      </c>
      <c r="E499">
        <v>240</v>
      </c>
      <c r="F499">
        <v>1.01</v>
      </c>
      <c r="G499">
        <v>0</v>
      </c>
      <c r="N499">
        <f t="shared" si="28"/>
        <v>64.094719179999998</v>
      </c>
      <c r="O499">
        <f t="shared" si="29"/>
        <v>9.1850209551247985</v>
      </c>
    </row>
    <row r="500" spans="1:15" x14ac:dyDescent="0.25">
      <c r="A500" s="2">
        <v>40732</v>
      </c>
      <c r="B500" t="s">
        <v>36</v>
      </c>
      <c r="C500">
        <v>6</v>
      </c>
      <c r="D500" s="6" t="s">
        <v>12</v>
      </c>
      <c r="E500">
        <v>253</v>
      </c>
      <c r="F500">
        <v>2.74</v>
      </c>
      <c r="G500">
        <v>0</v>
      </c>
      <c r="N500">
        <f t="shared" si="28"/>
        <v>497.26730618766669</v>
      </c>
      <c r="O500">
        <f t="shared" si="29"/>
        <v>22.298558109669894</v>
      </c>
    </row>
    <row r="501" spans="1:15" x14ac:dyDescent="0.25">
      <c r="A501" s="2">
        <v>40732</v>
      </c>
      <c r="B501" t="s">
        <v>36</v>
      </c>
      <c r="C501">
        <v>6</v>
      </c>
      <c r="D501" s="6" t="s">
        <v>12</v>
      </c>
      <c r="E501">
        <v>261</v>
      </c>
      <c r="F501">
        <v>0.89</v>
      </c>
      <c r="G501">
        <v>0</v>
      </c>
      <c r="N501">
        <f t="shared" si="28"/>
        <v>54.123862298249996</v>
      </c>
      <c r="O501">
        <f t="shared" si="29"/>
        <v>9.53130659707662</v>
      </c>
    </row>
    <row r="502" spans="1:15" x14ac:dyDescent="0.25">
      <c r="A502" s="2">
        <v>40732</v>
      </c>
      <c r="B502" t="s">
        <v>36</v>
      </c>
      <c r="C502">
        <v>6</v>
      </c>
      <c r="D502" s="6" t="s">
        <v>12</v>
      </c>
      <c r="E502">
        <v>274</v>
      </c>
      <c r="F502">
        <v>0.86</v>
      </c>
      <c r="G502">
        <v>0</v>
      </c>
      <c r="N502">
        <f t="shared" si="28"/>
        <v>53.053705844666652</v>
      </c>
      <c r="O502">
        <f t="shared" si="29"/>
        <v>9.8954768035994114</v>
      </c>
    </row>
    <row r="503" spans="1:15" x14ac:dyDescent="0.25">
      <c r="A503" s="2">
        <v>40732</v>
      </c>
      <c r="B503" t="s">
        <v>36</v>
      </c>
      <c r="C503">
        <v>6</v>
      </c>
      <c r="D503" s="6" t="s">
        <v>12</v>
      </c>
      <c r="E503">
        <v>279</v>
      </c>
      <c r="F503">
        <v>0.7</v>
      </c>
      <c r="G503">
        <v>0</v>
      </c>
      <c r="N503">
        <f t="shared" si="28"/>
        <v>35.790564074999992</v>
      </c>
      <c r="O503">
        <f t="shared" si="29"/>
        <v>9.5407809612419996</v>
      </c>
    </row>
    <row r="504" spans="1:15" x14ac:dyDescent="0.25">
      <c r="A504" s="2">
        <v>40732</v>
      </c>
      <c r="B504" t="s">
        <v>36</v>
      </c>
      <c r="C504">
        <v>6</v>
      </c>
      <c r="D504" s="6" t="s">
        <v>12</v>
      </c>
      <c r="E504">
        <v>284</v>
      </c>
      <c r="F504">
        <v>0.91</v>
      </c>
      <c r="G504">
        <v>0</v>
      </c>
      <c r="N504">
        <f t="shared" si="28"/>
        <v>61.570032736333332</v>
      </c>
      <c r="O504">
        <f t="shared" si="29"/>
        <v>10.449816161138747</v>
      </c>
    </row>
    <row r="505" spans="1:15" x14ac:dyDescent="0.25">
      <c r="A505" s="2">
        <v>40732</v>
      </c>
      <c r="B505" t="s">
        <v>36</v>
      </c>
      <c r="C505">
        <v>6</v>
      </c>
      <c r="D505" s="6" t="s">
        <v>12</v>
      </c>
      <c r="E505">
        <v>305</v>
      </c>
      <c r="F505">
        <v>0.98</v>
      </c>
      <c r="G505">
        <v>0</v>
      </c>
      <c r="N505">
        <f t="shared" si="28"/>
        <v>76.68673549833332</v>
      </c>
      <c r="O505">
        <f t="shared" si="29"/>
        <v>11.532672554231066</v>
      </c>
    </row>
    <row r="506" spans="1:15" x14ac:dyDescent="0.25">
      <c r="A506" s="2">
        <v>40732</v>
      </c>
      <c r="B506" t="s">
        <v>36</v>
      </c>
      <c r="C506">
        <v>6</v>
      </c>
      <c r="D506" s="6" t="s">
        <v>12</v>
      </c>
      <c r="E506">
        <v>328</v>
      </c>
      <c r="F506">
        <v>0.77</v>
      </c>
      <c r="G506">
        <v>0</v>
      </c>
      <c r="N506">
        <f t="shared" si="28"/>
        <v>50.912398100666657</v>
      </c>
      <c r="O506">
        <f t="shared" si="29"/>
        <v>11.475828008235574</v>
      </c>
    </row>
    <row r="507" spans="1:15" x14ac:dyDescent="0.25">
      <c r="A507" s="2">
        <v>40732</v>
      </c>
      <c r="B507" t="s">
        <v>36</v>
      </c>
      <c r="C507">
        <v>6</v>
      </c>
      <c r="D507" s="6" t="s">
        <v>19</v>
      </c>
      <c r="E507">
        <v>226</v>
      </c>
      <c r="F507">
        <v>2.2200000000000002</v>
      </c>
      <c r="H507">
        <v>18</v>
      </c>
      <c r="I507">
        <v>0.7</v>
      </c>
      <c r="O507">
        <f>(0.66164*E507)+(16.34893*F507)+(1.11091*H507)+(-8.40694*I507)-154.2499</f>
        <v>45.686886600000008</v>
      </c>
    </row>
    <row r="508" spans="1:15" x14ac:dyDescent="0.25">
      <c r="A508" s="2">
        <v>40732</v>
      </c>
      <c r="B508" t="s">
        <v>36</v>
      </c>
      <c r="C508">
        <v>6</v>
      </c>
      <c r="D508" s="6" t="s">
        <v>19</v>
      </c>
      <c r="E508">
        <v>349</v>
      </c>
      <c r="F508">
        <v>2.63</v>
      </c>
      <c r="H508">
        <v>24</v>
      </c>
      <c r="I508">
        <v>2</v>
      </c>
      <c r="O508">
        <f>(0.66164*E508)+(16.34893*F508)+(1.11091*H508)+(-8.40694*I508)-154.2499</f>
        <v>129.5081059</v>
      </c>
    </row>
    <row r="509" spans="1:15" x14ac:dyDescent="0.25">
      <c r="A509" s="2">
        <v>40732</v>
      </c>
      <c r="B509" t="s">
        <v>36</v>
      </c>
      <c r="C509">
        <v>6</v>
      </c>
      <c r="D509" s="6" t="s">
        <v>19</v>
      </c>
      <c r="E509">
        <v>367</v>
      </c>
      <c r="F509">
        <v>3.04</v>
      </c>
      <c r="H509">
        <v>33</v>
      </c>
      <c r="I509">
        <v>2.2999999999999998</v>
      </c>
      <c r="O509">
        <f>(0.66164*E509)+(16.34893*F509)+(1.11091*H509)+(-8.40694*I509)-154.2499</f>
        <v>155.5967952</v>
      </c>
    </row>
    <row r="510" spans="1:15" x14ac:dyDescent="0.25">
      <c r="A510" s="2">
        <v>40732</v>
      </c>
      <c r="B510" t="s">
        <v>36</v>
      </c>
      <c r="C510">
        <v>6</v>
      </c>
      <c r="D510" s="6" t="s">
        <v>19</v>
      </c>
      <c r="E510">
        <v>371</v>
      </c>
      <c r="F510">
        <v>3.24</v>
      </c>
      <c r="H510">
        <v>33</v>
      </c>
      <c r="I510">
        <v>2.4</v>
      </c>
      <c r="O510">
        <f>(0.66164*E510)+(16.34893*F510)+(1.11091*H510)+(-8.40694*I510)-154.2499</f>
        <v>160.67244720000005</v>
      </c>
    </row>
    <row r="511" spans="1:15" x14ac:dyDescent="0.25">
      <c r="A511" s="2">
        <v>40732</v>
      </c>
      <c r="B511" t="s">
        <v>36</v>
      </c>
      <c r="C511">
        <v>6</v>
      </c>
      <c r="D511" s="6" t="s">
        <v>19</v>
      </c>
      <c r="F511">
        <v>1.05</v>
      </c>
      <c r="J511">
        <f>SUM(215,264,288,304)</f>
        <v>1071</v>
      </c>
      <c r="K511">
        <v>4</v>
      </c>
      <c r="L511">
        <v>304</v>
      </c>
      <c r="O511">
        <f>((-7.02235*K511)+(-0.30125*L511)+(0.09376*J511)+33.03698)</f>
        <v>13.784539999999978</v>
      </c>
    </row>
    <row r="512" spans="1:15" x14ac:dyDescent="0.25">
      <c r="A512" s="2">
        <v>40732</v>
      </c>
      <c r="B512" t="s">
        <v>36</v>
      </c>
      <c r="C512">
        <v>6</v>
      </c>
      <c r="D512" s="6" t="s">
        <v>19</v>
      </c>
      <c r="F512">
        <v>1.4</v>
      </c>
      <c r="J512">
        <f>SUM(227,227,283,296,310)</f>
        <v>1343</v>
      </c>
      <c r="K512">
        <v>5</v>
      </c>
      <c r="L512">
        <v>310</v>
      </c>
      <c r="O512">
        <f>((-7.02235*K512)+(-0.30125*L512)+(0.09376*J512)+33.03698)</f>
        <v>30.457409999999982</v>
      </c>
    </row>
    <row r="513" spans="1:15" x14ac:dyDescent="0.25">
      <c r="A513" s="2">
        <v>40732</v>
      </c>
      <c r="B513" t="s">
        <v>36</v>
      </c>
      <c r="C513">
        <v>8</v>
      </c>
      <c r="D513" s="6" t="s">
        <v>12</v>
      </c>
      <c r="E513">
        <v>185</v>
      </c>
      <c r="F513">
        <v>1.68</v>
      </c>
      <c r="G513">
        <v>0</v>
      </c>
      <c r="N513">
        <f t="shared" ref="N513:N538" si="30">(1/3)*(3.14159)*((F513/2)^2)*E513</f>
        <v>136.69686407999998</v>
      </c>
      <c r="O513">
        <f>((0.03043*E513)+(0.02936*N513))</f>
        <v>9.6429699293887996</v>
      </c>
    </row>
    <row r="514" spans="1:15" x14ac:dyDescent="0.25">
      <c r="A514" s="2">
        <v>40732</v>
      </c>
      <c r="B514" t="s">
        <v>36</v>
      </c>
      <c r="C514">
        <v>8</v>
      </c>
      <c r="D514" s="6" t="s">
        <v>12</v>
      </c>
      <c r="E514">
        <v>203</v>
      </c>
      <c r="F514">
        <v>0.98</v>
      </c>
      <c r="G514">
        <v>0</v>
      </c>
      <c r="N514">
        <f t="shared" si="30"/>
        <v>51.04067969233332</v>
      </c>
      <c r="O514">
        <f>((0.03043*E514)+(0.02936*N514))</f>
        <v>7.6758443557669063</v>
      </c>
    </row>
    <row r="515" spans="1:15" x14ac:dyDescent="0.25">
      <c r="A515" s="2">
        <v>40732</v>
      </c>
      <c r="B515" t="s">
        <v>36</v>
      </c>
      <c r="C515">
        <v>8</v>
      </c>
      <c r="D515" s="6" t="s">
        <v>12</v>
      </c>
      <c r="E515">
        <v>206</v>
      </c>
      <c r="F515">
        <v>1.1499999999999999</v>
      </c>
      <c r="G515">
        <v>0</v>
      </c>
      <c r="N515">
        <f t="shared" si="30"/>
        <v>71.323255970833316</v>
      </c>
      <c r="O515">
        <f>((0.03043*E515)+(0.02936*N515))</f>
        <v>8.3626307953036658</v>
      </c>
    </row>
    <row r="516" spans="1:15" x14ac:dyDescent="0.25">
      <c r="A516" s="2">
        <v>40732</v>
      </c>
      <c r="B516" t="s">
        <v>36</v>
      </c>
      <c r="C516">
        <v>8</v>
      </c>
      <c r="D516" s="6" t="s">
        <v>12</v>
      </c>
      <c r="E516">
        <v>212</v>
      </c>
      <c r="F516">
        <v>0.75</v>
      </c>
      <c r="G516">
        <v>16</v>
      </c>
      <c r="N516">
        <f t="shared" si="30"/>
        <v>31.219550624999997</v>
      </c>
      <c r="O516">
        <f>((0.03851*E516)+(0.0322*N516))</f>
        <v>9.1693895301250006</v>
      </c>
    </row>
    <row r="517" spans="1:15" x14ac:dyDescent="0.25">
      <c r="A517" s="2">
        <v>40732</v>
      </c>
      <c r="B517" t="s">
        <v>36</v>
      </c>
      <c r="C517">
        <v>8</v>
      </c>
      <c r="D517" s="6" t="s">
        <v>12</v>
      </c>
      <c r="E517">
        <v>218</v>
      </c>
      <c r="F517">
        <v>1.1000000000000001</v>
      </c>
      <c r="G517">
        <v>0</v>
      </c>
      <c r="N517">
        <f t="shared" si="30"/>
        <v>69.05738418333334</v>
      </c>
      <c r="O517">
        <f>((0.03043*E517)+(0.02936*N517))</f>
        <v>8.6612647996226659</v>
      </c>
    </row>
    <row r="518" spans="1:15" x14ac:dyDescent="0.25">
      <c r="A518" s="2">
        <v>40732</v>
      </c>
      <c r="B518" t="s">
        <v>36</v>
      </c>
      <c r="C518">
        <v>8</v>
      </c>
      <c r="D518" s="6" t="s">
        <v>12</v>
      </c>
      <c r="E518">
        <v>236</v>
      </c>
      <c r="F518">
        <v>1.1000000000000001</v>
      </c>
      <c r="G518">
        <v>4</v>
      </c>
      <c r="N518">
        <f t="shared" si="30"/>
        <v>74.75937003333334</v>
      </c>
      <c r="O518">
        <f>((0.03851*E518)+(0.0322*N518))</f>
        <v>11.495611715073334</v>
      </c>
    </row>
    <row r="519" spans="1:15" x14ac:dyDescent="0.25">
      <c r="A519" s="2">
        <v>40732</v>
      </c>
      <c r="B519" t="s">
        <v>36</v>
      </c>
      <c r="C519">
        <v>8</v>
      </c>
      <c r="D519" s="6" t="s">
        <v>12</v>
      </c>
      <c r="E519">
        <v>240</v>
      </c>
      <c r="F519">
        <v>0.98</v>
      </c>
      <c r="G519">
        <v>0</v>
      </c>
      <c r="N519">
        <f t="shared" si="30"/>
        <v>60.343660719999988</v>
      </c>
      <c r="O519">
        <f>((0.03043*E519)+(0.02936*N519))</f>
        <v>9.0748898787391994</v>
      </c>
    </row>
    <row r="520" spans="1:15" x14ac:dyDescent="0.25">
      <c r="A520" s="2">
        <v>40732</v>
      </c>
      <c r="B520" t="s">
        <v>36</v>
      </c>
      <c r="C520">
        <v>8</v>
      </c>
      <c r="D520" s="6" t="s">
        <v>12</v>
      </c>
      <c r="E520">
        <v>240</v>
      </c>
      <c r="F520">
        <v>1.1000000000000001</v>
      </c>
      <c r="G520">
        <v>0</v>
      </c>
      <c r="N520">
        <f t="shared" si="30"/>
        <v>76.026477999999997</v>
      </c>
      <c r="O520">
        <f>((0.03043*E520)+(0.02936*N520))</f>
        <v>9.535337394079999</v>
      </c>
    </row>
    <row r="521" spans="1:15" x14ac:dyDescent="0.25">
      <c r="A521" s="2">
        <v>40732</v>
      </c>
      <c r="B521" t="s">
        <v>36</v>
      </c>
      <c r="C521">
        <v>8</v>
      </c>
      <c r="D521" s="6" t="s">
        <v>12</v>
      </c>
      <c r="E521">
        <v>241</v>
      </c>
      <c r="F521">
        <v>0.97</v>
      </c>
      <c r="G521">
        <v>7</v>
      </c>
      <c r="N521">
        <f t="shared" si="30"/>
        <v>59.364767455916656</v>
      </c>
      <c r="O521">
        <f>((0.03851*E521)+(0.0322*N521))</f>
        <v>11.192455512080517</v>
      </c>
    </row>
    <row r="522" spans="1:15" x14ac:dyDescent="0.25">
      <c r="A522" s="2">
        <v>40732</v>
      </c>
      <c r="B522" t="s">
        <v>36</v>
      </c>
      <c r="C522">
        <v>8</v>
      </c>
      <c r="D522" s="6" t="s">
        <v>12</v>
      </c>
      <c r="E522">
        <v>250</v>
      </c>
      <c r="F522">
        <v>1.01</v>
      </c>
      <c r="G522">
        <v>0</v>
      </c>
      <c r="N522">
        <f t="shared" si="30"/>
        <v>66.765332479166659</v>
      </c>
      <c r="O522">
        <f>((0.03043*E522)+(0.02936*N522))</f>
        <v>9.567730161588333</v>
      </c>
    </row>
    <row r="523" spans="1:15" x14ac:dyDescent="0.25">
      <c r="A523" s="2">
        <v>40732</v>
      </c>
      <c r="B523" t="s">
        <v>36</v>
      </c>
      <c r="C523">
        <v>8</v>
      </c>
      <c r="D523" s="6" t="s">
        <v>12</v>
      </c>
      <c r="E523">
        <v>250</v>
      </c>
      <c r="F523">
        <v>0.68</v>
      </c>
      <c r="G523">
        <v>2</v>
      </c>
      <c r="N523">
        <f t="shared" si="30"/>
        <v>30.263983666666668</v>
      </c>
      <c r="O523">
        <f>((0.03851*E523)+(0.0322*N523))</f>
        <v>10.602000274066668</v>
      </c>
    </row>
    <row r="524" spans="1:15" x14ac:dyDescent="0.25">
      <c r="A524" s="2">
        <v>40732</v>
      </c>
      <c r="B524" t="s">
        <v>36</v>
      </c>
      <c r="C524">
        <v>8</v>
      </c>
      <c r="D524" s="6" t="s">
        <v>12</v>
      </c>
      <c r="E524">
        <v>260</v>
      </c>
      <c r="F524">
        <v>0.85</v>
      </c>
      <c r="G524">
        <v>5</v>
      </c>
      <c r="N524">
        <f t="shared" si="30"/>
        <v>49.178973458333317</v>
      </c>
      <c r="O524">
        <f>((0.03851*E524)+(0.0322*N524))</f>
        <v>11.596162945358333</v>
      </c>
    </row>
    <row r="525" spans="1:15" x14ac:dyDescent="0.25">
      <c r="A525" s="2">
        <v>40732</v>
      </c>
      <c r="B525" t="s">
        <v>36</v>
      </c>
      <c r="C525">
        <v>8</v>
      </c>
      <c r="D525" s="6" t="s">
        <v>12</v>
      </c>
      <c r="E525">
        <v>265</v>
      </c>
      <c r="F525">
        <v>0.89</v>
      </c>
      <c r="G525">
        <v>6</v>
      </c>
      <c r="N525">
        <f t="shared" si="30"/>
        <v>54.953346777916664</v>
      </c>
      <c r="O525">
        <f>((0.03851*E525)+(0.0322*N525))</f>
        <v>11.974647766248918</v>
      </c>
    </row>
    <row r="526" spans="1:15" x14ac:dyDescent="0.25">
      <c r="A526" s="2">
        <v>40732</v>
      </c>
      <c r="B526" t="s">
        <v>36</v>
      </c>
      <c r="C526">
        <v>8</v>
      </c>
      <c r="D526" s="6" t="s">
        <v>12</v>
      </c>
      <c r="E526">
        <v>267</v>
      </c>
      <c r="F526">
        <v>1</v>
      </c>
      <c r="G526">
        <v>0</v>
      </c>
      <c r="N526">
        <f t="shared" si="30"/>
        <v>69.900377499999991</v>
      </c>
      <c r="O526">
        <f>((0.03043*E526)+(0.02936*N526))</f>
        <v>10.1770850834</v>
      </c>
    </row>
    <row r="527" spans="1:15" x14ac:dyDescent="0.25">
      <c r="A527" s="2">
        <v>40732</v>
      </c>
      <c r="B527" t="s">
        <v>36</v>
      </c>
      <c r="C527">
        <v>8</v>
      </c>
      <c r="D527" s="6" t="s">
        <v>12</v>
      </c>
      <c r="E527">
        <v>269</v>
      </c>
      <c r="F527">
        <v>1.03</v>
      </c>
      <c r="G527">
        <v>9</v>
      </c>
      <c r="N527">
        <f t="shared" si="30"/>
        <v>74.712795961583325</v>
      </c>
      <c r="O527">
        <f>((0.03851*E527)+(0.0322*N527))</f>
        <v>12.764942029962983</v>
      </c>
    </row>
    <row r="528" spans="1:15" x14ac:dyDescent="0.25">
      <c r="A528" s="2">
        <v>40732</v>
      </c>
      <c r="B528" t="s">
        <v>36</v>
      </c>
      <c r="C528">
        <v>8</v>
      </c>
      <c r="D528" s="6" t="s">
        <v>12</v>
      </c>
      <c r="E528">
        <v>279</v>
      </c>
      <c r="F528">
        <v>1</v>
      </c>
      <c r="G528">
        <v>0</v>
      </c>
      <c r="N528">
        <f t="shared" si="30"/>
        <v>73.041967499999998</v>
      </c>
      <c r="O528">
        <f>((0.03043*E528)+(0.02936*N528))</f>
        <v>10.6344821658</v>
      </c>
    </row>
    <row r="529" spans="1:15" x14ac:dyDescent="0.25">
      <c r="A529" s="2">
        <v>40732</v>
      </c>
      <c r="B529" t="s">
        <v>36</v>
      </c>
      <c r="C529">
        <v>8</v>
      </c>
      <c r="D529" s="6" t="s">
        <v>12</v>
      </c>
      <c r="E529">
        <v>279</v>
      </c>
      <c r="F529">
        <v>0.8</v>
      </c>
      <c r="G529">
        <v>5</v>
      </c>
      <c r="N529">
        <f t="shared" si="30"/>
        <v>46.746859200000003</v>
      </c>
      <c r="O529">
        <f>((0.03851*E529)+(0.0322*N529))</f>
        <v>12.249538866240002</v>
      </c>
    </row>
    <row r="530" spans="1:15" x14ac:dyDescent="0.25">
      <c r="A530" s="2">
        <v>40732</v>
      </c>
      <c r="B530" t="s">
        <v>36</v>
      </c>
      <c r="C530">
        <v>8</v>
      </c>
      <c r="D530" s="6" t="s">
        <v>12</v>
      </c>
      <c r="E530">
        <v>279</v>
      </c>
      <c r="F530">
        <v>1.1599999999999999</v>
      </c>
      <c r="G530">
        <v>3</v>
      </c>
      <c r="N530">
        <f t="shared" si="30"/>
        <v>98.285271467999976</v>
      </c>
      <c r="O530">
        <f>((0.03851*E530)+(0.0322*N530))</f>
        <v>13.9090757412696</v>
      </c>
    </row>
    <row r="531" spans="1:15" x14ac:dyDescent="0.25">
      <c r="A531" s="2">
        <v>40732</v>
      </c>
      <c r="B531" t="s">
        <v>36</v>
      </c>
      <c r="C531">
        <v>8</v>
      </c>
      <c r="D531" s="6" t="s">
        <v>12</v>
      </c>
      <c r="E531">
        <v>280</v>
      </c>
      <c r="F531">
        <v>0.9</v>
      </c>
      <c r="G531">
        <v>0</v>
      </c>
      <c r="N531">
        <f t="shared" si="30"/>
        <v>59.376050999999997</v>
      </c>
      <c r="O531">
        <f>((0.03043*E531)+(0.02936*N531))</f>
        <v>10.263680857360001</v>
      </c>
    </row>
    <row r="532" spans="1:15" x14ac:dyDescent="0.25">
      <c r="A532" s="2">
        <v>40732</v>
      </c>
      <c r="B532" t="s">
        <v>36</v>
      </c>
      <c r="C532">
        <v>8</v>
      </c>
      <c r="D532" s="6" t="s">
        <v>12</v>
      </c>
      <c r="E532">
        <v>301</v>
      </c>
      <c r="F532">
        <v>1.18</v>
      </c>
      <c r="G532">
        <v>12</v>
      </c>
      <c r="N532">
        <f t="shared" si="30"/>
        <v>109.72327705966664</v>
      </c>
      <c r="O532">
        <f>((0.03851*E532)+(0.0322*N532))</f>
        <v>15.124599521321267</v>
      </c>
    </row>
    <row r="533" spans="1:15" x14ac:dyDescent="0.25">
      <c r="A533" s="2">
        <v>40732</v>
      </c>
      <c r="B533" t="s">
        <v>36</v>
      </c>
      <c r="C533">
        <v>8</v>
      </c>
      <c r="D533" s="6" t="s">
        <v>12</v>
      </c>
      <c r="E533">
        <v>302</v>
      </c>
      <c r="F533">
        <v>0.9</v>
      </c>
      <c r="G533">
        <v>0</v>
      </c>
      <c r="N533">
        <f t="shared" si="30"/>
        <v>64.041312149999996</v>
      </c>
      <c r="O533">
        <f>((0.03043*E533)+(0.02936*N533))</f>
        <v>11.070112924723999</v>
      </c>
    </row>
    <row r="534" spans="1:15" x14ac:dyDescent="0.25">
      <c r="A534" s="2">
        <v>40732</v>
      </c>
      <c r="B534" t="s">
        <v>36</v>
      </c>
      <c r="C534">
        <v>8</v>
      </c>
      <c r="D534" s="6" t="s">
        <v>12</v>
      </c>
      <c r="E534">
        <v>304</v>
      </c>
      <c r="F534">
        <v>0.98</v>
      </c>
      <c r="G534">
        <v>0</v>
      </c>
      <c r="N534">
        <f t="shared" si="30"/>
        <v>76.435303578666648</v>
      </c>
      <c r="O534">
        <f>((0.03043*E534)+(0.02936*N534))</f>
        <v>11.494860513069652</v>
      </c>
    </row>
    <row r="535" spans="1:15" x14ac:dyDescent="0.25">
      <c r="A535" s="2">
        <v>40732</v>
      </c>
      <c r="B535" t="s">
        <v>36</v>
      </c>
      <c r="C535">
        <v>8</v>
      </c>
      <c r="D535" s="6" t="s">
        <v>12</v>
      </c>
      <c r="E535">
        <v>305</v>
      </c>
      <c r="F535">
        <v>1.07</v>
      </c>
      <c r="G535">
        <v>3</v>
      </c>
      <c r="N535">
        <f t="shared" si="30"/>
        <v>91.418829104583324</v>
      </c>
      <c r="O535">
        <f>((0.03851*E535)+(0.0322*N535))</f>
        <v>14.689236297167584</v>
      </c>
    </row>
    <row r="536" spans="1:15" x14ac:dyDescent="0.25">
      <c r="A536" s="2">
        <v>40732</v>
      </c>
      <c r="B536" t="s">
        <v>36</v>
      </c>
      <c r="C536">
        <v>8</v>
      </c>
      <c r="D536" s="6" t="s">
        <v>12</v>
      </c>
      <c r="E536">
        <v>312</v>
      </c>
      <c r="F536">
        <v>1.26</v>
      </c>
      <c r="G536">
        <v>0</v>
      </c>
      <c r="N536">
        <f t="shared" si="30"/>
        <v>129.67729538399999</v>
      </c>
      <c r="O536">
        <f>((0.03043*E536)+(0.02936*N536))</f>
        <v>13.301485392474239</v>
      </c>
    </row>
    <row r="537" spans="1:15" x14ac:dyDescent="0.25">
      <c r="A537" s="2">
        <v>40732</v>
      </c>
      <c r="B537" t="s">
        <v>36</v>
      </c>
      <c r="C537">
        <v>8</v>
      </c>
      <c r="D537" s="6" t="s">
        <v>12</v>
      </c>
      <c r="E537">
        <v>317</v>
      </c>
      <c r="F537">
        <v>1.3</v>
      </c>
      <c r="G537">
        <v>0</v>
      </c>
      <c r="N537">
        <f t="shared" si="30"/>
        <v>140.25366755833332</v>
      </c>
      <c r="O537">
        <f>((0.03043*E537)+(0.02936*N537))</f>
        <v>13.764157679512666</v>
      </c>
    </row>
    <row r="538" spans="1:15" x14ac:dyDescent="0.25">
      <c r="A538" s="2">
        <v>40732</v>
      </c>
      <c r="B538" t="s">
        <v>36</v>
      </c>
      <c r="C538">
        <v>8</v>
      </c>
      <c r="D538" s="6" t="s">
        <v>12</v>
      </c>
      <c r="E538">
        <v>326</v>
      </c>
      <c r="F538">
        <v>1.01</v>
      </c>
      <c r="G538">
        <v>3</v>
      </c>
      <c r="N538">
        <f t="shared" si="30"/>
        <v>87.061993552833329</v>
      </c>
      <c r="O538">
        <f>((0.03851*E538)+(0.0322*N538))</f>
        <v>15.357656192401233</v>
      </c>
    </row>
    <row r="539" spans="1:15" x14ac:dyDescent="0.25">
      <c r="A539" s="2">
        <v>40732</v>
      </c>
      <c r="B539" t="s">
        <v>36</v>
      </c>
      <c r="C539">
        <v>8</v>
      </c>
      <c r="D539" s="6" t="s">
        <v>16</v>
      </c>
      <c r="E539">
        <v>253</v>
      </c>
      <c r="F539">
        <v>0.95</v>
      </c>
      <c r="G539">
        <v>10</v>
      </c>
      <c r="N539">
        <f>((1/3)*(3.14159)*((F539/2)^2)*E539)</f>
        <v>59.777258222916657</v>
      </c>
      <c r="O539">
        <f>((0.03851*E539)+(0.0322*N539))</f>
        <v>11.667857714777917</v>
      </c>
    </row>
    <row r="540" spans="1:15" x14ac:dyDescent="0.25">
      <c r="A540" s="2">
        <v>40732</v>
      </c>
      <c r="B540" t="s">
        <v>36</v>
      </c>
      <c r="C540">
        <v>8</v>
      </c>
      <c r="D540" s="6" t="s">
        <v>19</v>
      </c>
      <c r="E540">
        <v>293</v>
      </c>
      <c r="F540">
        <v>2.2000000000000002</v>
      </c>
      <c r="H540">
        <v>33</v>
      </c>
      <c r="I540">
        <v>1.9</v>
      </c>
      <c r="O540">
        <f>(0.66164*E540)+(16.34893*F540)+(1.11091*H540)+(-8.40694*I540)-154.2499</f>
        <v>96.265110000000021</v>
      </c>
    </row>
    <row r="541" spans="1:15" x14ac:dyDescent="0.25">
      <c r="A541" s="2">
        <v>40732</v>
      </c>
      <c r="B541" t="s">
        <v>36</v>
      </c>
      <c r="C541">
        <v>8</v>
      </c>
      <c r="D541" s="6" t="s">
        <v>19</v>
      </c>
      <c r="E541">
        <v>301</v>
      </c>
      <c r="F541">
        <v>2.08</v>
      </c>
      <c r="H541">
        <v>23</v>
      </c>
      <c r="I541">
        <v>1.5</v>
      </c>
      <c r="O541">
        <f>(0.66164*E541)+(16.34893*F541)+(1.11091*H541)+(-8.40694*I541)-154.2499</f>
        <v>91.850034399999998</v>
      </c>
    </row>
    <row r="542" spans="1:15" x14ac:dyDescent="0.25">
      <c r="A542" s="2">
        <v>40732</v>
      </c>
      <c r="B542" t="s">
        <v>36</v>
      </c>
      <c r="C542">
        <v>8</v>
      </c>
      <c r="D542" s="6" t="s">
        <v>19</v>
      </c>
      <c r="E542">
        <v>305</v>
      </c>
      <c r="F542">
        <v>2.25</v>
      </c>
      <c r="H542">
        <v>20</v>
      </c>
      <c r="I542">
        <v>1.2</v>
      </c>
      <c r="O542">
        <f>(0.66164*E542)+(16.34893*F542)+(1.11091*H542)+(-8.40694*I542)-154.2499</f>
        <v>96.465264500000018</v>
      </c>
    </row>
    <row r="543" spans="1:15" x14ac:dyDescent="0.25">
      <c r="A543" s="2">
        <v>40732</v>
      </c>
      <c r="B543" t="s">
        <v>36</v>
      </c>
      <c r="C543">
        <v>8</v>
      </c>
      <c r="D543" s="6" t="s">
        <v>19</v>
      </c>
      <c r="E543">
        <v>307</v>
      </c>
      <c r="F543">
        <v>2.16</v>
      </c>
      <c r="H543">
        <v>28</v>
      </c>
      <c r="I543">
        <v>1.8</v>
      </c>
      <c r="O543">
        <f>(0.66164*E543)+(16.34893*F543)+(1.11091*H543)+(-8.40694*I543)-154.2499</f>
        <v>100.16025679999998</v>
      </c>
    </row>
    <row r="544" spans="1:15" x14ac:dyDescent="0.25">
      <c r="A544" s="2">
        <v>40732</v>
      </c>
      <c r="B544" t="s">
        <v>36</v>
      </c>
      <c r="C544">
        <v>8</v>
      </c>
      <c r="D544" s="6" t="s">
        <v>19</v>
      </c>
      <c r="E544">
        <v>310</v>
      </c>
      <c r="F544">
        <v>2.25</v>
      </c>
      <c r="H544">
        <v>17</v>
      </c>
      <c r="I544">
        <v>2.2999999999999998</v>
      </c>
      <c r="O544">
        <f>(0.66164*E544)+(16.34893*F544)+(1.11091*H544)+(-8.40694*I544)-154.2499</f>
        <v>87.193100499999986</v>
      </c>
    </row>
    <row r="545" spans="1:15" x14ac:dyDescent="0.25">
      <c r="A545" s="2">
        <v>40732</v>
      </c>
      <c r="B545" t="s">
        <v>36</v>
      </c>
      <c r="C545">
        <v>8</v>
      </c>
      <c r="D545" s="6" t="s">
        <v>19</v>
      </c>
      <c r="F545">
        <v>0.9</v>
      </c>
      <c r="J545">
        <f>SUM(153,160,183,186)</f>
        <v>682</v>
      </c>
      <c r="K545">
        <v>4</v>
      </c>
      <c r="L545">
        <v>186</v>
      </c>
      <c r="O545">
        <f>((-7.02235*K545)+(-0.30125*L545)+(0.09376*J545)+33.03698)</f>
        <v>12.859399999999987</v>
      </c>
    </row>
    <row r="546" spans="1:15" x14ac:dyDescent="0.25">
      <c r="A546" s="2">
        <v>40732</v>
      </c>
      <c r="B546" t="s">
        <v>36</v>
      </c>
      <c r="C546">
        <v>19</v>
      </c>
      <c r="D546" s="6" t="s">
        <v>12</v>
      </c>
      <c r="E546">
        <v>213</v>
      </c>
      <c r="F546">
        <v>1.1200000000000001</v>
      </c>
      <c r="G546">
        <v>0</v>
      </c>
      <c r="N546">
        <f t="shared" ref="N546:N553" si="31">(1/3)*(3.14159)*((F546/2)^2)*E546</f>
        <v>69.949386304000001</v>
      </c>
      <c r="O546">
        <f>((0.03043*E546)+(0.02936*N546))</f>
        <v>8.5353039818854395</v>
      </c>
    </row>
    <row r="547" spans="1:15" x14ac:dyDescent="0.25">
      <c r="A547" s="2">
        <v>40732</v>
      </c>
      <c r="B547" t="s">
        <v>36</v>
      </c>
      <c r="C547">
        <v>19</v>
      </c>
      <c r="D547" s="6" t="s">
        <v>12</v>
      </c>
      <c r="E547">
        <v>231</v>
      </c>
      <c r="F547">
        <v>1.1399999999999999</v>
      </c>
      <c r="G547">
        <v>0</v>
      </c>
      <c r="N547">
        <f t="shared" si="31"/>
        <v>78.594099506999981</v>
      </c>
      <c r="O547">
        <f>((0.03043*E547)+(0.02936*N547))</f>
        <v>9.3368527615255204</v>
      </c>
    </row>
    <row r="548" spans="1:15" x14ac:dyDescent="0.25">
      <c r="A548" s="2">
        <v>40732</v>
      </c>
      <c r="B548" t="s">
        <v>36</v>
      </c>
      <c r="C548">
        <v>19</v>
      </c>
      <c r="D548" s="6" t="s">
        <v>12</v>
      </c>
      <c r="E548">
        <v>235</v>
      </c>
      <c r="F548">
        <v>0.9</v>
      </c>
      <c r="G548">
        <v>9</v>
      </c>
      <c r="N548">
        <f t="shared" si="31"/>
        <v>49.833471374999995</v>
      </c>
      <c r="O548">
        <f>((0.03851*E548)+(0.0322*N548))</f>
        <v>10.654487778275001</v>
      </c>
    </row>
    <row r="549" spans="1:15" x14ac:dyDescent="0.25">
      <c r="A549" s="2">
        <v>40732</v>
      </c>
      <c r="B549" t="s">
        <v>36</v>
      </c>
      <c r="C549">
        <v>19</v>
      </c>
      <c r="D549" s="6" t="s">
        <v>12</v>
      </c>
      <c r="E549">
        <v>252</v>
      </c>
      <c r="F549">
        <v>1.47</v>
      </c>
      <c r="G549">
        <v>10</v>
      </c>
      <c r="N549">
        <f t="shared" si="31"/>
        <v>142.56189845099996</v>
      </c>
      <c r="O549">
        <f>((0.03851*E549)+(0.0322*N549))</f>
        <v>14.2950131301222</v>
      </c>
    </row>
    <row r="550" spans="1:15" x14ac:dyDescent="0.25">
      <c r="A550" s="2">
        <v>40732</v>
      </c>
      <c r="B550" t="s">
        <v>36</v>
      </c>
      <c r="C550">
        <v>19</v>
      </c>
      <c r="D550" s="6" t="s">
        <v>12</v>
      </c>
      <c r="E550">
        <v>258</v>
      </c>
      <c r="F550">
        <v>1.35</v>
      </c>
      <c r="G550">
        <v>0</v>
      </c>
      <c r="N550">
        <f t="shared" si="31"/>
        <v>123.0992771625</v>
      </c>
      <c r="O550">
        <f>((0.03043*E550)+(0.02936*N550))</f>
        <v>11.465134777490999</v>
      </c>
    </row>
    <row r="551" spans="1:15" x14ac:dyDescent="0.25">
      <c r="A551" s="2">
        <v>40732</v>
      </c>
      <c r="B551" t="s">
        <v>36</v>
      </c>
      <c r="C551">
        <v>19</v>
      </c>
      <c r="D551" s="6" t="s">
        <v>12</v>
      </c>
      <c r="E551">
        <v>296</v>
      </c>
      <c r="F551">
        <v>1.52</v>
      </c>
      <c r="G551">
        <v>0</v>
      </c>
      <c r="N551">
        <f t="shared" si="31"/>
        <v>179.03879522133332</v>
      </c>
      <c r="O551">
        <f>((0.03043*E551)+(0.02936*N551))</f>
        <v>14.263859027698345</v>
      </c>
    </row>
    <row r="552" spans="1:15" x14ac:dyDescent="0.25">
      <c r="A552" s="2">
        <v>40732</v>
      </c>
      <c r="B552" t="s">
        <v>36</v>
      </c>
      <c r="C552">
        <v>19</v>
      </c>
      <c r="D552" s="6" t="s">
        <v>12</v>
      </c>
      <c r="E552">
        <v>312</v>
      </c>
      <c r="F552">
        <v>1.86</v>
      </c>
      <c r="G552">
        <v>0</v>
      </c>
      <c r="N552">
        <f t="shared" si="31"/>
        <v>282.58476386400002</v>
      </c>
      <c r="O552">
        <f>((0.03043*E552)+(0.02936*N552))</f>
        <v>17.79084866704704</v>
      </c>
    </row>
    <row r="553" spans="1:15" x14ac:dyDescent="0.25">
      <c r="A553" s="2">
        <v>40732</v>
      </c>
      <c r="B553" t="s">
        <v>36</v>
      </c>
      <c r="C553">
        <v>19</v>
      </c>
      <c r="D553" s="6" t="s">
        <v>12</v>
      </c>
      <c r="E553">
        <v>335</v>
      </c>
      <c r="F553">
        <v>1.54</v>
      </c>
      <c r="G553">
        <v>9</v>
      </c>
      <c r="N553">
        <f t="shared" si="31"/>
        <v>207.99577272833329</v>
      </c>
      <c r="O553">
        <f>((0.03851*E553)+(0.0322*N553))</f>
        <v>19.598313881852331</v>
      </c>
    </row>
    <row r="554" spans="1:15" x14ac:dyDescent="0.25">
      <c r="A554" s="2">
        <v>40732</v>
      </c>
      <c r="B554" t="s">
        <v>36</v>
      </c>
      <c r="C554">
        <v>19</v>
      </c>
      <c r="D554" s="6" t="s">
        <v>19</v>
      </c>
      <c r="E554">
        <v>252</v>
      </c>
      <c r="F554">
        <v>2.58</v>
      </c>
      <c r="H554">
        <v>29</v>
      </c>
      <c r="I554">
        <v>2.5</v>
      </c>
      <c r="O554">
        <f>(0.66164*E554)+(16.34893*F554)+(1.11091*H554)+(-8.40694*I554)-154.2499</f>
        <v>65.862659400000041</v>
      </c>
    </row>
    <row r="555" spans="1:15" x14ac:dyDescent="0.25">
      <c r="A555" s="2">
        <v>40732</v>
      </c>
      <c r="B555" t="s">
        <v>36</v>
      </c>
      <c r="C555">
        <v>19</v>
      </c>
      <c r="D555" s="6" t="s">
        <v>19</v>
      </c>
      <c r="E555">
        <v>335</v>
      </c>
      <c r="F555">
        <v>2.2000000000000002</v>
      </c>
      <c r="H555">
        <v>23</v>
      </c>
      <c r="I555">
        <v>2.2000000000000002</v>
      </c>
      <c r="O555">
        <f>(0.66164*E555)+(16.34893*F555)+(1.11091*H555)+(-8.40694*I555)-154.2499</f>
        <v>110.422808</v>
      </c>
    </row>
    <row r="556" spans="1:15" x14ac:dyDescent="0.25">
      <c r="A556" s="2">
        <v>40732</v>
      </c>
      <c r="B556" t="s">
        <v>36</v>
      </c>
      <c r="C556">
        <v>19</v>
      </c>
      <c r="D556" s="6" t="s">
        <v>19</v>
      </c>
      <c r="E556">
        <v>391</v>
      </c>
      <c r="F556">
        <v>2.87</v>
      </c>
      <c r="H556">
        <v>31</v>
      </c>
      <c r="I556">
        <v>2.2000000000000002</v>
      </c>
      <c r="O556">
        <f>(0.66164*E556)+(16.34893*F556)+(1.11091*H556)+(-8.40694*I556)-154.2499</f>
        <v>167.31571110000002</v>
      </c>
    </row>
    <row r="557" spans="1:15" x14ac:dyDescent="0.25">
      <c r="A557" s="2">
        <v>40732</v>
      </c>
      <c r="B557" t="s">
        <v>36</v>
      </c>
      <c r="C557">
        <v>19</v>
      </c>
      <c r="D557" s="6" t="s">
        <v>19</v>
      </c>
      <c r="F557">
        <v>1.38</v>
      </c>
      <c r="J557">
        <f>SUM(224,241,264,280)</f>
        <v>1009</v>
      </c>
      <c r="K557">
        <v>4</v>
      </c>
      <c r="L557">
        <v>280</v>
      </c>
      <c r="O557">
        <f>((-7.02235*K557)+(-0.30125*L557)+(0.09376*J557)+33.03698)</f>
        <v>15.201419999999985</v>
      </c>
    </row>
    <row r="558" spans="1:15" x14ac:dyDescent="0.25">
      <c r="A558" s="2">
        <v>40732</v>
      </c>
      <c r="B558" t="s">
        <v>36</v>
      </c>
      <c r="C558">
        <v>19</v>
      </c>
      <c r="D558" s="6" t="s">
        <v>19</v>
      </c>
      <c r="F558">
        <v>1.58</v>
      </c>
      <c r="J558">
        <f>SUM(220,242,267,306,312)</f>
        <v>1347</v>
      </c>
      <c r="K558">
        <v>5</v>
      </c>
      <c r="L558">
        <v>312</v>
      </c>
      <c r="O558">
        <f>((-7.02235*K558)+(-0.30125*L558)+(0.09376*J558)+33.03698)</f>
        <v>30.229949999999988</v>
      </c>
    </row>
    <row r="559" spans="1:15" x14ac:dyDescent="0.25">
      <c r="A559" s="2">
        <v>40732</v>
      </c>
      <c r="B559" t="s">
        <v>36</v>
      </c>
      <c r="C559">
        <v>19</v>
      </c>
      <c r="D559" s="6" t="s">
        <v>19</v>
      </c>
      <c r="F559">
        <v>1.54</v>
      </c>
      <c r="J559">
        <f>SUM(219,236,266,301,304)</f>
        <v>1326</v>
      </c>
      <c r="K559">
        <v>5</v>
      </c>
      <c r="L559">
        <v>304</v>
      </c>
      <c r="O559">
        <f>((-7.02235*K559)+(-0.30125*L559)+(0.09376*J559)+33.03698)</f>
        <v>30.670989999999975</v>
      </c>
    </row>
    <row r="560" spans="1:15" x14ac:dyDescent="0.25">
      <c r="A560" s="2">
        <v>40732</v>
      </c>
      <c r="B560" t="s">
        <v>36</v>
      </c>
      <c r="C560">
        <v>19</v>
      </c>
      <c r="D560" s="6" t="s">
        <v>19</v>
      </c>
      <c r="F560">
        <v>2.41</v>
      </c>
      <c r="J560">
        <f>SUM(198,207,287,296,295,334,337)</f>
        <v>1954</v>
      </c>
      <c r="K560">
        <v>7</v>
      </c>
      <c r="L560">
        <v>337</v>
      </c>
      <c r="O560">
        <f>((-7.02235*K560)+(-0.30125*L560)+(0.09376*J560)+33.03698)</f>
        <v>65.56631999999999</v>
      </c>
    </row>
    <row r="561" spans="1:15" x14ac:dyDescent="0.25">
      <c r="A561" s="2">
        <v>40732</v>
      </c>
      <c r="B561" s="3" t="s">
        <v>36</v>
      </c>
      <c r="C561">
        <v>28</v>
      </c>
      <c r="D561" s="6" t="s">
        <v>19</v>
      </c>
      <c r="E561">
        <v>284</v>
      </c>
      <c r="F561">
        <v>1.68</v>
      </c>
      <c r="H561">
        <v>18</v>
      </c>
      <c r="I561">
        <v>1.8</v>
      </c>
      <c r="O561">
        <f>(0.66164*E561)+(16.34893*F561)+(1.11091*H561)+(-8.40694*I561)-154.2499</f>
        <v>65.985950400000007</v>
      </c>
    </row>
    <row r="562" spans="1:15" x14ac:dyDescent="0.25">
      <c r="A562" s="2">
        <v>40732</v>
      </c>
      <c r="B562" s="3" t="s">
        <v>36</v>
      </c>
      <c r="C562">
        <v>28</v>
      </c>
      <c r="D562" s="6" t="s">
        <v>19</v>
      </c>
      <c r="E562">
        <v>310</v>
      </c>
      <c r="F562">
        <v>1.84</v>
      </c>
      <c r="H562">
        <v>37</v>
      </c>
      <c r="I562">
        <v>2.1</v>
      </c>
      <c r="O562">
        <f>(0.66164*E562)+(16.34893*F562)+(1.11091*H562)+(-8.40694*I562)-154.2499</f>
        <v>104.38962719999998</v>
      </c>
    </row>
    <row r="563" spans="1:15" x14ac:dyDescent="0.25">
      <c r="A563" s="2">
        <v>40732</v>
      </c>
      <c r="B563" s="3" t="s">
        <v>36</v>
      </c>
      <c r="C563">
        <v>28</v>
      </c>
      <c r="D563" s="6" t="s">
        <v>19</v>
      </c>
      <c r="E563">
        <v>327</v>
      </c>
      <c r="F563">
        <v>2.74</v>
      </c>
      <c r="H563">
        <v>42</v>
      </c>
      <c r="I563">
        <v>2.6</v>
      </c>
      <c r="O563">
        <f>(0.66164*E563)+(16.34893*F563)+(1.11091*H563)+(-8.40694*I563)-154.2499</f>
        <v>131.70262420000003</v>
      </c>
    </row>
    <row r="564" spans="1:15" x14ac:dyDescent="0.25">
      <c r="A564" s="2">
        <v>40732</v>
      </c>
      <c r="B564" s="3" t="s">
        <v>36</v>
      </c>
      <c r="C564">
        <v>28</v>
      </c>
      <c r="D564" s="6" t="s">
        <v>19</v>
      </c>
      <c r="E564">
        <v>351</v>
      </c>
      <c r="F564">
        <v>2.0499999999999998</v>
      </c>
      <c r="H564">
        <v>34</v>
      </c>
      <c r="I564">
        <v>2.1</v>
      </c>
      <c r="O564">
        <f>(0.66164*E564)+(16.34893*F564)+(1.11091*H564)+(-8.40694*I564)-154.2499</f>
        <v>131.61741249999997</v>
      </c>
    </row>
    <row r="565" spans="1:15" x14ac:dyDescent="0.25">
      <c r="A565" s="2">
        <v>40732</v>
      </c>
      <c r="B565" s="3" t="s">
        <v>36</v>
      </c>
      <c r="C565">
        <v>28</v>
      </c>
      <c r="D565" s="6" t="s">
        <v>19</v>
      </c>
      <c r="E565">
        <v>358</v>
      </c>
      <c r="F565">
        <v>1.1599999999999999</v>
      </c>
      <c r="H565">
        <v>36</v>
      </c>
      <c r="I565">
        <v>2.7</v>
      </c>
      <c r="O565">
        <f>(0.66164*E565)+(16.34893*F565)+(1.11091*H565)+(-8.40694*I565)-154.2499</f>
        <v>118.87600080000001</v>
      </c>
    </row>
    <row r="566" spans="1:15" x14ac:dyDescent="0.25">
      <c r="A566" s="2">
        <v>40732</v>
      </c>
      <c r="B566" s="3" t="s">
        <v>36</v>
      </c>
      <c r="C566">
        <v>28</v>
      </c>
      <c r="D566" s="6" t="s">
        <v>19</v>
      </c>
      <c r="F566">
        <v>0.88</v>
      </c>
      <c r="J566">
        <f>SUM(193,196)</f>
        <v>389</v>
      </c>
      <c r="K566">
        <v>2</v>
      </c>
      <c r="L566">
        <v>196</v>
      </c>
      <c r="O566">
        <f t="shared" ref="O566:O572" si="32">((-7.02235*K566)+(-0.30125*L566)+(0.09376*J566)+33.03698)</f>
        <v>-3.5800800000000095</v>
      </c>
    </row>
    <row r="567" spans="1:15" x14ac:dyDescent="0.25">
      <c r="A567" s="2">
        <v>40732</v>
      </c>
      <c r="B567" s="3" t="s">
        <v>36</v>
      </c>
      <c r="C567">
        <v>28</v>
      </c>
      <c r="D567" s="6" t="s">
        <v>19</v>
      </c>
      <c r="F567">
        <v>0.75</v>
      </c>
      <c r="G567" s="6"/>
      <c r="J567">
        <f>SUM(220,246,192)</f>
        <v>658</v>
      </c>
      <c r="K567">
        <v>3</v>
      </c>
      <c r="L567">
        <v>246</v>
      </c>
      <c r="O567">
        <f t="shared" si="32"/>
        <v>-0.44349000000001126</v>
      </c>
    </row>
    <row r="568" spans="1:15" x14ac:dyDescent="0.25">
      <c r="A568" s="2">
        <v>40732</v>
      </c>
      <c r="B568" s="3" t="s">
        <v>36</v>
      </c>
      <c r="C568">
        <v>28</v>
      </c>
      <c r="D568" s="6" t="s">
        <v>19</v>
      </c>
      <c r="F568">
        <v>0.65</v>
      </c>
      <c r="J568">
        <f>SUM(165,198,200,207)</f>
        <v>770</v>
      </c>
      <c r="K568">
        <v>4</v>
      </c>
      <c r="L568">
        <v>207</v>
      </c>
      <c r="O568">
        <f t="shared" si="32"/>
        <v>14.784030000000001</v>
      </c>
    </row>
    <row r="569" spans="1:15" x14ac:dyDescent="0.25">
      <c r="A569" s="2">
        <v>40732</v>
      </c>
      <c r="B569" s="3" t="s">
        <v>36</v>
      </c>
      <c r="C569">
        <v>28</v>
      </c>
      <c r="D569" s="6" t="s">
        <v>19</v>
      </c>
      <c r="F569">
        <v>1.31</v>
      </c>
      <c r="J569">
        <f>SUM(162,206,217,242,253)</f>
        <v>1080</v>
      </c>
      <c r="K569">
        <v>5</v>
      </c>
      <c r="L569">
        <v>253</v>
      </c>
      <c r="O569">
        <f t="shared" si="32"/>
        <v>22.969779999999986</v>
      </c>
    </row>
    <row r="570" spans="1:15" x14ac:dyDescent="0.25">
      <c r="A570" s="2">
        <v>40732</v>
      </c>
      <c r="B570" s="3" t="s">
        <v>36</v>
      </c>
      <c r="C570">
        <v>28</v>
      </c>
      <c r="D570" s="6" t="s">
        <v>19</v>
      </c>
      <c r="F570">
        <v>1.38</v>
      </c>
      <c r="J570">
        <f>SUM(174,219,248,251,262)</f>
        <v>1154</v>
      </c>
      <c r="K570">
        <v>5</v>
      </c>
      <c r="L570">
        <v>262</v>
      </c>
      <c r="O570">
        <f t="shared" si="32"/>
        <v>27.196769999999987</v>
      </c>
    </row>
    <row r="571" spans="1:15" x14ac:dyDescent="0.25">
      <c r="A571" s="2">
        <v>40732</v>
      </c>
      <c r="B571" s="3" t="s">
        <v>36</v>
      </c>
      <c r="C571">
        <v>28</v>
      </c>
      <c r="D571" s="6" t="s">
        <v>19</v>
      </c>
      <c r="F571">
        <v>2</v>
      </c>
      <c r="J571">
        <f>SUM(172,270,270,225,310,334)</f>
        <v>1581</v>
      </c>
      <c r="K571">
        <v>6</v>
      </c>
      <c r="L571">
        <v>334</v>
      </c>
      <c r="O571">
        <f t="shared" si="32"/>
        <v>38.519939999999991</v>
      </c>
    </row>
    <row r="572" spans="1:15" x14ac:dyDescent="0.25">
      <c r="A572" s="2">
        <v>40732</v>
      </c>
      <c r="B572" s="3" t="s">
        <v>36</v>
      </c>
      <c r="C572">
        <v>28</v>
      </c>
      <c r="D572" s="6" t="s">
        <v>19</v>
      </c>
      <c r="F572">
        <v>1.74</v>
      </c>
      <c r="J572">
        <f>SUM(262,299,322,335,337)</f>
        <v>1555</v>
      </c>
      <c r="K572">
        <v>5</v>
      </c>
      <c r="L572">
        <v>337</v>
      </c>
      <c r="O572">
        <f t="shared" si="32"/>
        <v>42.20077999999998</v>
      </c>
    </row>
    <row r="573" spans="1:15" x14ac:dyDescent="0.25">
      <c r="A573" s="2">
        <v>40732</v>
      </c>
      <c r="B573" s="3" t="s">
        <v>36</v>
      </c>
      <c r="C573">
        <v>40</v>
      </c>
      <c r="D573" s="6" t="s">
        <v>19</v>
      </c>
      <c r="E573">
        <v>299</v>
      </c>
      <c r="F573">
        <v>1.68</v>
      </c>
      <c r="H573">
        <v>25</v>
      </c>
      <c r="I573">
        <v>1.8</v>
      </c>
      <c r="O573">
        <f t="shared" ref="O573:O580" si="33">(0.66164*E573)+(16.34893*F573)+(1.11091*H573)+(-8.40694*I573)-154.2499</f>
        <v>83.686920399999991</v>
      </c>
    </row>
    <row r="574" spans="1:15" x14ac:dyDescent="0.25">
      <c r="A574" s="2">
        <v>40732</v>
      </c>
      <c r="B574" s="3" t="s">
        <v>36</v>
      </c>
      <c r="C574">
        <v>40</v>
      </c>
      <c r="D574" s="6" t="s">
        <v>19</v>
      </c>
      <c r="E574">
        <v>323</v>
      </c>
      <c r="F574">
        <v>1.82</v>
      </c>
      <c r="H574">
        <v>41</v>
      </c>
      <c r="I574">
        <v>2.5</v>
      </c>
      <c r="O574">
        <f t="shared" si="33"/>
        <v>113.74483259999997</v>
      </c>
    </row>
    <row r="575" spans="1:15" x14ac:dyDescent="0.25">
      <c r="A575" s="2">
        <v>40732</v>
      </c>
      <c r="B575" s="3" t="s">
        <v>36</v>
      </c>
      <c r="C575">
        <v>40</v>
      </c>
      <c r="D575" s="6" t="s">
        <v>19</v>
      </c>
      <c r="E575">
        <v>330</v>
      </c>
      <c r="F575">
        <v>2.9</v>
      </c>
      <c r="H575">
        <v>24</v>
      </c>
      <c r="I575">
        <v>2.6</v>
      </c>
      <c r="O575">
        <f t="shared" si="33"/>
        <v>116.30699300000001</v>
      </c>
    </row>
    <row r="576" spans="1:15" x14ac:dyDescent="0.25">
      <c r="A576" s="2">
        <v>40732</v>
      </c>
      <c r="B576" s="3" t="s">
        <v>36</v>
      </c>
      <c r="C576">
        <v>40</v>
      </c>
      <c r="D576" s="6" t="s">
        <v>19</v>
      </c>
      <c r="E576">
        <v>343</v>
      </c>
      <c r="F576">
        <v>3.01</v>
      </c>
      <c r="H576">
        <v>27</v>
      </c>
      <c r="I576">
        <v>1.7</v>
      </c>
      <c r="O576">
        <f t="shared" si="33"/>
        <v>137.60567129999995</v>
      </c>
    </row>
    <row r="577" spans="1:15" x14ac:dyDescent="0.25">
      <c r="A577" s="2">
        <v>40732</v>
      </c>
      <c r="B577" s="3" t="s">
        <v>36</v>
      </c>
      <c r="C577">
        <v>40</v>
      </c>
      <c r="D577" s="6" t="s">
        <v>19</v>
      </c>
      <c r="E577">
        <v>345</v>
      </c>
      <c r="F577">
        <v>2.89</v>
      </c>
      <c r="H577">
        <v>42</v>
      </c>
      <c r="I577">
        <v>2.4</v>
      </c>
      <c r="O577">
        <f t="shared" si="33"/>
        <v>147.74587170000009</v>
      </c>
    </row>
    <row r="578" spans="1:15" x14ac:dyDescent="0.25">
      <c r="A578" s="2">
        <v>40732</v>
      </c>
      <c r="B578" s="3" t="s">
        <v>36</v>
      </c>
      <c r="C578">
        <v>40</v>
      </c>
      <c r="D578" s="6" t="s">
        <v>19</v>
      </c>
      <c r="E578">
        <v>375</v>
      </c>
      <c r="F578">
        <v>3.98</v>
      </c>
      <c r="H578">
        <v>39</v>
      </c>
      <c r="I578">
        <v>2</v>
      </c>
      <c r="O578">
        <f t="shared" si="33"/>
        <v>185.44545140000005</v>
      </c>
    </row>
    <row r="579" spans="1:15" x14ac:dyDescent="0.25">
      <c r="A579" s="2">
        <v>40732</v>
      </c>
      <c r="B579" s="3" t="s">
        <v>36</v>
      </c>
      <c r="C579">
        <v>40</v>
      </c>
      <c r="D579" s="6" t="s">
        <v>19</v>
      </c>
      <c r="E579">
        <v>404</v>
      </c>
      <c r="F579">
        <v>2.0099999999999998</v>
      </c>
      <c r="H579">
        <v>24</v>
      </c>
      <c r="I579">
        <v>2.5</v>
      </c>
      <c r="O579">
        <f t="shared" si="33"/>
        <v>151.55849929999997</v>
      </c>
    </row>
    <row r="580" spans="1:15" x14ac:dyDescent="0.25">
      <c r="A580" s="2">
        <v>40732</v>
      </c>
      <c r="B580" s="3" t="s">
        <v>36</v>
      </c>
      <c r="C580">
        <v>40</v>
      </c>
      <c r="D580" s="6" t="s">
        <v>19</v>
      </c>
      <c r="E580">
        <v>434</v>
      </c>
      <c r="F580">
        <v>2.46</v>
      </c>
      <c r="H580">
        <v>35</v>
      </c>
      <c r="I580">
        <v>2.2999999999999998</v>
      </c>
      <c r="O580">
        <f t="shared" si="33"/>
        <v>192.66611580000003</v>
      </c>
    </row>
    <row r="581" spans="1:15" x14ac:dyDescent="0.25">
      <c r="A581" s="2">
        <v>40732</v>
      </c>
      <c r="B581" s="3" t="s">
        <v>36</v>
      </c>
      <c r="C581">
        <v>40</v>
      </c>
      <c r="D581" s="6" t="s">
        <v>19</v>
      </c>
      <c r="F581">
        <v>1.51</v>
      </c>
      <c r="J581">
        <f>SUM(318,343,347)</f>
        <v>1008</v>
      </c>
      <c r="K581">
        <v>3</v>
      </c>
      <c r="L581">
        <v>347</v>
      </c>
      <c r="O581">
        <f t="shared" ref="O581:O587" si="34">((-7.02235*K581)+(-0.30125*L581)+(0.09376*J581)+33.03698)</f>
        <v>1.946259999999981</v>
      </c>
    </row>
    <row r="582" spans="1:15" x14ac:dyDescent="0.25">
      <c r="A582" s="2">
        <v>40732</v>
      </c>
      <c r="B582" s="3" t="s">
        <v>36</v>
      </c>
      <c r="C582">
        <v>40</v>
      </c>
      <c r="D582" s="6" t="s">
        <v>19</v>
      </c>
      <c r="F582">
        <v>1</v>
      </c>
      <c r="J582">
        <f>SUM(196,270,269,290)</f>
        <v>1025</v>
      </c>
      <c r="K582">
        <v>4</v>
      </c>
      <c r="L582">
        <v>290</v>
      </c>
      <c r="O582">
        <f t="shared" si="34"/>
        <v>13.68907999999999</v>
      </c>
    </row>
    <row r="583" spans="1:15" x14ac:dyDescent="0.25">
      <c r="A583" s="2">
        <v>40732</v>
      </c>
      <c r="B583" s="3" t="s">
        <v>36</v>
      </c>
      <c r="C583">
        <v>40</v>
      </c>
      <c r="D583" s="6" t="s">
        <v>19</v>
      </c>
      <c r="F583">
        <v>1.26</v>
      </c>
      <c r="J583">
        <f>SUM(177,216,259,288,312)</f>
        <v>1252</v>
      </c>
      <c r="K583">
        <v>5</v>
      </c>
      <c r="L583">
        <v>312</v>
      </c>
      <c r="O583">
        <f t="shared" si="34"/>
        <v>21.322749999999985</v>
      </c>
    </row>
    <row r="584" spans="1:15" x14ac:dyDescent="0.25">
      <c r="A584" s="2">
        <v>40732</v>
      </c>
      <c r="B584" s="3" t="s">
        <v>36</v>
      </c>
      <c r="C584">
        <v>40</v>
      </c>
      <c r="D584" s="6" t="s">
        <v>19</v>
      </c>
      <c r="F584">
        <v>1.71</v>
      </c>
      <c r="J584">
        <f>SUM(233,285,308,359)</f>
        <v>1185</v>
      </c>
      <c r="K584">
        <v>1</v>
      </c>
      <c r="L584">
        <v>359</v>
      </c>
      <c r="O584">
        <f t="shared" si="34"/>
        <v>28.971479999999985</v>
      </c>
    </row>
    <row r="585" spans="1:15" x14ac:dyDescent="0.25">
      <c r="A585" s="2">
        <v>40732</v>
      </c>
      <c r="B585" s="3" t="s">
        <v>36</v>
      </c>
      <c r="C585">
        <v>40</v>
      </c>
      <c r="D585" s="6" t="s">
        <v>19</v>
      </c>
      <c r="F585">
        <v>3.12</v>
      </c>
      <c r="J585">
        <f>SUM(218,307,350,390,415,427)</f>
        <v>2107</v>
      </c>
      <c r="K585">
        <v>6</v>
      </c>
      <c r="L585">
        <v>427</v>
      </c>
      <c r="O585">
        <f t="shared" si="34"/>
        <v>59.82144999999997</v>
      </c>
    </row>
    <row r="586" spans="1:15" x14ac:dyDescent="0.25">
      <c r="A586" s="2">
        <v>40732</v>
      </c>
      <c r="B586" s="3" t="s">
        <v>36</v>
      </c>
      <c r="C586">
        <v>40</v>
      </c>
      <c r="D586" s="6" t="s">
        <v>19</v>
      </c>
      <c r="F586">
        <v>4.9800000000000004</v>
      </c>
      <c r="J586">
        <f>SUM(330,358,438,460,472,474)</f>
        <v>2532</v>
      </c>
      <c r="K586">
        <v>6</v>
      </c>
      <c r="L586">
        <v>474</v>
      </c>
      <c r="O586">
        <f t="shared" si="34"/>
        <v>85.510699999999986</v>
      </c>
    </row>
    <row r="587" spans="1:15" x14ac:dyDescent="0.25">
      <c r="A587" s="2">
        <v>40732</v>
      </c>
      <c r="B587" s="3" t="s">
        <v>36</v>
      </c>
      <c r="C587">
        <v>40</v>
      </c>
      <c r="D587" s="6" t="s">
        <v>19</v>
      </c>
      <c r="F587">
        <v>5.84</v>
      </c>
      <c r="J587">
        <f>SUM(230,323,347,386,398,428,466,474,492)</f>
        <v>3544</v>
      </c>
      <c r="K587">
        <v>9</v>
      </c>
      <c r="L587">
        <v>492</v>
      </c>
      <c r="O587">
        <f t="shared" si="34"/>
        <v>153.90626999999998</v>
      </c>
    </row>
    <row r="588" spans="1:15" x14ac:dyDescent="0.25">
      <c r="A588" s="2">
        <v>40732</v>
      </c>
      <c r="B588" t="s">
        <v>37</v>
      </c>
      <c r="C588">
        <v>11</v>
      </c>
      <c r="D588" s="6" t="s">
        <v>16</v>
      </c>
      <c r="E588">
        <v>94</v>
      </c>
      <c r="F588">
        <v>1.1100000000000001</v>
      </c>
      <c r="G588">
        <v>4</v>
      </c>
      <c r="N588">
        <f t="shared" ref="N588:N618" si="35">((1/3)*(3.14159)*((F588/2)^2)*E588)</f>
        <v>30.320898805500001</v>
      </c>
      <c r="O588">
        <f>((0.03851*E588)+(0.0322*N588))</f>
        <v>4.5962729415370998</v>
      </c>
    </row>
    <row r="589" spans="1:15" x14ac:dyDescent="0.25">
      <c r="A589" s="2">
        <v>40732</v>
      </c>
      <c r="B589" t="s">
        <v>37</v>
      </c>
      <c r="C589">
        <v>11</v>
      </c>
      <c r="D589" s="6" t="s">
        <v>16</v>
      </c>
      <c r="E589">
        <v>187</v>
      </c>
      <c r="F589">
        <v>1.85</v>
      </c>
      <c r="G589">
        <v>5</v>
      </c>
      <c r="N589">
        <f t="shared" si="35"/>
        <v>167.55343016041667</v>
      </c>
      <c r="O589">
        <f>((0.03851*E589)+(0.0322*N589))</f>
        <v>12.596590451165417</v>
      </c>
    </row>
    <row r="590" spans="1:15" x14ac:dyDescent="0.25">
      <c r="A590" s="2">
        <v>40732</v>
      </c>
      <c r="B590" t="s">
        <v>37</v>
      </c>
      <c r="C590">
        <v>11</v>
      </c>
      <c r="D590" s="6" t="s">
        <v>16</v>
      </c>
      <c r="E590">
        <v>201</v>
      </c>
      <c r="F590">
        <v>0.78</v>
      </c>
      <c r="G590">
        <v>5</v>
      </c>
      <c r="N590">
        <f t="shared" si="35"/>
        <v>32.015001212999998</v>
      </c>
      <c r="O590">
        <f>((0.03851*E590)+(0.0322*N590))</f>
        <v>8.7713930390585997</v>
      </c>
    </row>
    <row r="591" spans="1:15" x14ac:dyDescent="0.25">
      <c r="A591" s="2">
        <v>40732</v>
      </c>
      <c r="B591" t="s">
        <v>37</v>
      </c>
      <c r="C591">
        <v>11</v>
      </c>
      <c r="D591" s="6" t="s">
        <v>16</v>
      </c>
      <c r="E591">
        <v>233</v>
      </c>
      <c r="F591">
        <v>1.5</v>
      </c>
      <c r="G591">
        <v>0</v>
      </c>
      <c r="N591">
        <f t="shared" si="35"/>
        <v>137.24821312499998</v>
      </c>
      <c r="O591">
        <f>((0.03043*E591)+(0.02936*N591))</f>
        <v>11.119797537349999</v>
      </c>
    </row>
    <row r="592" spans="1:15" x14ac:dyDescent="0.25">
      <c r="A592" s="2">
        <v>40732</v>
      </c>
      <c r="B592" t="s">
        <v>37</v>
      </c>
      <c r="C592">
        <v>11</v>
      </c>
      <c r="D592" s="6" t="s">
        <v>16</v>
      </c>
      <c r="E592">
        <v>234</v>
      </c>
      <c r="F592">
        <v>1.01</v>
      </c>
      <c r="G592">
        <v>6</v>
      </c>
      <c r="N592">
        <f t="shared" si="35"/>
        <v>62.492351200499996</v>
      </c>
      <c r="O592">
        <f>((0.03851*E592)+(0.0322*N592))</f>
        <v>11.023593708656101</v>
      </c>
    </row>
    <row r="593" spans="1:15" x14ac:dyDescent="0.25">
      <c r="A593" s="2">
        <v>40732</v>
      </c>
      <c r="B593" t="s">
        <v>37</v>
      </c>
      <c r="C593">
        <v>11</v>
      </c>
      <c r="D593" s="6" t="s">
        <v>16</v>
      </c>
      <c r="E593">
        <v>239</v>
      </c>
      <c r="F593">
        <v>1.05</v>
      </c>
      <c r="G593">
        <v>6</v>
      </c>
      <c r="N593">
        <f t="shared" si="35"/>
        <v>68.983425918750001</v>
      </c>
      <c r="O593">
        <f>((0.03851*E593)+(0.0322*N593))</f>
        <v>11.425156314583752</v>
      </c>
    </row>
    <row r="594" spans="1:15" x14ac:dyDescent="0.25">
      <c r="A594" s="2">
        <v>40732</v>
      </c>
      <c r="B594" t="s">
        <v>37</v>
      </c>
      <c r="C594">
        <v>11</v>
      </c>
      <c r="D594" s="6" t="s">
        <v>16</v>
      </c>
      <c r="E594">
        <v>257</v>
      </c>
      <c r="F594">
        <v>1.05</v>
      </c>
      <c r="G594">
        <v>0</v>
      </c>
      <c r="N594">
        <f t="shared" si="35"/>
        <v>74.178830381249995</v>
      </c>
      <c r="O594">
        <f>((0.03043*E594)+(0.02936*N594))</f>
        <v>9.9984004599934995</v>
      </c>
    </row>
    <row r="595" spans="1:15" x14ac:dyDescent="0.25">
      <c r="A595" s="2">
        <v>40732</v>
      </c>
      <c r="B595" t="s">
        <v>37</v>
      </c>
      <c r="C595">
        <v>11</v>
      </c>
      <c r="D595" s="6" t="s">
        <v>16</v>
      </c>
      <c r="E595">
        <v>258</v>
      </c>
      <c r="F595">
        <v>1.63</v>
      </c>
      <c r="G595">
        <v>4</v>
      </c>
      <c r="N595">
        <f t="shared" si="35"/>
        <v>179.45814512649997</v>
      </c>
      <c r="O595">
        <f>((0.03851*E595)+(0.0322*N595))</f>
        <v>15.714132273073298</v>
      </c>
    </row>
    <row r="596" spans="1:15" x14ac:dyDescent="0.25">
      <c r="A596" s="2">
        <v>40732</v>
      </c>
      <c r="B596" t="s">
        <v>37</v>
      </c>
      <c r="C596">
        <v>11</v>
      </c>
      <c r="D596" s="6" t="s">
        <v>16</v>
      </c>
      <c r="E596">
        <v>265</v>
      </c>
      <c r="F596">
        <v>1.4</v>
      </c>
      <c r="G596">
        <v>0</v>
      </c>
      <c r="N596">
        <f t="shared" si="35"/>
        <v>135.97848716666664</v>
      </c>
      <c r="O596">
        <f>((0.03043*E596)+(0.02936*N596))</f>
        <v>12.056278383213332</v>
      </c>
    </row>
    <row r="597" spans="1:15" x14ac:dyDescent="0.25">
      <c r="A597" s="2">
        <v>40732</v>
      </c>
      <c r="B597" t="s">
        <v>37</v>
      </c>
      <c r="C597">
        <v>11</v>
      </c>
      <c r="D597" s="6" t="s">
        <v>16</v>
      </c>
      <c r="E597">
        <v>266</v>
      </c>
      <c r="F597">
        <v>0.95</v>
      </c>
      <c r="G597">
        <v>0</v>
      </c>
      <c r="N597">
        <f t="shared" si="35"/>
        <v>62.848816945833327</v>
      </c>
      <c r="O597">
        <f>((0.03043*E597)+(0.02936*N597))</f>
        <v>9.9396212655296665</v>
      </c>
    </row>
    <row r="598" spans="1:15" x14ac:dyDescent="0.25">
      <c r="A598" s="2">
        <v>40732</v>
      </c>
      <c r="B598" t="s">
        <v>37</v>
      </c>
      <c r="C598">
        <v>11</v>
      </c>
      <c r="D598" s="6" t="s">
        <v>16</v>
      </c>
      <c r="E598">
        <v>266</v>
      </c>
      <c r="F598">
        <v>1.65</v>
      </c>
      <c r="G598">
        <v>0</v>
      </c>
      <c r="N598">
        <f t="shared" si="35"/>
        <v>189.59102951249997</v>
      </c>
      <c r="O598">
        <f>((0.03043*E598)+(0.02936*N598))</f>
        <v>13.660772626486999</v>
      </c>
    </row>
    <row r="599" spans="1:15" x14ac:dyDescent="0.25">
      <c r="A599" s="2">
        <v>40732</v>
      </c>
      <c r="B599" t="s">
        <v>37</v>
      </c>
      <c r="C599">
        <v>11</v>
      </c>
      <c r="D599" s="6" t="s">
        <v>16</v>
      </c>
      <c r="E599">
        <v>269</v>
      </c>
      <c r="F599">
        <v>1.01</v>
      </c>
      <c r="G599">
        <v>7</v>
      </c>
      <c r="N599">
        <f t="shared" si="35"/>
        <v>71.839497747583323</v>
      </c>
      <c r="O599">
        <f>((0.03851*E599)+(0.0322*N599))</f>
        <v>12.672421827472183</v>
      </c>
    </row>
    <row r="600" spans="1:15" x14ac:dyDescent="0.25">
      <c r="A600" s="2">
        <v>40732</v>
      </c>
      <c r="B600" t="s">
        <v>37</v>
      </c>
      <c r="C600">
        <v>11</v>
      </c>
      <c r="D600" s="6" t="s">
        <v>16</v>
      </c>
      <c r="E600">
        <v>272</v>
      </c>
      <c r="F600">
        <v>1.73</v>
      </c>
      <c r="G600">
        <v>7</v>
      </c>
      <c r="N600">
        <f t="shared" si="35"/>
        <v>213.12253344933333</v>
      </c>
      <c r="O600">
        <f>((0.03851*E600)+(0.0322*N600))</f>
        <v>17.337265577068536</v>
      </c>
    </row>
    <row r="601" spans="1:15" x14ac:dyDescent="0.25">
      <c r="A601" s="2">
        <v>40732</v>
      </c>
      <c r="B601" t="s">
        <v>37</v>
      </c>
      <c r="C601">
        <v>11</v>
      </c>
      <c r="D601" s="6" t="s">
        <v>16</v>
      </c>
      <c r="E601">
        <v>278</v>
      </c>
      <c r="F601">
        <v>0.93</v>
      </c>
      <c r="G601">
        <v>7</v>
      </c>
      <c r="N601">
        <f t="shared" si="35"/>
        <v>62.947567591500004</v>
      </c>
      <c r="O601">
        <f>((0.03851*E601)+(0.0322*N601))</f>
        <v>12.732691676446301</v>
      </c>
    </row>
    <row r="602" spans="1:15" x14ac:dyDescent="0.25">
      <c r="A602" s="2">
        <v>40732</v>
      </c>
      <c r="B602" t="s">
        <v>37</v>
      </c>
      <c r="C602">
        <v>11</v>
      </c>
      <c r="D602" s="6" t="s">
        <v>16</v>
      </c>
      <c r="E602">
        <v>279</v>
      </c>
      <c r="F602">
        <v>1.61</v>
      </c>
      <c r="G602">
        <v>0</v>
      </c>
      <c r="N602">
        <f t="shared" si="35"/>
        <v>189.33208395675001</v>
      </c>
      <c r="O602">
        <f>((0.03043*E602)+(0.02936*N602))</f>
        <v>14.048759984970179</v>
      </c>
    </row>
    <row r="603" spans="1:15" x14ac:dyDescent="0.25">
      <c r="A603" s="2">
        <v>40732</v>
      </c>
      <c r="B603" t="s">
        <v>37</v>
      </c>
      <c r="C603">
        <v>11</v>
      </c>
      <c r="D603" s="6" t="s">
        <v>16</v>
      </c>
      <c r="E603">
        <v>280</v>
      </c>
      <c r="F603">
        <v>1.1000000000000001</v>
      </c>
      <c r="G603">
        <v>0</v>
      </c>
      <c r="N603">
        <f t="shared" si="35"/>
        <v>88.697557666666668</v>
      </c>
      <c r="O603">
        <f>((0.03043*E603)+(0.02936*N603))</f>
        <v>11.124560293093333</v>
      </c>
    </row>
    <row r="604" spans="1:15" x14ac:dyDescent="0.25">
      <c r="A604" s="2">
        <v>40732</v>
      </c>
      <c r="B604" t="s">
        <v>37</v>
      </c>
      <c r="C604">
        <v>11</v>
      </c>
      <c r="D604" s="6" t="s">
        <v>16</v>
      </c>
      <c r="E604">
        <v>280</v>
      </c>
      <c r="F604">
        <v>1.8</v>
      </c>
      <c r="G604">
        <v>0</v>
      </c>
      <c r="N604">
        <f t="shared" si="35"/>
        <v>237.50420399999999</v>
      </c>
      <c r="O604">
        <f>((0.03043*E604)+(0.02936*N604))</f>
        <v>15.49352342944</v>
      </c>
    </row>
    <row r="605" spans="1:15" x14ac:dyDescent="0.25">
      <c r="A605" s="2">
        <v>40732</v>
      </c>
      <c r="B605" t="s">
        <v>37</v>
      </c>
      <c r="C605">
        <v>11</v>
      </c>
      <c r="D605" s="6" t="s">
        <v>16</v>
      </c>
      <c r="E605">
        <v>287</v>
      </c>
      <c r="F605">
        <v>1.9</v>
      </c>
      <c r="G605">
        <v>13</v>
      </c>
      <c r="N605">
        <f t="shared" si="35"/>
        <v>271.24226260833331</v>
      </c>
      <c r="O605">
        <f>((0.03851*E605)+(0.0322*N605))</f>
        <v>19.786370855988334</v>
      </c>
    </row>
    <row r="606" spans="1:15" x14ac:dyDescent="0.25">
      <c r="A606" s="2">
        <v>40732</v>
      </c>
      <c r="B606" t="s">
        <v>37</v>
      </c>
      <c r="C606">
        <v>11</v>
      </c>
      <c r="D606" s="6" t="s">
        <v>16</v>
      </c>
      <c r="E606">
        <v>290</v>
      </c>
      <c r="F606">
        <v>1.69</v>
      </c>
      <c r="G606">
        <v>1</v>
      </c>
      <c r="N606">
        <f t="shared" si="35"/>
        <v>216.84013397583328</v>
      </c>
      <c r="O606">
        <f>((0.03851*E606)+(0.0322*N606))</f>
        <v>18.150152314021831</v>
      </c>
    </row>
    <row r="607" spans="1:15" x14ac:dyDescent="0.25">
      <c r="A607" s="2">
        <v>40732</v>
      </c>
      <c r="B607" t="s">
        <v>37</v>
      </c>
      <c r="C607">
        <v>11</v>
      </c>
      <c r="D607" s="6" t="s">
        <v>16</v>
      </c>
      <c r="E607">
        <v>293</v>
      </c>
      <c r="F607">
        <v>1.22</v>
      </c>
      <c r="G607">
        <v>0</v>
      </c>
      <c r="N607">
        <f t="shared" si="35"/>
        <v>114.17093074233331</v>
      </c>
      <c r="O607">
        <f>((0.03043*E607)+(0.02936*N607))</f>
        <v>12.268048526594905</v>
      </c>
    </row>
    <row r="608" spans="1:15" x14ac:dyDescent="0.25">
      <c r="A608" s="2">
        <v>40732</v>
      </c>
      <c r="B608" t="s">
        <v>37</v>
      </c>
      <c r="C608">
        <v>11</v>
      </c>
      <c r="D608" s="6" t="s">
        <v>16</v>
      </c>
      <c r="E608">
        <v>293</v>
      </c>
      <c r="F608">
        <v>2</v>
      </c>
      <c r="G608">
        <v>6</v>
      </c>
      <c r="N608">
        <f t="shared" si="35"/>
        <v>306.82862333333333</v>
      </c>
      <c r="O608">
        <f>((0.03851*E608)+(0.0322*N608))</f>
        <v>21.163311671333332</v>
      </c>
    </row>
    <row r="609" spans="1:15" x14ac:dyDescent="0.25">
      <c r="A609" s="2">
        <v>40732</v>
      </c>
      <c r="B609" t="s">
        <v>37</v>
      </c>
      <c r="C609">
        <v>11</v>
      </c>
      <c r="D609" s="6" t="s">
        <v>16</v>
      </c>
      <c r="E609">
        <v>295</v>
      </c>
      <c r="F609">
        <v>1.64</v>
      </c>
      <c r="G609">
        <v>13</v>
      </c>
      <c r="N609">
        <f t="shared" si="35"/>
        <v>207.71983640666662</v>
      </c>
      <c r="O609">
        <f>((0.03851*E609)+(0.0322*N609))</f>
        <v>18.049028732294666</v>
      </c>
    </row>
    <row r="610" spans="1:15" x14ac:dyDescent="0.25">
      <c r="A610" s="2">
        <v>40732</v>
      </c>
      <c r="B610" t="s">
        <v>37</v>
      </c>
      <c r="C610">
        <v>11</v>
      </c>
      <c r="D610" s="6" t="s">
        <v>16</v>
      </c>
      <c r="E610">
        <v>307</v>
      </c>
      <c r="F610">
        <v>1.1399999999999999</v>
      </c>
      <c r="G610">
        <v>0</v>
      </c>
      <c r="N610">
        <f t="shared" si="35"/>
        <v>104.45189847899996</v>
      </c>
      <c r="O610">
        <f>((0.03043*E610)+(0.02936*N610))</f>
        <v>12.408717739343439</v>
      </c>
    </row>
    <row r="611" spans="1:15" x14ac:dyDescent="0.25">
      <c r="A611" s="2">
        <v>40732</v>
      </c>
      <c r="B611" t="s">
        <v>37</v>
      </c>
      <c r="C611">
        <v>11</v>
      </c>
      <c r="D611" s="6" t="s">
        <v>16</v>
      </c>
      <c r="E611">
        <v>307</v>
      </c>
      <c r="F611">
        <v>1.32</v>
      </c>
      <c r="G611">
        <v>5</v>
      </c>
      <c r="N611">
        <f t="shared" si="35"/>
        <v>140.040772476</v>
      </c>
      <c r="O611">
        <f t="shared" ref="O611:O618" si="36">((0.03851*E611)+(0.0322*N611))</f>
        <v>16.331882873727203</v>
      </c>
    </row>
    <row r="612" spans="1:15" x14ac:dyDescent="0.25">
      <c r="A612" s="2">
        <v>40732</v>
      </c>
      <c r="B612" t="s">
        <v>37</v>
      </c>
      <c r="C612">
        <v>11</v>
      </c>
      <c r="D612" s="6" t="s">
        <v>16</v>
      </c>
      <c r="E612">
        <v>309</v>
      </c>
      <c r="F612">
        <v>1.25</v>
      </c>
      <c r="G612">
        <v>10</v>
      </c>
      <c r="N612">
        <f t="shared" si="35"/>
        <v>126.39991015624999</v>
      </c>
      <c r="O612">
        <f t="shared" si="36"/>
        <v>15.969667107031251</v>
      </c>
    </row>
    <row r="613" spans="1:15" x14ac:dyDescent="0.25">
      <c r="A613" s="2">
        <v>40732</v>
      </c>
      <c r="B613" t="s">
        <v>37</v>
      </c>
      <c r="C613">
        <v>11</v>
      </c>
      <c r="D613" s="6" t="s">
        <v>16</v>
      </c>
      <c r="E613">
        <v>313</v>
      </c>
      <c r="F613">
        <v>1.42</v>
      </c>
      <c r="G613">
        <v>2</v>
      </c>
      <c r="N613">
        <f t="shared" si="35"/>
        <v>165.23014581566665</v>
      </c>
      <c r="O613">
        <f t="shared" si="36"/>
        <v>17.374040695264465</v>
      </c>
    </row>
    <row r="614" spans="1:15" x14ac:dyDescent="0.25">
      <c r="A614" s="2">
        <v>40732</v>
      </c>
      <c r="B614" t="s">
        <v>37</v>
      </c>
      <c r="C614">
        <v>11</v>
      </c>
      <c r="D614" s="6" t="s">
        <v>16</v>
      </c>
      <c r="E614">
        <v>314</v>
      </c>
      <c r="F614">
        <v>1.8</v>
      </c>
      <c r="G614">
        <v>14</v>
      </c>
      <c r="N614">
        <f t="shared" si="35"/>
        <v>266.34400019999998</v>
      </c>
      <c r="O614">
        <f t="shared" si="36"/>
        <v>20.66841680644</v>
      </c>
    </row>
    <row r="615" spans="1:15" x14ac:dyDescent="0.25">
      <c r="A615" s="2">
        <v>40732</v>
      </c>
      <c r="B615" t="s">
        <v>37</v>
      </c>
      <c r="C615">
        <v>11</v>
      </c>
      <c r="D615" s="6" t="s">
        <v>16</v>
      </c>
      <c r="E615">
        <v>316</v>
      </c>
      <c r="F615">
        <v>1.53</v>
      </c>
      <c r="G615">
        <v>8</v>
      </c>
      <c r="N615">
        <f t="shared" si="35"/>
        <v>193.65923148299999</v>
      </c>
      <c r="O615">
        <f t="shared" si="36"/>
        <v>18.404987253752601</v>
      </c>
    </row>
    <row r="616" spans="1:15" x14ac:dyDescent="0.25">
      <c r="A616" s="2">
        <v>40732</v>
      </c>
      <c r="B616" t="s">
        <v>37</v>
      </c>
      <c r="C616">
        <v>11</v>
      </c>
      <c r="D616" s="6" t="s">
        <v>16</v>
      </c>
      <c r="E616">
        <v>319</v>
      </c>
      <c r="F616">
        <v>1.35</v>
      </c>
      <c r="G616">
        <v>11</v>
      </c>
      <c r="N616">
        <f t="shared" si="35"/>
        <v>152.20414501875001</v>
      </c>
      <c r="O616">
        <f t="shared" si="36"/>
        <v>17.185663469603753</v>
      </c>
    </row>
    <row r="617" spans="1:15" x14ac:dyDescent="0.25">
      <c r="A617" s="2">
        <v>40732</v>
      </c>
      <c r="B617" t="s">
        <v>37</v>
      </c>
      <c r="C617">
        <v>11</v>
      </c>
      <c r="D617" s="6" t="s">
        <v>16</v>
      </c>
      <c r="E617">
        <v>340</v>
      </c>
      <c r="F617">
        <v>1.54</v>
      </c>
      <c r="G617">
        <v>11</v>
      </c>
      <c r="N617">
        <f t="shared" si="35"/>
        <v>211.10018724666662</v>
      </c>
      <c r="O617">
        <f t="shared" si="36"/>
        <v>19.890826029342666</v>
      </c>
    </row>
    <row r="618" spans="1:15" x14ac:dyDescent="0.25">
      <c r="A618" s="2">
        <v>40732</v>
      </c>
      <c r="B618" t="s">
        <v>37</v>
      </c>
      <c r="C618">
        <v>11</v>
      </c>
      <c r="D618" s="6" t="s">
        <v>16</v>
      </c>
      <c r="E618">
        <v>340</v>
      </c>
      <c r="F618">
        <v>2.2000000000000002</v>
      </c>
      <c r="G618">
        <v>7</v>
      </c>
      <c r="N618">
        <f t="shared" si="35"/>
        <v>430.81670866666667</v>
      </c>
      <c r="O618">
        <f t="shared" si="36"/>
        <v>26.965698019066668</v>
      </c>
    </row>
    <row r="619" spans="1:15" x14ac:dyDescent="0.25">
      <c r="A619" s="2">
        <v>40732</v>
      </c>
      <c r="B619" t="s">
        <v>37</v>
      </c>
      <c r="C619">
        <v>11</v>
      </c>
      <c r="D619" s="6" t="s">
        <v>19</v>
      </c>
      <c r="E619">
        <v>290</v>
      </c>
      <c r="F619">
        <v>2.25</v>
      </c>
      <c r="H619">
        <v>30</v>
      </c>
      <c r="I619">
        <v>1.2</v>
      </c>
      <c r="O619">
        <f>(0.66164*E619)+(16.34893*F619)+(1.11091*H619)+(-8.40694*I619)-154.2499</f>
        <v>97.649764499999975</v>
      </c>
    </row>
    <row r="620" spans="1:15" x14ac:dyDescent="0.25">
      <c r="A620" s="2">
        <v>40732</v>
      </c>
      <c r="B620" t="s">
        <v>37</v>
      </c>
      <c r="C620">
        <v>15</v>
      </c>
      <c r="D620" s="6" t="s">
        <v>29</v>
      </c>
      <c r="E620">
        <v>43</v>
      </c>
      <c r="F620">
        <v>0.84</v>
      </c>
      <c r="G620">
        <v>0</v>
      </c>
      <c r="M620" t="s">
        <v>54</v>
      </c>
      <c r="O620">
        <f t="shared" ref="O620:O651" si="37">((3.55251*F620)+(0.01568*E620)-2.29794)</f>
        <v>1.3604083999999994</v>
      </c>
    </row>
    <row r="621" spans="1:15" x14ac:dyDescent="0.25">
      <c r="A621" s="2">
        <v>40732</v>
      </c>
      <c r="B621" t="s">
        <v>37</v>
      </c>
      <c r="C621">
        <v>15</v>
      </c>
      <c r="D621" s="6" t="s">
        <v>29</v>
      </c>
      <c r="E621">
        <v>75</v>
      </c>
      <c r="F621">
        <v>0.54</v>
      </c>
      <c r="G621">
        <v>0</v>
      </c>
      <c r="M621" t="s">
        <v>38</v>
      </c>
      <c r="O621">
        <f t="shared" si="37"/>
        <v>0.79641539999999988</v>
      </c>
    </row>
    <row r="622" spans="1:15" x14ac:dyDescent="0.25">
      <c r="A622" s="2">
        <v>40732</v>
      </c>
      <c r="B622" t="s">
        <v>37</v>
      </c>
      <c r="C622">
        <v>15</v>
      </c>
      <c r="D622" s="6" t="s">
        <v>29</v>
      </c>
      <c r="E622">
        <v>89</v>
      </c>
      <c r="F622">
        <v>0.2</v>
      </c>
      <c r="G622">
        <v>0</v>
      </c>
      <c r="M622" t="s">
        <v>38</v>
      </c>
      <c r="O622">
        <f t="shared" si="37"/>
        <v>-0.19191800000000026</v>
      </c>
    </row>
    <row r="623" spans="1:15" x14ac:dyDescent="0.25">
      <c r="A623" s="2">
        <v>40732</v>
      </c>
      <c r="B623" t="s">
        <v>37</v>
      </c>
      <c r="C623">
        <v>15</v>
      </c>
      <c r="D623" s="6" t="s">
        <v>29</v>
      </c>
      <c r="E623">
        <v>93</v>
      </c>
      <c r="F623">
        <v>0.24</v>
      </c>
      <c r="G623">
        <v>1</v>
      </c>
      <c r="M623" t="s">
        <v>38</v>
      </c>
      <c r="O623">
        <f t="shared" si="37"/>
        <v>1.2902399999999759E-2</v>
      </c>
    </row>
    <row r="624" spans="1:15" x14ac:dyDescent="0.25">
      <c r="A624" s="2">
        <v>40732</v>
      </c>
      <c r="B624" t="s">
        <v>37</v>
      </c>
      <c r="C624">
        <v>15</v>
      </c>
      <c r="D624" s="6" t="s">
        <v>29</v>
      </c>
      <c r="E624">
        <v>103</v>
      </c>
      <c r="F624">
        <v>0.28000000000000003</v>
      </c>
      <c r="G624">
        <v>0</v>
      </c>
      <c r="M624" t="s">
        <v>38</v>
      </c>
      <c r="O624">
        <f t="shared" si="37"/>
        <v>0.31180280000000016</v>
      </c>
    </row>
    <row r="625" spans="1:15" x14ac:dyDescent="0.25">
      <c r="A625" s="2">
        <v>40732</v>
      </c>
      <c r="B625" t="s">
        <v>37</v>
      </c>
      <c r="C625">
        <v>15</v>
      </c>
      <c r="D625" s="6" t="s">
        <v>29</v>
      </c>
      <c r="E625">
        <v>108</v>
      </c>
      <c r="F625">
        <v>0.51</v>
      </c>
      <c r="G625">
        <v>0</v>
      </c>
      <c r="M625" t="s">
        <v>38</v>
      </c>
      <c r="O625">
        <f t="shared" si="37"/>
        <v>1.2072800999999997</v>
      </c>
    </row>
    <row r="626" spans="1:15" x14ac:dyDescent="0.25">
      <c r="A626" s="2">
        <v>40732</v>
      </c>
      <c r="B626" t="s">
        <v>37</v>
      </c>
      <c r="C626">
        <v>15</v>
      </c>
      <c r="D626" s="6" t="s">
        <v>29</v>
      </c>
      <c r="E626">
        <v>112</v>
      </c>
      <c r="F626">
        <v>0.94</v>
      </c>
      <c r="G626">
        <v>0</v>
      </c>
      <c r="M626" t="s">
        <v>38</v>
      </c>
      <c r="O626">
        <f t="shared" si="37"/>
        <v>2.7975793999999996</v>
      </c>
    </row>
    <row r="627" spans="1:15" x14ac:dyDescent="0.25">
      <c r="A627" s="2">
        <v>40732</v>
      </c>
      <c r="B627" t="s">
        <v>37</v>
      </c>
      <c r="C627">
        <v>15</v>
      </c>
      <c r="D627" s="6" t="s">
        <v>29</v>
      </c>
      <c r="E627">
        <v>114</v>
      </c>
      <c r="F627">
        <v>0.38</v>
      </c>
      <c r="G627">
        <v>0</v>
      </c>
      <c r="M627" t="s">
        <v>38</v>
      </c>
      <c r="O627">
        <f t="shared" si="37"/>
        <v>0.83953379999999989</v>
      </c>
    </row>
    <row r="628" spans="1:15" x14ac:dyDescent="0.25">
      <c r="A628" s="2">
        <v>40732</v>
      </c>
      <c r="B628" t="s">
        <v>37</v>
      </c>
      <c r="C628">
        <v>15</v>
      </c>
      <c r="D628" s="6" t="s">
        <v>29</v>
      </c>
      <c r="E628">
        <v>118</v>
      </c>
      <c r="F628">
        <v>0.37</v>
      </c>
      <c r="G628">
        <v>1</v>
      </c>
      <c r="M628" t="s">
        <v>38</v>
      </c>
      <c r="O628">
        <f t="shared" si="37"/>
        <v>0.86672869999999991</v>
      </c>
    </row>
    <row r="629" spans="1:15" x14ac:dyDescent="0.25">
      <c r="A629" s="2">
        <v>40732</v>
      </c>
      <c r="B629" t="s">
        <v>37</v>
      </c>
      <c r="C629">
        <v>15</v>
      </c>
      <c r="D629" s="6" t="s">
        <v>29</v>
      </c>
      <c r="E629">
        <v>120</v>
      </c>
      <c r="F629">
        <v>0.36</v>
      </c>
      <c r="G629">
        <v>1</v>
      </c>
      <c r="M629" t="s">
        <v>38</v>
      </c>
      <c r="O629">
        <f t="shared" si="37"/>
        <v>0.86256359999999965</v>
      </c>
    </row>
    <row r="630" spans="1:15" x14ac:dyDescent="0.25">
      <c r="A630" s="2">
        <v>40732</v>
      </c>
      <c r="B630" t="s">
        <v>37</v>
      </c>
      <c r="C630">
        <v>15</v>
      </c>
      <c r="D630" s="6" t="s">
        <v>29</v>
      </c>
      <c r="E630">
        <v>120</v>
      </c>
      <c r="F630">
        <v>0.38</v>
      </c>
      <c r="G630">
        <v>0</v>
      </c>
      <c r="M630" t="s">
        <v>38</v>
      </c>
      <c r="O630">
        <f t="shared" si="37"/>
        <v>0.93361379999999983</v>
      </c>
    </row>
    <row r="631" spans="1:15" x14ac:dyDescent="0.25">
      <c r="A631" s="2">
        <v>40732</v>
      </c>
      <c r="B631" t="s">
        <v>37</v>
      </c>
      <c r="C631">
        <v>15</v>
      </c>
      <c r="D631" s="6" t="s">
        <v>29</v>
      </c>
      <c r="E631">
        <v>125</v>
      </c>
      <c r="F631">
        <v>0.52</v>
      </c>
      <c r="G631">
        <v>0</v>
      </c>
      <c r="M631" t="s">
        <v>38</v>
      </c>
      <c r="O631">
        <f t="shared" si="37"/>
        <v>1.5093652</v>
      </c>
    </row>
    <row r="632" spans="1:15" x14ac:dyDescent="0.25">
      <c r="A632" s="2">
        <v>40732</v>
      </c>
      <c r="B632" t="s">
        <v>37</v>
      </c>
      <c r="C632">
        <v>15</v>
      </c>
      <c r="D632" s="6" t="s">
        <v>29</v>
      </c>
      <c r="E632">
        <v>127</v>
      </c>
      <c r="F632">
        <v>0.55000000000000004</v>
      </c>
      <c r="G632">
        <v>1</v>
      </c>
      <c r="M632" t="s">
        <v>38</v>
      </c>
      <c r="O632">
        <f t="shared" si="37"/>
        <v>1.6473005000000001</v>
      </c>
    </row>
    <row r="633" spans="1:15" x14ac:dyDescent="0.25">
      <c r="A633" s="2">
        <v>40732</v>
      </c>
      <c r="B633" t="s">
        <v>37</v>
      </c>
      <c r="C633">
        <v>15</v>
      </c>
      <c r="D633" s="6" t="s">
        <v>29</v>
      </c>
      <c r="E633">
        <v>128</v>
      </c>
      <c r="F633">
        <v>0.67</v>
      </c>
      <c r="G633">
        <v>0</v>
      </c>
      <c r="M633" t="s">
        <v>38</v>
      </c>
      <c r="O633">
        <f t="shared" si="37"/>
        <v>2.0892816999999995</v>
      </c>
    </row>
    <row r="634" spans="1:15" x14ac:dyDescent="0.25">
      <c r="A634" s="2">
        <v>40732</v>
      </c>
      <c r="B634" t="s">
        <v>37</v>
      </c>
      <c r="C634">
        <v>15</v>
      </c>
      <c r="D634" s="6" t="s">
        <v>29</v>
      </c>
      <c r="E634">
        <v>129</v>
      </c>
      <c r="F634">
        <v>0.47</v>
      </c>
      <c r="G634">
        <v>1</v>
      </c>
      <c r="M634" t="s">
        <v>38</v>
      </c>
      <c r="O634">
        <f t="shared" si="37"/>
        <v>1.3944597000000001</v>
      </c>
    </row>
    <row r="635" spans="1:15" x14ac:dyDescent="0.25">
      <c r="A635" s="2">
        <v>40732</v>
      </c>
      <c r="B635" t="s">
        <v>37</v>
      </c>
      <c r="C635">
        <v>15</v>
      </c>
      <c r="D635" s="6" t="s">
        <v>29</v>
      </c>
      <c r="E635">
        <v>130</v>
      </c>
      <c r="F635">
        <v>0.4</v>
      </c>
      <c r="G635">
        <v>0</v>
      </c>
      <c r="M635" t="s">
        <v>38</v>
      </c>
      <c r="O635">
        <f t="shared" si="37"/>
        <v>1.1614639999999996</v>
      </c>
    </row>
    <row r="636" spans="1:15" x14ac:dyDescent="0.25">
      <c r="A636" s="2">
        <v>40732</v>
      </c>
      <c r="B636" t="s">
        <v>37</v>
      </c>
      <c r="C636">
        <v>15</v>
      </c>
      <c r="D636" s="6" t="s">
        <v>29</v>
      </c>
      <c r="E636">
        <v>130</v>
      </c>
      <c r="F636">
        <v>0.45</v>
      </c>
      <c r="G636">
        <v>0</v>
      </c>
      <c r="M636" t="s">
        <v>38</v>
      </c>
      <c r="O636">
        <f t="shared" si="37"/>
        <v>1.3390894999999996</v>
      </c>
    </row>
    <row r="637" spans="1:15" x14ac:dyDescent="0.25">
      <c r="A637" s="2">
        <v>40732</v>
      </c>
      <c r="B637" t="s">
        <v>37</v>
      </c>
      <c r="C637">
        <v>15</v>
      </c>
      <c r="D637" s="6" t="s">
        <v>29</v>
      </c>
      <c r="E637">
        <v>131</v>
      </c>
      <c r="F637">
        <v>0.43</v>
      </c>
      <c r="G637">
        <v>0</v>
      </c>
      <c r="M637" t="s">
        <v>38</v>
      </c>
      <c r="O637">
        <f t="shared" si="37"/>
        <v>1.2837193</v>
      </c>
    </row>
    <row r="638" spans="1:15" x14ac:dyDescent="0.25">
      <c r="A638" s="2">
        <v>40732</v>
      </c>
      <c r="B638" t="s">
        <v>37</v>
      </c>
      <c r="C638">
        <v>15</v>
      </c>
      <c r="D638" s="6" t="s">
        <v>29</v>
      </c>
      <c r="E638">
        <v>133</v>
      </c>
      <c r="F638">
        <v>0.38</v>
      </c>
      <c r="G638">
        <v>0</v>
      </c>
      <c r="M638" t="s">
        <v>38</v>
      </c>
      <c r="O638">
        <f t="shared" si="37"/>
        <v>1.1374537999999998</v>
      </c>
    </row>
    <row r="639" spans="1:15" x14ac:dyDescent="0.25">
      <c r="A639" s="2">
        <v>40732</v>
      </c>
      <c r="B639" t="s">
        <v>37</v>
      </c>
      <c r="C639">
        <v>15</v>
      </c>
      <c r="D639" s="6" t="s">
        <v>29</v>
      </c>
      <c r="E639">
        <v>133</v>
      </c>
      <c r="F639">
        <v>0.45</v>
      </c>
      <c r="G639">
        <v>0</v>
      </c>
      <c r="M639" t="s">
        <v>38</v>
      </c>
      <c r="O639">
        <f t="shared" si="37"/>
        <v>1.3861294999999996</v>
      </c>
    </row>
    <row r="640" spans="1:15" x14ac:dyDescent="0.25">
      <c r="A640" s="2">
        <v>40732</v>
      </c>
      <c r="B640" t="s">
        <v>37</v>
      </c>
      <c r="C640">
        <v>15</v>
      </c>
      <c r="D640" s="6" t="s">
        <v>29</v>
      </c>
      <c r="E640">
        <v>133</v>
      </c>
      <c r="F640">
        <v>0.57999999999999996</v>
      </c>
      <c r="G640">
        <v>0</v>
      </c>
      <c r="M640" t="s">
        <v>38</v>
      </c>
      <c r="O640">
        <f t="shared" si="37"/>
        <v>1.8479557999999998</v>
      </c>
    </row>
    <row r="641" spans="1:15" x14ac:dyDescent="0.25">
      <c r="A641" s="2">
        <v>40732</v>
      </c>
      <c r="B641" t="s">
        <v>37</v>
      </c>
      <c r="C641">
        <v>15</v>
      </c>
      <c r="D641" s="6" t="s">
        <v>29</v>
      </c>
      <c r="E641">
        <v>133</v>
      </c>
      <c r="F641">
        <v>0.59</v>
      </c>
      <c r="G641">
        <v>0</v>
      </c>
      <c r="M641" t="s">
        <v>38</v>
      </c>
      <c r="O641">
        <f t="shared" si="37"/>
        <v>1.883480899999999</v>
      </c>
    </row>
    <row r="642" spans="1:15" x14ac:dyDescent="0.25">
      <c r="A642" s="2">
        <v>40732</v>
      </c>
      <c r="B642" t="s">
        <v>37</v>
      </c>
      <c r="C642">
        <v>15</v>
      </c>
      <c r="D642" s="6" t="s">
        <v>29</v>
      </c>
      <c r="E642">
        <v>134</v>
      </c>
      <c r="F642">
        <v>0.4</v>
      </c>
      <c r="G642">
        <v>0</v>
      </c>
      <c r="M642" t="s">
        <v>38</v>
      </c>
      <c r="O642">
        <f t="shared" si="37"/>
        <v>1.2241839999999997</v>
      </c>
    </row>
    <row r="643" spans="1:15" x14ac:dyDescent="0.25">
      <c r="A643" s="2">
        <v>40732</v>
      </c>
      <c r="B643" t="s">
        <v>37</v>
      </c>
      <c r="C643">
        <v>15</v>
      </c>
      <c r="D643" s="6" t="s">
        <v>29</v>
      </c>
      <c r="E643">
        <v>134</v>
      </c>
      <c r="F643">
        <v>0.44</v>
      </c>
      <c r="G643">
        <v>0</v>
      </c>
      <c r="M643" t="s">
        <v>38</v>
      </c>
      <c r="O643">
        <f t="shared" si="37"/>
        <v>1.3662843999999996</v>
      </c>
    </row>
    <row r="644" spans="1:15" x14ac:dyDescent="0.25">
      <c r="A644" s="2">
        <v>40732</v>
      </c>
      <c r="B644" t="s">
        <v>37</v>
      </c>
      <c r="C644">
        <v>15</v>
      </c>
      <c r="D644" s="6" t="s">
        <v>29</v>
      </c>
      <c r="E644">
        <v>136</v>
      </c>
      <c r="F644">
        <v>0.38</v>
      </c>
      <c r="G644">
        <v>0</v>
      </c>
      <c r="M644" t="s">
        <v>38</v>
      </c>
      <c r="O644">
        <f t="shared" si="37"/>
        <v>1.1844937999999998</v>
      </c>
    </row>
    <row r="645" spans="1:15" x14ac:dyDescent="0.25">
      <c r="A645" s="2">
        <v>40732</v>
      </c>
      <c r="B645" t="s">
        <v>37</v>
      </c>
      <c r="C645">
        <v>15</v>
      </c>
      <c r="D645" s="6" t="s">
        <v>29</v>
      </c>
      <c r="E645">
        <v>136</v>
      </c>
      <c r="F645">
        <v>0.39</v>
      </c>
      <c r="G645">
        <v>0</v>
      </c>
      <c r="M645" t="s">
        <v>38</v>
      </c>
      <c r="O645">
        <f t="shared" si="37"/>
        <v>1.2200188999999999</v>
      </c>
    </row>
    <row r="646" spans="1:15" x14ac:dyDescent="0.25">
      <c r="A646" s="2">
        <v>40732</v>
      </c>
      <c r="B646" t="s">
        <v>37</v>
      </c>
      <c r="C646">
        <v>15</v>
      </c>
      <c r="D646" s="6" t="s">
        <v>29</v>
      </c>
      <c r="E646">
        <v>137</v>
      </c>
      <c r="F646">
        <v>0.35</v>
      </c>
      <c r="G646">
        <v>0</v>
      </c>
      <c r="M646" t="s">
        <v>38</v>
      </c>
      <c r="O646">
        <f t="shared" si="37"/>
        <v>1.0935984999999997</v>
      </c>
    </row>
    <row r="647" spans="1:15" x14ac:dyDescent="0.25">
      <c r="A647" s="2">
        <v>40732</v>
      </c>
      <c r="B647" t="s">
        <v>37</v>
      </c>
      <c r="C647">
        <v>15</v>
      </c>
      <c r="D647" s="6" t="s">
        <v>29</v>
      </c>
      <c r="E647">
        <v>137</v>
      </c>
      <c r="F647">
        <v>0.43</v>
      </c>
      <c r="G647">
        <v>0</v>
      </c>
      <c r="M647" t="s">
        <v>38</v>
      </c>
      <c r="O647">
        <f t="shared" si="37"/>
        <v>1.3777992999999999</v>
      </c>
    </row>
    <row r="648" spans="1:15" x14ac:dyDescent="0.25">
      <c r="A648" s="2">
        <v>40732</v>
      </c>
      <c r="B648" t="s">
        <v>37</v>
      </c>
      <c r="C648">
        <v>15</v>
      </c>
      <c r="D648" s="6" t="s">
        <v>29</v>
      </c>
      <c r="E648">
        <v>137</v>
      </c>
      <c r="F648">
        <v>0.43</v>
      </c>
      <c r="G648">
        <v>1</v>
      </c>
      <c r="M648" t="s">
        <v>38</v>
      </c>
      <c r="O648">
        <f t="shared" si="37"/>
        <v>1.3777992999999999</v>
      </c>
    </row>
    <row r="649" spans="1:15" x14ac:dyDescent="0.25">
      <c r="A649" s="2">
        <v>40732</v>
      </c>
      <c r="B649" t="s">
        <v>37</v>
      </c>
      <c r="C649">
        <v>15</v>
      </c>
      <c r="D649" s="6" t="s">
        <v>29</v>
      </c>
      <c r="E649">
        <v>138</v>
      </c>
      <c r="F649">
        <v>0.35</v>
      </c>
      <c r="G649">
        <v>0</v>
      </c>
      <c r="M649" t="s">
        <v>38</v>
      </c>
      <c r="O649">
        <f t="shared" si="37"/>
        <v>1.1092784999999998</v>
      </c>
    </row>
    <row r="650" spans="1:15" x14ac:dyDescent="0.25">
      <c r="A650" s="2">
        <v>40732</v>
      </c>
      <c r="B650" t="s">
        <v>37</v>
      </c>
      <c r="C650">
        <v>15</v>
      </c>
      <c r="D650" s="6" t="s">
        <v>29</v>
      </c>
      <c r="E650">
        <v>138</v>
      </c>
      <c r="F650">
        <v>0.51</v>
      </c>
      <c r="G650">
        <v>0</v>
      </c>
      <c r="M650" t="s">
        <v>38</v>
      </c>
      <c r="O650">
        <f t="shared" si="37"/>
        <v>1.6776800999999999</v>
      </c>
    </row>
    <row r="651" spans="1:15" x14ac:dyDescent="0.25">
      <c r="A651" s="2">
        <v>40732</v>
      </c>
      <c r="B651" t="s">
        <v>37</v>
      </c>
      <c r="C651">
        <v>15</v>
      </c>
      <c r="D651" s="6" t="s">
        <v>29</v>
      </c>
      <c r="E651">
        <v>144</v>
      </c>
      <c r="F651">
        <v>0.52</v>
      </c>
      <c r="G651">
        <v>0</v>
      </c>
      <c r="M651" t="s">
        <v>38</v>
      </c>
      <c r="O651">
        <f t="shared" si="37"/>
        <v>1.8072851999999995</v>
      </c>
    </row>
    <row r="652" spans="1:15" x14ac:dyDescent="0.25">
      <c r="A652" s="2">
        <v>40732</v>
      </c>
      <c r="B652" t="s">
        <v>37</v>
      </c>
      <c r="C652">
        <v>15</v>
      </c>
      <c r="D652" s="6" t="s">
        <v>29</v>
      </c>
      <c r="E652">
        <v>144</v>
      </c>
      <c r="F652">
        <v>0.56999999999999995</v>
      </c>
      <c r="G652">
        <v>0</v>
      </c>
      <c r="M652" t="s">
        <v>38</v>
      </c>
      <c r="O652">
        <f t="shared" ref="O652:O683" si="38">((3.55251*F652)+(0.01568*E652)-2.29794)</f>
        <v>1.984910699999999</v>
      </c>
    </row>
    <row r="653" spans="1:15" x14ac:dyDescent="0.25">
      <c r="A653" s="2">
        <v>40732</v>
      </c>
      <c r="B653" t="s">
        <v>37</v>
      </c>
      <c r="C653">
        <v>15</v>
      </c>
      <c r="D653" s="6" t="s">
        <v>29</v>
      </c>
      <c r="E653">
        <v>145</v>
      </c>
      <c r="F653">
        <v>0.39</v>
      </c>
      <c r="G653">
        <v>0</v>
      </c>
      <c r="M653" t="s">
        <v>38</v>
      </c>
      <c r="O653">
        <f t="shared" si="38"/>
        <v>1.3611388999999998</v>
      </c>
    </row>
    <row r="654" spans="1:15" x14ac:dyDescent="0.25">
      <c r="A654" s="2">
        <v>40732</v>
      </c>
      <c r="B654" t="s">
        <v>37</v>
      </c>
      <c r="C654">
        <v>15</v>
      </c>
      <c r="D654" s="6" t="s">
        <v>29</v>
      </c>
      <c r="E654">
        <v>146</v>
      </c>
      <c r="F654">
        <v>0.94</v>
      </c>
      <c r="G654">
        <v>0</v>
      </c>
      <c r="M654" t="s">
        <v>38</v>
      </c>
      <c r="O654">
        <f t="shared" si="38"/>
        <v>3.330699399999999</v>
      </c>
    </row>
    <row r="655" spans="1:15" x14ac:dyDescent="0.25">
      <c r="A655" s="2">
        <v>40732</v>
      </c>
      <c r="B655" t="s">
        <v>37</v>
      </c>
      <c r="C655">
        <v>15</v>
      </c>
      <c r="D655" s="6" t="s">
        <v>29</v>
      </c>
      <c r="E655">
        <v>147</v>
      </c>
      <c r="F655">
        <v>0.4</v>
      </c>
      <c r="G655">
        <v>0</v>
      </c>
      <c r="M655" t="s">
        <v>38</v>
      </c>
      <c r="O655">
        <f t="shared" si="38"/>
        <v>1.4280239999999997</v>
      </c>
    </row>
    <row r="656" spans="1:15" x14ac:dyDescent="0.25">
      <c r="A656" s="2">
        <v>40732</v>
      </c>
      <c r="B656" t="s">
        <v>37</v>
      </c>
      <c r="C656">
        <v>15</v>
      </c>
      <c r="D656" s="6" t="s">
        <v>29</v>
      </c>
      <c r="E656">
        <v>147</v>
      </c>
      <c r="F656">
        <v>0.41</v>
      </c>
      <c r="G656">
        <v>1</v>
      </c>
      <c r="M656" t="s">
        <v>38</v>
      </c>
      <c r="O656">
        <f t="shared" si="38"/>
        <v>1.4635490999999994</v>
      </c>
    </row>
    <row r="657" spans="1:15" x14ac:dyDescent="0.25">
      <c r="A657" s="2">
        <v>40732</v>
      </c>
      <c r="B657" t="s">
        <v>37</v>
      </c>
      <c r="C657">
        <v>15</v>
      </c>
      <c r="D657" s="6" t="s">
        <v>29</v>
      </c>
      <c r="E657">
        <v>147</v>
      </c>
      <c r="F657">
        <v>0.55000000000000004</v>
      </c>
      <c r="G657">
        <v>0</v>
      </c>
      <c r="M657" t="s">
        <v>38</v>
      </c>
      <c r="O657">
        <f t="shared" si="38"/>
        <v>1.9609004999999997</v>
      </c>
    </row>
    <row r="658" spans="1:15" x14ac:dyDescent="0.25">
      <c r="A658" s="2">
        <v>40732</v>
      </c>
      <c r="B658" t="s">
        <v>37</v>
      </c>
      <c r="C658">
        <v>15</v>
      </c>
      <c r="D658" s="6" t="s">
        <v>29</v>
      </c>
      <c r="E658">
        <v>148</v>
      </c>
      <c r="F658">
        <v>0.49</v>
      </c>
      <c r="G658">
        <v>0</v>
      </c>
      <c r="M658" t="s">
        <v>38</v>
      </c>
      <c r="O658">
        <f t="shared" si="38"/>
        <v>1.7634298999999998</v>
      </c>
    </row>
    <row r="659" spans="1:15" x14ac:dyDescent="0.25">
      <c r="A659" s="2">
        <v>40732</v>
      </c>
      <c r="B659" t="s">
        <v>37</v>
      </c>
      <c r="C659">
        <v>15</v>
      </c>
      <c r="D659" s="6" t="s">
        <v>29</v>
      </c>
      <c r="E659">
        <v>148</v>
      </c>
      <c r="F659">
        <v>0.75</v>
      </c>
      <c r="G659">
        <v>0</v>
      </c>
      <c r="M659" t="s">
        <v>38</v>
      </c>
      <c r="O659">
        <f t="shared" si="38"/>
        <v>2.6870824999999994</v>
      </c>
    </row>
    <row r="660" spans="1:15" x14ac:dyDescent="0.25">
      <c r="A660" s="2">
        <v>40732</v>
      </c>
      <c r="B660" t="s">
        <v>37</v>
      </c>
      <c r="C660">
        <v>15</v>
      </c>
      <c r="D660" s="6" t="s">
        <v>29</v>
      </c>
      <c r="E660">
        <v>149</v>
      </c>
      <c r="F660">
        <v>0.49</v>
      </c>
      <c r="G660">
        <v>0</v>
      </c>
      <c r="M660" t="s">
        <v>38</v>
      </c>
      <c r="O660">
        <f t="shared" si="38"/>
        <v>1.7791098999999995</v>
      </c>
    </row>
    <row r="661" spans="1:15" x14ac:dyDescent="0.25">
      <c r="A661" s="2">
        <v>40732</v>
      </c>
      <c r="B661" t="s">
        <v>37</v>
      </c>
      <c r="C661">
        <v>15</v>
      </c>
      <c r="D661" s="6" t="s">
        <v>29</v>
      </c>
      <c r="E661">
        <v>150</v>
      </c>
      <c r="F661">
        <v>0.38</v>
      </c>
      <c r="G661">
        <v>0</v>
      </c>
      <c r="M661" t="s">
        <v>38</v>
      </c>
      <c r="O661">
        <f t="shared" si="38"/>
        <v>1.4040138</v>
      </c>
    </row>
    <row r="662" spans="1:15" x14ac:dyDescent="0.25">
      <c r="A662" s="2">
        <v>40732</v>
      </c>
      <c r="B662" t="s">
        <v>37</v>
      </c>
      <c r="C662">
        <v>15</v>
      </c>
      <c r="D662" s="6" t="s">
        <v>29</v>
      </c>
      <c r="E662">
        <v>150</v>
      </c>
      <c r="F662">
        <v>0.41</v>
      </c>
      <c r="G662">
        <v>0</v>
      </c>
      <c r="M662" t="s">
        <v>38</v>
      </c>
      <c r="O662">
        <f t="shared" si="38"/>
        <v>1.5105890999999994</v>
      </c>
    </row>
    <row r="663" spans="1:15" x14ac:dyDescent="0.25">
      <c r="A663" s="2">
        <v>40732</v>
      </c>
      <c r="B663" t="s">
        <v>37</v>
      </c>
      <c r="C663">
        <v>15</v>
      </c>
      <c r="D663" s="6" t="s">
        <v>29</v>
      </c>
      <c r="E663">
        <v>151</v>
      </c>
      <c r="F663">
        <v>0.48</v>
      </c>
      <c r="G663">
        <v>0</v>
      </c>
      <c r="M663" t="s">
        <v>38</v>
      </c>
      <c r="O663">
        <f t="shared" si="38"/>
        <v>1.7749447999999997</v>
      </c>
    </row>
    <row r="664" spans="1:15" x14ac:dyDescent="0.25">
      <c r="A664" s="2">
        <v>40732</v>
      </c>
      <c r="B664" t="s">
        <v>37</v>
      </c>
      <c r="C664">
        <v>15</v>
      </c>
      <c r="D664" s="6" t="s">
        <v>29</v>
      </c>
      <c r="E664">
        <v>153</v>
      </c>
      <c r="F664">
        <v>0.59</v>
      </c>
      <c r="G664">
        <v>0</v>
      </c>
      <c r="M664" t="s">
        <v>38</v>
      </c>
      <c r="O664">
        <f t="shared" si="38"/>
        <v>2.1970809</v>
      </c>
    </row>
    <row r="665" spans="1:15" x14ac:dyDescent="0.25">
      <c r="A665" s="2">
        <v>40732</v>
      </c>
      <c r="B665" t="s">
        <v>37</v>
      </c>
      <c r="C665">
        <v>15</v>
      </c>
      <c r="D665" s="6" t="s">
        <v>29</v>
      </c>
      <c r="E665">
        <v>154</v>
      </c>
      <c r="F665">
        <v>0.45</v>
      </c>
      <c r="G665">
        <v>3</v>
      </c>
      <c r="M665" t="s">
        <v>38</v>
      </c>
      <c r="O665">
        <f t="shared" si="38"/>
        <v>1.7154095000000003</v>
      </c>
    </row>
    <row r="666" spans="1:15" x14ac:dyDescent="0.25">
      <c r="A666" s="2">
        <v>40732</v>
      </c>
      <c r="B666" t="s">
        <v>37</v>
      </c>
      <c r="C666">
        <v>15</v>
      </c>
      <c r="D666" s="6" t="s">
        <v>29</v>
      </c>
      <c r="E666">
        <v>157</v>
      </c>
      <c r="F666">
        <v>0.43</v>
      </c>
      <c r="G666">
        <v>0</v>
      </c>
      <c r="M666" t="s">
        <v>38</v>
      </c>
      <c r="O666">
        <f t="shared" si="38"/>
        <v>1.6913993</v>
      </c>
    </row>
    <row r="667" spans="1:15" x14ac:dyDescent="0.25">
      <c r="A667" s="2">
        <v>40732</v>
      </c>
      <c r="B667" t="s">
        <v>37</v>
      </c>
      <c r="C667">
        <v>15</v>
      </c>
      <c r="D667" s="6" t="s">
        <v>29</v>
      </c>
      <c r="E667">
        <v>157</v>
      </c>
      <c r="F667">
        <v>0.44</v>
      </c>
      <c r="G667">
        <v>0</v>
      </c>
      <c r="M667" t="s">
        <v>38</v>
      </c>
      <c r="O667">
        <f t="shared" si="38"/>
        <v>1.7269244000000001</v>
      </c>
    </row>
    <row r="668" spans="1:15" x14ac:dyDescent="0.25">
      <c r="A668" s="2">
        <v>40732</v>
      </c>
      <c r="B668" t="s">
        <v>37</v>
      </c>
      <c r="C668">
        <v>15</v>
      </c>
      <c r="D668" s="6" t="s">
        <v>29</v>
      </c>
      <c r="E668">
        <v>158</v>
      </c>
      <c r="F668">
        <v>0.46</v>
      </c>
      <c r="G668">
        <v>0</v>
      </c>
      <c r="M668" t="s">
        <v>38</v>
      </c>
      <c r="O668">
        <f t="shared" si="38"/>
        <v>1.8136546</v>
      </c>
    </row>
    <row r="669" spans="1:15" x14ac:dyDescent="0.25">
      <c r="A669" s="2">
        <v>40732</v>
      </c>
      <c r="B669" t="s">
        <v>37</v>
      </c>
      <c r="C669">
        <v>15</v>
      </c>
      <c r="D669" s="6" t="s">
        <v>29</v>
      </c>
      <c r="E669">
        <v>167</v>
      </c>
      <c r="F669">
        <v>0.41</v>
      </c>
      <c r="G669">
        <v>0</v>
      </c>
      <c r="M669" t="s">
        <v>38</v>
      </c>
      <c r="O669">
        <f t="shared" si="38"/>
        <v>1.7771490999999995</v>
      </c>
    </row>
    <row r="670" spans="1:15" x14ac:dyDescent="0.25">
      <c r="A670" s="2">
        <v>40732</v>
      </c>
      <c r="B670" t="s">
        <v>37</v>
      </c>
      <c r="C670">
        <v>15</v>
      </c>
      <c r="D670" s="6" t="s">
        <v>29</v>
      </c>
      <c r="E670">
        <v>169</v>
      </c>
      <c r="F670">
        <v>0.34</v>
      </c>
      <c r="G670">
        <v>0</v>
      </c>
      <c r="M670" t="s">
        <v>38</v>
      </c>
      <c r="O670">
        <f t="shared" si="38"/>
        <v>1.5598334</v>
      </c>
    </row>
    <row r="671" spans="1:15" x14ac:dyDescent="0.25">
      <c r="A671" s="2">
        <v>40732</v>
      </c>
      <c r="B671" t="s">
        <v>37</v>
      </c>
      <c r="C671">
        <v>15</v>
      </c>
      <c r="D671" s="6" t="s">
        <v>29</v>
      </c>
      <c r="E671">
        <v>174</v>
      </c>
      <c r="F671">
        <v>0.49</v>
      </c>
      <c r="G671">
        <v>0</v>
      </c>
      <c r="M671" t="s">
        <v>38</v>
      </c>
      <c r="O671">
        <f t="shared" si="38"/>
        <v>2.1711098999999998</v>
      </c>
    </row>
    <row r="672" spans="1:15" x14ac:dyDescent="0.25">
      <c r="A672" s="2">
        <v>40732</v>
      </c>
      <c r="B672" t="s">
        <v>37</v>
      </c>
      <c r="C672">
        <v>15</v>
      </c>
      <c r="D672" s="6" t="s">
        <v>29</v>
      </c>
      <c r="E672">
        <v>175</v>
      </c>
      <c r="F672">
        <v>0.38</v>
      </c>
      <c r="G672">
        <v>1</v>
      </c>
      <c r="M672" t="s">
        <v>38</v>
      </c>
      <c r="O672">
        <f t="shared" si="38"/>
        <v>1.7960137999999994</v>
      </c>
    </row>
    <row r="673" spans="1:15" x14ac:dyDescent="0.25">
      <c r="A673" s="2">
        <v>40732</v>
      </c>
      <c r="B673" t="s">
        <v>37</v>
      </c>
      <c r="C673">
        <v>15</v>
      </c>
      <c r="D673" s="6" t="s">
        <v>29</v>
      </c>
      <c r="E673">
        <v>179</v>
      </c>
      <c r="F673">
        <v>0.57999999999999996</v>
      </c>
      <c r="G673">
        <v>0</v>
      </c>
      <c r="M673" t="s">
        <v>38</v>
      </c>
      <c r="O673">
        <f t="shared" si="38"/>
        <v>2.5692358</v>
      </c>
    </row>
    <row r="674" spans="1:15" x14ac:dyDescent="0.25">
      <c r="A674" s="2">
        <v>40732</v>
      </c>
      <c r="B674" t="s">
        <v>37</v>
      </c>
      <c r="C674">
        <v>15</v>
      </c>
      <c r="D674" s="6" t="s">
        <v>29</v>
      </c>
      <c r="E674">
        <v>181</v>
      </c>
      <c r="F674">
        <v>0.57999999999999996</v>
      </c>
      <c r="G674">
        <v>0</v>
      </c>
      <c r="M674" t="s">
        <v>38</v>
      </c>
      <c r="O674">
        <f t="shared" si="38"/>
        <v>2.6005957999999993</v>
      </c>
    </row>
    <row r="675" spans="1:15" x14ac:dyDescent="0.25">
      <c r="A675" s="2">
        <v>40732</v>
      </c>
      <c r="B675" t="s">
        <v>37</v>
      </c>
      <c r="C675">
        <v>15</v>
      </c>
      <c r="D675" s="6" t="s">
        <v>29</v>
      </c>
      <c r="E675">
        <v>181</v>
      </c>
      <c r="F675">
        <v>0.61</v>
      </c>
      <c r="G675">
        <v>0</v>
      </c>
      <c r="M675" t="s">
        <v>38</v>
      </c>
      <c r="O675">
        <f t="shared" si="38"/>
        <v>2.7071710999999996</v>
      </c>
    </row>
    <row r="676" spans="1:15" x14ac:dyDescent="0.25">
      <c r="A676" s="2">
        <v>40732</v>
      </c>
      <c r="B676" t="s">
        <v>37</v>
      </c>
      <c r="C676">
        <v>15</v>
      </c>
      <c r="D676" s="6" t="s">
        <v>29</v>
      </c>
      <c r="E676">
        <v>184</v>
      </c>
      <c r="F676">
        <v>1.01</v>
      </c>
      <c r="G676">
        <v>0</v>
      </c>
      <c r="M676" t="s">
        <v>38</v>
      </c>
      <c r="O676">
        <f t="shared" si="38"/>
        <v>4.1752150999999991</v>
      </c>
    </row>
    <row r="677" spans="1:15" x14ac:dyDescent="0.25">
      <c r="A677" s="2">
        <v>40732</v>
      </c>
      <c r="B677" t="s">
        <v>37</v>
      </c>
      <c r="C677">
        <v>15</v>
      </c>
      <c r="D677" s="6" t="s">
        <v>29</v>
      </c>
      <c r="E677">
        <v>188</v>
      </c>
      <c r="F677">
        <v>0.6</v>
      </c>
      <c r="G677">
        <v>0</v>
      </c>
      <c r="M677" t="s">
        <v>38</v>
      </c>
      <c r="O677">
        <f t="shared" si="38"/>
        <v>2.7814059999999992</v>
      </c>
    </row>
    <row r="678" spans="1:15" x14ac:dyDescent="0.25">
      <c r="A678" s="2">
        <v>40732</v>
      </c>
      <c r="B678" t="s">
        <v>37</v>
      </c>
      <c r="C678">
        <v>15</v>
      </c>
      <c r="D678" s="6" t="s">
        <v>29</v>
      </c>
      <c r="E678">
        <v>193</v>
      </c>
      <c r="F678">
        <v>0.51</v>
      </c>
      <c r="G678">
        <v>1</v>
      </c>
      <c r="M678" t="s">
        <v>38</v>
      </c>
      <c r="O678">
        <f t="shared" si="38"/>
        <v>2.5400800999999995</v>
      </c>
    </row>
    <row r="679" spans="1:15" x14ac:dyDescent="0.25">
      <c r="A679" s="2">
        <v>40732</v>
      </c>
      <c r="B679" t="s">
        <v>37</v>
      </c>
      <c r="C679">
        <v>15</v>
      </c>
      <c r="D679" s="6" t="s">
        <v>29</v>
      </c>
      <c r="E679">
        <v>201</v>
      </c>
      <c r="F679">
        <v>0.74</v>
      </c>
      <c r="G679">
        <v>0</v>
      </c>
      <c r="M679" t="s">
        <v>38</v>
      </c>
      <c r="O679">
        <f t="shared" si="38"/>
        <v>3.4825974</v>
      </c>
    </row>
    <row r="680" spans="1:15" x14ac:dyDescent="0.25">
      <c r="A680" s="2">
        <v>40732</v>
      </c>
      <c r="B680" t="s">
        <v>37</v>
      </c>
      <c r="C680">
        <v>18</v>
      </c>
      <c r="D680" s="6" t="s">
        <v>29</v>
      </c>
      <c r="E680">
        <v>41</v>
      </c>
      <c r="F680">
        <v>0.64</v>
      </c>
      <c r="G680">
        <v>1</v>
      </c>
      <c r="M680" t="s">
        <v>55</v>
      </c>
      <c r="O680">
        <f t="shared" si="38"/>
        <v>0.61854639999999961</v>
      </c>
    </row>
    <row r="681" spans="1:15" x14ac:dyDescent="0.25">
      <c r="A681" s="2">
        <v>40732</v>
      </c>
      <c r="B681" t="s">
        <v>37</v>
      </c>
      <c r="C681">
        <v>18</v>
      </c>
      <c r="D681" s="6" t="s">
        <v>29</v>
      </c>
      <c r="E681">
        <v>43</v>
      </c>
      <c r="F681">
        <v>0.65</v>
      </c>
      <c r="G681">
        <v>0</v>
      </c>
      <c r="M681" t="s">
        <v>39</v>
      </c>
      <c r="O681">
        <f t="shared" si="38"/>
        <v>0.68543149999999953</v>
      </c>
    </row>
    <row r="682" spans="1:15" x14ac:dyDescent="0.25">
      <c r="A682" s="2">
        <v>40732</v>
      </c>
      <c r="B682" t="s">
        <v>37</v>
      </c>
      <c r="C682">
        <v>18</v>
      </c>
      <c r="D682" s="6" t="s">
        <v>29</v>
      </c>
      <c r="E682">
        <v>60</v>
      </c>
      <c r="F682">
        <v>0.74</v>
      </c>
      <c r="G682">
        <v>0</v>
      </c>
      <c r="M682" t="s">
        <v>39</v>
      </c>
      <c r="O682">
        <f t="shared" si="38"/>
        <v>1.2717173999999996</v>
      </c>
    </row>
    <row r="683" spans="1:15" x14ac:dyDescent="0.25">
      <c r="A683" s="2">
        <v>40732</v>
      </c>
      <c r="B683" t="s">
        <v>37</v>
      </c>
      <c r="C683">
        <v>18</v>
      </c>
      <c r="D683" s="6" t="s">
        <v>29</v>
      </c>
      <c r="E683">
        <v>69</v>
      </c>
      <c r="F683">
        <v>0.82</v>
      </c>
      <c r="G683">
        <v>0</v>
      </c>
      <c r="M683" t="s">
        <v>39</v>
      </c>
      <c r="O683">
        <f t="shared" si="38"/>
        <v>1.6970381999999993</v>
      </c>
    </row>
    <row r="684" spans="1:15" x14ac:dyDescent="0.25">
      <c r="A684" s="2">
        <v>40732</v>
      </c>
      <c r="B684" t="s">
        <v>37</v>
      </c>
      <c r="C684">
        <v>18</v>
      </c>
      <c r="D684" s="6" t="s">
        <v>29</v>
      </c>
      <c r="E684">
        <v>77</v>
      </c>
      <c r="F684">
        <v>0.45</v>
      </c>
      <c r="G684">
        <v>1</v>
      </c>
      <c r="M684" t="s">
        <v>39</v>
      </c>
      <c r="O684">
        <f t="shared" ref="O684:O716" si="39">((3.55251*F684)+(0.01568*E684)-2.29794)</f>
        <v>0.50804949999999982</v>
      </c>
    </row>
    <row r="685" spans="1:15" x14ac:dyDescent="0.25">
      <c r="A685" s="2">
        <v>40732</v>
      </c>
      <c r="B685" t="s">
        <v>37</v>
      </c>
      <c r="C685">
        <v>18</v>
      </c>
      <c r="D685" s="6" t="s">
        <v>29</v>
      </c>
      <c r="E685">
        <v>93</v>
      </c>
      <c r="F685">
        <v>0.4</v>
      </c>
      <c r="G685">
        <v>0</v>
      </c>
      <c r="M685" t="s">
        <v>39</v>
      </c>
      <c r="O685">
        <f t="shared" si="39"/>
        <v>0.58130399999999982</v>
      </c>
    </row>
    <row r="686" spans="1:15" x14ac:dyDescent="0.25">
      <c r="A686" s="2">
        <v>40732</v>
      </c>
      <c r="B686" t="s">
        <v>37</v>
      </c>
      <c r="C686">
        <v>18</v>
      </c>
      <c r="D686" s="6" t="s">
        <v>29</v>
      </c>
      <c r="E686">
        <v>93</v>
      </c>
      <c r="F686">
        <v>0.47</v>
      </c>
      <c r="G686">
        <v>0</v>
      </c>
      <c r="M686" t="s">
        <v>39</v>
      </c>
      <c r="O686">
        <f t="shared" si="39"/>
        <v>0.82997969999999954</v>
      </c>
    </row>
    <row r="687" spans="1:15" x14ac:dyDescent="0.25">
      <c r="A687" s="2">
        <v>40732</v>
      </c>
      <c r="B687" t="s">
        <v>37</v>
      </c>
      <c r="C687">
        <v>18</v>
      </c>
      <c r="D687" s="6" t="s">
        <v>29</v>
      </c>
      <c r="E687">
        <v>103</v>
      </c>
      <c r="F687">
        <v>0.44</v>
      </c>
      <c r="G687">
        <v>0</v>
      </c>
      <c r="M687" t="s">
        <v>39</v>
      </c>
      <c r="O687">
        <f t="shared" si="39"/>
        <v>0.88020439999999978</v>
      </c>
    </row>
    <row r="688" spans="1:15" x14ac:dyDescent="0.25">
      <c r="A688" s="2">
        <v>40732</v>
      </c>
      <c r="B688" t="s">
        <v>37</v>
      </c>
      <c r="C688">
        <v>18</v>
      </c>
      <c r="D688" s="6" t="s">
        <v>29</v>
      </c>
      <c r="E688">
        <v>114</v>
      </c>
      <c r="F688">
        <v>0.45</v>
      </c>
      <c r="G688">
        <v>1</v>
      </c>
      <c r="M688" t="s">
        <v>39</v>
      </c>
      <c r="O688">
        <f t="shared" si="39"/>
        <v>1.0882095000000001</v>
      </c>
    </row>
    <row r="689" spans="1:15" x14ac:dyDescent="0.25">
      <c r="A689" s="2">
        <v>40732</v>
      </c>
      <c r="B689" t="s">
        <v>37</v>
      </c>
      <c r="C689">
        <v>18</v>
      </c>
      <c r="D689" s="6" t="s">
        <v>29</v>
      </c>
      <c r="E689">
        <v>120</v>
      </c>
      <c r="F689">
        <v>0.57999999999999996</v>
      </c>
      <c r="G689">
        <v>0</v>
      </c>
      <c r="M689" t="s">
        <v>39</v>
      </c>
      <c r="O689">
        <f t="shared" si="39"/>
        <v>1.6441157999999993</v>
      </c>
    </row>
    <row r="690" spans="1:15" x14ac:dyDescent="0.25">
      <c r="A690" s="2">
        <v>40732</v>
      </c>
      <c r="B690" t="s">
        <v>37</v>
      </c>
      <c r="C690">
        <v>18</v>
      </c>
      <c r="D690" s="6" t="s">
        <v>29</v>
      </c>
      <c r="E690">
        <v>121</v>
      </c>
      <c r="F690">
        <v>0.61</v>
      </c>
      <c r="G690">
        <v>0</v>
      </c>
      <c r="M690" t="s">
        <v>39</v>
      </c>
      <c r="O690">
        <f t="shared" si="39"/>
        <v>1.7663710999999993</v>
      </c>
    </row>
    <row r="691" spans="1:15" x14ac:dyDescent="0.25">
      <c r="A691" s="2">
        <v>40732</v>
      </c>
      <c r="B691" t="s">
        <v>37</v>
      </c>
      <c r="C691">
        <v>18</v>
      </c>
      <c r="D691" s="6" t="s">
        <v>29</v>
      </c>
      <c r="E691">
        <v>126</v>
      </c>
      <c r="F691">
        <v>0.39</v>
      </c>
      <c r="G691">
        <v>0</v>
      </c>
      <c r="M691" t="s">
        <v>39</v>
      </c>
      <c r="O691">
        <f t="shared" si="39"/>
        <v>1.0632188999999999</v>
      </c>
    </row>
    <row r="692" spans="1:15" x14ac:dyDescent="0.25">
      <c r="A692" s="2">
        <v>40732</v>
      </c>
      <c r="B692" t="s">
        <v>37</v>
      </c>
      <c r="C692">
        <v>18</v>
      </c>
      <c r="D692" s="6" t="s">
        <v>29</v>
      </c>
      <c r="E692">
        <v>135</v>
      </c>
      <c r="F692">
        <v>0.65</v>
      </c>
      <c r="G692">
        <v>0</v>
      </c>
      <c r="M692" t="s">
        <v>39</v>
      </c>
      <c r="O692">
        <f t="shared" si="39"/>
        <v>2.1279914999999998</v>
      </c>
    </row>
    <row r="693" spans="1:15" x14ac:dyDescent="0.25">
      <c r="A693" s="2">
        <v>40732</v>
      </c>
      <c r="B693" t="s">
        <v>37</v>
      </c>
      <c r="C693">
        <v>18</v>
      </c>
      <c r="D693" s="6" t="s">
        <v>29</v>
      </c>
      <c r="E693">
        <v>141</v>
      </c>
      <c r="F693">
        <v>0.4</v>
      </c>
      <c r="G693">
        <v>0</v>
      </c>
      <c r="M693" t="s">
        <v>39</v>
      </c>
      <c r="O693">
        <f t="shared" si="39"/>
        <v>1.3339439999999998</v>
      </c>
    </row>
    <row r="694" spans="1:15" x14ac:dyDescent="0.25">
      <c r="A694" s="2">
        <v>40732</v>
      </c>
      <c r="B694" t="s">
        <v>37</v>
      </c>
      <c r="C694">
        <v>18</v>
      </c>
      <c r="D694" s="6" t="s">
        <v>29</v>
      </c>
      <c r="E694">
        <v>146</v>
      </c>
      <c r="F694">
        <v>0.42</v>
      </c>
      <c r="G694">
        <v>0</v>
      </c>
      <c r="M694" t="s">
        <v>39</v>
      </c>
      <c r="O694">
        <f t="shared" si="39"/>
        <v>1.4833941999999998</v>
      </c>
    </row>
    <row r="695" spans="1:15" x14ac:dyDescent="0.25">
      <c r="A695" s="2">
        <v>40732</v>
      </c>
      <c r="B695" t="s">
        <v>37</v>
      </c>
      <c r="C695">
        <v>18</v>
      </c>
      <c r="D695" s="6" t="s">
        <v>29</v>
      </c>
      <c r="E695">
        <v>147</v>
      </c>
      <c r="F695">
        <v>0.42</v>
      </c>
      <c r="G695">
        <v>0</v>
      </c>
      <c r="M695" t="s">
        <v>39</v>
      </c>
      <c r="O695">
        <f t="shared" si="39"/>
        <v>1.4990741999999995</v>
      </c>
    </row>
    <row r="696" spans="1:15" x14ac:dyDescent="0.25">
      <c r="A696" s="2">
        <v>40732</v>
      </c>
      <c r="B696" t="s">
        <v>37</v>
      </c>
      <c r="C696">
        <v>18</v>
      </c>
      <c r="D696" s="6" t="s">
        <v>29</v>
      </c>
      <c r="E696">
        <v>158</v>
      </c>
      <c r="F696">
        <v>0.42</v>
      </c>
      <c r="G696">
        <v>2</v>
      </c>
      <c r="M696" t="s">
        <v>39</v>
      </c>
      <c r="O696">
        <f t="shared" si="39"/>
        <v>1.6715541999999997</v>
      </c>
    </row>
    <row r="697" spans="1:15" x14ac:dyDescent="0.25">
      <c r="A697" s="2">
        <v>40732</v>
      </c>
      <c r="B697" t="s">
        <v>37</v>
      </c>
      <c r="C697">
        <v>18</v>
      </c>
      <c r="D697" s="6" t="s">
        <v>29</v>
      </c>
      <c r="E697">
        <v>158</v>
      </c>
      <c r="F697">
        <v>0.52</v>
      </c>
      <c r="G697">
        <v>3</v>
      </c>
      <c r="M697" t="s">
        <v>39</v>
      </c>
      <c r="O697">
        <f t="shared" si="39"/>
        <v>2.0268051999999996</v>
      </c>
    </row>
    <row r="698" spans="1:15" x14ac:dyDescent="0.25">
      <c r="A698" s="2">
        <v>40732</v>
      </c>
      <c r="B698" t="s">
        <v>37</v>
      </c>
      <c r="C698">
        <v>18</v>
      </c>
      <c r="D698" s="6" t="s">
        <v>29</v>
      </c>
      <c r="E698">
        <v>163</v>
      </c>
      <c r="F698">
        <v>0.28000000000000003</v>
      </c>
      <c r="G698">
        <v>1</v>
      </c>
      <c r="M698" t="s">
        <v>39</v>
      </c>
      <c r="O698">
        <f t="shared" si="39"/>
        <v>1.2526027999999996</v>
      </c>
    </row>
    <row r="699" spans="1:15" x14ac:dyDescent="0.25">
      <c r="A699" s="2">
        <v>40732</v>
      </c>
      <c r="B699" t="s">
        <v>37</v>
      </c>
      <c r="C699">
        <v>18</v>
      </c>
      <c r="D699" s="6" t="s">
        <v>29</v>
      </c>
      <c r="E699">
        <v>164</v>
      </c>
      <c r="F699">
        <v>0.41</v>
      </c>
      <c r="G699">
        <v>0</v>
      </c>
      <c r="M699" t="s">
        <v>39</v>
      </c>
      <c r="O699">
        <f t="shared" si="39"/>
        <v>1.7301090999999995</v>
      </c>
    </row>
    <row r="700" spans="1:15" x14ac:dyDescent="0.25">
      <c r="A700" s="2">
        <v>40732</v>
      </c>
      <c r="B700" t="s">
        <v>37</v>
      </c>
      <c r="C700">
        <v>18</v>
      </c>
      <c r="D700" s="6" t="s">
        <v>29</v>
      </c>
      <c r="E700">
        <v>164</v>
      </c>
      <c r="F700">
        <v>0.44</v>
      </c>
      <c r="G700">
        <v>0</v>
      </c>
      <c r="M700" t="s">
        <v>39</v>
      </c>
      <c r="O700">
        <f t="shared" si="39"/>
        <v>1.8366843999999998</v>
      </c>
    </row>
    <row r="701" spans="1:15" x14ac:dyDescent="0.25">
      <c r="A701" s="2">
        <v>40732</v>
      </c>
      <c r="B701" t="s">
        <v>37</v>
      </c>
      <c r="C701">
        <v>18</v>
      </c>
      <c r="D701" s="6" t="s">
        <v>29</v>
      </c>
      <c r="E701">
        <v>168</v>
      </c>
      <c r="F701">
        <v>0.55000000000000004</v>
      </c>
      <c r="G701">
        <v>1</v>
      </c>
      <c r="M701" t="s">
        <v>39</v>
      </c>
      <c r="O701">
        <f t="shared" si="39"/>
        <v>2.2901805000000004</v>
      </c>
    </row>
    <row r="702" spans="1:15" x14ac:dyDescent="0.25">
      <c r="A702" s="2">
        <v>40732</v>
      </c>
      <c r="B702" t="s">
        <v>37</v>
      </c>
      <c r="C702">
        <v>18</v>
      </c>
      <c r="D702" s="6" t="s">
        <v>29</v>
      </c>
      <c r="E702">
        <v>171</v>
      </c>
      <c r="F702">
        <v>0.28000000000000003</v>
      </c>
      <c r="G702">
        <v>0</v>
      </c>
      <c r="M702" t="s">
        <v>39</v>
      </c>
      <c r="O702">
        <f t="shared" si="39"/>
        <v>1.3780427999999998</v>
      </c>
    </row>
    <row r="703" spans="1:15" x14ac:dyDescent="0.25">
      <c r="A703" s="2">
        <v>40732</v>
      </c>
      <c r="B703" t="s">
        <v>37</v>
      </c>
      <c r="C703">
        <v>18</v>
      </c>
      <c r="D703" s="6" t="s">
        <v>29</v>
      </c>
      <c r="E703">
        <v>173</v>
      </c>
      <c r="F703">
        <v>0.38</v>
      </c>
      <c r="G703">
        <v>1</v>
      </c>
      <c r="M703" t="s">
        <v>39</v>
      </c>
      <c r="O703">
        <f t="shared" si="39"/>
        <v>1.7646538000000001</v>
      </c>
    </row>
    <row r="704" spans="1:15" x14ac:dyDescent="0.25">
      <c r="A704" s="2">
        <v>40732</v>
      </c>
      <c r="B704" t="s">
        <v>37</v>
      </c>
      <c r="C704">
        <v>18</v>
      </c>
      <c r="D704" s="6" t="s">
        <v>29</v>
      </c>
      <c r="E704">
        <v>173</v>
      </c>
      <c r="F704">
        <v>0.45</v>
      </c>
      <c r="G704">
        <v>0</v>
      </c>
      <c r="M704" t="s">
        <v>39</v>
      </c>
      <c r="O704">
        <f t="shared" si="39"/>
        <v>2.0133294999999998</v>
      </c>
    </row>
    <row r="705" spans="1:15" x14ac:dyDescent="0.25">
      <c r="A705" s="2">
        <v>40732</v>
      </c>
      <c r="B705" t="s">
        <v>37</v>
      </c>
      <c r="C705">
        <v>18</v>
      </c>
      <c r="D705" s="6" t="s">
        <v>29</v>
      </c>
      <c r="E705">
        <v>174</v>
      </c>
      <c r="F705">
        <v>0.52</v>
      </c>
      <c r="G705">
        <v>0</v>
      </c>
      <c r="M705" t="s">
        <v>39</v>
      </c>
      <c r="O705">
        <f t="shared" si="39"/>
        <v>2.2776852000000001</v>
      </c>
    </row>
    <row r="706" spans="1:15" x14ac:dyDescent="0.25">
      <c r="A706" s="2">
        <v>40732</v>
      </c>
      <c r="B706" t="s">
        <v>37</v>
      </c>
      <c r="C706">
        <v>18</v>
      </c>
      <c r="D706" s="6" t="s">
        <v>29</v>
      </c>
      <c r="E706">
        <v>194</v>
      </c>
      <c r="F706">
        <v>0.45</v>
      </c>
      <c r="G706">
        <v>1</v>
      </c>
      <c r="M706" t="s">
        <v>39</v>
      </c>
      <c r="O706">
        <f t="shared" si="39"/>
        <v>2.3426094999999996</v>
      </c>
    </row>
    <row r="707" spans="1:15" x14ac:dyDescent="0.25">
      <c r="A707" s="2">
        <v>40732</v>
      </c>
      <c r="B707" t="s">
        <v>37</v>
      </c>
      <c r="C707">
        <v>18</v>
      </c>
      <c r="D707" s="6" t="s">
        <v>29</v>
      </c>
      <c r="E707">
        <v>197</v>
      </c>
      <c r="F707">
        <v>0.78</v>
      </c>
      <c r="G707">
        <v>0</v>
      </c>
      <c r="M707" t="s">
        <v>39</v>
      </c>
      <c r="O707">
        <f t="shared" si="39"/>
        <v>3.5619777999999997</v>
      </c>
    </row>
    <row r="708" spans="1:15" x14ac:dyDescent="0.25">
      <c r="A708" s="2">
        <v>40732</v>
      </c>
      <c r="B708" t="s">
        <v>37</v>
      </c>
      <c r="C708">
        <v>18</v>
      </c>
      <c r="D708" s="6" t="s">
        <v>29</v>
      </c>
      <c r="E708">
        <v>202</v>
      </c>
      <c r="F708">
        <v>0.5</v>
      </c>
      <c r="G708">
        <v>0</v>
      </c>
      <c r="M708" t="s">
        <v>39</v>
      </c>
      <c r="O708">
        <f t="shared" si="39"/>
        <v>2.6456749999999993</v>
      </c>
    </row>
    <row r="709" spans="1:15" x14ac:dyDescent="0.25">
      <c r="A709" s="2">
        <v>40732</v>
      </c>
      <c r="B709" t="s">
        <v>37</v>
      </c>
      <c r="C709">
        <v>18</v>
      </c>
      <c r="D709" s="6" t="s">
        <v>29</v>
      </c>
      <c r="E709">
        <v>211</v>
      </c>
      <c r="F709">
        <v>0.6</v>
      </c>
      <c r="G709">
        <v>0</v>
      </c>
      <c r="M709" t="s">
        <v>39</v>
      </c>
      <c r="O709">
        <f t="shared" si="39"/>
        <v>3.1420459999999992</v>
      </c>
    </row>
    <row r="710" spans="1:15" x14ac:dyDescent="0.25">
      <c r="A710" s="2">
        <v>40732</v>
      </c>
      <c r="B710" t="s">
        <v>37</v>
      </c>
      <c r="C710">
        <v>18</v>
      </c>
      <c r="D710" s="6" t="s">
        <v>29</v>
      </c>
      <c r="E710">
        <v>216</v>
      </c>
      <c r="F710">
        <v>0.57999999999999996</v>
      </c>
      <c r="G710">
        <v>0</v>
      </c>
      <c r="M710" t="s">
        <v>39</v>
      </c>
      <c r="O710">
        <f t="shared" si="39"/>
        <v>3.1493957999999993</v>
      </c>
    </row>
    <row r="711" spans="1:15" x14ac:dyDescent="0.25">
      <c r="A711" s="2">
        <v>40732</v>
      </c>
      <c r="B711" t="s">
        <v>37</v>
      </c>
      <c r="C711">
        <v>18</v>
      </c>
      <c r="D711" s="6" t="s">
        <v>29</v>
      </c>
      <c r="E711">
        <v>216</v>
      </c>
      <c r="F711">
        <v>0.68</v>
      </c>
      <c r="G711">
        <v>0</v>
      </c>
      <c r="M711" t="s">
        <v>39</v>
      </c>
      <c r="O711">
        <f t="shared" si="39"/>
        <v>3.5046468000000002</v>
      </c>
    </row>
    <row r="712" spans="1:15" x14ac:dyDescent="0.25">
      <c r="A712" s="2">
        <v>40732</v>
      </c>
      <c r="B712" t="s">
        <v>37</v>
      </c>
      <c r="C712">
        <v>18</v>
      </c>
      <c r="D712" s="6" t="s">
        <v>29</v>
      </c>
      <c r="E712">
        <v>216</v>
      </c>
      <c r="F712">
        <v>0.68</v>
      </c>
      <c r="G712">
        <v>0</v>
      </c>
      <c r="M712" t="s">
        <v>39</v>
      </c>
      <c r="O712">
        <f t="shared" si="39"/>
        <v>3.5046468000000002</v>
      </c>
    </row>
    <row r="713" spans="1:15" x14ac:dyDescent="0.25">
      <c r="A713" s="2">
        <v>40732</v>
      </c>
      <c r="B713" t="s">
        <v>37</v>
      </c>
      <c r="C713">
        <v>18</v>
      </c>
      <c r="D713" s="6" t="s">
        <v>29</v>
      </c>
      <c r="E713">
        <v>219</v>
      </c>
      <c r="F713">
        <v>0.54</v>
      </c>
      <c r="G713">
        <v>0</v>
      </c>
      <c r="M713" t="s">
        <v>39</v>
      </c>
      <c r="O713">
        <f t="shared" si="39"/>
        <v>3.0543353999999998</v>
      </c>
    </row>
    <row r="714" spans="1:15" x14ac:dyDescent="0.25">
      <c r="A714" s="2">
        <v>40732</v>
      </c>
      <c r="B714" t="s">
        <v>37</v>
      </c>
      <c r="C714">
        <v>18</v>
      </c>
      <c r="D714" s="6" t="s">
        <v>29</v>
      </c>
      <c r="E714">
        <v>225</v>
      </c>
      <c r="F714">
        <v>0.52</v>
      </c>
      <c r="G714">
        <v>0</v>
      </c>
      <c r="M714" t="s">
        <v>39</v>
      </c>
      <c r="O714">
        <f t="shared" si="39"/>
        <v>3.0773651999999996</v>
      </c>
    </row>
    <row r="715" spans="1:15" x14ac:dyDescent="0.25">
      <c r="A715" s="2">
        <v>40732</v>
      </c>
      <c r="B715" t="s">
        <v>37</v>
      </c>
      <c r="C715">
        <v>18</v>
      </c>
      <c r="D715" s="6" t="s">
        <v>29</v>
      </c>
      <c r="E715">
        <v>233</v>
      </c>
      <c r="F715">
        <v>0.6</v>
      </c>
      <c r="G715">
        <v>0</v>
      </c>
      <c r="M715" t="s">
        <v>39</v>
      </c>
      <c r="O715">
        <f t="shared" si="39"/>
        <v>3.4870059999999996</v>
      </c>
    </row>
    <row r="716" spans="1:15" x14ac:dyDescent="0.25">
      <c r="A716" s="2">
        <v>40732</v>
      </c>
      <c r="B716" t="s">
        <v>37</v>
      </c>
      <c r="C716">
        <v>18</v>
      </c>
      <c r="D716" s="6" t="s">
        <v>29</v>
      </c>
      <c r="E716">
        <v>238</v>
      </c>
      <c r="F716">
        <v>0.54</v>
      </c>
      <c r="G716">
        <v>0</v>
      </c>
      <c r="M716" t="s">
        <v>39</v>
      </c>
      <c r="O716">
        <f t="shared" si="39"/>
        <v>3.3522554000000002</v>
      </c>
    </row>
    <row r="717" spans="1:15" x14ac:dyDescent="0.25">
      <c r="A717" s="2">
        <v>40732</v>
      </c>
      <c r="B717" t="s">
        <v>37</v>
      </c>
      <c r="C717">
        <v>18</v>
      </c>
      <c r="D717" s="6" t="s">
        <v>19</v>
      </c>
      <c r="E717">
        <v>316</v>
      </c>
      <c r="F717">
        <v>2.84</v>
      </c>
      <c r="H717">
        <v>27</v>
      </c>
      <c r="I717">
        <v>2.6</v>
      </c>
      <c r="M717" t="s">
        <v>39</v>
      </c>
      <c r="O717">
        <f>(0.66164*E717)+(16.34893*F717)+(1.11091*H717)+(-8.40694*I717)-154.2499</f>
        <v>109.39582720000001</v>
      </c>
    </row>
    <row r="718" spans="1:15" x14ac:dyDescent="0.25">
      <c r="A718" s="2">
        <v>40732</v>
      </c>
      <c r="B718" t="s">
        <v>37</v>
      </c>
      <c r="C718">
        <v>18</v>
      </c>
      <c r="D718" s="6" t="s">
        <v>19</v>
      </c>
      <c r="E718">
        <v>320</v>
      </c>
      <c r="F718">
        <v>2.83</v>
      </c>
      <c r="H718">
        <v>33</v>
      </c>
      <c r="I718">
        <v>2.5</v>
      </c>
      <c r="M718" t="s">
        <v>39</v>
      </c>
      <c r="O718">
        <f>(0.66164*E718)+(16.34893*F718)+(1.11091*H718)+(-8.40694*I718)-154.2499</f>
        <v>119.38505189999998</v>
      </c>
    </row>
    <row r="719" spans="1:15" x14ac:dyDescent="0.25">
      <c r="A719" s="2">
        <v>40732</v>
      </c>
      <c r="B719" t="s">
        <v>37</v>
      </c>
      <c r="C719">
        <v>18</v>
      </c>
      <c r="D719" s="6" t="s">
        <v>19</v>
      </c>
      <c r="E719">
        <v>324</v>
      </c>
      <c r="F719">
        <v>3.09</v>
      </c>
      <c r="H719">
        <v>24</v>
      </c>
      <c r="I719">
        <v>1.8</v>
      </c>
      <c r="M719" t="s">
        <v>39</v>
      </c>
      <c r="O719">
        <f>(0.66164*E719)+(16.34893*F719)+(1.11091*H719)+(-8.40694*I719)-154.2499</f>
        <v>122.1690017</v>
      </c>
    </row>
    <row r="720" spans="1:15" x14ac:dyDescent="0.25">
      <c r="A720" s="2">
        <v>40732</v>
      </c>
      <c r="B720" t="s">
        <v>37</v>
      </c>
      <c r="C720">
        <v>18</v>
      </c>
      <c r="D720" s="6" t="s">
        <v>19</v>
      </c>
      <c r="F720">
        <v>1.05</v>
      </c>
      <c r="J720">
        <f>SUM(154,209,280)</f>
        <v>643</v>
      </c>
      <c r="K720">
        <v>3</v>
      </c>
      <c r="L720">
        <v>280</v>
      </c>
      <c r="M720" t="s">
        <v>39</v>
      </c>
      <c r="O720">
        <f>((-7.02235*K720)+(-0.30125*L720)+(0.09376*J720)+33.03698)</f>
        <v>-12.092390000000023</v>
      </c>
    </row>
    <row r="721" spans="1:15" x14ac:dyDescent="0.25">
      <c r="A721" s="2">
        <v>40732</v>
      </c>
      <c r="B721" t="s">
        <v>37</v>
      </c>
      <c r="C721">
        <v>18</v>
      </c>
      <c r="D721" s="6" t="s">
        <v>19</v>
      </c>
      <c r="F721">
        <v>1.84</v>
      </c>
      <c r="J721">
        <f>SUM(192,269,300,323)</f>
        <v>1084</v>
      </c>
      <c r="K721">
        <v>4</v>
      </c>
      <c r="L721">
        <v>323</v>
      </c>
      <c r="M721" t="s">
        <v>39</v>
      </c>
      <c r="O721">
        <f>((-7.02235*K721)+(-0.30125*L721)+(0.09376*J721)+33.03698)</f>
        <v>9.2796699999999959</v>
      </c>
    </row>
    <row r="722" spans="1:15" x14ac:dyDescent="0.25">
      <c r="A722" s="2">
        <v>40732</v>
      </c>
      <c r="B722" t="s">
        <v>37</v>
      </c>
      <c r="C722">
        <v>18</v>
      </c>
      <c r="D722" s="6" t="s">
        <v>19</v>
      </c>
      <c r="F722">
        <v>1.1000000000000001</v>
      </c>
      <c r="J722">
        <f>SUM(202,235,278,290)</f>
        <v>1005</v>
      </c>
      <c r="K722">
        <v>4</v>
      </c>
      <c r="L722">
        <v>290</v>
      </c>
      <c r="M722" t="s">
        <v>39</v>
      </c>
      <c r="O722">
        <f>((-7.02235*K722)+(-0.30125*L722)+(0.09376*J722)+33.03698)</f>
        <v>11.813879999999983</v>
      </c>
    </row>
    <row r="723" spans="1:15" x14ac:dyDescent="0.25">
      <c r="A723" s="2">
        <v>40732</v>
      </c>
      <c r="B723" t="s">
        <v>37</v>
      </c>
      <c r="C723">
        <v>18</v>
      </c>
      <c r="D723" s="6" t="s">
        <v>19</v>
      </c>
      <c r="F723">
        <v>3.14</v>
      </c>
      <c r="J723">
        <f>SUM(192,232,242,281,312,339,374,376)</f>
        <v>2348</v>
      </c>
      <c r="K723">
        <v>8</v>
      </c>
      <c r="L723">
        <v>376</v>
      </c>
      <c r="M723" t="s">
        <v>39</v>
      </c>
      <c r="O723">
        <f>((-7.02235*K723)+(-0.30125*L723)+(0.09376*J723)+33.03698)</f>
        <v>83.736659999999972</v>
      </c>
    </row>
    <row r="724" spans="1:15" x14ac:dyDescent="0.25">
      <c r="A724" s="2">
        <v>40732</v>
      </c>
      <c r="B724" t="s">
        <v>37</v>
      </c>
      <c r="C724">
        <v>32</v>
      </c>
      <c r="D724" s="6" t="s">
        <v>29</v>
      </c>
      <c r="E724">
        <v>32</v>
      </c>
      <c r="F724">
        <v>0.25</v>
      </c>
      <c r="G724">
        <v>0</v>
      </c>
      <c r="M724" t="s">
        <v>51</v>
      </c>
      <c r="O724">
        <f t="shared" ref="O724:O756" si="40">((3.55251*F724)+(0.01568*E724)-2.29794)</f>
        <v>-0.90805250000000015</v>
      </c>
    </row>
    <row r="725" spans="1:15" x14ac:dyDescent="0.25">
      <c r="A725" s="2">
        <v>40732</v>
      </c>
      <c r="B725" t="s">
        <v>37</v>
      </c>
      <c r="C725">
        <v>32</v>
      </c>
      <c r="D725" s="6" t="s">
        <v>29</v>
      </c>
      <c r="E725">
        <v>43</v>
      </c>
      <c r="F725">
        <v>0.74</v>
      </c>
      <c r="G725">
        <v>0</v>
      </c>
      <c r="M725" t="s">
        <v>51</v>
      </c>
      <c r="O725">
        <f t="shared" si="40"/>
        <v>1.0051573999999994</v>
      </c>
    </row>
    <row r="726" spans="1:15" x14ac:dyDescent="0.25">
      <c r="A726" s="2">
        <v>40732</v>
      </c>
      <c r="B726" t="s">
        <v>37</v>
      </c>
      <c r="C726">
        <v>32</v>
      </c>
      <c r="D726" s="6" t="s">
        <v>29</v>
      </c>
      <c r="E726">
        <v>66</v>
      </c>
      <c r="F726">
        <v>0.53</v>
      </c>
      <c r="G726">
        <v>0</v>
      </c>
      <c r="M726" t="s">
        <v>51</v>
      </c>
      <c r="O726">
        <f t="shared" si="40"/>
        <v>0.61977029999999989</v>
      </c>
    </row>
    <row r="727" spans="1:15" x14ac:dyDescent="0.25">
      <c r="A727" s="2">
        <v>40732</v>
      </c>
      <c r="B727" t="s">
        <v>37</v>
      </c>
      <c r="C727">
        <v>32</v>
      </c>
      <c r="D727" s="6" t="s">
        <v>29</v>
      </c>
      <c r="E727">
        <v>66</v>
      </c>
      <c r="F727">
        <v>0.55000000000000004</v>
      </c>
      <c r="G727">
        <v>0</v>
      </c>
      <c r="M727" t="s">
        <v>51</v>
      </c>
      <c r="O727">
        <f t="shared" si="40"/>
        <v>0.69082050000000006</v>
      </c>
    </row>
    <row r="728" spans="1:15" x14ac:dyDescent="0.25">
      <c r="A728" s="2">
        <v>40732</v>
      </c>
      <c r="B728" t="s">
        <v>37</v>
      </c>
      <c r="C728">
        <v>32</v>
      </c>
      <c r="D728" s="6" t="s">
        <v>29</v>
      </c>
      <c r="E728">
        <v>75</v>
      </c>
      <c r="F728">
        <v>0.59</v>
      </c>
      <c r="G728">
        <v>0</v>
      </c>
      <c r="M728" t="s">
        <v>51</v>
      </c>
      <c r="O728">
        <f t="shared" si="40"/>
        <v>0.97404089999999988</v>
      </c>
    </row>
    <row r="729" spans="1:15" x14ac:dyDescent="0.25">
      <c r="A729" s="2">
        <v>40732</v>
      </c>
      <c r="B729" t="s">
        <v>37</v>
      </c>
      <c r="C729">
        <v>32</v>
      </c>
      <c r="D729" s="6" t="s">
        <v>29</v>
      </c>
      <c r="E729">
        <v>82</v>
      </c>
      <c r="F729">
        <v>0.53</v>
      </c>
      <c r="G729">
        <v>0</v>
      </c>
      <c r="M729" t="s">
        <v>51</v>
      </c>
      <c r="O729">
        <f t="shared" si="40"/>
        <v>0.87065029999999988</v>
      </c>
    </row>
    <row r="730" spans="1:15" x14ac:dyDescent="0.25">
      <c r="A730" s="2">
        <v>40732</v>
      </c>
      <c r="B730" t="s">
        <v>37</v>
      </c>
      <c r="C730">
        <v>32</v>
      </c>
      <c r="D730" s="6" t="s">
        <v>29</v>
      </c>
      <c r="E730">
        <v>83</v>
      </c>
      <c r="F730">
        <v>0.55000000000000004</v>
      </c>
      <c r="G730">
        <v>0</v>
      </c>
      <c r="M730" t="s">
        <v>51</v>
      </c>
      <c r="O730">
        <f t="shared" si="40"/>
        <v>0.95738049999999975</v>
      </c>
    </row>
    <row r="731" spans="1:15" x14ac:dyDescent="0.25">
      <c r="A731" s="2">
        <v>40732</v>
      </c>
      <c r="B731" t="s">
        <v>37</v>
      </c>
      <c r="C731">
        <v>32</v>
      </c>
      <c r="D731" s="6" t="s">
        <v>29</v>
      </c>
      <c r="E731">
        <v>84</v>
      </c>
      <c r="F731">
        <v>0.92</v>
      </c>
      <c r="G731">
        <v>0</v>
      </c>
      <c r="M731" t="s">
        <v>51</v>
      </c>
      <c r="O731">
        <f t="shared" si="40"/>
        <v>2.2874892</v>
      </c>
    </row>
    <row r="732" spans="1:15" x14ac:dyDescent="0.25">
      <c r="A732" s="2">
        <v>40732</v>
      </c>
      <c r="B732" t="s">
        <v>37</v>
      </c>
      <c r="C732">
        <v>32</v>
      </c>
      <c r="D732" s="6" t="s">
        <v>29</v>
      </c>
      <c r="E732">
        <v>87</v>
      </c>
      <c r="F732">
        <v>0.85</v>
      </c>
      <c r="G732">
        <v>0</v>
      </c>
      <c r="M732" t="s">
        <v>51</v>
      </c>
      <c r="O732">
        <f t="shared" si="40"/>
        <v>2.0858534999999994</v>
      </c>
    </row>
    <row r="733" spans="1:15" x14ac:dyDescent="0.25">
      <c r="A733" s="2">
        <v>40732</v>
      </c>
      <c r="B733" t="s">
        <v>37</v>
      </c>
      <c r="C733">
        <v>32</v>
      </c>
      <c r="D733" s="6" t="s">
        <v>29</v>
      </c>
      <c r="E733">
        <v>141</v>
      </c>
      <c r="F733">
        <v>0.25</v>
      </c>
      <c r="G733">
        <v>0</v>
      </c>
      <c r="M733" t="s">
        <v>51</v>
      </c>
      <c r="O733">
        <f t="shared" si="40"/>
        <v>0.80106749999999982</v>
      </c>
    </row>
    <row r="734" spans="1:15" x14ac:dyDescent="0.25">
      <c r="A734" s="2">
        <v>40732</v>
      </c>
      <c r="B734" t="s">
        <v>37</v>
      </c>
      <c r="C734">
        <v>32</v>
      </c>
      <c r="D734" s="6" t="s">
        <v>29</v>
      </c>
      <c r="E734">
        <v>145</v>
      </c>
      <c r="F734">
        <v>0.65</v>
      </c>
      <c r="G734">
        <v>0</v>
      </c>
      <c r="M734" t="s">
        <v>51</v>
      </c>
      <c r="O734">
        <f t="shared" si="40"/>
        <v>2.2847914999999994</v>
      </c>
    </row>
    <row r="735" spans="1:15" x14ac:dyDescent="0.25">
      <c r="A735" s="2">
        <v>40732</v>
      </c>
      <c r="B735" t="s">
        <v>37</v>
      </c>
      <c r="C735">
        <v>32</v>
      </c>
      <c r="D735" s="6" t="s">
        <v>29</v>
      </c>
      <c r="E735">
        <v>148</v>
      </c>
      <c r="F735">
        <v>0.35</v>
      </c>
      <c r="G735">
        <v>0</v>
      </c>
      <c r="M735" t="s">
        <v>51</v>
      </c>
      <c r="O735">
        <f t="shared" si="40"/>
        <v>1.2660784999999999</v>
      </c>
    </row>
    <row r="736" spans="1:15" x14ac:dyDescent="0.25">
      <c r="A736" s="2">
        <v>40732</v>
      </c>
      <c r="B736" t="s">
        <v>37</v>
      </c>
      <c r="C736">
        <v>32</v>
      </c>
      <c r="D736" s="6" t="s">
        <v>29</v>
      </c>
      <c r="E736">
        <v>148</v>
      </c>
      <c r="F736">
        <v>0.45</v>
      </c>
      <c r="G736">
        <v>0</v>
      </c>
      <c r="M736" t="s">
        <v>51</v>
      </c>
      <c r="O736">
        <f t="shared" si="40"/>
        <v>1.6213294999999999</v>
      </c>
    </row>
    <row r="737" spans="1:15" x14ac:dyDescent="0.25">
      <c r="A737" s="2">
        <v>40732</v>
      </c>
      <c r="B737" t="s">
        <v>37</v>
      </c>
      <c r="C737">
        <v>32</v>
      </c>
      <c r="D737" s="6" t="s">
        <v>29</v>
      </c>
      <c r="E737">
        <v>148</v>
      </c>
      <c r="F737">
        <v>0.51</v>
      </c>
      <c r="G737">
        <v>0</v>
      </c>
      <c r="M737" t="s">
        <v>51</v>
      </c>
      <c r="O737">
        <f t="shared" si="40"/>
        <v>1.8344800999999999</v>
      </c>
    </row>
    <row r="738" spans="1:15" x14ac:dyDescent="0.25">
      <c r="A738" s="2">
        <v>40732</v>
      </c>
      <c r="B738" t="s">
        <v>37</v>
      </c>
      <c r="C738">
        <v>32</v>
      </c>
      <c r="D738" s="6" t="s">
        <v>29</v>
      </c>
      <c r="E738">
        <v>150</v>
      </c>
      <c r="F738">
        <v>0.24</v>
      </c>
      <c r="G738">
        <v>0</v>
      </c>
      <c r="M738" t="s">
        <v>51</v>
      </c>
      <c r="O738">
        <f t="shared" si="40"/>
        <v>0.90666239999999965</v>
      </c>
    </row>
    <row r="739" spans="1:15" x14ac:dyDescent="0.25">
      <c r="A739" s="2">
        <v>40732</v>
      </c>
      <c r="B739" t="s">
        <v>37</v>
      </c>
      <c r="C739">
        <v>32</v>
      </c>
      <c r="D739" s="6" t="s">
        <v>29</v>
      </c>
      <c r="E739">
        <v>170</v>
      </c>
      <c r="F739">
        <v>0.44</v>
      </c>
      <c r="G739">
        <v>0</v>
      </c>
      <c r="M739" t="s">
        <v>51</v>
      </c>
      <c r="O739">
        <f t="shared" si="40"/>
        <v>1.9307643999999997</v>
      </c>
    </row>
    <row r="740" spans="1:15" x14ac:dyDescent="0.25">
      <c r="A740" s="2">
        <v>40732</v>
      </c>
      <c r="B740" t="s">
        <v>37</v>
      </c>
      <c r="C740">
        <v>32</v>
      </c>
      <c r="D740" s="6" t="s">
        <v>29</v>
      </c>
      <c r="E740">
        <v>171</v>
      </c>
      <c r="F740">
        <v>0.5</v>
      </c>
      <c r="G740">
        <v>0</v>
      </c>
      <c r="M740" t="s">
        <v>51</v>
      </c>
      <c r="O740">
        <f t="shared" si="40"/>
        <v>2.1595949999999999</v>
      </c>
    </row>
    <row r="741" spans="1:15" x14ac:dyDescent="0.25">
      <c r="A741" s="2">
        <v>40732</v>
      </c>
      <c r="B741" t="s">
        <v>37</v>
      </c>
      <c r="C741">
        <v>32</v>
      </c>
      <c r="D741" s="6" t="s">
        <v>29</v>
      </c>
      <c r="E741">
        <v>171</v>
      </c>
      <c r="F741">
        <v>0.61</v>
      </c>
      <c r="G741">
        <v>0</v>
      </c>
      <c r="M741" t="s">
        <v>51</v>
      </c>
      <c r="O741">
        <f t="shared" si="40"/>
        <v>2.5503711</v>
      </c>
    </row>
    <row r="742" spans="1:15" x14ac:dyDescent="0.25">
      <c r="A742" s="2">
        <v>40732</v>
      </c>
      <c r="B742" t="s">
        <v>37</v>
      </c>
      <c r="C742">
        <v>32</v>
      </c>
      <c r="D742" s="6" t="s">
        <v>29</v>
      </c>
      <c r="E742">
        <v>174</v>
      </c>
      <c r="F742">
        <v>0.54</v>
      </c>
      <c r="G742">
        <v>1</v>
      </c>
      <c r="M742" t="s">
        <v>51</v>
      </c>
      <c r="O742">
        <f t="shared" si="40"/>
        <v>2.3487354000000003</v>
      </c>
    </row>
    <row r="743" spans="1:15" x14ac:dyDescent="0.25">
      <c r="A743" s="2">
        <v>40732</v>
      </c>
      <c r="B743" t="s">
        <v>37</v>
      </c>
      <c r="C743">
        <v>32</v>
      </c>
      <c r="D743" s="6" t="s">
        <v>29</v>
      </c>
      <c r="E743">
        <v>175</v>
      </c>
      <c r="F743">
        <v>0.5</v>
      </c>
      <c r="G743">
        <v>0</v>
      </c>
      <c r="M743" t="s">
        <v>51</v>
      </c>
      <c r="O743">
        <f t="shared" si="40"/>
        <v>2.2223149999999996</v>
      </c>
    </row>
    <row r="744" spans="1:15" x14ac:dyDescent="0.25">
      <c r="A744" s="2">
        <v>40732</v>
      </c>
      <c r="B744" t="s">
        <v>37</v>
      </c>
      <c r="C744">
        <v>32</v>
      </c>
      <c r="D744" s="6" t="s">
        <v>29</v>
      </c>
      <c r="E744">
        <v>186</v>
      </c>
      <c r="F744">
        <v>0.31</v>
      </c>
      <c r="G744">
        <v>0</v>
      </c>
      <c r="M744" t="s">
        <v>51</v>
      </c>
      <c r="O744">
        <f t="shared" si="40"/>
        <v>1.7198180999999999</v>
      </c>
    </row>
    <row r="745" spans="1:15" x14ac:dyDescent="0.25">
      <c r="A745" s="2">
        <v>40732</v>
      </c>
      <c r="B745" t="s">
        <v>37</v>
      </c>
      <c r="C745">
        <v>32</v>
      </c>
      <c r="D745" s="6" t="s">
        <v>29</v>
      </c>
      <c r="E745">
        <v>186</v>
      </c>
      <c r="F745">
        <v>0.51</v>
      </c>
      <c r="G745">
        <v>1</v>
      </c>
      <c r="M745" t="s">
        <v>51</v>
      </c>
      <c r="O745">
        <f t="shared" si="40"/>
        <v>2.4303200999999999</v>
      </c>
    </row>
    <row r="746" spans="1:15" x14ac:dyDescent="0.25">
      <c r="A746" s="2">
        <v>40732</v>
      </c>
      <c r="B746" t="s">
        <v>37</v>
      </c>
      <c r="C746">
        <v>32</v>
      </c>
      <c r="D746" s="6" t="s">
        <v>29</v>
      </c>
      <c r="E746">
        <v>190</v>
      </c>
      <c r="F746">
        <v>0.65</v>
      </c>
      <c r="G746">
        <v>1</v>
      </c>
      <c r="M746" t="s">
        <v>51</v>
      </c>
      <c r="O746">
        <f t="shared" si="40"/>
        <v>2.9903914999999999</v>
      </c>
    </row>
    <row r="747" spans="1:15" x14ac:dyDescent="0.25">
      <c r="A747" s="2">
        <v>40732</v>
      </c>
      <c r="B747" t="s">
        <v>37</v>
      </c>
      <c r="C747">
        <v>32</v>
      </c>
      <c r="D747" s="6" t="s">
        <v>29</v>
      </c>
      <c r="E747">
        <v>191</v>
      </c>
      <c r="F747">
        <v>0.5</v>
      </c>
      <c r="G747">
        <v>0</v>
      </c>
      <c r="M747" t="s">
        <v>51</v>
      </c>
      <c r="O747">
        <f t="shared" si="40"/>
        <v>2.4731949999999991</v>
      </c>
    </row>
    <row r="748" spans="1:15" x14ac:dyDescent="0.25">
      <c r="A748" s="2">
        <v>40732</v>
      </c>
      <c r="B748" t="s">
        <v>37</v>
      </c>
      <c r="C748">
        <v>32</v>
      </c>
      <c r="D748" s="6" t="s">
        <v>29</v>
      </c>
      <c r="E748">
        <v>192</v>
      </c>
      <c r="F748">
        <v>0.69</v>
      </c>
      <c r="G748">
        <v>0</v>
      </c>
      <c r="M748" t="s">
        <v>51</v>
      </c>
      <c r="O748">
        <f t="shared" si="40"/>
        <v>3.1638518999999996</v>
      </c>
    </row>
    <row r="749" spans="1:15" x14ac:dyDescent="0.25">
      <c r="A749" s="2">
        <v>40732</v>
      </c>
      <c r="B749" t="s">
        <v>37</v>
      </c>
      <c r="C749">
        <v>32</v>
      </c>
      <c r="D749" s="6" t="s">
        <v>29</v>
      </c>
      <c r="E749">
        <v>195</v>
      </c>
      <c r="F749">
        <v>0.64</v>
      </c>
      <c r="G749">
        <v>0</v>
      </c>
      <c r="M749" t="s">
        <v>51</v>
      </c>
      <c r="O749">
        <f t="shared" si="40"/>
        <v>3.0332663999999991</v>
      </c>
    </row>
    <row r="750" spans="1:15" x14ac:dyDescent="0.25">
      <c r="A750" s="2">
        <v>40732</v>
      </c>
      <c r="B750" t="s">
        <v>37</v>
      </c>
      <c r="C750">
        <v>32</v>
      </c>
      <c r="D750" s="6" t="s">
        <v>29</v>
      </c>
      <c r="E750">
        <v>200</v>
      </c>
      <c r="F750">
        <v>0.65</v>
      </c>
      <c r="G750">
        <v>0</v>
      </c>
      <c r="M750" t="s">
        <v>51</v>
      </c>
      <c r="O750">
        <f t="shared" si="40"/>
        <v>3.1471915000000004</v>
      </c>
    </row>
    <row r="751" spans="1:15" x14ac:dyDescent="0.25">
      <c r="A751" s="2">
        <v>40732</v>
      </c>
      <c r="B751" t="s">
        <v>37</v>
      </c>
      <c r="C751">
        <v>32</v>
      </c>
      <c r="D751" s="6" t="s">
        <v>29</v>
      </c>
      <c r="E751">
        <v>211</v>
      </c>
      <c r="F751">
        <v>0.56999999999999995</v>
      </c>
      <c r="G751">
        <v>0</v>
      </c>
      <c r="M751" t="s">
        <v>51</v>
      </c>
      <c r="O751">
        <f t="shared" si="40"/>
        <v>3.0354706999999999</v>
      </c>
    </row>
    <row r="752" spans="1:15" x14ac:dyDescent="0.25">
      <c r="A752" s="2">
        <v>40732</v>
      </c>
      <c r="B752" t="s">
        <v>37</v>
      </c>
      <c r="C752">
        <v>32</v>
      </c>
      <c r="D752" s="6" t="s">
        <v>29</v>
      </c>
      <c r="E752">
        <v>217</v>
      </c>
      <c r="F752">
        <v>0.51</v>
      </c>
      <c r="G752">
        <v>0</v>
      </c>
      <c r="M752" t="s">
        <v>51</v>
      </c>
      <c r="O752">
        <f t="shared" si="40"/>
        <v>2.9164000999999993</v>
      </c>
    </row>
    <row r="753" spans="1:15" x14ac:dyDescent="0.25">
      <c r="A753" s="2">
        <v>40732</v>
      </c>
      <c r="B753" t="s">
        <v>37</v>
      </c>
      <c r="C753">
        <v>32</v>
      </c>
      <c r="D753" s="6" t="s">
        <v>29</v>
      </c>
      <c r="E753">
        <v>218</v>
      </c>
      <c r="F753">
        <v>0.57999999999999996</v>
      </c>
      <c r="G753">
        <v>0</v>
      </c>
      <c r="M753" t="s">
        <v>51</v>
      </c>
      <c r="O753">
        <f t="shared" si="40"/>
        <v>3.1807557999999996</v>
      </c>
    </row>
    <row r="754" spans="1:15" x14ac:dyDescent="0.25">
      <c r="A754" s="2">
        <v>40732</v>
      </c>
      <c r="B754" t="s">
        <v>37</v>
      </c>
      <c r="C754">
        <v>32</v>
      </c>
      <c r="D754" s="6" t="s">
        <v>29</v>
      </c>
      <c r="E754">
        <v>226</v>
      </c>
      <c r="F754">
        <v>0.69</v>
      </c>
      <c r="G754">
        <v>0</v>
      </c>
      <c r="M754" t="s">
        <v>51</v>
      </c>
      <c r="O754">
        <f t="shared" si="40"/>
        <v>3.6969718999999999</v>
      </c>
    </row>
    <row r="755" spans="1:15" x14ac:dyDescent="0.25">
      <c r="A755" s="2">
        <v>40732</v>
      </c>
      <c r="B755" t="s">
        <v>37</v>
      </c>
      <c r="C755">
        <v>32</v>
      </c>
      <c r="D755" s="6" t="s">
        <v>29</v>
      </c>
      <c r="E755">
        <v>228</v>
      </c>
      <c r="F755">
        <v>0.63</v>
      </c>
      <c r="G755">
        <v>0</v>
      </c>
      <c r="M755" t="s">
        <v>51</v>
      </c>
      <c r="O755">
        <f t="shared" si="40"/>
        <v>3.5151812999999996</v>
      </c>
    </row>
    <row r="756" spans="1:15" x14ac:dyDescent="0.25">
      <c r="A756" s="2">
        <v>40732</v>
      </c>
      <c r="B756" t="s">
        <v>37</v>
      </c>
      <c r="C756">
        <v>32</v>
      </c>
      <c r="D756" s="6" t="s">
        <v>29</v>
      </c>
      <c r="E756">
        <v>234</v>
      </c>
      <c r="F756">
        <v>0.5</v>
      </c>
      <c r="G756">
        <v>0</v>
      </c>
      <c r="M756" t="s">
        <v>51</v>
      </c>
      <c r="O756">
        <f t="shared" si="40"/>
        <v>3.1474350000000002</v>
      </c>
    </row>
    <row r="757" spans="1:15" x14ac:dyDescent="0.25">
      <c r="A757" s="2">
        <v>40732</v>
      </c>
      <c r="B757" t="s">
        <v>37</v>
      </c>
      <c r="C757">
        <v>32</v>
      </c>
      <c r="D757" s="6" t="s">
        <v>19</v>
      </c>
      <c r="E757">
        <v>335</v>
      </c>
      <c r="F757">
        <v>4.38</v>
      </c>
      <c r="H757">
        <v>38</v>
      </c>
      <c r="I757">
        <v>2.5</v>
      </c>
      <c r="O757">
        <f>(0.66164*E757)+(16.34893*F757)+(1.11091*H757)+(-8.40694*I757)-154.2499</f>
        <v>160.20504339999999</v>
      </c>
    </row>
    <row r="758" spans="1:15" x14ac:dyDescent="0.25">
      <c r="A758" s="2">
        <v>40732</v>
      </c>
      <c r="B758" t="s">
        <v>37</v>
      </c>
      <c r="C758">
        <v>32</v>
      </c>
      <c r="D758" s="6" t="s">
        <v>19</v>
      </c>
      <c r="E758">
        <v>373</v>
      </c>
      <c r="F758">
        <v>3.9</v>
      </c>
      <c r="H758">
        <v>51</v>
      </c>
      <c r="I758">
        <v>2.4</v>
      </c>
      <c r="O758">
        <f>(0.66164*E758)+(16.34893*F758)+(1.11091*H758)+(-8.40694*I758)-154.2499</f>
        <v>192.78240100000002</v>
      </c>
    </row>
    <row r="759" spans="1:15" x14ac:dyDescent="0.25">
      <c r="A759" s="2">
        <v>40732</v>
      </c>
      <c r="B759" t="s">
        <v>37</v>
      </c>
      <c r="C759">
        <v>32</v>
      </c>
      <c r="D759" s="6" t="s">
        <v>19</v>
      </c>
      <c r="E759">
        <v>377</v>
      </c>
      <c r="F759">
        <v>4.76</v>
      </c>
      <c r="H759">
        <v>49</v>
      </c>
      <c r="I759">
        <v>1.7</v>
      </c>
      <c r="O759">
        <f>(0.66164*E759)+(16.34893*F759)+(1.11091*H759)+(-8.40694*I759)-154.2499</f>
        <v>213.15207879999994</v>
      </c>
    </row>
    <row r="760" spans="1:15" x14ac:dyDescent="0.25">
      <c r="A760" s="2">
        <v>40732</v>
      </c>
      <c r="B760" t="s">
        <v>37</v>
      </c>
      <c r="C760">
        <v>32</v>
      </c>
      <c r="D760" s="6" t="s">
        <v>19</v>
      </c>
      <c r="E760">
        <v>384</v>
      </c>
      <c r="F760">
        <v>4.34</v>
      </c>
      <c r="H760">
        <v>40</v>
      </c>
      <c r="I760">
        <v>2.7</v>
      </c>
      <c r="O760">
        <f>(0.66164*E760)+(16.34893*F760)+(1.11091*H760)+(-8.40694*I760)-154.2499</f>
        <v>192.51187819999998</v>
      </c>
    </row>
    <row r="761" spans="1:15" x14ac:dyDescent="0.25">
      <c r="A761" s="2">
        <v>40732</v>
      </c>
      <c r="B761" t="s">
        <v>37</v>
      </c>
      <c r="C761">
        <v>47</v>
      </c>
      <c r="D761" s="6" t="s">
        <v>12</v>
      </c>
      <c r="E761">
        <v>107</v>
      </c>
      <c r="F761">
        <v>1.0900000000000001</v>
      </c>
      <c r="G761">
        <v>0</v>
      </c>
      <c r="N761">
        <f t="shared" ref="N761:N792" si="41">(1/3)*(3.14159)*((F761/2)^2)*E761</f>
        <v>33.281664121083338</v>
      </c>
      <c r="O761">
        <f>((0.03043*E761)+(0.02936*N761))</f>
        <v>4.2331596585950066</v>
      </c>
    </row>
    <row r="762" spans="1:15" x14ac:dyDescent="0.25">
      <c r="A762" s="2">
        <v>40732</v>
      </c>
      <c r="B762" t="s">
        <v>37</v>
      </c>
      <c r="C762">
        <v>47</v>
      </c>
      <c r="D762" s="6" t="s">
        <v>12</v>
      </c>
      <c r="E762">
        <v>141</v>
      </c>
      <c r="F762">
        <v>1</v>
      </c>
      <c r="G762">
        <v>0</v>
      </c>
      <c r="N762">
        <f t="shared" si="41"/>
        <v>36.913682499999993</v>
      </c>
      <c r="O762">
        <f>((0.03043*E762)+(0.02936*N762))</f>
        <v>5.3744157181999999</v>
      </c>
    </row>
    <row r="763" spans="1:15" x14ac:dyDescent="0.25">
      <c r="A763" s="2">
        <v>40732</v>
      </c>
      <c r="B763" t="s">
        <v>37</v>
      </c>
      <c r="C763">
        <v>47</v>
      </c>
      <c r="D763" s="6" t="s">
        <v>12</v>
      </c>
      <c r="E763">
        <v>142</v>
      </c>
      <c r="F763">
        <v>1.25</v>
      </c>
      <c r="G763">
        <v>0</v>
      </c>
      <c r="N763">
        <f t="shared" si="41"/>
        <v>58.086690104166657</v>
      </c>
      <c r="O763">
        <f>((0.03043*E763)+(0.02936*N763))</f>
        <v>6.0264852214583335</v>
      </c>
    </row>
    <row r="764" spans="1:15" x14ac:dyDescent="0.25">
      <c r="A764" s="2">
        <v>40732</v>
      </c>
      <c r="B764" t="s">
        <v>37</v>
      </c>
      <c r="C764">
        <v>47</v>
      </c>
      <c r="D764" s="6" t="s">
        <v>12</v>
      </c>
      <c r="E764">
        <v>149</v>
      </c>
      <c r="F764">
        <v>1</v>
      </c>
      <c r="G764">
        <v>0</v>
      </c>
      <c r="N764">
        <f t="shared" si="41"/>
        <v>39.008075833333329</v>
      </c>
      <c r="O764">
        <f>((0.03043*E764)+(0.02936*N764))</f>
        <v>5.6793471064666665</v>
      </c>
    </row>
    <row r="765" spans="1:15" x14ac:dyDescent="0.25">
      <c r="A765" s="2">
        <v>40732</v>
      </c>
      <c r="B765" t="s">
        <v>37</v>
      </c>
      <c r="C765">
        <v>47</v>
      </c>
      <c r="D765" s="6" t="s">
        <v>12</v>
      </c>
      <c r="E765">
        <v>151</v>
      </c>
      <c r="F765">
        <v>1.21</v>
      </c>
      <c r="G765">
        <v>3</v>
      </c>
      <c r="N765">
        <f t="shared" si="41"/>
        <v>57.878324147416656</v>
      </c>
      <c r="O765">
        <f>((0.03851*E765)+(0.0322*N765))</f>
        <v>7.6786920375468162</v>
      </c>
    </row>
    <row r="766" spans="1:15" x14ac:dyDescent="0.25">
      <c r="A766" s="2">
        <v>40732</v>
      </c>
      <c r="B766" t="s">
        <v>37</v>
      </c>
      <c r="C766">
        <v>47</v>
      </c>
      <c r="D766" s="6" t="s">
        <v>12</v>
      </c>
      <c r="E766">
        <v>180</v>
      </c>
      <c r="F766">
        <v>1.72</v>
      </c>
      <c r="G766">
        <v>10</v>
      </c>
      <c r="N766">
        <f t="shared" si="41"/>
        <v>139.41119783999997</v>
      </c>
      <c r="O766">
        <f>((0.03851*E766)+(0.0322*N766))</f>
        <v>11.420840570448</v>
      </c>
    </row>
    <row r="767" spans="1:15" x14ac:dyDescent="0.25">
      <c r="A767" s="2">
        <v>40732</v>
      </c>
      <c r="B767" t="s">
        <v>37</v>
      </c>
      <c r="C767">
        <v>47</v>
      </c>
      <c r="D767" s="6" t="s">
        <v>12</v>
      </c>
      <c r="E767">
        <v>202</v>
      </c>
      <c r="F767">
        <v>1.45</v>
      </c>
      <c r="G767">
        <v>7</v>
      </c>
      <c r="N767">
        <f t="shared" si="41"/>
        <v>111.18741507916666</v>
      </c>
      <c r="O767">
        <f>((0.03851*E767)+(0.0322*N767))</f>
        <v>11.359254765549167</v>
      </c>
    </row>
    <row r="768" spans="1:15" x14ac:dyDescent="0.25">
      <c r="A768" s="2">
        <v>40732</v>
      </c>
      <c r="B768" t="s">
        <v>37</v>
      </c>
      <c r="C768">
        <v>47</v>
      </c>
      <c r="D768" s="6" t="s">
        <v>12</v>
      </c>
      <c r="E768">
        <v>255</v>
      </c>
      <c r="F768">
        <v>1.54</v>
      </c>
      <c r="G768">
        <v>0</v>
      </c>
      <c r="N768">
        <f t="shared" si="41"/>
        <v>158.32514043499998</v>
      </c>
      <c r="O768">
        <f>((0.03043*E768)+(0.02936*N768))</f>
        <v>12.4080761231716</v>
      </c>
    </row>
    <row r="769" spans="1:15" x14ac:dyDescent="0.25">
      <c r="A769" s="2">
        <v>40732</v>
      </c>
      <c r="B769" t="s">
        <v>37</v>
      </c>
      <c r="C769">
        <v>47</v>
      </c>
      <c r="D769" s="6" t="s">
        <v>12</v>
      </c>
      <c r="E769">
        <v>257</v>
      </c>
      <c r="F769">
        <v>1.65</v>
      </c>
      <c r="G769">
        <v>0</v>
      </c>
      <c r="N769">
        <f t="shared" si="41"/>
        <v>183.17629543124997</v>
      </c>
      <c r="O769">
        <f>((0.03043*E769)+(0.02936*N769))</f>
        <v>13.1985660338615</v>
      </c>
    </row>
    <row r="770" spans="1:15" x14ac:dyDescent="0.25">
      <c r="A770" s="2">
        <v>40732</v>
      </c>
      <c r="B770" t="s">
        <v>37</v>
      </c>
      <c r="C770">
        <v>47</v>
      </c>
      <c r="D770" s="6" t="s">
        <v>12</v>
      </c>
      <c r="E770">
        <v>259</v>
      </c>
      <c r="F770">
        <v>1.8</v>
      </c>
      <c r="G770">
        <v>0</v>
      </c>
      <c r="N770">
        <f t="shared" si="41"/>
        <v>219.6913887</v>
      </c>
      <c r="O770">
        <f>((0.03043*E770)+(0.02936*N770))</f>
        <v>14.331509172232</v>
      </c>
    </row>
    <row r="771" spans="1:15" x14ac:dyDescent="0.25">
      <c r="A771" s="2">
        <v>40732</v>
      </c>
      <c r="B771" t="s">
        <v>37</v>
      </c>
      <c r="C771">
        <v>47</v>
      </c>
      <c r="D771" s="6" t="s">
        <v>12</v>
      </c>
      <c r="E771">
        <v>266</v>
      </c>
      <c r="F771">
        <v>1.67</v>
      </c>
      <c r="G771">
        <v>0</v>
      </c>
      <c r="N771">
        <f t="shared" si="41"/>
        <v>194.21503111383331</v>
      </c>
      <c r="O771">
        <f>((0.03043*E771)+(0.02936*N771))</f>
        <v>13.796533313502145</v>
      </c>
    </row>
    <row r="772" spans="1:15" x14ac:dyDescent="0.25">
      <c r="A772" s="2">
        <v>40732</v>
      </c>
      <c r="B772" t="s">
        <v>37</v>
      </c>
      <c r="C772">
        <v>47</v>
      </c>
      <c r="D772" s="6" t="s">
        <v>12</v>
      </c>
      <c r="E772">
        <v>274</v>
      </c>
      <c r="F772">
        <v>1.05</v>
      </c>
      <c r="G772">
        <v>12</v>
      </c>
      <c r="N772">
        <f t="shared" si="41"/>
        <v>79.085601262499992</v>
      </c>
      <c r="O772">
        <f>((0.03851*E772)+(0.0322*N772))</f>
        <v>13.098296360652501</v>
      </c>
    </row>
    <row r="773" spans="1:15" x14ac:dyDescent="0.25">
      <c r="A773" s="2">
        <v>40732</v>
      </c>
      <c r="B773" t="s">
        <v>37</v>
      </c>
      <c r="C773">
        <v>47</v>
      </c>
      <c r="D773" s="6" t="s">
        <v>12</v>
      </c>
      <c r="E773">
        <v>275</v>
      </c>
      <c r="F773">
        <v>2.12</v>
      </c>
      <c r="G773">
        <v>9</v>
      </c>
      <c r="N773">
        <f t="shared" si="41"/>
        <v>323.57329803333334</v>
      </c>
      <c r="O773">
        <f>((0.03851*E773)+(0.0322*N773))</f>
        <v>21.009310196673333</v>
      </c>
    </row>
    <row r="774" spans="1:15" x14ac:dyDescent="0.25">
      <c r="A774" s="2">
        <v>40732</v>
      </c>
      <c r="B774" t="s">
        <v>37</v>
      </c>
      <c r="C774">
        <v>47</v>
      </c>
      <c r="D774" s="6" t="s">
        <v>12</v>
      </c>
      <c r="E774">
        <v>278</v>
      </c>
      <c r="F774">
        <v>1.76</v>
      </c>
      <c r="G774">
        <v>0</v>
      </c>
      <c r="N774">
        <f t="shared" si="41"/>
        <v>225.44384942933328</v>
      </c>
      <c r="O774">
        <f>((0.03043*E774)+(0.02936*N774))</f>
        <v>15.078571419245225</v>
      </c>
    </row>
    <row r="775" spans="1:15" x14ac:dyDescent="0.25">
      <c r="A775" s="2">
        <v>40732</v>
      </c>
      <c r="B775" t="s">
        <v>37</v>
      </c>
      <c r="C775">
        <v>47</v>
      </c>
      <c r="D775" s="6" t="s">
        <v>12</v>
      </c>
      <c r="E775">
        <v>285</v>
      </c>
      <c r="F775">
        <v>2.4</v>
      </c>
      <c r="G775">
        <v>5</v>
      </c>
      <c r="N775">
        <f t="shared" si="41"/>
        <v>429.76951199999996</v>
      </c>
      <c r="O775">
        <f>((0.03851*E775)+(0.0322*N775))</f>
        <v>24.813928286399999</v>
      </c>
    </row>
    <row r="776" spans="1:15" x14ac:dyDescent="0.25">
      <c r="A776" s="2">
        <v>40732</v>
      </c>
      <c r="B776" t="s">
        <v>37</v>
      </c>
      <c r="C776">
        <v>47</v>
      </c>
      <c r="D776" s="6" t="s">
        <v>12</v>
      </c>
      <c r="E776">
        <v>298</v>
      </c>
      <c r="F776">
        <v>2.6</v>
      </c>
      <c r="G776">
        <v>11</v>
      </c>
      <c r="N776">
        <f t="shared" si="41"/>
        <v>527.38918526666669</v>
      </c>
      <c r="O776">
        <f>((0.03851*E776)+(0.0322*N776))</f>
        <v>28.457911765586665</v>
      </c>
    </row>
    <row r="777" spans="1:15" x14ac:dyDescent="0.25">
      <c r="A777" s="2">
        <v>40732</v>
      </c>
      <c r="B777" t="s">
        <v>37</v>
      </c>
      <c r="C777">
        <v>47</v>
      </c>
      <c r="D777" s="6" t="s">
        <v>12</v>
      </c>
      <c r="E777">
        <v>304</v>
      </c>
      <c r="F777">
        <v>2.25</v>
      </c>
      <c r="G777">
        <v>0</v>
      </c>
      <c r="N777">
        <f t="shared" si="41"/>
        <v>402.90891749999992</v>
      </c>
      <c r="O777">
        <f>((0.03043*E777)+(0.02936*N777))</f>
        <v>21.080125817799996</v>
      </c>
    </row>
    <row r="778" spans="1:15" x14ac:dyDescent="0.25">
      <c r="A778" s="2">
        <v>40732</v>
      </c>
      <c r="B778" s="3" t="s">
        <v>33</v>
      </c>
      <c r="C778">
        <v>12</v>
      </c>
      <c r="D778" s="6" t="s">
        <v>12</v>
      </c>
      <c r="E778">
        <v>96</v>
      </c>
      <c r="F778">
        <v>0.7</v>
      </c>
      <c r="G778">
        <v>0</v>
      </c>
      <c r="N778">
        <f t="shared" si="41"/>
        <v>12.315032799999997</v>
      </c>
      <c r="O778">
        <f>((0.03043*E778)+(0.02936*N778))</f>
        <v>3.2828493630079998</v>
      </c>
    </row>
    <row r="779" spans="1:15" x14ac:dyDescent="0.25">
      <c r="A779" s="2">
        <v>40732</v>
      </c>
      <c r="B779" s="3" t="s">
        <v>33</v>
      </c>
      <c r="C779">
        <v>12</v>
      </c>
      <c r="D779" s="6" t="s">
        <v>12</v>
      </c>
      <c r="E779">
        <v>114</v>
      </c>
      <c r="F779">
        <v>1.1000000000000001</v>
      </c>
      <c r="G779">
        <v>0</v>
      </c>
      <c r="N779">
        <f t="shared" si="41"/>
        <v>36.112577049999999</v>
      </c>
      <c r="O779">
        <f>((0.03043*E779)+(0.02936*N779))</f>
        <v>4.529285262188</v>
      </c>
    </row>
    <row r="780" spans="1:15" x14ac:dyDescent="0.25">
      <c r="A780" s="2">
        <v>40732</v>
      </c>
      <c r="B780" s="3" t="s">
        <v>33</v>
      </c>
      <c r="C780">
        <v>12</v>
      </c>
      <c r="D780" s="6" t="s">
        <v>12</v>
      </c>
      <c r="E780">
        <v>117</v>
      </c>
      <c r="F780">
        <v>0.8</v>
      </c>
      <c r="G780" s="6">
        <v>0</v>
      </c>
      <c r="N780">
        <f t="shared" si="41"/>
        <v>19.603521600000001</v>
      </c>
      <c r="O780">
        <f>((0.03043*E780)+(0.02936*N780))</f>
        <v>4.1358693941759999</v>
      </c>
    </row>
    <row r="781" spans="1:15" x14ac:dyDescent="0.25">
      <c r="A781" s="2">
        <v>40732</v>
      </c>
      <c r="B781" s="3" t="s">
        <v>33</v>
      </c>
      <c r="C781">
        <v>12</v>
      </c>
      <c r="D781" s="6" t="s">
        <v>12</v>
      </c>
      <c r="E781">
        <v>124</v>
      </c>
      <c r="F781">
        <v>1.1000000000000001</v>
      </c>
      <c r="G781">
        <v>7</v>
      </c>
      <c r="N781">
        <f t="shared" si="41"/>
        <v>39.28034696666667</v>
      </c>
      <c r="O781">
        <f>((0.03851*E781)+(0.0322*N781))</f>
        <v>6.0400671723266672</v>
      </c>
    </row>
    <row r="782" spans="1:15" x14ac:dyDescent="0.25">
      <c r="A782" s="2">
        <v>40732</v>
      </c>
      <c r="B782" s="3" t="s">
        <v>33</v>
      </c>
      <c r="C782">
        <v>12</v>
      </c>
      <c r="D782" s="6" t="s">
        <v>12</v>
      </c>
      <c r="E782">
        <v>156</v>
      </c>
      <c r="F782">
        <v>0.84</v>
      </c>
      <c r="G782">
        <v>0</v>
      </c>
      <c r="N782">
        <f t="shared" si="41"/>
        <v>28.817176751999995</v>
      </c>
      <c r="O782">
        <f>((0.03043*E782)+(0.02936*N782))</f>
        <v>5.5931523094387199</v>
      </c>
    </row>
    <row r="783" spans="1:15" x14ac:dyDescent="0.25">
      <c r="A783" s="2">
        <v>40732</v>
      </c>
      <c r="B783" s="3" t="s">
        <v>33</v>
      </c>
      <c r="C783">
        <v>12</v>
      </c>
      <c r="D783" s="7" t="s">
        <v>12</v>
      </c>
      <c r="E783">
        <v>161</v>
      </c>
      <c r="F783">
        <v>0.76</v>
      </c>
      <c r="G783">
        <v>0</v>
      </c>
      <c r="N783">
        <f t="shared" si="41"/>
        <v>24.345646985333332</v>
      </c>
      <c r="O783">
        <f>((0.03043*E783)+(0.02936*N783))</f>
        <v>5.6140181954893871</v>
      </c>
    </row>
    <row r="784" spans="1:15" x14ac:dyDescent="0.25">
      <c r="A784" s="2">
        <v>40732</v>
      </c>
      <c r="B784" s="3" t="s">
        <v>33</v>
      </c>
      <c r="C784">
        <v>12</v>
      </c>
      <c r="D784" s="6" t="s">
        <v>12</v>
      </c>
      <c r="E784">
        <v>168</v>
      </c>
      <c r="F784">
        <v>1.4</v>
      </c>
      <c r="G784">
        <v>0</v>
      </c>
      <c r="N784">
        <f t="shared" si="41"/>
        <v>86.205229599999981</v>
      </c>
      <c r="O784">
        <f>((0.03043*E784)+(0.02936*N784))</f>
        <v>7.6432255410559993</v>
      </c>
    </row>
    <row r="785" spans="1:15" x14ac:dyDescent="0.25">
      <c r="A785" s="2">
        <v>40732</v>
      </c>
      <c r="B785" s="3" t="s">
        <v>33</v>
      </c>
      <c r="C785">
        <v>12</v>
      </c>
      <c r="D785" s="6" t="s">
        <v>12</v>
      </c>
      <c r="E785">
        <v>175</v>
      </c>
      <c r="F785">
        <v>1.02</v>
      </c>
      <c r="G785">
        <v>0</v>
      </c>
      <c r="N785">
        <f t="shared" si="41"/>
        <v>47.66577427499999</v>
      </c>
      <c r="O785">
        <f>((0.03043*E785)+(0.02936*N785))</f>
        <v>6.7247171327139998</v>
      </c>
    </row>
    <row r="786" spans="1:15" x14ac:dyDescent="0.25">
      <c r="A786" s="2">
        <v>40732</v>
      </c>
      <c r="B786" s="3" t="s">
        <v>33</v>
      </c>
      <c r="C786">
        <v>12</v>
      </c>
      <c r="D786" s="6" t="s">
        <v>12</v>
      </c>
      <c r="E786">
        <v>178</v>
      </c>
      <c r="F786">
        <v>1.05</v>
      </c>
      <c r="G786">
        <v>6</v>
      </c>
      <c r="N786">
        <f t="shared" si="41"/>
        <v>51.376777462500002</v>
      </c>
      <c r="O786">
        <f>((0.03851*E786)+(0.0322*N786))</f>
        <v>8.5091122342925001</v>
      </c>
    </row>
    <row r="787" spans="1:15" x14ac:dyDescent="0.25">
      <c r="A787" s="2">
        <v>40732</v>
      </c>
      <c r="B787" s="3" t="s">
        <v>33</v>
      </c>
      <c r="C787">
        <v>12</v>
      </c>
      <c r="D787" s="6" t="s">
        <v>12</v>
      </c>
      <c r="E787">
        <v>184</v>
      </c>
      <c r="F787">
        <v>0.7</v>
      </c>
      <c r="G787">
        <v>0</v>
      </c>
      <c r="N787">
        <f t="shared" si="41"/>
        <v>23.603812866666662</v>
      </c>
      <c r="O787">
        <f>((0.03043*E787)+(0.02936*N787))</f>
        <v>6.2921279457653334</v>
      </c>
    </row>
    <row r="788" spans="1:15" x14ac:dyDescent="0.25">
      <c r="A788" s="2">
        <v>40732</v>
      </c>
      <c r="B788" s="3" t="s">
        <v>33</v>
      </c>
      <c r="C788">
        <v>12</v>
      </c>
      <c r="D788" s="6" t="s">
        <v>12</v>
      </c>
      <c r="E788">
        <v>193</v>
      </c>
      <c r="F788">
        <v>1.48</v>
      </c>
      <c r="G788">
        <v>0</v>
      </c>
      <c r="N788">
        <f t="shared" si="41"/>
        <v>110.67486467066665</v>
      </c>
      <c r="O788">
        <f>((0.03043*E788)+(0.02936*N788))</f>
        <v>9.1224040267307736</v>
      </c>
    </row>
    <row r="789" spans="1:15" x14ac:dyDescent="0.25">
      <c r="A789" s="2">
        <v>40732</v>
      </c>
      <c r="B789" s="3" t="s">
        <v>33</v>
      </c>
      <c r="C789">
        <v>12</v>
      </c>
      <c r="D789" s="6" t="s">
        <v>12</v>
      </c>
      <c r="E789">
        <v>195</v>
      </c>
      <c r="F789">
        <v>1.42</v>
      </c>
      <c r="G789">
        <v>0</v>
      </c>
      <c r="N789">
        <f t="shared" si="41"/>
        <v>102.938908735</v>
      </c>
      <c r="O789">
        <f>((0.03043*E789)+(0.02936*N789))</f>
        <v>8.9561363604595989</v>
      </c>
    </row>
    <row r="790" spans="1:15" x14ac:dyDescent="0.25">
      <c r="A790" s="2">
        <v>40732</v>
      </c>
      <c r="B790" s="3" t="s">
        <v>33</v>
      </c>
      <c r="C790">
        <v>12</v>
      </c>
      <c r="D790" s="6" t="s">
        <v>12</v>
      </c>
      <c r="E790">
        <v>207</v>
      </c>
      <c r="F790">
        <v>1.6</v>
      </c>
      <c r="G790">
        <v>14</v>
      </c>
      <c r="N790">
        <f t="shared" si="41"/>
        <v>138.73261440000002</v>
      </c>
      <c r="O790">
        <f>((0.03851*E790)+(0.0322*N790))</f>
        <v>12.438760183680001</v>
      </c>
    </row>
    <row r="791" spans="1:15" x14ac:dyDescent="0.25">
      <c r="A791" s="2">
        <v>40732</v>
      </c>
      <c r="B791" s="3" t="s">
        <v>33</v>
      </c>
      <c r="C791">
        <v>12</v>
      </c>
      <c r="D791" s="6" t="s">
        <v>12</v>
      </c>
      <c r="E791">
        <v>211</v>
      </c>
      <c r="F791">
        <v>1.32</v>
      </c>
      <c r="G791">
        <v>7</v>
      </c>
      <c r="N791">
        <f t="shared" si="41"/>
        <v>96.249521147999999</v>
      </c>
      <c r="O791">
        <f>((0.03851*E791)+(0.0322*N791))</f>
        <v>11.2248445809656</v>
      </c>
    </row>
    <row r="792" spans="1:15" x14ac:dyDescent="0.25">
      <c r="A792" s="2">
        <v>40732</v>
      </c>
      <c r="B792" s="3" t="s">
        <v>33</v>
      </c>
      <c r="C792">
        <v>12</v>
      </c>
      <c r="D792" s="6" t="s">
        <v>12</v>
      </c>
      <c r="E792">
        <v>215</v>
      </c>
      <c r="F792">
        <v>1.74</v>
      </c>
      <c r="G792">
        <v>4</v>
      </c>
      <c r="N792">
        <f t="shared" si="41"/>
        <v>170.41397875499999</v>
      </c>
      <c r="O792">
        <f>((0.03851*E792)+(0.0322*N792))</f>
        <v>13.766980115911</v>
      </c>
    </row>
    <row r="793" spans="1:15" x14ac:dyDescent="0.25">
      <c r="A793" s="2">
        <v>40732</v>
      </c>
      <c r="B793" s="3" t="s">
        <v>33</v>
      </c>
      <c r="C793">
        <v>12</v>
      </c>
      <c r="D793" s="6" t="s">
        <v>12</v>
      </c>
      <c r="E793">
        <v>216</v>
      </c>
      <c r="F793">
        <v>1.3</v>
      </c>
      <c r="G793">
        <v>0</v>
      </c>
      <c r="N793">
        <f t="shared" ref="N793:N812" si="42">(1/3)*(3.14159)*((F793/2)^2)*E793</f>
        <v>95.567167799999993</v>
      </c>
      <c r="O793">
        <f>((0.03043*E793)+(0.02936*N793))</f>
        <v>9.3787320466080004</v>
      </c>
    </row>
    <row r="794" spans="1:15" x14ac:dyDescent="0.25">
      <c r="A794" s="2">
        <v>40732</v>
      </c>
      <c r="B794" s="3" t="s">
        <v>33</v>
      </c>
      <c r="C794">
        <v>12</v>
      </c>
      <c r="D794" s="6" t="s">
        <v>12</v>
      </c>
      <c r="E794">
        <v>218</v>
      </c>
      <c r="F794">
        <v>2</v>
      </c>
      <c r="G794">
        <v>0</v>
      </c>
      <c r="N794">
        <f t="shared" si="42"/>
        <v>228.2888733333333</v>
      </c>
      <c r="O794">
        <f>((0.03043*E794)+(0.02936*N794))</f>
        <v>13.336301321066665</v>
      </c>
    </row>
    <row r="795" spans="1:15" x14ac:dyDescent="0.25">
      <c r="A795" s="2">
        <v>40732</v>
      </c>
      <c r="B795" s="3" t="s">
        <v>33</v>
      </c>
      <c r="C795">
        <v>12</v>
      </c>
      <c r="D795" s="6" t="s">
        <v>12</v>
      </c>
      <c r="E795">
        <v>218</v>
      </c>
      <c r="F795">
        <v>1.73</v>
      </c>
      <c r="G795">
        <v>13</v>
      </c>
      <c r="N795">
        <f t="shared" si="42"/>
        <v>170.81144224983333</v>
      </c>
      <c r="O795">
        <f>((0.03851*E795)+(0.0322*N795))</f>
        <v>13.895308440444634</v>
      </c>
    </row>
    <row r="796" spans="1:15" x14ac:dyDescent="0.25">
      <c r="A796" s="2">
        <v>40732</v>
      </c>
      <c r="B796" s="3" t="s">
        <v>33</v>
      </c>
      <c r="C796">
        <v>12</v>
      </c>
      <c r="D796" s="7" t="s">
        <v>12</v>
      </c>
      <c r="E796">
        <v>222</v>
      </c>
      <c r="F796">
        <v>1.9</v>
      </c>
      <c r="G796">
        <v>0</v>
      </c>
      <c r="N796">
        <f t="shared" si="42"/>
        <v>209.81108814999996</v>
      </c>
      <c r="O796">
        <f>((0.03043*E796)+(0.02936*N796))</f>
        <v>12.915513548083998</v>
      </c>
    </row>
    <row r="797" spans="1:15" x14ac:dyDescent="0.25">
      <c r="A797" s="2">
        <v>40732</v>
      </c>
      <c r="B797" s="3" t="s">
        <v>33</v>
      </c>
      <c r="C797">
        <v>12</v>
      </c>
      <c r="D797" s="6" t="s">
        <v>12</v>
      </c>
      <c r="E797">
        <v>223</v>
      </c>
      <c r="F797">
        <v>1.35</v>
      </c>
      <c r="G797">
        <v>7</v>
      </c>
      <c r="N797">
        <f t="shared" si="42"/>
        <v>106.39976281875001</v>
      </c>
      <c r="O797">
        <f t="shared" ref="O797:O803" si="43">((0.03851*E797)+(0.0322*N797))</f>
        <v>12.013802362763752</v>
      </c>
    </row>
    <row r="798" spans="1:15" x14ac:dyDescent="0.25">
      <c r="A798" s="2">
        <v>40732</v>
      </c>
      <c r="B798" s="3" t="s">
        <v>33</v>
      </c>
      <c r="C798">
        <v>12</v>
      </c>
      <c r="D798" s="6" t="s">
        <v>12</v>
      </c>
      <c r="E798">
        <v>224</v>
      </c>
      <c r="F798">
        <v>1.93</v>
      </c>
      <c r="G798">
        <v>1</v>
      </c>
      <c r="N798">
        <f t="shared" si="42"/>
        <v>218.4393603653333</v>
      </c>
      <c r="O798">
        <f t="shared" si="43"/>
        <v>15.659987403763733</v>
      </c>
    </row>
    <row r="799" spans="1:15" x14ac:dyDescent="0.25">
      <c r="A799" s="2">
        <v>40732</v>
      </c>
      <c r="B799" s="3" t="s">
        <v>33</v>
      </c>
      <c r="C799">
        <v>12</v>
      </c>
      <c r="D799" s="6" t="s">
        <v>12</v>
      </c>
      <c r="E799">
        <v>232</v>
      </c>
      <c r="F799">
        <v>1.22</v>
      </c>
      <c r="G799">
        <v>17</v>
      </c>
      <c r="N799">
        <f t="shared" si="42"/>
        <v>90.401556082666644</v>
      </c>
      <c r="O799">
        <f t="shared" si="43"/>
        <v>11.845250105861867</v>
      </c>
    </row>
    <row r="800" spans="1:15" x14ac:dyDescent="0.25">
      <c r="A800" s="2">
        <v>40732</v>
      </c>
      <c r="B800" s="3" t="s">
        <v>33</v>
      </c>
      <c r="C800">
        <v>12</v>
      </c>
      <c r="D800" s="6" t="s">
        <v>12</v>
      </c>
      <c r="E800">
        <v>237</v>
      </c>
      <c r="F800">
        <v>1.85</v>
      </c>
      <c r="G800">
        <v>5</v>
      </c>
      <c r="N800">
        <f t="shared" si="42"/>
        <v>212.35381255625001</v>
      </c>
      <c r="O800">
        <f t="shared" si="43"/>
        <v>15.96466276431125</v>
      </c>
    </row>
    <row r="801" spans="1:15" x14ac:dyDescent="0.25">
      <c r="A801" s="2">
        <v>40732</v>
      </c>
      <c r="B801" s="3" t="s">
        <v>33</v>
      </c>
      <c r="C801">
        <v>12</v>
      </c>
      <c r="D801" s="6" t="s">
        <v>12</v>
      </c>
      <c r="E801">
        <v>240</v>
      </c>
      <c r="F801">
        <v>1.98</v>
      </c>
      <c r="G801">
        <v>16</v>
      </c>
      <c r="N801">
        <f t="shared" si="42"/>
        <v>246.32578871999999</v>
      </c>
      <c r="O801">
        <f t="shared" si="43"/>
        <v>17.174090396783999</v>
      </c>
    </row>
    <row r="802" spans="1:15" x14ac:dyDescent="0.25">
      <c r="A802" s="2">
        <v>40732</v>
      </c>
      <c r="B802" s="3" t="s">
        <v>33</v>
      </c>
      <c r="C802">
        <v>12</v>
      </c>
      <c r="D802" s="7" t="s">
        <v>12</v>
      </c>
      <c r="E802">
        <v>242</v>
      </c>
      <c r="F802">
        <v>2.1800000000000002</v>
      </c>
      <c r="G802">
        <v>10</v>
      </c>
      <c r="N802">
        <f t="shared" si="42"/>
        <v>301.09019503933337</v>
      </c>
      <c r="O802">
        <f t="shared" si="43"/>
        <v>19.014524280266535</v>
      </c>
    </row>
    <row r="803" spans="1:15" x14ac:dyDescent="0.25">
      <c r="A803" s="2">
        <v>40732</v>
      </c>
      <c r="B803" s="3" t="s">
        <v>33</v>
      </c>
      <c r="C803">
        <v>12</v>
      </c>
      <c r="D803" s="6" t="s">
        <v>12</v>
      </c>
      <c r="E803">
        <v>243</v>
      </c>
      <c r="F803">
        <v>0.95</v>
      </c>
      <c r="G803">
        <v>1</v>
      </c>
      <c r="N803">
        <f t="shared" si="42"/>
        <v>57.414520743749996</v>
      </c>
      <c r="O803">
        <f t="shared" si="43"/>
        <v>11.206677567948752</v>
      </c>
    </row>
    <row r="804" spans="1:15" x14ac:dyDescent="0.25">
      <c r="A804" s="2">
        <v>40732</v>
      </c>
      <c r="B804" s="3" t="s">
        <v>33</v>
      </c>
      <c r="C804">
        <v>12</v>
      </c>
      <c r="D804" s="6" t="s">
        <v>12</v>
      </c>
      <c r="E804">
        <v>244</v>
      </c>
      <c r="F804">
        <v>1.9</v>
      </c>
      <c r="G804">
        <v>0</v>
      </c>
      <c r="N804">
        <f t="shared" si="42"/>
        <v>230.60317796666664</v>
      </c>
      <c r="O804">
        <f>((0.03043*E804)+(0.02936*N804))</f>
        <v>14.195429305101332</v>
      </c>
    </row>
    <row r="805" spans="1:15" x14ac:dyDescent="0.25">
      <c r="A805" s="2">
        <v>40732</v>
      </c>
      <c r="B805" s="3" t="s">
        <v>33</v>
      </c>
      <c r="C805">
        <v>12</v>
      </c>
      <c r="D805" s="6" t="s">
        <v>12</v>
      </c>
      <c r="E805">
        <v>245</v>
      </c>
      <c r="F805">
        <v>1.25</v>
      </c>
      <c r="G805">
        <v>12</v>
      </c>
      <c r="N805">
        <f t="shared" si="42"/>
        <v>100.21999348958332</v>
      </c>
      <c r="O805">
        <f>((0.03851*E805)+(0.0322*N805))</f>
        <v>12.662033790364584</v>
      </c>
    </row>
    <row r="806" spans="1:15" x14ac:dyDescent="0.25">
      <c r="A806" s="2">
        <v>40732</v>
      </c>
      <c r="B806" s="3" t="s">
        <v>33</v>
      </c>
      <c r="C806">
        <v>12</v>
      </c>
      <c r="D806" s="6" t="s">
        <v>12</v>
      </c>
      <c r="E806">
        <v>248</v>
      </c>
      <c r="F806">
        <v>2</v>
      </c>
      <c r="G806">
        <v>0</v>
      </c>
      <c r="N806">
        <f t="shared" si="42"/>
        <v>259.70477333333332</v>
      </c>
      <c r="O806">
        <f>((0.03043*E806)+(0.02936*N806))</f>
        <v>15.171572145066666</v>
      </c>
    </row>
    <row r="807" spans="1:15" x14ac:dyDescent="0.25">
      <c r="A807" s="2">
        <v>40732</v>
      </c>
      <c r="B807" s="3" t="s">
        <v>33</v>
      </c>
      <c r="C807">
        <v>12</v>
      </c>
      <c r="D807" s="6" t="s">
        <v>12</v>
      </c>
      <c r="E807">
        <v>249</v>
      </c>
      <c r="F807">
        <v>1.25</v>
      </c>
      <c r="G807">
        <v>0</v>
      </c>
      <c r="N807">
        <f t="shared" si="42"/>
        <v>101.85623828124999</v>
      </c>
      <c r="O807">
        <f>((0.03043*E807)+(0.02936*N807))</f>
        <v>10.5675691559375</v>
      </c>
    </row>
    <row r="808" spans="1:15" x14ac:dyDescent="0.25">
      <c r="A808" s="2">
        <v>40732</v>
      </c>
      <c r="B808" s="3" t="s">
        <v>33</v>
      </c>
      <c r="C808">
        <v>12</v>
      </c>
      <c r="D808" s="6" t="s">
        <v>12</v>
      </c>
      <c r="E808">
        <v>255</v>
      </c>
      <c r="F808">
        <v>1.62</v>
      </c>
      <c r="G808">
        <v>0</v>
      </c>
      <c r="N808">
        <f t="shared" si="42"/>
        <v>175.20176191500002</v>
      </c>
      <c r="O808">
        <f>((0.03043*E808)+(0.02936*N808))</f>
        <v>12.903573729824402</v>
      </c>
    </row>
    <row r="809" spans="1:15" x14ac:dyDescent="0.25">
      <c r="A809" s="2">
        <v>40732</v>
      </c>
      <c r="B809" s="3" t="s">
        <v>33</v>
      </c>
      <c r="C809">
        <v>12</v>
      </c>
      <c r="D809" s="6" t="s">
        <v>12</v>
      </c>
      <c r="E809">
        <v>255</v>
      </c>
      <c r="F809">
        <v>1.8</v>
      </c>
      <c r="G809">
        <v>1</v>
      </c>
      <c r="N809">
        <f t="shared" si="42"/>
        <v>216.29847149999998</v>
      </c>
      <c r="O809">
        <f>((0.03851*E809)+(0.0322*N809))</f>
        <v>16.784860782300001</v>
      </c>
    </row>
    <row r="810" spans="1:15" x14ac:dyDescent="0.25">
      <c r="A810" s="2">
        <v>40732</v>
      </c>
      <c r="B810" s="3" t="s">
        <v>33</v>
      </c>
      <c r="C810">
        <v>12</v>
      </c>
      <c r="D810" s="6" t="s">
        <v>12</v>
      </c>
      <c r="E810">
        <v>267</v>
      </c>
      <c r="F810">
        <v>1.26</v>
      </c>
      <c r="G810">
        <v>0</v>
      </c>
      <c r="N810">
        <f t="shared" si="42"/>
        <v>110.97383931900001</v>
      </c>
      <c r="O810">
        <f>((0.03043*E810)+(0.02936*N810))</f>
        <v>11.383001922405841</v>
      </c>
    </row>
    <row r="811" spans="1:15" x14ac:dyDescent="0.25">
      <c r="A811" s="2">
        <v>40732</v>
      </c>
      <c r="B811" s="3" t="s">
        <v>33</v>
      </c>
      <c r="C811">
        <v>12</v>
      </c>
      <c r="D811" s="7" t="s">
        <v>12</v>
      </c>
      <c r="E811">
        <v>271</v>
      </c>
      <c r="F811">
        <v>2.31</v>
      </c>
      <c r="G811">
        <v>5</v>
      </c>
      <c r="N811">
        <f t="shared" si="42"/>
        <v>378.58335051074994</v>
      </c>
      <c r="O811">
        <f>((0.03851*E811)+(0.0322*N811))</f>
        <v>22.626593886446148</v>
      </c>
    </row>
    <row r="812" spans="1:15" x14ac:dyDescent="0.25">
      <c r="A812" s="2">
        <v>40732</v>
      </c>
      <c r="B812" s="3" t="s">
        <v>33</v>
      </c>
      <c r="C812">
        <v>12</v>
      </c>
      <c r="D812" s="6" t="s">
        <v>12</v>
      </c>
      <c r="E812">
        <v>276</v>
      </c>
      <c r="F812">
        <v>0.98</v>
      </c>
      <c r="G812">
        <v>4</v>
      </c>
      <c r="N812">
        <f t="shared" si="42"/>
        <v>69.395209827999992</v>
      </c>
      <c r="O812">
        <f>((0.03851*E812)+(0.0322*N812))</f>
        <v>12.8632857564616</v>
      </c>
    </row>
    <row r="813" spans="1:15" x14ac:dyDescent="0.25">
      <c r="A813" s="2">
        <v>40732</v>
      </c>
      <c r="B813" s="3" t="s">
        <v>33</v>
      </c>
      <c r="C813">
        <v>12</v>
      </c>
      <c r="D813" s="6" t="s">
        <v>23</v>
      </c>
      <c r="E813" s="15">
        <v>44</v>
      </c>
      <c r="F813">
        <v>0.52</v>
      </c>
      <c r="G813">
        <v>0</v>
      </c>
      <c r="O813">
        <f>((2.21944*F813)+(0.029*E813)+(0.08262*G813)-1.9477)</f>
        <v>0.48240880000000019</v>
      </c>
    </row>
    <row r="814" spans="1:15" x14ac:dyDescent="0.25">
      <c r="A814" s="2">
        <v>40732</v>
      </c>
      <c r="B814" s="3" t="s">
        <v>33</v>
      </c>
      <c r="C814">
        <v>12</v>
      </c>
      <c r="D814" s="6" t="s">
        <v>19</v>
      </c>
      <c r="E814">
        <v>279</v>
      </c>
      <c r="F814">
        <v>2.68</v>
      </c>
      <c r="H814">
        <v>35</v>
      </c>
      <c r="I814">
        <v>2.6</v>
      </c>
      <c r="O814">
        <f>(0.66164*E814)+(16.34893*F814)+(1.11091*H814)+(-8.40694*I814)-154.2499</f>
        <v>91.186598400000008</v>
      </c>
    </row>
    <row r="815" spans="1:15" x14ac:dyDescent="0.25">
      <c r="A815" s="2">
        <v>40732</v>
      </c>
      <c r="B815" s="3" t="s">
        <v>33</v>
      </c>
      <c r="C815">
        <v>12</v>
      </c>
      <c r="D815" s="6" t="s">
        <v>19</v>
      </c>
      <c r="E815">
        <v>290</v>
      </c>
      <c r="F815">
        <v>2.5499999999999998</v>
      </c>
      <c r="H815">
        <v>26</v>
      </c>
      <c r="I815">
        <v>2.1</v>
      </c>
      <c r="O815">
        <f>(0.66164*E815)+(16.34893*F815)+(1.11091*H815)+(-8.40694*I815)-154.2499</f>
        <v>90.544557499999996</v>
      </c>
    </row>
    <row r="816" spans="1:15" x14ac:dyDescent="0.25">
      <c r="A816" s="2">
        <v>40732</v>
      </c>
      <c r="B816" s="3" t="s">
        <v>33</v>
      </c>
      <c r="C816">
        <v>12</v>
      </c>
      <c r="D816" s="6" t="s">
        <v>19</v>
      </c>
      <c r="F816">
        <v>0.75</v>
      </c>
      <c r="J816">
        <f>SUM(178,198,202)</f>
        <v>578</v>
      </c>
      <c r="K816">
        <v>3</v>
      </c>
      <c r="L816">
        <v>202</v>
      </c>
      <c r="O816">
        <f t="shared" ref="O816:O825" si="44">((-7.02235*K816)+(-0.30125*L816)+(0.09376*J816)+33.03698)</f>
        <v>5.3107099999999789</v>
      </c>
    </row>
    <row r="817" spans="1:15" x14ac:dyDescent="0.25">
      <c r="A817" s="2">
        <v>40732</v>
      </c>
      <c r="B817" s="3" t="s">
        <v>33</v>
      </c>
      <c r="C817">
        <v>12</v>
      </c>
      <c r="D817" s="6" t="s">
        <v>19</v>
      </c>
      <c r="F817">
        <v>1.25</v>
      </c>
      <c r="J817">
        <f>SUM(162,197,217,229)</f>
        <v>805</v>
      </c>
      <c r="K817">
        <v>4</v>
      </c>
      <c r="L817">
        <v>229</v>
      </c>
      <c r="O817">
        <f t="shared" si="44"/>
        <v>11.438130000000001</v>
      </c>
    </row>
    <row r="818" spans="1:15" x14ac:dyDescent="0.25">
      <c r="A818" s="2">
        <v>40732</v>
      </c>
      <c r="B818" s="3" t="s">
        <v>33</v>
      </c>
      <c r="C818">
        <v>12</v>
      </c>
      <c r="D818" s="6" t="s">
        <v>19</v>
      </c>
      <c r="F818">
        <v>2.16</v>
      </c>
      <c r="J818">
        <f>110+154+188+224+255+240</f>
        <v>1171</v>
      </c>
      <c r="K818">
        <v>6</v>
      </c>
      <c r="L818">
        <v>255</v>
      </c>
      <c r="O818">
        <f t="shared" si="44"/>
        <v>23.877089999999981</v>
      </c>
    </row>
    <row r="819" spans="1:15" x14ac:dyDescent="0.25">
      <c r="A819" s="2">
        <v>40732</v>
      </c>
      <c r="B819" s="3" t="s">
        <v>33</v>
      </c>
      <c r="C819">
        <v>12</v>
      </c>
      <c r="D819" s="6" t="s">
        <v>19</v>
      </c>
      <c r="F819">
        <v>1.94</v>
      </c>
      <c r="J819">
        <f>SUM(124,158,188,218,252,243)</f>
        <v>1183</v>
      </c>
      <c r="K819">
        <v>6</v>
      </c>
      <c r="L819">
        <v>252</v>
      </c>
      <c r="O819">
        <f t="shared" si="44"/>
        <v>25.905959999999979</v>
      </c>
    </row>
    <row r="820" spans="1:15" x14ac:dyDescent="0.25">
      <c r="A820" s="2">
        <v>40732</v>
      </c>
      <c r="B820" s="3" t="s">
        <v>33</v>
      </c>
      <c r="C820">
        <v>12</v>
      </c>
      <c r="D820" s="6" t="s">
        <v>19</v>
      </c>
      <c r="F820">
        <v>2.42</v>
      </c>
      <c r="J820">
        <f>SUM(121,156,197,227,240,254)</f>
        <v>1195</v>
      </c>
      <c r="K820">
        <v>6</v>
      </c>
      <c r="L820">
        <v>254</v>
      </c>
      <c r="O820">
        <f t="shared" si="44"/>
        <v>26.428579999999997</v>
      </c>
    </row>
    <row r="821" spans="1:15" x14ac:dyDescent="0.25">
      <c r="A821" s="2">
        <v>40732</v>
      </c>
      <c r="B821" s="3" t="s">
        <v>33</v>
      </c>
      <c r="C821">
        <v>12</v>
      </c>
      <c r="D821" s="6" t="s">
        <v>19</v>
      </c>
      <c r="F821">
        <v>2.4</v>
      </c>
      <c r="J821">
        <f>SUM(132,167,195,226,246,258)</f>
        <v>1224</v>
      </c>
      <c r="K821">
        <v>6</v>
      </c>
      <c r="L821">
        <v>258</v>
      </c>
      <c r="O821">
        <f t="shared" si="44"/>
        <v>27.942619999999977</v>
      </c>
    </row>
    <row r="822" spans="1:15" x14ac:dyDescent="0.25">
      <c r="A822" s="2">
        <v>40732</v>
      </c>
      <c r="B822" s="3" t="s">
        <v>33</v>
      </c>
      <c r="C822">
        <v>12</v>
      </c>
      <c r="D822" s="6" t="s">
        <v>19</v>
      </c>
      <c r="F822">
        <v>2.14</v>
      </c>
      <c r="J822">
        <f>SUM(124,161,196,236,258,259)</f>
        <v>1234</v>
      </c>
      <c r="K822">
        <v>6</v>
      </c>
      <c r="L822">
        <v>259</v>
      </c>
      <c r="O822">
        <f t="shared" si="44"/>
        <v>28.578969999999984</v>
      </c>
    </row>
    <row r="823" spans="1:15" x14ac:dyDescent="0.25">
      <c r="A823" s="2">
        <v>40732</v>
      </c>
      <c r="B823" s="3" t="s">
        <v>33</v>
      </c>
      <c r="C823">
        <v>12</v>
      </c>
      <c r="D823" s="6" t="s">
        <v>19</v>
      </c>
      <c r="F823">
        <v>2.34</v>
      </c>
      <c r="J823">
        <f>SUM(146,183,227,261,263,274)</f>
        <v>1354</v>
      </c>
      <c r="K823">
        <v>6</v>
      </c>
      <c r="L823">
        <v>274</v>
      </c>
      <c r="O823">
        <f t="shared" si="44"/>
        <v>35.311419999999984</v>
      </c>
    </row>
    <row r="824" spans="1:15" x14ac:dyDescent="0.25">
      <c r="A824" s="2">
        <v>40732</v>
      </c>
      <c r="B824" s="3" t="s">
        <v>33</v>
      </c>
      <c r="C824">
        <v>12</v>
      </c>
      <c r="D824" s="6" t="s">
        <v>19</v>
      </c>
      <c r="F824">
        <v>3.2</v>
      </c>
      <c r="J824">
        <f>SUM(128,157,193,225,245,250,259)</f>
        <v>1457</v>
      </c>
      <c r="K824">
        <v>7</v>
      </c>
      <c r="L824">
        <v>259</v>
      </c>
      <c r="O824">
        <f t="shared" si="44"/>
        <v>42.465099999999978</v>
      </c>
    </row>
    <row r="825" spans="1:15" x14ac:dyDescent="0.25">
      <c r="A825" s="2">
        <v>40732</v>
      </c>
      <c r="B825" s="3" t="s">
        <v>33</v>
      </c>
      <c r="C825">
        <v>12</v>
      </c>
      <c r="D825" s="6" t="s">
        <v>19</v>
      </c>
      <c r="F825">
        <v>2.75</v>
      </c>
      <c r="J825">
        <f>SUM(132,169,196,225,242,248,257)</f>
        <v>1469</v>
      </c>
      <c r="K825">
        <v>7</v>
      </c>
      <c r="L825">
        <v>257</v>
      </c>
      <c r="O825">
        <f t="shared" si="44"/>
        <v>44.192720000000008</v>
      </c>
    </row>
    <row r="826" spans="1:15" x14ac:dyDescent="0.25">
      <c r="A826" s="2">
        <v>40732</v>
      </c>
      <c r="B826" s="3" t="s">
        <v>33</v>
      </c>
      <c r="C826">
        <v>14</v>
      </c>
      <c r="D826" s="6" t="s">
        <v>19</v>
      </c>
      <c r="E826">
        <v>256</v>
      </c>
      <c r="F826">
        <v>2.97</v>
      </c>
      <c r="H826">
        <v>15</v>
      </c>
      <c r="I826">
        <v>1.5</v>
      </c>
      <c r="O826">
        <f>(0.66164*E826)+(16.34893*F826)+(1.11091*H826)+(-8.40694*I826)-154.2499</f>
        <v>67.739502099999982</v>
      </c>
    </row>
    <row r="827" spans="1:15" x14ac:dyDescent="0.25">
      <c r="A827" s="2">
        <v>40732</v>
      </c>
      <c r="B827" s="3" t="s">
        <v>33</v>
      </c>
      <c r="C827">
        <v>14</v>
      </c>
      <c r="D827" s="6" t="s">
        <v>19</v>
      </c>
      <c r="E827">
        <v>258</v>
      </c>
      <c r="F827">
        <v>2.73</v>
      </c>
      <c r="H827">
        <v>16</v>
      </c>
      <c r="I827">
        <v>1.3</v>
      </c>
      <c r="O827">
        <f>(0.66164*E827)+(16.34893*F827)+(1.11091*H827)+(-8.40694*I827)-154.2499</f>
        <v>67.931336900000019</v>
      </c>
    </row>
    <row r="828" spans="1:15" x14ac:dyDescent="0.25">
      <c r="A828" s="2">
        <v>40732</v>
      </c>
      <c r="B828" s="3" t="s">
        <v>33</v>
      </c>
      <c r="C828">
        <v>14</v>
      </c>
      <c r="D828" s="6" t="s">
        <v>19</v>
      </c>
      <c r="E828">
        <v>262</v>
      </c>
      <c r="F828">
        <v>3.15</v>
      </c>
      <c r="H828">
        <v>22</v>
      </c>
      <c r="I828">
        <v>2</v>
      </c>
      <c r="O828">
        <f>(0.66164*E828)+(16.34893*F828)+(1.11091*H828)+(-8.40694*I828)-154.2499</f>
        <v>78.225049500000011</v>
      </c>
    </row>
    <row r="829" spans="1:15" x14ac:dyDescent="0.25">
      <c r="A829" s="2">
        <v>40732</v>
      </c>
      <c r="B829" s="3" t="s">
        <v>33</v>
      </c>
      <c r="C829">
        <v>14</v>
      </c>
      <c r="D829" s="6" t="s">
        <v>19</v>
      </c>
      <c r="E829">
        <v>276</v>
      </c>
      <c r="F829">
        <v>2.2799999999999998</v>
      </c>
      <c r="H829">
        <v>20</v>
      </c>
      <c r="I829">
        <v>1.6</v>
      </c>
      <c r="O829">
        <f>(0.66164*E829)+(16.34893*F829)+(1.11091*H829)+(-8.40694*I829)-154.2499</f>
        <v>74.405396400000001</v>
      </c>
    </row>
    <row r="830" spans="1:15" x14ac:dyDescent="0.25">
      <c r="A830" s="2">
        <v>40732</v>
      </c>
      <c r="B830" s="3" t="s">
        <v>33</v>
      </c>
      <c r="C830">
        <v>14</v>
      </c>
      <c r="D830" s="6" t="s">
        <v>19</v>
      </c>
      <c r="F830">
        <v>1.1499999999999999</v>
      </c>
      <c r="J830">
        <f>SUM(135,159,160)</f>
        <v>454</v>
      </c>
      <c r="K830">
        <v>3</v>
      </c>
      <c r="L830">
        <v>160</v>
      </c>
      <c r="O830">
        <f>((-7.02235*K830)+(-0.30125*L830)+(0.09376*J830)+33.03698)</f>
        <v>6.3369699999999867</v>
      </c>
    </row>
    <row r="831" spans="1:15" x14ac:dyDescent="0.25">
      <c r="A831" s="2">
        <v>40732</v>
      </c>
      <c r="B831" s="3" t="s">
        <v>33</v>
      </c>
      <c r="C831">
        <v>14</v>
      </c>
      <c r="D831" s="6" t="s">
        <v>19</v>
      </c>
      <c r="E831" s="6"/>
      <c r="F831">
        <v>2.09</v>
      </c>
      <c r="J831">
        <f>SUM(172,190,166,189)</f>
        <v>717</v>
      </c>
      <c r="K831">
        <v>4</v>
      </c>
      <c r="L831">
        <v>190</v>
      </c>
      <c r="O831">
        <f>((-7.02235*K831)+(-0.30125*L831)+(0.09376*J831)+33.03698)</f>
        <v>14.935999999999993</v>
      </c>
    </row>
    <row r="832" spans="1:15" x14ac:dyDescent="0.25">
      <c r="A832" s="2">
        <v>40732</v>
      </c>
      <c r="B832" s="3" t="s">
        <v>33</v>
      </c>
      <c r="C832">
        <v>14</v>
      </c>
      <c r="D832" s="6" t="s">
        <v>19</v>
      </c>
      <c r="F832">
        <v>3.73</v>
      </c>
      <c r="J832">
        <f>SUM(145,172,196,209,217,211)</f>
        <v>1150</v>
      </c>
      <c r="K832">
        <v>6</v>
      </c>
      <c r="L832">
        <v>217</v>
      </c>
      <c r="O832">
        <f>((-7.02235*K832)+(-0.30125*L832)+(0.09376*J832)+33.03698)</f>
        <v>33.355629999999991</v>
      </c>
    </row>
    <row r="833" spans="1:15" x14ac:dyDescent="0.25">
      <c r="A833" s="2">
        <v>40732</v>
      </c>
      <c r="B833" s="3" t="s">
        <v>33</v>
      </c>
      <c r="C833">
        <v>28</v>
      </c>
      <c r="D833" s="6" t="s">
        <v>29</v>
      </c>
      <c r="E833">
        <v>97</v>
      </c>
      <c r="F833">
        <v>0.57999999999999996</v>
      </c>
      <c r="O833">
        <f t="shared" ref="O833:O841" si="45">((3.55251*F833)+(0.01568*E833)-2.29794)</f>
        <v>1.2834757999999993</v>
      </c>
    </row>
    <row r="834" spans="1:15" x14ac:dyDescent="0.25">
      <c r="A834" s="2">
        <v>40732</v>
      </c>
      <c r="B834" s="3" t="s">
        <v>33</v>
      </c>
      <c r="C834">
        <v>28</v>
      </c>
      <c r="D834" s="6" t="s">
        <v>29</v>
      </c>
      <c r="E834">
        <v>148</v>
      </c>
      <c r="F834">
        <v>0.47</v>
      </c>
      <c r="O834">
        <f t="shared" si="45"/>
        <v>1.6923796999999996</v>
      </c>
    </row>
    <row r="835" spans="1:15" x14ac:dyDescent="0.25">
      <c r="A835" s="2">
        <v>40732</v>
      </c>
      <c r="B835" s="3" t="s">
        <v>33</v>
      </c>
      <c r="C835">
        <v>28</v>
      </c>
      <c r="D835" s="6" t="s">
        <v>29</v>
      </c>
      <c r="E835">
        <v>151</v>
      </c>
      <c r="F835">
        <v>0.41</v>
      </c>
      <c r="O835">
        <f t="shared" si="45"/>
        <v>1.5262690999999999</v>
      </c>
    </row>
    <row r="836" spans="1:15" x14ac:dyDescent="0.25">
      <c r="A836" s="2">
        <v>40732</v>
      </c>
      <c r="B836" s="3" t="s">
        <v>33</v>
      </c>
      <c r="C836">
        <v>28</v>
      </c>
      <c r="D836" s="6" t="s">
        <v>29</v>
      </c>
      <c r="E836">
        <v>202</v>
      </c>
      <c r="F836">
        <v>0.56000000000000005</v>
      </c>
      <c r="O836">
        <f t="shared" si="45"/>
        <v>2.8588255999999999</v>
      </c>
    </row>
    <row r="837" spans="1:15" x14ac:dyDescent="0.25">
      <c r="A837" s="2">
        <v>40732</v>
      </c>
      <c r="B837" s="3" t="s">
        <v>33</v>
      </c>
      <c r="C837">
        <v>28</v>
      </c>
      <c r="D837" s="6" t="s">
        <v>29</v>
      </c>
      <c r="E837">
        <v>240</v>
      </c>
      <c r="F837">
        <v>0.41</v>
      </c>
      <c r="O837">
        <f t="shared" si="45"/>
        <v>2.9217890999999994</v>
      </c>
    </row>
    <row r="838" spans="1:15" x14ac:dyDescent="0.25">
      <c r="A838" s="2">
        <v>40732</v>
      </c>
      <c r="B838" s="3" t="s">
        <v>33</v>
      </c>
      <c r="C838">
        <v>28</v>
      </c>
      <c r="D838" s="6" t="s">
        <v>29</v>
      </c>
      <c r="E838">
        <v>247</v>
      </c>
      <c r="F838">
        <v>0.48</v>
      </c>
      <c r="O838">
        <f t="shared" si="45"/>
        <v>3.2802247999999996</v>
      </c>
    </row>
    <row r="839" spans="1:15" x14ac:dyDescent="0.25">
      <c r="A839" s="2">
        <v>40732</v>
      </c>
      <c r="B839" s="3" t="s">
        <v>33</v>
      </c>
      <c r="C839">
        <v>28</v>
      </c>
      <c r="D839" s="6" t="s">
        <v>29</v>
      </c>
      <c r="E839">
        <v>270</v>
      </c>
      <c r="F839">
        <v>0.59</v>
      </c>
      <c r="O839">
        <f t="shared" si="45"/>
        <v>4.0316408999999993</v>
      </c>
    </row>
    <row r="840" spans="1:15" x14ac:dyDescent="0.25">
      <c r="A840" s="2">
        <v>40732</v>
      </c>
      <c r="B840" s="3" t="s">
        <v>33</v>
      </c>
      <c r="C840">
        <v>28</v>
      </c>
      <c r="D840" s="6" t="s">
        <v>29</v>
      </c>
      <c r="E840">
        <v>271</v>
      </c>
      <c r="F840">
        <v>0.6</v>
      </c>
      <c r="O840">
        <f t="shared" si="45"/>
        <v>4.082846</v>
      </c>
    </row>
    <row r="841" spans="1:15" x14ac:dyDescent="0.25">
      <c r="A841" s="2">
        <v>40732</v>
      </c>
      <c r="B841" s="3" t="s">
        <v>33</v>
      </c>
      <c r="C841">
        <v>28</v>
      </c>
      <c r="D841" s="6" t="s">
        <v>29</v>
      </c>
      <c r="E841">
        <v>272</v>
      </c>
      <c r="F841">
        <v>0.68</v>
      </c>
      <c r="O841">
        <f t="shared" si="45"/>
        <v>4.3827268000000004</v>
      </c>
    </row>
    <row r="842" spans="1:15" x14ac:dyDescent="0.25">
      <c r="A842" s="2">
        <v>40732</v>
      </c>
      <c r="B842" s="3" t="s">
        <v>33</v>
      </c>
      <c r="C842">
        <v>28</v>
      </c>
      <c r="D842" s="6" t="s">
        <v>19</v>
      </c>
      <c r="E842">
        <v>285</v>
      </c>
      <c r="F842">
        <v>2.39</v>
      </c>
      <c r="H842">
        <v>24</v>
      </c>
      <c r="I842">
        <v>1.4</v>
      </c>
      <c r="O842">
        <f t="shared" ref="O842:O847" si="46">(0.66164*E842)+(16.34893*F842)+(1.11091*H842)+(-8.40694*I842)-154.2499</f>
        <v>88.283566700000023</v>
      </c>
    </row>
    <row r="843" spans="1:15" x14ac:dyDescent="0.25">
      <c r="A843" s="2">
        <v>40732</v>
      </c>
      <c r="B843" s="3" t="s">
        <v>33</v>
      </c>
      <c r="C843">
        <v>28</v>
      </c>
      <c r="D843" s="6" t="s">
        <v>19</v>
      </c>
      <c r="E843">
        <v>294</v>
      </c>
      <c r="F843">
        <v>1.63</v>
      </c>
      <c r="H843">
        <v>20</v>
      </c>
      <c r="I843">
        <v>1.8</v>
      </c>
      <c r="O843">
        <f t="shared" si="46"/>
        <v>74.006723899999997</v>
      </c>
    </row>
    <row r="844" spans="1:15" x14ac:dyDescent="0.25">
      <c r="A844" s="2">
        <v>40732</v>
      </c>
      <c r="B844" s="3" t="s">
        <v>33</v>
      </c>
      <c r="C844">
        <v>28</v>
      </c>
      <c r="D844" s="6" t="s">
        <v>19</v>
      </c>
      <c r="E844">
        <v>296</v>
      </c>
      <c r="F844">
        <v>2.2999999999999998</v>
      </c>
      <c r="H844">
        <v>28</v>
      </c>
      <c r="I844">
        <v>2.5</v>
      </c>
      <c r="O844">
        <f t="shared" si="46"/>
        <v>89.286208999999985</v>
      </c>
    </row>
    <row r="845" spans="1:15" x14ac:dyDescent="0.25">
      <c r="A845" s="2">
        <v>40732</v>
      </c>
      <c r="B845" s="3" t="s">
        <v>33</v>
      </c>
      <c r="C845">
        <v>28</v>
      </c>
      <c r="D845" s="6" t="s">
        <v>19</v>
      </c>
      <c r="E845">
        <v>304</v>
      </c>
      <c r="F845">
        <v>1.99</v>
      </c>
      <c r="H845">
        <v>24</v>
      </c>
      <c r="I845">
        <v>2.2999999999999998</v>
      </c>
      <c r="O845">
        <f t="shared" si="46"/>
        <v>86.748908699999987</v>
      </c>
    </row>
    <row r="846" spans="1:15" x14ac:dyDescent="0.25">
      <c r="A846" s="2">
        <v>40732</v>
      </c>
      <c r="B846" s="3" t="s">
        <v>33</v>
      </c>
      <c r="C846">
        <v>28</v>
      </c>
      <c r="D846" s="6" t="s">
        <v>19</v>
      </c>
      <c r="E846">
        <v>342</v>
      </c>
      <c r="F846">
        <v>2.38</v>
      </c>
      <c r="H846">
        <v>29</v>
      </c>
      <c r="I846">
        <v>2.1</v>
      </c>
      <c r="O846">
        <f t="shared" si="46"/>
        <v>125.50324939999993</v>
      </c>
    </row>
    <row r="847" spans="1:15" x14ac:dyDescent="0.25">
      <c r="A847" s="2">
        <v>40732</v>
      </c>
      <c r="B847" s="3" t="s">
        <v>33</v>
      </c>
      <c r="C847">
        <v>28</v>
      </c>
      <c r="D847" s="6" t="s">
        <v>19</v>
      </c>
      <c r="E847">
        <v>349</v>
      </c>
      <c r="F847">
        <v>2.94</v>
      </c>
      <c r="H847">
        <v>33</v>
      </c>
      <c r="I847">
        <v>2.2999999999999998</v>
      </c>
      <c r="O847">
        <f t="shared" si="46"/>
        <v>142.05238220000004</v>
      </c>
    </row>
    <row r="848" spans="1:15" x14ac:dyDescent="0.25">
      <c r="A848" s="2">
        <v>40732</v>
      </c>
      <c r="B848" s="3" t="s">
        <v>33</v>
      </c>
      <c r="C848">
        <v>28</v>
      </c>
      <c r="D848" s="6" t="s">
        <v>19</v>
      </c>
      <c r="F848">
        <v>1.32</v>
      </c>
      <c r="J848">
        <f>SUM(134,196,227,238,259)</f>
        <v>1054</v>
      </c>
      <c r="K848">
        <v>5</v>
      </c>
      <c r="L848">
        <v>259</v>
      </c>
      <c r="O848">
        <f>((-7.02235*K848)+(-0.30125*L848)+(0.09376*J848)+33.03698)</f>
        <v>18.724519999999984</v>
      </c>
    </row>
    <row r="849" spans="1:15" x14ac:dyDescent="0.25">
      <c r="A849" s="2">
        <v>40732</v>
      </c>
      <c r="B849" s="3" t="s">
        <v>33</v>
      </c>
      <c r="C849">
        <v>28</v>
      </c>
      <c r="D849" s="6" t="s">
        <v>19</v>
      </c>
      <c r="F849">
        <v>1.53</v>
      </c>
      <c r="J849">
        <f>SUM(145,147,157,206,254,264,276)</f>
        <v>1449</v>
      </c>
      <c r="K849">
        <v>7</v>
      </c>
      <c r="L849">
        <v>276</v>
      </c>
      <c r="O849">
        <f>((-7.02235*K849)+(-0.30125*L849)+(0.09376*J849)+33.03698)</f>
        <v>36.593769999999978</v>
      </c>
    </row>
    <row r="850" spans="1:15" x14ac:dyDescent="0.25">
      <c r="A850" s="2">
        <v>40732</v>
      </c>
      <c r="B850" s="3" t="s">
        <v>33</v>
      </c>
      <c r="C850">
        <v>28</v>
      </c>
      <c r="D850" s="6" t="s">
        <v>19</v>
      </c>
      <c r="F850">
        <v>1.94</v>
      </c>
      <c r="J850">
        <f>SUM(161,220,268,282,283,287)</f>
        <v>1501</v>
      </c>
      <c r="K850">
        <v>6</v>
      </c>
      <c r="L850">
        <v>287</v>
      </c>
      <c r="O850">
        <f>((-7.02235*K850)+(-0.30125*L850)+(0.09376*J850)+33.03698)</f>
        <v>45.177889999999991</v>
      </c>
    </row>
    <row r="851" spans="1:15" x14ac:dyDescent="0.25">
      <c r="A851" s="2">
        <v>40732</v>
      </c>
      <c r="B851" s="3" t="s">
        <v>33</v>
      </c>
      <c r="C851">
        <v>28</v>
      </c>
      <c r="D851" s="6" t="s">
        <v>19</v>
      </c>
      <c r="F851">
        <v>1.92</v>
      </c>
      <c r="J851">
        <f>SUM(184,246,298,329,352,355)</f>
        <v>1764</v>
      </c>
      <c r="K851">
        <v>6</v>
      </c>
      <c r="L851">
        <v>355</v>
      </c>
      <c r="O851">
        <f>((-7.02235*K851)+(-0.30125*L851)+(0.09376*J851)+33.03698)</f>
        <v>49.351769999999988</v>
      </c>
    </row>
    <row r="852" spans="1:15" x14ac:dyDescent="0.25">
      <c r="A852" s="2">
        <v>40732</v>
      </c>
      <c r="B852" s="3" t="s">
        <v>33</v>
      </c>
      <c r="C852">
        <v>28</v>
      </c>
      <c r="D852" s="6" t="s">
        <v>19</v>
      </c>
      <c r="F852">
        <v>1.77</v>
      </c>
      <c r="J852">
        <f>SUM(208,263,273,298,304,309,314)</f>
        <v>1969</v>
      </c>
      <c r="K852">
        <v>7</v>
      </c>
      <c r="L852">
        <v>314</v>
      </c>
      <c r="O852">
        <f>((-7.02235*K852)+(-0.30125*L852)+(0.09376*J852)+33.03698)</f>
        <v>73.901469999999989</v>
      </c>
    </row>
    <row r="853" spans="1:15" x14ac:dyDescent="0.25">
      <c r="A853" s="2">
        <v>40732</v>
      </c>
      <c r="B853" s="3" t="s">
        <v>33</v>
      </c>
      <c r="C853">
        <v>33</v>
      </c>
      <c r="D853" s="7" t="s">
        <v>29</v>
      </c>
      <c r="E853">
        <v>24</v>
      </c>
      <c r="F853">
        <v>0.53</v>
      </c>
      <c r="M853" t="s">
        <v>34</v>
      </c>
      <c r="O853">
        <f t="shared" ref="O853:O884" si="47">((3.55251*F853)+(0.01568*E853)-2.29794)</f>
        <v>-3.8789700000000149E-2</v>
      </c>
    </row>
    <row r="854" spans="1:15" x14ac:dyDescent="0.25">
      <c r="A854" s="2">
        <v>40732</v>
      </c>
      <c r="B854" s="3" t="s">
        <v>33</v>
      </c>
      <c r="C854">
        <v>33</v>
      </c>
      <c r="D854" s="7" t="s">
        <v>29</v>
      </c>
      <c r="E854">
        <v>26</v>
      </c>
      <c r="F854">
        <v>0.22</v>
      </c>
      <c r="M854" t="s">
        <v>34</v>
      </c>
      <c r="O854">
        <f t="shared" si="47"/>
        <v>-1.1087078000000001</v>
      </c>
    </row>
    <row r="855" spans="1:15" x14ac:dyDescent="0.25">
      <c r="A855" s="2">
        <v>40732</v>
      </c>
      <c r="B855" s="3" t="s">
        <v>33</v>
      </c>
      <c r="C855">
        <v>33</v>
      </c>
      <c r="D855" s="7" t="s">
        <v>29</v>
      </c>
      <c r="E855">
        <v>28</v>
      </c>
      <c r="F855">
        <v>0.45</v>
      </c>
      <c r="M855" t="s">
        <v>34</v>
      </c>
      <c r="O855">
        <f t="shared" si="47"/>
        <v>-0.26027050000000029</v>
      </c>
    </row>
    <row r="856" spans="1:15" x14ac:dyDescent="0.25">
      <c r="A856" s="2">
        <v>40732</v>
      </c>
      <c r="B856" s="3" t="s">
        <v>33</v>
      </c>
      <c r="C856">
        <v>33</v>
      </c>
      <c r="D856" s="7" t="s">
        <v>29</v>
      </c>
      <c r="E856">
        <v>31</v>
      </c>
      <c r="F856">
        <v>0.5</v>
      </c>
      <c r="M856" t="s">
        <v>34</v>
      </c>
      <c r="O856">
        <f t="shared" si="47"/>
        <v>-3.5605000000000331E-2</v>
      </c>
    </row>
    <row r="857" spans="1:15" x14ac:dyDescent="0.25">
      <c r="A857" s="2">
        <v>40732</v>
      </c>
      <c r="B857" s="3" t="s">
        <v>33</v>
      </c>
      <c r="C857">
        <v>33</v>
      </c>
      <c r="D857" s="7" t="s">
        <v>29</v>
      </c>
      <c r="E857">
        <v>33</v>
      </c>
      <c r="F857">
        <v>0.42</v>
      </c>
      <c r="M857" t="s">
        <v>34</v>
      </c>
      <c r="O857">
        <f t="shared" si="47"/>
        <v>-0.28844580000000031</v>
      </c>
    </row>
    <row r="858" spans="1:15" x14ac:dyDescent="0.25">
      <c r="A858" s="2">
        <v>40732</v>
      </c>
      <c r="B858" s="3" t="s">
        <v>33</v>
      </c>
      <c r="C858">
        <v>33</v>
      </c>
      <c r="D858" s="7" t="s">
        <v>29</v>
      </c>
      <c r="E858">
        <v>40</v>
      </c>
      <c r="F858">
        <v>0.9</v>
      </c>
      <c r="M858" t="s">
        <v>34</v>
      </c>
      <c r="O858">
        <f t="shared" si="47"/>
        <v>1.526519</v>
      </c>
    </row>
    <row r="859" spans="1:15" x14ac:dyDescent="0.25">
      <c r="A859" s="2">
        <v>40732</v>
      </c>
      <c r="B859" s="3" t="s">
        <v>33</v>
      </c>
      <c r="C859">
        <v>33</v>
      </c>
      <c r="D859" s="7" t="s">
        <v>29</v>
      </c>
      <c r="E859">
        <v>44</v>
      </c>
      <c r="F859">
        <v>0.4</v>
      </c>
      <c r="M859" t="s">
        <v>34</v>
      </c>
      <c r="O859">
        <f t="shared" si="47"/>
        <v>-0.18701600000000029</v>
      </c>
    </row>
    <row r="860" spans="1:15" x14ac:dyDescent="0.25">
      <c r="A860" s="2">
        <v>40732</v>
      </c>
      <c r="B860" s="3" t="s">
        <v>33</v>
      </c>
      <c r="C860">
        <v>33</v>
      </c>
      <c r="D860" s="7" t="s">
        <v>29</v>
      </c>
      <c r="E860">
        <v>46</v>
      </c>
      <c r="F860">
        <v>0.64</v>
      </c>
      <c r="M860" t="s">
        <v>34</v>
      </c>
      <c r="O860">
        <f t="shared" si="47"/>
        <v>0.69694639999999941</v>
      </c>
    </row>
    <row r="861" spans="1:15" x14ac:dyDescent="0.25">
      <c r="A861" s="2">
        <v>40732</v>
      </c>
      <c r="B861" s="3" t="s">
        <v>33</v>
      </c>
      <c r="C861">
        <v>33</v>
      </c>
      <c r="D861" s="7" t="s">
        <v>29</v>
      </c>
      <c r="E861">
        <v>48</v>
      </c>
      <c r="F861">
        <v>0.51</v>
      </c>
      <c r="M861" t="s">
        <v>34</v>
      </c>
      <c r="O861">
        <f t="shared" si="47"/>
        <v>0.26648009999999989</v>
      </c>
    </row>
    <row r="862" spans="1:15" x14ac:dyDescent="0.25">
      <c r="A862" s="2">
        <v>40732</v>
      </c>
      <c r="B862" s="3" t="s">
        <v>33</v>
      </c>
      <c r="C862">
        <v>33</v>
      </c>
      <c r="D862" s="7" t="s">
        <v>29</v>
      </c>
      <c r="E862">
        <v>52</v>
      </c>
      <c r="F862">
        <v>0.5</v>
      </c>
      <c r="M862" t="s">
        <v>34</v>
      </c>
      <c r="O862">
        <f t="shared" si="47"/>
        <v>0.29367499999999991</v>
      </c>
    </row>
    <row r="863" spans="1:15" x14ac:dyDescent="0.25">
      <c r="A863" s="2">
        <v>40732</v>
      </c>
      <c r="B863" s="3" t="s">
        <v>33</v>
      </c>
      <c r="C863">
        <v>33</v>
      </c>
      <c r="D863" s="7" t="s">
        <v>29</v>
      </c>
      <c r="E863">
        <v>53</v>
      </c>
      <c r="F863">
        <v>0.56000000000000005</v>
      </c>
      <c r="M863" t="s">
        <v>34</v>
      </c>
      <c r="O863">
        <f t="shared" si="47"/>
        <v>0.52250560000000013</v>
      </c>
    </row>
    <row r="864" spans="1:15" x14ac:dyDescent="0.25">
      <c r="A864" s="2">
        <v>40732</v>
      </c>
      <c r="B864" s="3" t="s">
        <v>33</v>
      </c>
      <c r="C864">
        <v>33</v>
      </c>
      <c r="D864" s="7" t="s">
        <v>29</v>
      </c>
      <c r="E864">
        <v>54</v>
      </c>
      <c r="F864">
        <v>0.64</v>
      </c>
      <c r="M864" t="s">
        <v>34</v>
      </c>
      <c r="O864">
        <f t="shared" si="47"/>
        <v>0.82238639999999963</v>
      </c>
    </row>
    <row r="865" spans="1:15" x14ac:dyDescent="0.25">
      <c r="A865" s="2">
        <v>40732</v>
      </c>
      <c r="B865" s="3" t="s">
        <v>33</v>
      </c>
      <c r="C865">
        <v>33</v>
      </c>
      <c r="D865" s="7" t="s">
        <v>29</v>
      </c>
      <c r="E865">
        <v>58</v>
      </c>
      <c r="F865">
        <v>0.51</v>
      </c>
      <c r="M865" t="s">
        <v>34</v>
      </c>
      <c r="O865">
        <f t="shared" si="47"/>
        <v>0.42328009999999994</v>
      </c>
    </row>
    <row r="866" spans="1:15" x14ac:dyDescent="0.25">
      <c r="A866" s="2">
        <v>40732</v>
      </c>
      <c r="B866" s="3" t="s">
        <v>33</v>
      </c>
      <c r="C866">
        <v>33</v>
      </c>
      <c r="D866" s="7" t="s">
        <v>29</v>
      </c>
      <c r="E866">
        <v>58</v>
      </c>
      <c r="F866">
        <v>0.52</v>
      </c>
      <c r="M866" t="s">
        <v>34</v>
      </c>
      <c r="O866">
        <f t="shared" si="47"/>
        <v>0.45880520000000002</v>
      </c>
    </row>
    <row r="867" spans="1:15" x14ac:dyDescent="0.25">
      <c r="A867" s="2">
        <v>40732</v>
      </c>
      <c r="B867" s="3" t="s">
        <v>33</v>
      </c>
      <c r="C867">
        <v>33</v>
      </c>
      <c r="D867" s="7" t="s">
        <v>29</v>
      </c>
      <c r="E867">
        <v>60</v>
      </c>
      <c r="F867" s="8">
        <v>0.52</v>
      </c>
      <c r="M867" t="s">
        <v>34</v>
      </c>
      <c r="O867">
        <f t="shared" si="47"/>
        <v>0.49016519999999986</v>
      </c>
    </row>
    <row r="868" spans="1:15" x14ac:dyDescent="0.25">
      <c r="A868" s="2">
        <v>40732</v>
      </c>
      <c r="B868" s="3" t="s">
        <v>33</v>
      </c>
      <c r="C868">
        <v>33</v>
      </c>
      <c r="D868" s="7" t="s">
        <v>29</v>
      </c>
      <c r="E868">
        <v>61</v>
      </c>
      <c r="F868">
        <v>0.56999999999999995</v>
      </c>
      <c r="M868" t="s">
        <v>34</v>
      </c>
      <c r="O868">
        <f t="shared" si="47"/>
        <v>0.68347069999999954</v>
      </c>
    </row>
    <row r="869" spans="1:15" x14ac:dyDescent="0.25">
      <c r="A869" s="2">
        <v>40732</v>
      </c>
      <c r="B869" s="3" t="s">
        <v>33</v>
      </c>
      <c r="C869">
        <v>33</v>
      </c>
      <c r="D869" s="7" t="s">
        <v>29</v>
      </c>
      <c r="E869">
        <v>62</v>
      </c>
      <c r="F869">
        <v>0.44</v>
      </c>
      <c r="M869" t="s">
        <v>34</v>
      </c>
      <c r="O869">
        <f t="shared" si="47"/>
        <v>0.23732439999999988</v>
      </c>
    </row>
    <row r="870" spans="1:15" x14ac:dyDescent="0.25">
      <c r="A870" s="2">
        <v>40732</v>
      </c>
      <c r="B870" s="3" t="s">
        <v>33</v>
      </c>
      <c r="C870">
        <v>33</v>
      </c>
      <c r="D870" s="7" t="s">
        <v>29</v>
      </c>
      <c r="E870">
        <v>63</v>
      </c>
      <c r="F870">
        <v>0.46</v>
      </c>
      <c r="M870" t="s">
        <v>34</v>
      </c>
      <c r="O870">
        <f t="shared" si="47"/>
        <v>0.32405459999999975</v>
      </c>
    </row>
    <row r="871" spans="1:15" x14ac:dyDescent="0.25">
      <c r="A871" s="2">
        <v>40732</v>
      </c>
      <c r="B871" s="3" t="s">
        <v>33</v>
      </c>
      <c r="C871">
        <v>33</v>
      </c>
      <c r="D871" s="7" t="s">
        <v>29</v>
      </c>
      <c r="E871">
        <v>64</v>
      </c>
      <c r="F871">
        <v>0.45</v>
      </c>
      <c r="M871" t="s">
        <v>34</v>
      </c>
      <c r="O871">
        <f t="shared" si="47"/>
        <v>0.3042094999999998</v>
      </c>
    </row>
    <row r="872" spans="1:15" x14ac:dyDescent="0.25">
      <c r="A872" s="2">
        <v>40732</v>
      </c>
      <c r="B872" s="3" t="s">
        <v>33</v>
      </c>
      <c r="C872">
        <v>33</v>
      </c>
      <c r="D872" s="7" t="s">
        <v>29</v>
      </c>
      <c r="E872">
        <v>68</v>
      </c>
      <c r="F872">
        <v>0.35</v>
      </c>
      <c r="M872" t="s">
        <v>34</v>
      </c>
      <c r="O872">
        <f t="shared" si="47"/>
        <v>1.1678499999999925E-2</v>
      </c>
    </row>
    <row r="873" spans="1:15" x14ac:dyDescent="0.25">
      <c r="A873" s="2">
        <v>40732</v>
      </c>
      <c r="B873" s="3" t="s">
        <v>33</v>
      </c>
      <c r="C873">
        <v>33</v>
      </c>
      <c r="D873" s="7" t="s">
        <v>29</v>
      </c>
      <c r="E873">
        <v>68</v>
      </c>
      <c r="F873">
        <v>0.7</v>
      </c>
      <c r="M873" t="s">
        <v>34</v>
      </c>
      <c r="O873">
        <f t="shared" si="47"/>
        <v>1.2550569999999999</v>
      </c>
    </row>
    <row r="874" spans="1:15" x14ac:dyDescent="0.25">
      <c r="A874" s="2">
        <v>40732</v>
      </c>
      <c r="B874" s="3" t="s">
        <v>33</v>
      </c>
      <c r="C874">
        <v>33</v>
      </c>
      <c r="D874" s="7" t="s">
        <v>29</v>
      </c>
      <c r="E874">
        <v>71</v>
      </c>
      <c r="F874">
        <v>0.46</v>
      </c>
      <c r="M874" t="s">
        <v>34</v>
      </c>
      <c r="O874">
        <f t="shared" si="47"/>
        <v>0.44949459999999997</v>
      </c>
    </row>
    <row r="875" spans="1:15" x14ac:dyDescent="0.25">
      <c r="A875" s="2">
        <v>40732</v>
      </c>
      <c r="B875" s="3" t="s">
        <v>33</v>
      </c>
      <c r="C875">
        <v>33</v>
      </c>
      <c r="D875" s="7" t="s">
        <v>29</v>
      </c>
      <c r="E875">
        <v>73</v>
      </c>
      <c r="F875">
        <v>0.92</v>
      </c>
      <c r="M875" t="s">
        <v>34</v>
      </c>
      <c r="O875">
        <f t="shared" si="47"/>
        <v>2.1150091999999998</v>
      </c>
    </row>
    <row r="876" spans="1:15" x14ac:dyDescent="0.25">
      <c r="A876" s="2">
        <v>40732</v>
      </c>
      <c r="B876" s="3" t="s">
        <v>33</v>
      </c>
      <c r="C876">
        <v>33</v>
      </c>
      <c r="D876" s="7" t="s">
        <v>29</v>
      </c>
      <c r="E876">
        <v>74</v>
      </c>
      <c r="F876">
        <v>0.4</v>
      </c>
      <c r="M876" t="s">
        <v>34</v>
      </c>
      <c r="O876">
        <f t="shared" si="47"/>
        <v>0.28338399999999986</v>
      </c>
    </row>
    <row r="877" spans="1:15" x14ac:dyDescent="0.25">
      <c r="A877" s="2">
        <v>40732</v>
      </c>
      <c r="B877" s="3" t="s">
        <v>33</v>
      </c>
      <c r="C877">
        <v>33</v>
      </c>
      <c r="D877" s="7" t="s">
        <v>29</v>
      </c>
      <c r="E877">
        <v>75</v>
      </c>
      <c r="F877">
        <v>0.54</v>
      </c>
      <c r="M877" t="s">
        <v>34</v>
      </c>
      <c r="O877">
        <f t="shared" si="47"/>
        <v>0.79641539999999988</v>
      </c>
    </row>
    <row r="878" spans="1:15" x14ac:dyDescent="0.25">
      <c r="A878" s="2">
        <v>40732</v>
      </c>
      <c r="B878" s="3" t="s">
        <v>33</v>
      </c>
      <c r="C878">
        <v>33</v>
      </c>
      <c r="D878" s="7" t="s">
        <v>29</v>
      </c>
      <c r="E878">
        <v>78</v>
      </c>
      <c r="F878">
        <v>0.54</v>
      </c>
      <c r="M878" t="s">
        <v>34</v>
      </c>
      <c r="O878">
        <f t="shared" si="47"/>
        <v>0.84345539999999986</v>
      </c>
    </row>
    <row r="879" spans="1:15" x14ac:dyDescent="0.25">
      <c r="A879" s="2">
        <v>40732</v>
      </c>
      <c r="B879" s="3" t="s">
        <v>33</v>
      </c>
      <c r="C879">
        <v>33</v>
      </c>
      <c r="D879" s="7" t="s">
        <v>29</v>
      </c>
      <c r="E879">
        <v>81</v>
      </c>
      <c r="F879">
        <v>0.8</v>
      </c>
      <c r="M879" t="s">
        <v>34</v>
      </c>
      <c r="O879">
        <f t="shared" si="47"/>
        <v>1.8141479999999999</v>
      </c>
    </row>
    <row r="880" spans="1:15" x14ac:dyDescent="0.25">
      <c r="A880" s="2">
        <v>40732</v>
      </c>
      <c r="B880" s="3" t="s">
        <v>33</v>
      </c>
      <c r="C880">
        <v>33</v>
      </c>
      <c r="D880" s="7" t="s">
        <v>29</v>
      </c>
      <c r="E880">
        <v>83</v>
      </c>
      <c r="F880">
        <v>0.4</v>
      </c>
      <c r="M880" t="s">
        <v>34</v>
      </c>
      <c r="O880">
        <f t="shared" si="47"/>
        <v>0.42450399999999977</v>
      </c>
    </row>
    <row r="881" spans="1:15" x14ac:dyDescent="0.25">
      <c r="A881" s="2">
        <v>40732</v>
      </c>
      <c r="B881" s="3" t="s">
        <v>33</v>
      </c>
      <c r="C881">
        <v>33</v>
      </c>
      <c r="D881" s="7" t="s">
        <v>29</v>
      </c>
      <c r="E881">
        <v>85</v>
      </c>
      <c r="F881">
        <v>0.64</v>
      </c>
      <c r="M881" t="s">
        <v>34</v>
      </c>
      <c r="O881">
        <f t="shared" si="47"/>
        <v>1.3084663999999999</v>
      </c>
    </row>
    <row r="882" spans="1:15" x14ac:dyDescent="0.25">
      <c r="A882" s="2">
        <v>40732</v>
      </c>
      <c r="B882" s="3" t="s">
        <v>33</v>
      </c>
      <c r="C882">
        <v>33</v>
      </c>
      <c r="D882" s="7" t="s">
        <v>29</v>
      </c>
      <c r="E882">
        <v>86</v>
      </c>
      <c r="F882">
        <v>0.76</v>
      </c>
      <c r="M882" t="s">
        <v>34</v>
      </c>
      <c r="O882">
        <f t="shared" si="47"/>
        <v>1.7504475999999998</v>
      </c>
    </row>
    <row r="883" spans="1:15" x14ac:dyDescent="0.25">
      <c r="A883" s="2">
        <v>40732</v>
      </c>
      <c r="B883" s="3" t="s">
        <v>33</v>
      </c>
      <c r="C883">
        <v>33</v>
      </c>
      <c r="D883" s="7" t="s">
        <v>29</v>
      </c>
      <c r="E883">
        <v>89</v>
      </c>
      <c r="F883">
        <v>0.62</v>
      </c>
      <c r="M883" t="s">
        <v>34</v>
      </c>
      <c r="O883">
        <f t="shared" si="47"/>
        <v>1.3001361999999999</v>
      </c>
    </row>
    <row r="884" spans="1:15" x14ac:dyDescent="0.25">
      <c r="A884" s="2">
        <v>40732</v>
      </c>
      <c r="B884" s="3" t="s">
        <v>33</v>
      </c>
      <c r="C884">
        <v>33</v>
      </c>
      <c r="D884" s="7" t="s">
        <v>29</v>
      </c>
      <c r="E884">
        <v>91</v>
      </c>
      <c r="F884">
        <v>0.84</v>
      </c>
      <c r="M884" t="s">
        <v>34</v>
      </c>
      <c r="O884">
        <f t="shared" si="47"/>
        <v>2.1130483999999998</v>
      </c>
    </row>
    <row r="885" spans="1:15" x14ac:dyDescent="0.25">
      <c r="A885" s="2">
        <v>40732</v>
      </c>
      <c r="B885" s="3" t="s">
        <v>33</v>
      </c>
      <c r="C885">
        <v>33</v>
      </c>
      <c r="D885" s="7" t="s">
        <v>29</v>
      </c>
      <c r="E885">
        <v>92</v>
      </c>
      <c r="F885">
        <v>0.59</v>
      </c>
      <c r="M885" t="s">
        <v>34</v>
      </c>
      <c r="O885">
        <f t="shared" ref="O885:O911" si="48">((3.55251*F885)+(0.01568*E885)-2.29794)</f>
        <v>1.2406008999999996</v>
      </c>
    </row>
    <row r="886" spans="1:15" x14ac:dyDescent="0.25">
      <c r="A886" s="2">
        <v>40732</v>
      </c>
      <c r="B886" s="3" t="s">
        <v>33</v>
      </c>
      <c r="C886">
        <v>33</v>
      </c>
      <c r="D886" s="7" t="s">
        <v>29</v>
      </c>
      <c r="E886">
        <v>108</v>
      </c>
      <c r="F886">
        <v>0.24</v>
      </c>
      <c r="M886" t="s">
        <v>34</v>
      </c>
      <c r="O886">
        <f t="shared" si="48"/>
        <v>0.24810239999999961</v>
      </c>
    </row>
    <row r="887" spans="1:15" x14ac:dyDescent="0.25">
      <c r="A887" s="2">
        <v>40732</v>
      </c>
      <c r="B887" s="3" t="s">
        <v>33</v>
      </c>
      <c r="C887">
        <v>33</v>
      </c>
      <c r="D887" s="7" t="s">
        <v>29</v>
      </c>
      <c r="E887">
        <v>109</v>
      </c>
      <c r="F887">
        <v>0.6</v>
      </c>
      <c r="M887" t="s">
        <v>34</v>
      </c>
      <c r="O887">
        <f t="shared" si="48"/>
        <v>1.5426859999999998</v>
      </c>
    </row>
    <row r="888" spans="1:15" x14ac:dyDescent="0.25">
      <c r="A888" s="2">
        <v>40732</v>
      </c>
      <c r="B888" s="3" t="s">
        <v>33</v>
      </c>
      <c r="C888">
        <v>33</v>
      </c>
      <c r="D888" s="7" t="s">
        <v>29</v>
      </c>
      <c r="E888">
        <v>110</v>
      </c>
      <c r="F888">
        <v>0.39</v>
      </c>
      <c r="M888" t="s">
        <v>34</v>
      </c>
      <c r="O888">
        <f t="shared" si="48"/>
        <v>0.81233889999999986</v>
      </c>
    </row>
    <row r="889" spans="1:15" x14ac:dyDescent="0.25">
      <c r="A889" s="2">
        <v>40732</v>
      </c>
      <c r="B889" s="3" t="s">
        <v>33</v>
      </c>
      <c r="C889">
        <v>33</v>
      </c>
      <c r="D889" s="7" t="s">
        <v>29</v>
      </c>
      <c r="E889">
        <v>110</v>
      </c>
      <c r="F889">
        <v>0.54</v>
      </c>
      <c r="M889" t="s">
        <v>34</v>
      </c>
      <c r="O889">
        <f t="shared" si="48"/>
        <v>1.3452153999999998</v>
      </c>
    </row>
    <row r="890" spans="1:15" x14ac:dyDescent="0.25">
      <c r="A890" s="2">
        <v>40732</v>
      </c>
      <c r="B890" s="3" t="s">
        <v>33</v>
      </c>
      <c r="C890">
        <v>33</v>
      </c>
      <c r="D890" s="7" t="s">
        <v>29</v>
      </c>
      <c r="E890">
        <v>114</v>
      </c>
      <c r="F890">
        <v>0.4</v>
      </c>
      <c r="M890" t="s">
        <v>34</v>
      </c>
      <c r="O890">
        <f t="shared" si="48"/>
        <v>0.91058399999999962</v>
      </c>
    </row>
    <row r="891" spans="1:15" x14ac:dyDescent="0.25">
      <c r="A891" s="2">
        <v>40732</v>
      </c>
      <c r="B891" s="3" t="s">
        <v>33</v>
      </c>
      <c r="C891">
        <v>33</v>
      </c>
      <c r="D891" s="7" t="s">
        <v>29</v>
      </c>
      <c r="E891">
        <v>114</v>
      </c>
      <c r="F891">
        <v>0.52</v>
      </c>
      <c r="M891" t="s">
        <v>34</v>
      </c>
      <c r="O891">
        <f t="shared" si="48"/>
        <v>1.3368851999999998</v>
      </c>
    </row>
    <row r="892" spans="1:15" x14ac:dyDescent="0.25">
      <c r="A892" s="2">
        <v>40732</v>
      </c>
      <c r="B892" s="3" t="s">
        <v>33</v>
      </c>
      <c r="C892">
        <v>33</v>
      </c>
      <c r="D892" s="7" t="s">
        <v>29</v>
      </c>
      <c r="E892">
        <v>115</v>
      </c>
      <c r="F892">
        <v>0.92</v>
      </c>
      <c r="M892" t="s">
        <v>34</v>
      </c>
      <c r="O892">
        <f t="shared" si="48"/>
        <v>2.7735691999999994</v>
      </c>
    </row>
    <row r="893" spans="1:15" x14ac:dyDescent="0.25">
      <c r="A893" s="2">
        <v>40732</v>
      </c>
      <c r="B893" s="3" t="s">
        <v>33</v>
      </c>
      <c r="C893">
        <v>33</v>
      </c>
      <c r="D893" s="7" t="s">
        <v>29</v>
      </c>
      <c r="E893">
        <v>120</v>
      </c>
      <c r="F893">
        <v>0.72</v>
      </c>
      <c r="M893" t="s">
        <v>34</v>
      </c>
      <c r="O893">
        <f t="shared" si="48"/>
        <v>2.1414671999999997</v>
      </c>
    </row>
    <row r="894" spans="1:15" x14ac:dyDescent="0.25">
      <c r="A894" s="2">
        <v>40732</v>
      </c>
      <c r="B894" s="3" t="s">
        <v>33</v>
      </c>
      <c r="C894">
        <v>33</v>
      </c>
      <c r="D894" s="7" t="s">
        <v>29</v>
      </c>
      <c r="E894">
        <v>125</v>
      </c>
      <c r="F894">
        <v>0.46</v>
      </c>
      <c r="M894" t="s">
        <v>34</v>
      </c>
      <c r="O894">
        <f t="shared" si="48"/>
        <v>1.2962145999999999</v>
      </c>
    </row>
    <row r="895" spans="1:15" x14ac:dyDescent="0.25">
      <c r="A895" s="2">
        <v>40732</v>
      </c>
      <c r="B895" s="3" t="s">
        <v>33</v>
      </c>
      <c r="C895">
        <v>33</v>
      </c>
      <c r="D895" s="7" t="s">
        <v>29</v>
      </c>
      <c r="E895">
        <v>126</v>
      </c>
      <c r="F895">
        <v>0.71</v>
      </c>
      <c r="M895" t="s">
        <v>34</v>
      </c>
      <c r="O895">
        <f t="shared" si="48"/>
        <v>2.2000220999999995</v>
      </c>
    </row>
    <row r="896" spans="1:15" x14ac:dyDescent="0.25">
      <c r="A896" s="2">
        <v>40732</v>
      </c>
      <c r="B896" s="3" t="s">
        <v>33</v>
      </c>
      <c r="C896">
        <v>33</v>
      </c>
      <c r="D896" s="7" t="s">
        <v>29</v>
      </c>
      <c r="E896">
        <v>130</v>
      </c>
      <c r="F896">
        <v>0.71</v>
      </c>
      <c r="M896" t="s">
        <v>34</v>
      </c>
      <c r="O896">
        <f t="shared" si="48"/>
        <v>2.2627420999999992</v>
      </c>
    </row>
    <row r="897" spans="1:15" x14ac:dyDescent="0.25">
      <c r="A897" s="2">
        <v>40732</v>
      </c>
      <c r="B897" s="3" t="s">
        <v>33</v>
      </c>
      <c r="C897">
        <v>33</v>
      </c>
      <c r="D897" s="7" t="s">
        <v>29</v>
      </c>
      <c r="E897">
        <v>140</v>
      </c>
      <c r="F897">
        <v>0.59</v>
      </c>
      <c r="M897" t="s">
        <v>34</v>
      </c>
      <c r="O897">
        <f t="shared" si="48"/>
        <v>1.9932408999999995</v>
      </c>
    </row>
    <row r="898" spans="1:15" x14ac:dyDescent="0.25">
      <c r="A898" s="2">
        <v>40732</v>
      </c>
      <c r="B898" s="3" t="s">
        <v>33</v>
      </c>
      <c r="C898">
        <v>33</v>
      </c>
      <c r="D898" s="7" t="s">
        <v>29</v>
      </c>
      <c r="E898">
        <v>144</v>
      </c>
      <c r="F898">
        <v>0.53</v>
      </c>
      <c r="M898" t="s">
        <v>34</v>
      </c>
      <c r="O898">
        <f t="shared" si="48"/>
        <v>1.8428102999999996</v>
      </c>
    </row>
    <row r="899" spans="1:15" x14ac:dyDescent="0.25">
      <c r="A899" s="2">
        <v>40732</v>
      </c>
      <c r="B899" s="3" t="s">
        <v>33</v>
      </c>
      <c r="C899">
        <v>33</v>
      </c>
      <c r="D899" s="7" t="s">
        <v>29</v>
      </c>
      <c r="E899">
        <v>152</v>
      </c>
      <c r="F899">
        <v>0.92</v>
      </c>
      <c r="M899" t="s">
        <v>34</v>
      </c>
      <c r="O899">
        <f t="shared" si="48"/>
        <v>3.3537291999999996</v>
      </c>
    </row>
    <row r="900" spans="1:15" x14ac:dyDescent="0.25">
      <c r="A900" s="2">
        <v>40732</v>
      </c>
      <c r="B900" s="3" t="s">
        <v>33</v>
      </c>
      <c r="C900">
        <v>33</v>
      </c>
      <c r="D900" s="7" t="s">
        <v>29</v>
      </c>
      <c r="E900">
        <v>158</v>
      </c>
      <c r="F900">
        <v>0.44</v>
      </c>
      <c r="M900" t="s">
        <v>34</v>
      </c>
      <c r="O900">
        <f t="shared" si="48"/>
        <v>1.7426043999999998</v>
      </c>
    </row>
    <row r="901" spans="1:15" x14ac:dyDescent="0.25">
      <c r="A901" s="2">
        <v>40732</v>
      </c>
      <c r="B901" s="3" t="s">
        <v>33</v>
      </c>
      <c r="C901">
        <v>33</v>
      </c>
      <c r="D901" s="7" t="s">
        <v>29</v>
      </c>
      <c r="E901">
        <v>170</v>
      </c>
      <c r="F901">
        <v>0.8</v>
      </c>
      <c r="M901" t="s">
        <v>34</v>
      </c>
      <c r="O901">
        <f t="shared" si="48"/>
        <v>3.2096679999999993</v>
      </c>
    </row>
    <row r="902" spans="1:15" x14ac:dyDescent="0.25">
      <c r="A902" s="2">
        <v>40732</v>
      </c>
      <c r="B902" s="3" t="s">
        <v>33</v>
      </c>
      <c r="C902">
        <v>33</v>
      </c>
      <c r="D902" s="7" t="s">
        <v>29</v>
      </c>
      <c r="E902">
        <v>172</v>
      </c>
      <c r="F902">
        <v>0.47</v>
      </c>
      <c r="M902" t="s">
        <v>34</v>
      </c>
      <c r="O902">
        <f t="shared" si="48"/>
        <v>2.0686996999999994</v>
      </c>
    </row>
    <row r="903" spans="1:15" x14ac:dyDescent="0.25">
      <c r="A903" s="2">
        <v>40732</v>
      </c>
      <c r="B903" s="3" t="s">
        <v>33</v>
      </c>
      <c r="C903">
        <v>33</v>
      </c>
      <c r="D903" s="7" t="s">
        <v>29</v>
      </c>
      <c r="E903">
        <v>174</v>
      </c>
      <c r="F903">
        <v>0.75</v>
      </c>
      <c r="M903" t="s">
        <v>34</v>
      </c>
      <c r="O903">
        <f t="shared" si="48"/>
        <v>3.0947625000000003</v>
      </c>
    </row>
    <row r="904" spans="1:15" x14ac:dyDescent="0.25">
      <c r="A904" s="2">
        <v>40732</v>
      </c>
      <c r="B904" s="3" t="s">
        <v>33</v>
      </c>
      <c r="C904">
        <v>33</v>
      </c>
      <c r="D904" s="7" t="s">
        <v>29</v>
      </c>
      <c r="E904">
        <v>175</v>
      </c>
      <c r="F904">
        <v>0.43</v>
      </c>
      <c r="M904" t="s">
        <v>34</v>
      </c>
      <c r="O904">
        <f t="shared" si="48"/>
        <v>1.9736392999999999</v>
      </c>
    </row>
    <row r="905" spans="1:15" x14ac:dyDescent="0.25">
      <c r="A905" s="2">
        <v>40732</v>
      </c>
      <c r="B905" s="3" t="s">
        <v>33</v>
      </c>
      <c r="C905">
        <v>33</v>
      </c>
      <c r="D905" s="7" t="s">
        <v>29</v>
      </c>
      <c r="E905">
        <v>183</v>
      </c>
      <c r="F905">
        <v>0.49</v>
      </c>
      <c r="M905" t="s">
        <v>34</v>
      </c>
      <c r="O905">
        <f t="shared" si="48"/>
        <v>2.3122298999999997</v>
      </c>
    </row>
    <row r="906" spans="1:15" x14ac:dyDescent="0.25">
      <c r="A906" s="2">
        <v>40732</v>
      </c>
      <c r="B906" s="3" t="s">
        <v>33</v>
      </c>
      <c r="C906">
        <v>33</v>
      </c>
      <c r="D906" s="7" t="s">
        <v>29</v>
      </c>
      <c r="E906">
        <v>183</v>
      </c>
      <c r="F906">
        <v>0.55000000000000004</v>
      </c>
      <c r="M906" t="s">
        <v>34</v>
      </c>
      <c r="O906">
        <f t="shared" si="48"/>
        <v>2.5253805000000003</v>
      </c>
    </row>
    <row r="907" spans="1:15" x14ac:dyDescent="0.25">
      <c r="A907" s="2">
        <v>40732</v>
      </c>
      <c r="B907" s="3" t="s">
        <v>33</v>
      </c>
      <c r="C907">
        <v>33</v>
      </c>
      <c r="D907" s="7" t="s">
        <v>29</v>
      </c>
      <c r="E907">
        <v>185</v>
      </c>
      <c r="F907">
        <v>0.54</v>
      </c>
      <c r="M907" t="s">
        <v>34</v>
      </c>
      <c r="O907">
        <f t="shared" si="48"/>
        <v>2.5212153999999996</v>
      </c>
    </row>
    <row r="908" spans="1:15" x14ac:dyDescent="0.25">
      <c r="A908" s="2">
        <v>40732</v>
      </c>
      <c r="B908" s="3" t="s">
        <v>33</v>
      </c>
      <c r="C908">
        <v>33</v>
      </c>
      <c r="D908" s="7" t="s">
        <v>29</v>
      </c>
      <c r="E908">
        <v>223</v>
      </c>
      <c r="F908">
        <v>0.54</v>
      </c>
      <c r="M908" t="s">
        <v>34</v>
      </c>
      <c r="O908">
        <f t="shared" si="48"/>
        <v>3.1170553999999995</v>
      </c>
    </row>
    <row r="909" spans="1:15" x14ac:dyDescent="0.25">
      <c r="A909" s="2">
        <v>40732</v>
      </c>
      <c r="B909" s="3" t="s">
        <v>33</v>
      </c>
      <c r="C909">
        <v>33</v>
      </c>
      <c r="D909" s="7" t="s">
        <v>29</v>
      </c>
      <c r="E909">
        <v>233</v>
      </c>
      <c r="F909">
        <v>0.46</v>
      </c>
      <c r="M909" t="s">
        <v>34</v>
      </c>
      <c r="O909">
        <f t="shared" si="48"/>
        <v>2.9896546000000002</v>
      </c>
    </row>
    <row r="910" spans="1:15" x14ac:dyDescent="0.25">
      <c r="A910" s="2">
        <v>40732</v>
      </c>
      <c r="B910" s="3" t="s">
        <v>33</v>
      </c>
      <c r="C910">
        <v>33</v>
      </c>
      <c r="D910" s="7" t="s">
        <v>29</v>
      </c>
      <c r="E910">
        <v>244</v>
      </c>
      <c r="F910">
        <v>0.65</v>
      </c>
      <c r="M910" t="s">
        <v>34</v>
      </c>
      <c r="O910">
        <f t="shared" si="48"/>
        <v>3.8371114999999993</v>
      </c>
    </row>
    <row r="911" spans="1:15" x14ac:dyDescent="0.25">
      <c r="A911" s="2">
        <v>40732</v>
      </c>
      <c r="B911" s="3" t="s">
        <v>33</v>
      </c>
      <c r="C911">
        <v>33</v>
      </c>
      <c r="D911" s="7" t="s">
        <v>29</v>
      </c>
      <c r="E911">
        <v>250</v>
      </c>
      <c r="F911">
        <v>0.55000000000000004</v>
      </c>
      <c r="M911" t="s">
        <v>34</v>
      </c>
      <c r="O911">
        <f t="shared" si="48"/>
        <v>3.5759405000000002</v>
      </c>
    </row>
    <row r="912" spans="1:15" x14ac:dyDescent="0.25">
      <c r="A912" s="2">
        <v>40732</v>
      </c>
      <c r="B912" s="3" t="s">
        <v>33</v>
      </c>
      <c r="C912">
        <v>33</v>
      </c>
      <c r="D912" s="6" t="s">
        <v>19</v>
      </c>
      <c r="E912">
        <v>312</v>
      </c>
      <c r="F912">
        <v>3.3</v>
      </c>
      <c r="H912">
        <v>39</v>
      </c>
      <c r="I912">
        <v>2.6</v>
      </c>
      <c r="O912">
        <f>(0.66164*E912)+(16.34893*F912)+(1.11091*H912)+(-8.40694*I912)-154.2499</f>
        <v>127.600695</v>
      </c>
    </row>
    <row r="913" spans="1:15" x14ac:dyDescent="0.25">
      <c r="A913" s="2">
        <v>40732</v>
      </c>
      <c r="B913" s="3" t="s">
        <v>33</v>
      </c>
      <c r="C913">
        <v>33</v>
      </c>
      <c r="D913" s="6" t="s">
        <v>19</v>
      </c>
      <c r="E913">
        <v>316</v>
      </c>
      <c r="F913">
        <v>3.71</v>
      </c>
      <c r="H913">
        <v>33</v>
      </c>
      <c r="I913">
        <v>2.5</v>
      </c>
      <c r="O913">
        <f>(0.66164*E913)+(16.34893*F913)+(1.11091*H913)+(-8.40694*I913)-154.2499</f>
        <v>131.12555029999996</v>
      </c>
    </row>
    <row r="914" spans="1:15" x14ac:dyDescent="0.25">
      <c r="A914" s="2">
        <v>40732</v>
      </c>
      <c r="B914" s="3" t="s">
        <v>33</v>
      </c>
      <c r="C914">
        <v>33</v>
      </c>
      <c r="D914" s="6" t="s">
        <v>19</v>
      </c>
      <c r="F914">
        <v>2</v>
      </c>
      <c r="J914">
        <f>SUM(88,133,154,185)</f>
        <v>560</v>
      </c>
      <c r="K914">
        <v>4</v>
      </c>
      <c r="L914">
        <v>185</v>
      </c>
      <c r="O914">
        <f>((-7.02235*K914)+(-0.30125*L914)+(0.09376*J914)+33.03698)</f>
        <v>1.7219300000000004</v>
      </c>
    </row>
    <row r="915" spans="1:15" x14ac:dyDescent="0.25">
      <c r="A915" s="2">
        <v>40732</v>
      </c>
      <c r="B915" s="3" t="s">
        <v>33</v>
      </c>
      <c r="C915">
        <v>33</v>
      </c>
      <c r="D915" s="6" t="s">
        <v>19</v>
      </c>
      <c r="F915">
        <v>2.78</v>
      </c>
      <c r="J915">
        <f>SUM(178,189,274,327,362)</f>
        <v>1330</v>
      </c>
      <c r="K915">
        <v>5</v>
      </c>
      <c r="L915">
        <v>362</v>
      </c>
      <c r="O915">
        <f>((-7.02235*K915)+(-0.30125*L915)+(0.09376*J915)+33.03698)</f>
        <v>13.573529999999991</v>
      </c>
    </row>
    <row r="916" spans="1:15" x14ac:dyDescent="0.25">
      <c r="A916" s="2">
        <v>40732</v>
      </c>
      <c r="B916" s="3" t="s">
        <v>33</v>
      </c>
      <c r="C916">
        <v>33</v>
      </c>
      <c r="D916" s="6" t="s">
        <v>19</v>
      </c>
      <c r="F916">
        <v>2.52</v>
      </c>
      <c r="J916">
        <f>SUM(197,248,298,310,338,367)</f>
        <v>1758</v>
      </c>
      <c r="K916">
        <v>6</v>
      </c>
      <c r="L916">
        <v>367</v>
      </c>
      <c r="O916">
        <f>((-7.02235*K916)+(-0.30125*L916)+(0.09376*J916)+33.03698)</f>
        <v>45.17420999999996</v>
      </c>
    </row>
    <row r="917" spans="1:15" x14ac:dyDescent="0.25">
      <c r="A917" s="2">
        <v>40732</v>
      </c>
      <c r="B917" s="3" t="s">
        <v>33</v>
      </c>
      <c r="C917">
        <v>33</v>
      </c>
      <c r="D917" s="6" t="s">
        <v>19</v>
      </c>
      <c r="F917">
        <v>3.7</v>
      </c>
      <c r="J917">
        <f>SUM(164,351,353,372,253,264,216)</f>
        <v>1973</v>
      </c>
      <c r="K917">
        <v>7</v>
      </c>
      <c r="L917">
        <v>372</v>
      </c>
      <c r="O917">
        <f>((-7.02235*K917)+(-0.30125*L917)+(0.09376*J917)+33.03698)</f>
        <v>56.804009999999977</v>
      </c>
    </row>
    <row r="918" spans="1:15" x14ac:dyDescent="0.25">
      <c r="A918" s="2">
        <v>40732</v>
      </c>
      <c r="B918" s="3" t="s">
        <v>33</v>
      </c>
      <c r="C918">
        <v>35</v>
      </c>
      <c r="D918" s="6" t="s">
        <v>12</v>
      </c>
      <c r="E918">
        <v>134</v>
      </c>
      <c r="F918">
        <v>0.76</v>
      </c>
      <c r="G918">
        <v>0</v>
      </c>
      <c r="N918">
        <f>(1/3)*(3.14159)*((F918/2)^2)*E918</f>
        <v>20.262836621333332</v>
      </c>
      <c r="O918">
        <f>((0.03043*E918)+(N918*0.02936))</f>
        <v>4.6725368832023459</v>
      </c>
    </row>
    <row r="919" spans="1:15" x14ac:dyDescent="0.25">
      <c r="A919" s="2">
        <v>40732</v>
      </c>
      <c r="B919" s="3" t="s">
        <v>33</v>
      </c>
      <c r="C919">
        <v>35</v>
      </c>
      <c r="D919" s="6" t="s">
        <v>29</v>
      </c>
      <c r="E919">
        <v>122</v>
      </c>
      <c r="F919">
        <v>0.48</v>
      </c>
      <c r="O919">
        <f t="shared" ref="O919:O949" si="49">((3.55251*F919)+(0.01568*E919)-2.29794)</f>
        <v>1.3202247999999996</v>
      </c>
    </row>
    <row r="920" spans="1:15" x14ac:dyDescent="0.25">
      <c r="A920" s="2">
        <v>40732</v>
      </c>
      <c r="B920" s="3" t="s">
        <v>33</v>
      </c>
      <c r="C920">
        <v>35</v>
      </c>
      <c r="D920" s="6" t="s">
        <v>29</v>
      </c>
      <c r="E920">
        <v>131</v>
      </c>
      <c r="F920">
        <v>0.45</v>
      </c>
      <c r="O920">
        <f t="shared" si="49"/>
        <v>1.3547694999999997</v>
      </c>
    </row>
    <row r="921" spans="1:15" x14ac:dyDescent="0.25">
      <c r="A921" s="2">
        <v>40732</v>
      </c>
      <c r="B921" s="3" t="s">
        <v>33</v>
      </c>
      <c r="C921">
        <v>35</v>
      </c>
      <c r="D921" s="6" t="s">
        <v>29</v>
      </c>
      <c r="E921">
        <v>131</v>
      </c>
      <c r="F921">
        <v>0.48</v>
      </c>
      <c r="O921">
        <f t="shared" si="49"/>
        <v>1.4613447999999996</v>
      </c>
    </row>
    <row r="922" spans="1:15" x14ac:dyDescent="0.25">
      <c r="A922" s="2">
        <v>40732</v>
      </c>
      <c r="B922" s="3" t="s">
        <v>33</v>
      </c>
      <c r="C922">
        <v>35</v>
      </c>
      <c r="D922" s="6" t="s">
        <v>29</v>
      </c>
      <c r="E922">
        <v>132</v>
      </c>
      <c r="F922">
        <v>0.32</v>
      </c>
      <c r="O922">
        <f t="shared" si="49"/>
        <v>0.90862319999999963</v>
      </c>
    </row>
    <row r="923" spans="1:15" x14ac:dyDescent="0.25">
      <c r="A923" s="2">
        <v>40732</v>
      </c>
      <c r="B923" s="3" t="s">
        <v>33</v>
      </c>
      <c r="C923">
        <v>35</v>
      </c>
      <c r="D923" s="6" t="s">
        <v>29</v>
      </c>
      <c r="E923">
        <v>133</v>
      </c>
      <c r="F923">
        <v>0.32</v>
      </c>
      <c r="O923">
        <f t="shared" si="49"/>
        <v>0.92430319999999933</v>
      </c>
    </row>
    <row r="924" spans="1:15" x14ac:dyDescent="0.25">
      <c r="A924" s="2">
        <v>40732</v>
      </c>
      <c r="B924" s="3" t="s">
        <v>33</v>
      </c>
      <c r="C924">
        <v>35</v>
      </c>
      <c r="D924" s="6" t="s">
        <v>29</v>
      </c>
      <c r="E924">
        <v>133</v>
      </c>
      <c r="F924">
        <v>0.44</v>
      </c>
      <c r="O924">
        <f t="shared" si="49"/>
        <v>1.3506043999999995</v>
      </c>
    </row>
    <row r="925" spans="1:15" x14ac:dyDescent="0.25">
      <c r="A925" s="2">
        <v>40732</v>
      </c>
      <c r="B925" s="3" t="s">
        <v>33</v>
      </c>
      <c r="C925">
        <v>35</v>
      </c>
      <c r="D925" s="6" t="s">
        <v>29</v>
      </c>
      <c r="E925">
        <v>134</v>
      </c>
      <c r="F925">
        <v>0.5</v>
      </c>
      <c r="O925">
        <f t="shared" si="49"/>
        <v>1.5794349999999997</v>
      </c>
    </row>
    <row r="926" spans="1:15" x14ac:dyDescent="0.25">
      <c r="A926" s="2">
        <v>40732</v>
      </c>
      <c r="B926" s="3" t="s">
        <v>33</v>
      </c>
      <c r="C926">
        <v>35</v>
      </c>
      <c r="D926" s="6" t="s">
        <v>29</v>
      </c>
      <c r="E926">
        <v>136</v>
      </c>
      <c r="F926">
        <v>0.73</v>
      </c>
      <c r="O926">
        <f t="shared" si="49"/>
        <v>2.4278722999999993</v>
      </c>
    </row>
    <row r="927" spans="1:15" x14ac:dyDescent="0.25">
      <c r="A927" s="2">
        <v>40732</v>
      </c>
      <c r="B927" s="3" t="s">
        <v>33</v>
      </c>
      <c r="C927">
        <v>35</v>
      </c>
      <c r="D927" s="6" t="s">
        <v>29</v>
      </c>
      <c r="E927">
        <v>138</v>
      </c>
      <c r="F927">
        <v>0.5</v>
      </c>
      <c r="O927">
        <f t="shared" si="49"/>
        <v>1.6421549999999998</v>
      </c>
    </row>
    <row r="928" spans="1:15" x14ac:dyDescent="0.25">
      <c r="A928" s="2">
        <v>40732</v>
      </c>
      <c r="B928" s="3" t="s">
        <v>33</v>
      </c>
      <c r="C928">
        <v>35</v>
      </c>
      <c r="D928" s="6" t="s">
        <v>29</v>
      </c>
      <c r="E928">
        <v>138</v>
      </c>
      <c r="F928">
        <v>0.77</v>
      </c>
      <c r="O928">
        <f t="shared" si="49"/>
        <v>2.6013326999999999</v>
      </c>
    </row>
    <row r="929" spans="1:15" x14ac:dyDescent="0.25">
      <c r="A929" s="2">
        <v>40732</v>
      </c>
      <c r="B929" s="3" t="s">
        <v>33</v>
      </c>
      <c r="C929">
        <v>35</v>
      </c>
      <c r="D929" s="6" t="s">
        <v>29</v>
      </c>
      <c r="E929">
        <v>142</v>
      </c>
      <c r="F929">
        <v>0.49</v>
      </c>
      <c r="O929">
        <f t="shared" si="49"/>
        <v>1.6693498999999998</v>
      </c>
    </row>
    <row r="930" spans="1:15" x14ac:dyDescent="0.25">
      <c r="A930" s="2">
        <v>40732</v>
      </c>
      <c r="B930" s="3" t="s">
        <v>33</v>
      </c>
      <c r="C930">
        <v>35</v>
      </c>
      <c r="D930" s="6" t="s">
        <v>29</v>
      </c>
      <c r="E930">
        <v>143</v>
      </c>
      <c r="F930">
        <v>0.53</v>
      </c>
      <c r="O930">
        <f t="shared" si="49"/>
        <v>1.8271302999999999</v>
      </c>
    </row>
    <row r="931" spans="1:15" x14ac:dyDescent="0.25">
      <c r="A931" s="2">
        <v>40732</v>
      </c>
      <c r="B931" s="3" t="s">
        <v>33</v>
      </c>
      <c r="C931">
        <v>35</v>
      </c>
      <c r="D931" s="6" t="s">
        <v>29</v>
      </c>
      <c r="E931">
        <v>151</v>
      </c>
      <c r="F931">
        <v>0.74</v>
      </c>
      <c r="O931">
        <f t="shared" si="49"/>
        <v>2.6985973999999993</v>
      </c>
    </row>
    <row r="932" spans="1:15" x14ac:dyDescent="0.25">
      <c r="A932" s="2">
        <v>40732</v>
      </c>
      <c r="B932" s="3" t="s">
        <v>33</v>
      </c>
      <c r="C932">
        <v>35</v>
      </c>
      <c r="D932" s="6" t="s">
        <v>29</v>
      </c>
      <c r="E932">
        <v>163</v>
      </c>
      <c r="F932">
        <v>0.4</v>
      </c>
      <c r="O932">
        <f t="shared" si="49"/>
        <v>1.6789039999999997</v>
      </c>
    </row>
    <row r="933" spans="1:15" x14ac:dyDescent="0.25">
      <c r="A933" s="2">
        <v>40732</v>
      </c>
      <c r="B933" s="3" t="s">
        <v>33</v>
      </c>
      <c r="C933">
        <v>35</v>
      </c>
      <c r="D933" s="6" t="s">
        <v>29</v>
      </c>
      <c r="E933">
        <v>166</v>
      </c>
      <c r="F933">
        <v>0.31</v>
      </c>
      <c r="O933">
        <f t="shared" si="49"/>
        <v>1.4062180999999998</v>
      </c>
    </row>
    <row r="934" spans="1:15" x14ac:dyDescent="0.25">
      <c r="A934" s="2">
        <v>40732</v>
      </c>
      <c r="B934" s="3" t="s">
        <v>33</v>
      </c>
      <c r="C934">
        <v>35</v>
      </c>
      <c r="D934" s="6" t="s">
        <v>29</v>
      </c>
      <c r="E934">
        <v>168</v>
      </c>
      <c r="F934">
        <v>0.44</v>
      </c>
      <c r="O934">
        <f t="shared" si="49"/>
        <v>1.8994044000000003</v>
      </c>
    </row>
    <row r="935" spans="1:15" x14ac:dyDescent="0.25">
      <c r="A935" s="2">
        <v>40732</v>
      </c>
      <c r="B935" s="3" t="s">
        <v>33</v>
      </c>
      <c r="C935">
        <v>35</v>
      </c>
      <c r="D935" s="6" t="s">
        <v>29</v>
      </c>
      <c r="E935">
        <v>169</v>
      </c>
      <c r="F935">
        <v>0.71</v>
      </c>
      <c r="O935">
        <f t="shared" si="49"/>
        <v>2.8742620999999997</v>
      </c>
    </row>
    <row r="936" spans="1:15" x14ac:dyDescent="0.25">
      <c r="A936" s="2">
        <v>40732</v>
      </c>
      <c r="B936" s="3" t="s">
        <v>33</v>
      </c>
      <c r="C936">
        <v>35</v>
      </c>
      <c r="D936" s="6" t="s">
        <v>29</v>
      </c>
      <c r="E936">
        <v>169</v>
      </c>
      <c r="F936">
        <v>0.72</v>
      </c>
      <c r="O936">
        <f t="shared" si="49"/>
        <v>2.9097871999999989</v>
      </c>
    </row>
    <row r="937" spans="1:15" x14ac:dyDescent="0.25">
      <c r="A937" s="2">
        <v>40732</v>
      </c>
      <c r="B937" s="3" t="s">
        <v>33</v>
      </c>
      <c r="C937">
        <v>35</v>
      </c>
      <c r="D937" s="6" t="s">
        <v>29</v>
      </c>
      <c r="E937">
        <v>170</v>
      </c>
      <c r="F937">
        <v>0.82</v>
      </c>
      <c r="O937">
        <f t="shared" si="49"/>
        <v>3.2807181999999995</v>
      </c>
    </row>
    <row r="938" spans="1:15" x14ac:dyDescent="0.25">
      <c r="A938" s="2">
        <v>40732</v>
      </c>
      <c r="B938" s="3" t="s">
        <v>33</v>
      </c>
      <c r="C938">
        <v>35</v>
      </c>
      <c r="D938" s="6" t="s">
        <v>29</v>
      </c>
      <c r="E938">
        <v>173</v>
      </c>
      <c r="F938">
        <v>0.72</v>
      </c>
      <c r="O938">
        <f t="shared" si="49"/>
        <v>2.9725071999999995</v>
      </c>
    </row>
    <row r="939" spans="1:15" x14ac:dyDescent="0.25">
      <c r="A939" s="2">
        <v>40732</v>
      </c>
      <c r="B939" s="3" t="s">
        <v>33</v>
      </c>
      <c r="C939">
        <v>35</v>
      </c>
      <c r="D939" s="6" t="s">
        <v>29</v>
      </c>
      <c r="E939">
        <v>185</v>
      </c>
      <c r="F939">
        <v>0.57999999999999996</v>
      </c>
      <c r="O939">
        <f t="shared" si="49"/>
        <v>2.6633157999999999</v>
      </c>
    </row>
    <row r="940" spans="1:15" x14ac:dyDescent="0.25">
      <c r="A940" s="2">
        <v>40732</v>
      </c>
      <c r="B940" s="3" t="s">
        <v>33</v>
      </c>
      <c r="C940">
        <v>35</v>
      </c>
      <c r="D940" s="6" t="s">
        <v>29</v>
      </c>
      <c r="E940">
        <v>198</v>
      </c>
      <c r="F940">
        <v>0.7</v>
      </c>
      <c r="O940">
        <f t="shared" si="49"/>
        <v>3.2934569999999996</v>
      </c>
    </row>
    <row r="941" spans="1:15" x14ac:dyDescent="0.25">
      <c r="A941" s="2">
        <v>40732</v>
      </c>
      <c r="B941" s="3" t="s">
        <v>33</v>
      </c>
      <c r="C941">
        <v>35</v>
      </c>
      <c r="D941" s="6" t="s">
        <v>29</v>
      </c>
      <c r="E941" s="15">
        <v>199</v>
      </c>
      <c r="F941">
        <v>0.8</v>
      </c>
      <c r="O941">
        <f t="shared" si="49"/>
        <v>3.6643879999999993</v>
      </c>
    </row>
    <row r="942" spans="1:15" x14ac:dyDescent="0.25">
      <c r="A942" s="2">
        <v>40732</v>
      </c>
      <c r="B942" s="3" t="s">
        <v>33</v>
      </c>
      <c r="C942">
        <v>35</v>
      </c>
      <c r="D942" s="6" t="s">
        <v>29</v>
      </c>
      <c r="E942">
        <v>201</v>
      </c>
      <c r="F942">
        <v>0.45</v>
      </c>
      <c r="O942">
        <f t="shared" si="49"/>
        <v>2.4523695000000001</v>
      </c>
    </row>
    <row r="943" spans="1:15" x14ac:dyDescent="0.25">
      <c r="A943" s="2">
        <v>40732</v>
      </c>
      <c r="B943" s="3" t="s">
        <v>33</v>
      </c>
      <c r="C943">
        <v>35</v>
      </c>
      <c r="D943" s="6" t="s">
        <v>29</v>
      </c>
      <c r="E943">
        <v>210</v>
      </c>
      <c r="F943">
        <v>0.74</v>
      </c>
      <c r="O943">
        <f t="shared" si="49"/>
        <v>3.623717399999999</v>
      </c>
    </row>
    <row r="944" spans="1:15" x14ac:dyDescent="0.25">
      <c r="A944" s="2">
        <v>40732</v>
      </c>
      <c r="B944" s="3" t="s">
        <v>33</v>
      </c>
      <c r="C944">
        <v>35</v>
      </c>
      <c r="D944" s="6" t="s">
        <v>29</v>
      </c>
      <c r="E944">
        <v>211</v>
      </c>
      <c r="F944">
        <v>0.6</v>
      </c>
      <c r="O944">
        <f t="shared" si="49"/>
        <v>3.1420459999999992</v>
      </c>
    </row>
    <row r="945" spans="1:15" x14ac:dyDescent="0.25">
      <c r="A945" s="2">
        <v>40732</v>
      </c>
      <c r="B945" s="3" t="s">
        <v>33</v>
      </c>
      <c r="C945">
        <v>35</v>
      </c>
      <c r="D945" s="6" t="s">
        <v>29</v>
      </c>
      <c r="E945">
        <v>217</v>
      </c>
      <c r="F945">
        <v>0.69</v>
      </c>
      <c r="O945">
        <f t="shared" si="49"/>
        <v>3.5558518999999991</v>
      </c>
    </row>
    <row r="946" spans="1:15" x14ac:dyDescent="0.25">
      <c r="A946" s="2">
        <v>40732</v>
      </c>
      <c r="B946" s="3" t="s">
        <v>33</v>
      </c>
      <c r="C946">
        <v>35</v>
      </c>
      <c r="D946" s="6" t="s">
        <v>29</v>
      </c>
      <c r="E946">
        <v>219</v>
      </c>
      <c r="F946">
        <v>0.5</v>
      </c>
      <c r="O946">
        <f t="shared" si="49"/>
        <v>2.9122349999999995</v>
      </c>
    </row>
    <row r="947" spans="1:15" x14ac:dyDescent="0.25">
      <c r="A947" s="2">
        <v>40732</v>
      </c>
      <c r="B947" s="3" t="s">
        <v>33</v>
      </c>
      <c r="C947">
        <v>35</v>
      </c>
      <c r="D947" s="6" t="s">
        <v>29</v>
      </c>
      <c r="E947" s="15">
        <v>236</v>
      </c>
      <c r="F947">
        <v>0.67</v>
      </c>
      <c r="O947">
        <f t="shared" si="49"/>
        <v>3.7827217000000002</v>
      </c>
    </row>
    <row r="948" spans="1:15" x14ac:dyDescent="0.25">
      <c r="A948" s="2">
        <v>40732</v>
      </c>
      <c r="B948" s="3" t="s">
        <v>33</v>
      </c>
      <c r="C948">
        <v>35</v>
      </c>
      <c r="D948" s="6" t="s">
        <v>29</v>
      </c>
      <c r="E948">
        <v>247</v>
      </c>
      <c r="F948">
        <v>0.53</v>
      </c>
      <c r="O948">
        <f t="shared" si="49"/>
        <v>3.4578503</v>
      </c>
    </row>
    <row r="949" spans="1:15" x14ac:dyDescent="0.25">
      <c r="A949" s="2">
        <v>40732</v>
      </c>
      <c r="B949" s="3" t="s">
        <v>33</v>
      </c>
      <c r="C949">
        <v>35</v>
      </c>
      <c r="D949" s="6" t="s">
        <v>29</v>
      </c>
      <c r="E949">
        <v>258</v>
      </c>
      <c r="F949">
        <v>0.77</v>
      </c>
      <c r="O949">
        <f t="shared" si="49"/>
        <v>4.4829326999999992</v>
      </c>
    </row>
    <row r="950" spans="1:15" x14ac:dyDescent="0.25">
      <c r="A950" s="2">
        <v>40738</v>
      </c>
      <c r="B950" t="s">
        <v>40</v>
      </c>
      <c r="C950">
        <v>9</v>
      </c>
      <c r="D950" s="6" t="s">
        <v>12</v>
      </c>
      <c r="E950">
        <v>282</v>
      </c>
      <c r="F950">
        <v>1.69</v>
      </c>
      <c r="G950">
        <v>5</v>
      </c>
      <c r="N950">
        <f>(1/3)*(3.14159)*((F950/2)^2)*E950</f>
        <v>210.85833717649996</v>
      </c>
      <c r="O950">
        <f>((0.03851*E950)+(0.0322*N950))</f>
        <v>17.649458457083298</v>
      </c>
    </row>
    <row r="951" spans="1:15" x14ac:dyDescent="0.25">
      <c r="A951" s="2">
        <v>40738</v>
      </c>
      <c r="B951" t="s">
        <v>40</v>
      </c>
      <c r="C951">
        <v>9</v>
      </c>
      <c r="D951" s="6" t="s">
        <v>12</v>
      </c>
      <c r="E951">
        <v>301</v>
      </c>
      <c r="F951">
        <v>1.1499999999999999</v>
      </c>
      <c r="G951">
        <v>16</v>
      </c>
      <c r="N951">
        <f>(1/3)*(3.14159)*((F951/2)^2)*E951</f>
        <v>104.21504877291663</v>
      </c>
      <c r="O951">
        <f>((0.03851*E951)+(0.0322*N951))</f>
        <v>14.947234570487916</v>
      </c>
    </row>
    <row r="952" spans="1:15" x14ac:dyDescent="0.25">
      <c r="A952" s="2">
        <v>40738</v>
      </c>
      <c r="B952" t="s">
        <v>40</v>
      </c>
      <c r="C952">
        <v>9</v>
      </c>
      <c r="D952" s="6" t="s">
        <v>12</v>
      </c>
      <c r="E952">
        <v>347</v>
      </c>
      <c r="F952">
        <v>1.45</v>
      </c>
      <c r="G952">
        <v>4</v>
      </c>
      <c r="N952">
        <f>(1/3)*(3.14159)*((F952/2)^2)*E952</f>
        <v>191.00016352708332</v>
      </c>
      <c r="O952">
        <f>((0.03851*E952)+(0.0322*N952))</f>
        <v>19.513175265572084</v>
      </c>
    </row>
    <row r="953" spans="1:15" x14ac:dyDescent="0.25">
      <c r="A953" s="2">
        <v>40738</v>
      </c>
      <c r="B953" t="s">
        <v>40</v>
      </c>
      <c r="C953">
        <v>9</v>
      </c>
      <c r="D953" s="6" t="s">
        <v>12</v>
      </c>
      <c r="E953">
        <v>350</v>
      </c>
      <c r="F953">
        <v>1.42</v>
      </c>
      <c r="G953">
        <v>11</v>
      </c>
      <c r="N953">
        <f>(1/3)*(3.14159)*((F953/2)^2)*E953</f>
        <v>184.76214388333332</v>
      </c>
      <c r="O953">
        <f>((0.03851*E953)+(0.0322*N953))</f>
        <v>19.427841033043332</v>
      </c>
    </row>
    <row r="954" spans="1:15" x14ac:dyDescent="0.25">
      <c r="A954" s="2">
        <v>40738</v>
      </c>
      <c r="B954" t="s">
        <v>40</v>
      </c>
      <c r="C954">
        <v>9</v>
      </c>
      <c r="D954" s="6" t="s">
        <v>12</v>
      </c>
      <c r="E954">
        <v>376</v>
      </c>
      <c r="F954">
        <v>1.84</v>
      </c>
      <c r="G954">
        <v>0</v>
      </c>
      <c r="N954">
        <f>(1/3)*(3.14159)*((F954/2)^2)*E954</f>
        <v>333.26656925866666</v>
      </c>
      <c r="O954">
        <f>((0.03043*E954)+(0.02936*N954))</f>
        <v>21.226386473434452</v>
      </c>
    </row>
    <row r="955" spans="1:15" x14ac:dyDescent="0.25">
      <c r="A955" s="2">
        <v>40738</v>
      </c>
      <c r="B955" t="s">
        <v>40</v>
      </c>
      <c r="C955">
        <v>9</v>
      </c>
      <c r="D955" s="6" t="s">
        <v>43</v>
      </c>
      <c r="E955" s="15">
        <v>317</v>
      </c>
      <c r="F955">
        <v>1.66</v>
      </c>
      <c r="G955">
        <v>17</v>
      </c>
      <c r="N955">
        <f t="shared" ref="N955:N980" si="50">((1/3)*(3.14159)*((F955/2)^2)*E955)</f>
        <v>228.68816942233329</v>
      </c>
      <c r="O955">
        <f>((0.02449*E955)+(N955*0.05767))</f>
        <v>20.951776730585962</v>
      </c>
    </row>
    <row r="956" spans="1:15" x14ac:dyDescent="0.25">
      <c r="A956" s="2">
        <v>40738</v>
      </c>
      <c r="B956" t="s">
        <v>40</v>
      </c>
      <c r="C956">
        <v>9</v>
      </c>
      <c r="D956" s="6" t="s">
        <v>43</v>
      </c>
      <c r="E956" s="15">
        <v>333</v>
      </c>
      <c r="F956">
        <v>1.86</v>
      </c>
      <c r="G956">
        <v>0</v>
      </c>
      <c r="N956">
        <f t="shared" si="50"/>
        <v>301.60489220100004</v>
      </c>
      <c r="O956">
        <f t="shared" ref="O956:O971" si="51">((0.03043*E956)+(0.02936*N956))</f>
        <v>18.988309635021359</v>
      </c>
    </row>
    <row r="957" spans="1:15" x14ac:dyDescent="0.25">
      <c r="A957" s="2">
        <v>40738</v>
      </c>
      <c r="B957" t="s">
        <v>40</v>
      </c>
      <c r="C957">
        <v>9</v>
      </c>
      <c r="D957" s="7" t="s">
        <v>16</v>
      </c>
      <c r="E957">
        <v>49</v>
      </c>
      <c r="F957">
        <v>0.56999999999999995</v>
      </c>
      <c r="G957">
        <v>0</v>
      </c>
      <c r="N957">
        <f t="shared" si="50"/>
        <v>4.1678689132499986</v>
      </c>
      <c r="O957">
        <f t="shared" si="51"/>
        <v>1.6134386312930198</v>
      </c>
    </row>
    <row r="958" spans="1:15" x14ac:dyDescent="0.25">
      <c r="A958" s="2">
        <v>40738</v>
      </c>
      <c r="B958" t="s">
        <v>40</v>
      </c>
      <c r="C958">
        <v>9</v>
      </c>
      <c r="D958" s="6" t="s">
        <v>16</v>
      </c>
      <c r="E958">
        <v>173</v>
      </c>
      <c r="F958">
        <v>1.67</v>
      </c>
      <c r="G958">
        <v>0</v>
      </c>
      <c r="N958">
        <f t="shared" si="50"/>
        <v>126.31278339358332</v>
      </c>
      <c r="O958">
        <f t="shared" si="51"/>
        <v>8.9729333204356063</v>
      </c>
    </row>
    <row r="959" spans="1:15" x14ac:dyDescent="0.25">
      <c r="A959" s="2">
        <v>40738</v>
      </c>
      <c r="B959" t="s">
        <v>40</v>
      </c>
      <c r="C959">
        <v>9</v>
      </c>
      <c r="D959" s="6" t="s">
        <v>16</v>
      </c>
      <c r="E959">
        <v>190</v>
      </c>
      <c r="F959">
        <v>0.95</v>
      </c>
      <c r="G959">
        <v>0</v>
      </c>
      <c r="N959">
        <f t="shared" si="50"/>
        <v>44.89201210416666</v>
      </c>
      <c r="O959">
        <f t="shared" si="51"/>
        <v>7.0997294753783331</v>
      </c>
    </row>
    <row r="960" spans="1:15" x14ac:dyDescent="0.25">
      <c r="A960" s="2">
        <v>40738</v>
      </c>
      <c r="B960" t="s">
        <v>40</v>
      </c>
      <c r="C960">
        <v>9</v>
      </c>
      <c r="D960" s="6" t="s">
        <v>16</v>
      </c>
      <c r="E960">
        <v>219</v>
      </c>
      <c r="F960">
        <v>2.65</v>
      </c>
      <c r="G960">
        <v>0</v>
      </c>
      <c r="N960">
        <f t="shared" si="50"/>
        <v>402.62813789374997</v>
      </c>
      <c r="O960">
        <f t="shared" si="51"/>
        <v>18.485332128560497</v>
      </c>
    </row>
    <row r="961" spans="1:15" x14ac:dyDescent="0.25">
      <c r="A961" s="2">
        <v>40738</v>
      </c>
      <c r="B961" t="s">
        <v>40</v>
      </c>
      <c r="C961">
        <v>9</v>
      </c>
      <c r="D961" s="6" t="s">
        <v>16</v>
      </c>
      <c r="E961">
        <v>234</v>
      </c>
      <c r="F961">
        <v>1.01</v>
      </c>
      <c r="G961">
        <v>0</v>
      </c>
      <c r="N961">
        <f t="shared" si="50"/>
        <v>62.492351200499996</v>
      </c>
      <c r="O961">
        <f t="shared" si="51"/>
        <v>8.9553954312466804</v>
      </c>
    </row>
    <row r="962" spans="1:15" x14ac:dyDescent="0.25">
      <c r="A962" s="2">
        <v>40738</v>
      </c>
      <c r="B962" t="s">
        <v>40</v>
      </c>
      <c r="C962">
        <v>9</v>
      </c>
      <c r="D962" s="6" t="s">
        <v>16</v>
      </c>
      <c r="E962">
        <v>240</v>
      </c>
      <c r="F962">
        <v>0.75</v>
      </c>
      <c r="G962">
        <v>0</v>
      </c>
      <c r="N962">
        <f t="shared" si="50"/>
        <v>35.342887499999996</v>
      </c>
      <c r="O962">
        <f t="shared" si="51"/>
        <v>8.3408671769999998</v>
      </c>
    </row>
    <row r="963" spans="1:15" x14ac:dyDescent="0.25">
      <c r="A963" s="2">
        <v>40738</v>
      </c>
      <c r="B963" t="s">
        <v>40</v>
      </c>
      <c r="C963">
        <v>9</v>
      </c>
      <c r="D963" s="7" t="s">
        <v>16</v>
      </c>
      <c r="E963">
        <v>244</v>
      </c>
      <c r="F963">
        <v>1.56</v>
      </c>
      <c r="G963">
        <v>0</v>
      </c>
      <c r="N963">
        <f t="shared" si="50"/>
        <v>155.45592628799997</v>
      </c>
      <c r="O963">
        <f t="shared" si="51"/>
        <v>11.989105995815677</v>
      </c>
    </row>
    <row r="964" spans="1:15" x14ac:dyDescent="0.25">
      <c r="A964" s="2">
        <v>40738</v>
      </c>
      <c r="B964" t="s">
        <v>40</v>
      </c>
      <c r="C964">
        <v>9</v>
      </c>
      <c r="D964" s="6" t="s">
        <v>16</v>
      </c>
      <c r="E964">
        <v>262</v>
      </c>
      <c r="F964">
        <v>1.65</v>
      </c>
      <c r="G964">
        <v>0</v>
      </c>
      <c r="N964">
        <f t="shared" si="50"/>
        <v>186.74003658749996</v>
      </c>
      <c r="O964">
        <f t="shared" si="51"/>
        <v>13.455347474208999</v>
      </c>
    </row>
    <row r="965" spans="1:15" x14ac:dyDescent="0.25">
      <c r="A965" s="2">
        <v>40738</v>
      </c>
      <c r="B965" t="s">
        <v>40</v>
      </c>
      <c r="C965">
        <v>9</v>
      </c>
      <c r="D965" s="6" t="s">
        <v>16</v>
      </c>
      <c r="E965">
        <v>271</v>
      </c>
      <c r="F965">
        <v>1.37</v>
      </c>
      <c r="G965">
        <v>0</v>
      </c>
      <c r="N965">
        <f t="shared" si="50"/>
        <v>133.16150195341666</v>
      </c>
      <c r="O965">
        <f t="shared" si="51"/>
        <v>12.156151697352314</v>
      </c>
    </row>
    <row r="966" spans="1:15" x14ac:dyDescent="0.25">
      <c r="A966" s="2">
        <v>40738</v>
      </c>
      <c r="B966" t="s">
        <v>40</v>
      </c>
      <c r="C966">
        <v>9</v>
      </c>
      <c r="D966" s="6" t="s">
        <v>16</v>
      </c>
      <c r="E966">
        <v>274</v>
      </c>
      <c r="F966">
        <v>2.09</v>
      </c>
      <c r="G966">
        <v>0</v>
      </c>
      <c r="N966">
        <f t="shared" si="50"/>
        <v>313.33679353716656</v>
      </c>
      <c r="O966">
        <f t="shared" si="51"/>
        <v>17.537388258251209</v>
      </c>
    </row>
    <row r="967" spans="1:15" x14ac:dyDescent="0.25">
      <c r="A967" s="2">
        <v>40738</v>
      </c>
      <c r="B967" t="s">
        <v>40</v>
      </c>
      <c r="C967">
        <v>9</v>
      </c>
      <c r="D967" s="6" t="s">
        <v>16</v>
      </c>
      <c r="E967">
        <v>279</v>
      </c>
      <c r="F967">
        <v>1.4</v>
      </c>
      <c r="G967">
        <v>0</v>
      </c>
      <c r="N967">
        <f t="shared" si="50"/>
        <v>143.16225629999997</v>
      </c>
      <c r="O967">
        <f t="shared" si="51"/>
        <v>12.693213844968</v>
      </c>
    </row>
    <row r="968" spans="1:15" x14ac:dyDescent="0.25">
      <c r="A968" s="2">
        <v>40738</v>
      </c>
      <c r="B968" t="s">
        <v>40</v>
      </c>
      <c r="C968">
        <v>9</v>
      </c>
      <c r="D968" s="6" t="s">
        <v>16</v>
      </c>
      <c r="E968">
        <v>287</v>
      </c>
      <c r="F968">
        <v>1.85</v>
      </c>
      <c r="G968">
        <v>0</v>
      </c>
      <c r="N968">
        <f t="shared" si="50"/>
        <v>257.15419495208334</v>
      </c>
      <c r="O968">
        <f t="shared" si="51"/>
        <v>16.283457163793166</v>
      </c>
    </row>
    <row r="969" spans="1:15" x14ac:dyDescent="0.25">
      <c r="A969" s="2">
        <v>40738</v>
      </c>
      <c r="B969" t="s">
        <v>40</v>
      </c>
      <c r="C969">
        <v>9</v>
      </c>
      <c r="D969" s="7" t="s">
        <v>16</v>
      </c>
      <c r="E969">
        <v>298</v>
      </c>
      <c r="F969">
        <v>1.06</v>
      </c>
      <c r="G969">
        <v>0</v>
      </c>
      <c r="N969">
        <f t="shared" si="50"/>
        <v>87.65894801266667</v>
      </c>
      <c r="O969">
        <f t="shared" si="51"/>
        <v>11.641806713651892</v>
      </c>
    </row>
    <row r="970" spans="1:15" x14ac:dyDescent="0.25">
      <c r="A970" s="2">
        <v>40738</v>
      </c>
      <c r="B970" t="s">
        <v>40</v>
      </c>
      <c r="C970">
        <v>9</v>
      </c>
      <c r="D970" s="7" t="s">
        <v>16</v>
      </c>
      <c r="E970">
        <v>302</v>
      </c>
      <c r="F970">
        <v>1.93</v>
      </c>
      <c r="G970">
        <v>0</v>
      </c>
      <c r="N970">
        <f t="shared" si="50"/>
        <v>294.5030662068333</v>
      </c>
      <c r="O970">
        <f t="shared" si="51"/>
        <v>17.836470023832625</v>
      </c>
    </row>
    <row r="971" spans="1:15" x14ac:dyDescent="0.25">
      <c r="A971" s="2">
        <v>40738</v>
      </c>
      <c r="B971" t="s">
        <v>40</v>
      </c>
      <c r="C971">
        <v>9</v>
      </c>
      <c r="D971" s="7" t="s">
        <v>16</v>
      </c>
      <c r="E971">
        <v>309</v>
      </c>
      <c r="F971">
        <v>1.52</v>
      </c>
      <c r="G971">
        <v>0</v>
      </c>
      <c r="N971">
        <f t="shared" si="50"/>
        <v>186.90198555199999</v>
      </c>
      <c r="O971">
        <f t="shared" si="51"/>
        <v>14.890312295806719</v>
      </c>
    </row>
    <row r="972" spans="1:15" x14ac:dyDescent="0.25">
      <c r="A972" s="2">
        <v>40738</v>
      </c>
      <c r="B972" t="s">
        <v>40</v>
      </c>
      <c r="C972">
        <v>9</v>
      </c>
      <c r="D972" s="6" t="s">
        <v>16</v>
      </c>
      <c r="E972">
        <v>324</v>
      </c>
      <c r="F972">
        <v>1.33</v>
      </c>
      <c r="G972">
        <v>8</v>
      </c>
      <c r="N972">
        <f t="shared" si="50"/>
        <v>150.043280877</v>
      </c>
      <c r="O972">
        <f>((0.03851*E972)+(0.0322*N972))</f>
        <v>17.3086336442394</v>
      </c>
    </row>
    <row r="973" spans="1:15" x14ac:dyDescent="0.25">
      <c r="A973" s="2">
        <v>40738</v>
      </c>
      <c r="B973" t="s">
        <v>40</v>
      </c>
      <c r="C973">
        <v>9</v>
      </c>
      <c r="D973" s="6" t="s">
        <v>16</v>
      </c>
      <c r="E973">
        <v>330</v>
      </c>
      <c r="F973">
        <v>1.89</v>
      </c>
      <c r="G973">
        <v>12</v>
      </c>
      <c r="N973">
        <f t="shared" si="50"/>
        <v>308.60702507249994</v>
      </c>
      <c r="O973">
        <f>((0.03851*E973)+(0.0322*N973))</f>
        <v>22.645446207334501</v>
      </c>
    </row>
    <row r="974" spans="1:15" x14ac:dyDescent="0.25">
      <c r="A974" s="2">
        <v>40738</v>
      </c>
      <c r="B974" t="s">
        <v>40</v>
      </c>
      <c r="C974">
        <v>9</v>
      </c>
      <c r="D974" s="7" t="s">
        <v>16</v>
      </c>
      <c r="E974">
        <v>338</v>
      </c>
      <c r="F974">
        <v>1.79</v>
      </c>
      <c r="G974">
        <v>0</v>
      </c>
      <c r="N974">
        <f t="shared" si="50"/>
        <v>283.5247799518333</v>
      </c>
      <c r="O974">
        <f>((0.03043*E974)+(0.02936*N974))</f>
        <v>18.609627539385826</v>
      </c>
    </row>
    <row r="975" spans="1:15" x14ac:dyDescent="0.25">
      <c r="A975" s="2">
        <v>40738</v>
      </c>
      <c r="B975" t="s">
        <v>40</v>
      </c>
      <c r="C975">
        <v>9</v>
      </c>
      <c r="D975" s="6" t="s">
        <v>16</v>
      </c>
      <c r="E975">
        <v>343</v>
      </c>
      <c r="F975">
        <v>1.48</v>
      </c>
      <c r="G975">
        <v>12</v>
      </c>
      <c r="N975">
        <f t="shared" si="50"/>
        <v>196.69159887066664</v>
      </c>
      <c r="O975">
        <f>((0.03851*E975)+(0.0322*N975))</f>
        <v>19.542399483635467</v>
      </c>
    </row>
    <row r="976" spans="1:15" x14ac:dyDescent="0.25">
      <c r="A976" s="2">
        <v>40738</v>
      </c>
      <c r="B976" t="s">
        <v>40</v>
      </c>
      <c r="C976">
        <v>9</v>
      </c>
      <c r="D976" s="7" t="s">
        <v>16</v>
      </c>
      <c r="E976">
        <v>352</v>
      </c>
      <c r="F976">
        <v>2.14</v>
      </c>
      <c r="G976">
        <v>0</v>
      </c>
      <c r="N976">
        <f t="shared" si="50"/>
        <v>422.0252832106666</v>
      </c>
      <c r="O976">
        <f>((0.03043*E976)+(0.02936*N976))</f>
        <v>23.10202231506517</v>
      </c>
    </row>
    <row r="977" spans="1:15" x14ac:dyDescent="0.25">
      <c r="A977" s="2">
        <v>40738</v>
      </c>
      <c r="B977" t="s">
        <v>40</v>
      </c>
      <c r="C977">
        <v>9</v>
      </c>
      <c r="D977" s="6" t="s">
        <v>16</v>
      </c>
      <c r="E977">
        <v>360</v>
      </c>
      <c r="F977">
        <v>1.55</v>
      </c>
      <c r="G977">
        <v>0</v>
      </c>
      <c r="N977">
        <f t="shared" si="50"/>
        <v>226.43009924999998</v>
      </c>
      <c r="O977">
        <f>((0.03043*E977)+(0.02936*N977))</f>
        <v>17.60278771398</v>
      </c>
    </row>
    <row r="978" spans="1:15" x14ac:dyDescent="0.25">
      <c r="A978" s="2">
        <v>40738</v>
      </c>
      <c r="B978" t="s">
        <v>40</v>
      </c>
      <c r="C978">
        <v>9</v>
      </c>
      <c r="D978" s="6" t="s">
        <v>16</v>
      </c>
      <c r="E978">
        <v>363</v>
      </c>
      <c r="F978">
        <v>1.44</v>
      </c>
      <c r="G978">
        <v>0</v>
      </c>
      <c r="N978">
        <f t="shared" si="50"/>
        <v>197.06063097599997</v>
      </c>
      <c r="O978">
        <f>((0.03043*E978)+(0.02936*N978))</f>
        <v>16.83179012545536</v>
      </c>
    </row>
    <row r="979" spans="1:15" x14ac:dyDescent="0.25">
      <c r="A979" s="2">
        <v>40738</v>
      </c>
      <c r="B979" t="s">
        <v>40</v>
      </c>
      <c r="C979">
        <v>9</v>
      </c>
      <c r="D979" s="6" t="s">
        <v>16</v>
      </c>
      <c r="E979">
        <v>380</v>
      </c>
      <c r="F979">
        <v>1.25</v>
      </c>
      <c r="G979">
        <v>12</v>
      </c>
      <c r="N979">
        <f t="shared" si="50"/>
        <v>155.44325520833331</v>
      </c>
      <c r="O979">
        <f>((0.03851*E979)+(0.0322*N979))</f>
        <v>19.639072817708332</v>
      </c>
    </row>
    <row r="980" spans="1:15" x14ac:dyDescent="0.25">
      <c r="A980" s="2">
        <v>40738</v>
      </c>
      <c r="B980" t="s">
        <v>40</v>
      </c>
      <c r="C980">
        <v>9</v>
      </c>
      <c r="D980" s="6" t="s">
        <v>16</v>
      </c>
      <c r="E980">
        <v>385</v>
      </c>
      <c r="F980">
        <v>2.69</v>
      </c>
      <c r="G980">
        <v>0</v>
      </c>
      <c r="N980">
        <f t="shared" si="50"/>
        <v>729.34590571791659</v>
      </c>
      <c r="O980">
        <f>((0.03043*E980)+(0.02936*N980))</f>
        <v>33.129145791878031</v>
      </c>
    </row>
    <row r="981" spans="1:15" x14ac:dyDescent="0.25">
      <c r="A981" s="2">
        <v>40738</v>
      </c>
      <c r="B981" t="s">
        <v>40</v>
      </c>
      <c r="C981">
        <v>9</v>
      </c>
      <c r="D981" s="6" t="s">
        <v>19</v>
      </c>
      <c r="E981">
        <v>297</v>
      </c>
      <c r="F981">
        <v>4.22</v>
      </c>
      <c r="H981">
        <v>26</v>
      </c>
      <c r="I981">
        <v>2.5</v>
      </c>
      <c r="O981">
        <f>(0.66164*E981)+(16.34893*F981)+(1.11091*H981)+(-8.40694*I981)-154.2499</f>
        <v>119.11597459999999</v>
      </c>
    </row>
    <row r="982" spans="1:15" x14ac:dyDescent="0.25">
      <c r="A982" s="2">
        <v>40738</v>
      </c>
      <c r="B982" t="s">
        <v>40</v>
      </c>
      <c r="C982">
        <v>9</v>
      </c>
      <c r="D982" s="6" t="s">
        <v>19</v>
      </c>
      <c r="F982">
        <v>2.3199999999999998</v>
      </c>
      <c r="J982">
        <f>SUM(225,273,296,325,343)</f>
        <v>1462</v>
      </c>
      <c r="K982">
        <v>5</v>
      </c>
      <c r="L982">
        <v>343</v>
      </c>
      <c r="O982">
        <f>((-7.02235*K982)+(-0.30125*L982)+(0.09376*J982)+33.03698)</f>
        <v>31.673600000000022</v>
      </c>
    </row>
    <row r="983" spans="1:15" x14ac:dyDescent="0.25">
      <c r="A983" s="2">
        <v>40738</v>
      </c>
      <c r="B983" t="s">
        <v>40</v>
      </c>
      <c r="C983">
        <v>9</v>
      </c>
      <c r="D983" s="6" t="s">
        <v>19</v>
      </c>
      <c r="F983">
        <v>2.74</v>
      </c>
      <c r="J983">
        <f>SUM(241,287,232,257,267)</f>
        <v>1284</v>
      </c>
      <c r="K983">
        <v>5</v>
      </c>
      <c r="L983">
        <v>287</v>
      </c>
      <c r="O983">
        <f>((-7.02235*K983)+(-0.30125*L983)+(0.09376*J983)+33.03698)</f>
        <v>31.854319999999987</v>
      </c>
    </row>
    <row r="984" spans="1:15" x14ac:dyDescent="0.25">
      <c r="A984" s="2">
        <v>40738</v>
      </c>
      <c r="B984" t="s">
        <v>40</v>
      </c>
      <c r="C984">
        <v>9</v>
      </c>
      <c r="D984" s="6" t="s">
        <v>19</v>
      </c>
      <c r="F984">
        <v>2.4</v>
      </c>
      <c r="J984">
        <f>SUM(255,320,345,366,384,389)</f>
        <v>2059</v>
      </c>
      <c r="K984">
        <v>6</v>
      </c>
      <c r="L984">
        <v>389</v>
      </c>
      <c r="O984">
        <f>((-7.02235*K984)+(-0.30125*L984)+(0.09376*J984)+33.03698)</f>
        <v>66.768469999999979</v>
      </c>
    </row>
    <row r="985" spans="1:15" x14ac:dyDescent="0.25">
      <c r="A985" s="2">
        <v>40738</v>
      </c>
      <c r="B985" t="s">
        <v>40</v>
      </c>
      <c r="C985">
        <v>9</v>
      </c>
      <c r="D985" s="6" t="s">
        <v>19</v>
      </c>
      <c r="F985">
        <v>1.25</v>
      </c>
      <c r="J985">
        <f>SUM(275,313,345,352,367,375)</f>
        <v>2027</v>
      </c>
      <c r="K985">
        <v>6</v>
      </c>
      <c r="L985">
        <v>375</v>
      </c>
      <c r="O985">
        <f>((-7.02235*K985)+(-0.30125*L985)+(0.09376*J985)+33.03698)</f>
        <v>67.985649999999993</v>
      </c>
    </row>
    <row r="986" spans="1:15" x14ac:dyDescent="0.25">
      <c r="A986" s="2">
        <v>40738</v>
      </c>
      <c r="B986" t="s">
        <v>40</v>
      </c>
      <c r="C986">
        <v>15</v>
      </c>
      <c r="D986" t="s">
        <v>12</v>
      </c>
      <c r="E986">
        <v>256</v>
      </c>
      <c r="F986">
        <f>0.92-0.03</f>
        <v>0.89</v>
      </c>
      <c r="G986">
        <v>8</v>
      </c>
      <c r="M986" t="s">
        <v>52</v>
      </c>
      <c r="N986">
        <f>(1/3)*(3.14159)*((F986/2)^2)*E986</f>
        <v>53.087006698666663</v>
      </c>
      <c r="O986">
        <f>((0.03851*E986)+(0.0322*N986))</f>
        <v>11.567961615697067</v>
      </c>
    </row>
    <row r="987" spans="1:15" x14ac:dyDescent="0.25">
      <c r="A987" s="2">
        <v>40738</v>
      </c>
      <c r="B987" t="s">
        <v>40</v>
      </c>
      <c r="C987">
        <v>15</v>
      </c>
      <c r="D987" s="6" t="s">
        <v>16</v>
      </c>
      <c r="E987">
        <v>38</v>
      </c>
      <c r="F987">
        <v>0.44</v>
      </c>
      <c r="G987">
        <v>0</v>
      </c>
      <c r="N987">
        <f t="shared" ref="N987:N1028" si="52">((1/3)*(3.14159)*((F987/2)^2)*E987)</f>
        <v>1.9260041093333331</v>
      </c>
      <c r="O987">
        <f>((0.03043*E987)+(0.02936*N987))</f>
        <v>1.2128874806500265</v>
      </c>
    </row>
    <row r="988" spans="1:15" x14ac:dyDescent="0.25">
      <c r="A988" s="2">
        <v>40738</v>
      </c>
      <c r="B988" t="s">
        <v>40</v>
      </c>
      <c r="C988">
        <v>15</v>
      </c>
      <c r="D988" s="6" t="s">
        <v>16</v>
      </c>
      <c r="E988">
        <v>81</v>
      </c>
      <c r="F988">
        <v>0.4</v>
      </c>
      <c r="G988">
        <v>0</v>
      </c>
      <c r="N988">
        <f t="shared" si="52"/>
        <v>3.3929172000000003</v>
      </c>
      <c r="O988">
        <f>((0.03043*E988)+(0.02936*N988))</f>
        <v>2.564446048992</v>
      </c>
    </row>
    <row r="989" spans="1:15" x14ac:dyDescent="0.25">
      <c r="A989" s="2">
        <v>40738</v>
      </c>
      <c r="B989" t="s">
        <v>40</v>
      </c>
      <c r="C989">
        <v>15</v>
      </c>
      <c r="D989" s="6" t="s">
        <v>16</v>
      </c>
      <c r="E989">
        <v>85</v>
      </c>
      <c r="F989">
        <v>0.28999999999999998</v>
      </c>
      <c r="G989">
        <v>0</v>
      </c>
      <c r="N989">
        <f t="shared" si="52"/>
        <v>1.8714713429166663</v>
      </c>
      <c r="O989">
        <f>((0.03043*E989)+(0.02936*N989))</f>
        <v>2.6414963986280333</v>
      </c>
    </row>
    <row r="990" spans="1:15" x14ac:dyDescent="0.25">
      <c r="A990" s="2">
        <v>40738</v>
      </c>
      <c r="B990" t="s">
        <v>40</v>
      </c>
      <c r="C990">
        <v>15</v>
      </c>
      <c r="D990" t="s">
        <v>16</v>
      </c>
      <c r="E990">
        <v>126</v>
      </c>
      <c r="F990">
        <f>0.73-0.03</f>
        <v>0.7</v>
      </c>
      <c r="G990">
        <v>0</v>
      </c>
      <c r="M990" t="s">
        <v>52</v>
      </c>
      <c r="N990">
        <f t="shared" si="52"/>
        <v>16.163480549999996</v>
      </c>
      <c r="O990">
        <f>((0.03043*E990)+(0.02936*N990))</f>
        <v>4.3087397889479995</v>
      </c>
    </row>
    <row r="991" spans="1:15" x14ac:dyDescent="0.25">
      <c r="A991" s="2">
        <v>40738</v>
      </c>
      <c r="B991" t="s">
        <v>40</v>
      </c>
      <c r="C991">
        <v>15</v>
      </c>
      <c r="D991" t="s">
        <v>16</v>
      </c>
      <c r="E991">
        <v>129</v>
      </c>
      <c r="F991">
        <f>1.03-0.03</f>
        <v>1</v>
      </c>
      <c r="G991">
        <v>0</v>
      </c>
      <c r="M991" t="s">
        <v>52</v>
      </c>
      <c r="N991">
        <f t="shared" si="52"/>
        <v>33.772092499999999</v>
      </c>
      <c r="O991">
        <f>((0.03043*E991)+(0.02936*N991))</f>
        <v>4.9170186357999999</v>
      </c>
    </row>
    <row r="992" spans="1:15" x14ac:dyDescent="0.25">
      <c r="A992" s="2">
        <v>40738</v>
      </c>
      <c r="B992" t="s">
        <v>40</v>
      </c>
      <c r="C992">
        <v>15</v>
      </c>
      <c r="D992" t="s">
        <v>16</v>
      </c>
      <c r="E992">
        <v>170</v>
      </c>
      <c r="F992">
        <f>0.74-0.03</f>
        <v>0.71</v>
      </c>
      <c r="G992">
        <v>9</v>
      </c>
      <c r="M992" t="s">
        <v>52</v>
      </c>
      <c r="N992">
        <f t="shared" si="52"/>
        <v>22.435403185833334</v>
      </c>
      <c r="O992">
        <f>((0.03851*E992)+(0.0322*N992))</f>
        <v>7.2691199825838337</v>
      </c>
    </row>
    <row r="993" spans="1:15" x14ac:dyDescent="0.25">
      <c r="A993" s="2">
        <v>40738</v>
      </c>
      <c r="B993" t="s">
        <v>40</v>
      </c>
      <c r="C993">
        <v>15</v>
      </c>
      <c r="D993" t="s">
        <v>16</v>
      </c>
      <c r="E993">
        <v>174</v>
      </c>
      <c r="F993">
        <f>0.74-0.03</f>
        <v>0.71</v>
      </c>
      <c r="G993">
        <v>0</v>
      </c>
      <c r="M993" t="s">
        <v>52</v>
      </c>
      <c r="N993">
        <f t="shared" si="52"/>
        <v>22.963295025499999</v>
      </c>
      <c r="O993">
        <f>((0.03043*E993)+(0.02936*N993))</f>
        <v>5.9690223419486799</v>
      </c>
    </row>
    <row r="994" spans="1:15" x14ac:dyDescent="0.25">
      <c r="A994" s="2">
        <v>40738</v>
      </c>
      <c r="B994" t="s">
        <v>40</v>
      </c>
      <c r="C994">
        <v>15</v>
      </c>
      <c r="D994" t="s">
        <v>16</v>
      </c>
      <c r="E994">
        <v>201</v>
      </c>
      <c r="F994">
        <f>0.74-0.03</f>
        <v>0.71</v>
      </c>
      <c r="G994">
        <v>0</v>
      </c>
      <c r="M994" t="s">
        <v>52</v>
      </c>
      <c r="N994">
        <f t="shared" si="52"/>
        <v>26.526564943249998</v>
      </c>
      <c r="O994">
        <f>((0.03043*E994)+(0.02936*N994))</f>
        <v>6.8952499467338191</v>
      </c>
    </row>
    <row r="995" spans="1:15" x14ac:dyDescent="0.25">
      <c r="A995" s="2">
        <v>40738</v>
      </c>
      <c r="B995" t="s">
        <v>40</v>
      </c>
      <c r="C995">
        <v>15</v>
      </c>
      <c r="D995" s="6" t="s">
        <v>16</v>
      </c>
      <c r="E995">
        <v>205</v>
      </c>
      <c r="F995">
        <v>0.49</v>
      </c>
      <c r="G995">
        <v>3</v>
      </c>
      <c r="N995">
        <f t="shared" si="52"/>
        <v>12.885885882916664</v>
      </c>
      <c r="O995">
        <f>((0.03851*E995)+(0.0322*N995))</f>
        <v>8.3094755254299173</v>
      </c>
    </row>
    <row r="996" spans="1:15" x14ac:dyDescent="0.25">
      <c r="A996" s="2">
        <v>40738</v>
      </c>
      <c r="B996" t="s">
        <v>40</v>
      </c>
      <c r="C996">
        <v>15</v>
      </c>
      <c r="D996" t="s">
        <v>16</v>
      </c>
      <c r="E996">
        <v>206</v>
      </c>
      <c r="F996">
        <f>0.71-0.03</f>
        <v>0.67999999999999994</v>
      </c>
      <c r="G996">
        <v>0</v>
      </c>
      <c r="M996" t="s">
        <v>52</v>
      </c>
      <c r="N996">
        <f t="shared" si="52"/>
        <v>24.937522541333326</v>
      </c>
      <c r="O996">
        <f>((0.03043*E996)+(0.02936*N996))</f>
        <v>7.0007456618135464</v>
      </c>
    </row>
    <row r="997" spans="1:15" x14ac:dyDescent="0.25">
      <c r="A997" s="2">
        <v>40738</v>
      </c>
      <c r="B997" t="s">
        <v>40</v>
      </c>
      <c r="C997">
        <v>15</v>
      </c>
      <c r="D997" s="6" t="s">
        <v>16</v>
      </c>
      <c r="E997">
        <v>209</v>
      </c>
      <c r="F997">
        <v>0.35</v>
      </c>
      <c r="G997">
        <v>0</v>
      </c>
      <c r="N997">
        <f t="shared" si="52"/>
        <v>6.702713164583332</v>
      </c>
      <c r="O997">
        <f>((0.03043*E997)+(0.02936*N997))</f>
        <v>6.5566616585121666</v>
      </c>
    </row>
    <row r="998" spans="1:15" x14ac:dyDescent="0.25">
      <c r="A998" s="2">
        <v>40738</v>
      </c>
      <c r="B998" t="s">
        <v>40</v>
      </c>
      <c r="C998">
        <v>15</v>
      </c>
      <c r="D998" t="s">
        <v>16</v>
      </c>
      <c r="E998">
        <v>211</v>
      </c>
      <c r="F998">
        <f>1.29-0.03</f>
        <v>1.26</v>
      </c>
      <c r="G998">
        <v>0</v>
      </c>
      <c r="M998" t="s">
        <v>52</v>
      </c>
      <c r="N998">
        <f t="shared" si="52"/>
        <v>87.698427327000005</v>
      </c>
      <c r="O998">
        <f>((0.03043*E998)+(0.02936*N998))</f>
        <v>8.9955558263207198</v>
      </c>
    </row>
    <row r="999" spans="1:15" x14ac:dyDescent="0.25">
      <c r="A999" s="2">
        <v>40738</v>
      </c>
      <c r="B999" t="s">
        <v>40</v>
      </c>
      <c r="C999">
        <v>15</v>
      </c>
      <c r="D999" s="6" t="s">
        <v>16</v>
      </c>
      <c r="E999">
        <v>216</v>
      </c>
      <c r="F999">
        <v>0.5</v>
      </c>
      <c r="G999">
        <v>0</v>
      </c>
      <c r="N999">
        <f t="shared" si="52"/>
        <v>14.137154999999998</v>
      </c>
      <c r="O999">
        <f>((0.03043*E999)+(0.02936*N999))</f>
        <v>6.9879468707999992</v>
      </c>
    </row>
    <row r="1000" spans="1:15" x14ac:dyDescent="0.25">
      <c r="A1000" s="2">
        <v>40738</v>
      </c>
      <c r="B1000" t="s">
        <v>40</v>
      </c>
      <c r="C1000">
        <v>15</v>
      </c>
      <c r="D1000" s="6" t="s">
        <v>16</v>
      </c>
      <c r="E1000">
        <v>219</v>
      </c>
      <c r="F1000">
        <v>0.79</v>
      </c>
      <c r="G1000">
        <v>0</v>
      </c>
      <c r="N1000">
        <f t="shared" si="52"/>
        <v>35.782160321750005</v>
      </c>
      <c r="O1000">
        <f>((0.03043*E1000)+(0.02936*N1000))</f>
        <v>7.7147342270465797</v>
      </c>
    </row>
    <row r="1001" spans="1:15" x14ac:dyDescent="0.25">
      <c r="A1001" s="2">
        <v>40738</v>
      </c>
      <c r="B1001" t="s">
        <v>40</v>
      </c>
      <c r="C1001">
        <v>15</v>
      </c>
      <c r="D1001" s="6" t="s">
        <v>16</v>
      </c>
      <c r="E1001">
        <v>221</v>
      </c>
      <c r="F1001">
        <v>0.5</v>
      </c>
      <c r="G1001">
        <v>5</v>
      </c>
      <c r="N1001">
        <f t="shared" si="52"/>
        <v>14.464403958333332</v>
      </c>
      <c r="O1001">
        <f>((0.03851*E1001)+(0.0322*N1001))</f>
        <v>8.9764638074583338</v>
      </c>
    </row>
    <row r="1002" spans="1:15" x14ac:dyDescent="0.25">
      <c r="A1002" s="2">
        <v>40738</v>
      </c>
      <c r="B1002" t="s">
        <v>40</v>
      </c>
      <c r="C1002">
        <v>15</v>
      </c>
      <c r="D1002" s="6" t="s">
        <v>16</v>
      </c>
      <c r="E1002">
        <v>227</v>
      </c>
      <c r="F1002">
        <v>0.8</v>
      </c>
      <c r="G1002">
        <v>0</v>
      </c>
      <c r="N1002">
        <f t="shared" si="52"/>
        <v>38.034182933333334</v>
      </c>
      <c r="O1002">
        <f>((0.03043*E1002)+(0.02936*N1002))</f>
        <v>8.0242936109226672</v>
      </c>
    </row>
    <row r="1003" spans="1:15" x14ac:dyDescent="0.25">
      <c r="A1003" s="2">
        <v>40738</v>
      </c>
      <c r="B1003" t="s">
        <v>40</v>
      </c>
      <c r="C1003">
        <v>15</v>
      </c>
      <c r="D1003" s="6" t="s">
        <v>16</v>
      </c>
      <c r="E1003">
        <v>228</v>
      </c>
      <c r="F1003">
        <v>0.4</v>
      </c>
      <c r="G1003">
        <v>0</v>
      </c>
      <c r="N1003">
        <f t="shared" si="52"/>
        <v>9.5504335999999999</v>
      </c>
      <c r="O1003">
        <f>((0.03043*E1003)+(0.02936*N1003))</f>
        <v>7.2184407304959999</v>
      </c>
    </row>
    <row r="1004" spans="1:15" x14ac:dyDescent="0.25">
      <c r="A1004" s="2">
        <v>40738</v>
      </c>
      <c r="B1004" t="s">
        <v>40</v>
      </c>
      <c r="C1004">
        <v>15</v>
      </c>
      <c r="D1004" s="6" t="s">
        <v>16</v>
      </c>
      <c r="E1004">
        <v>231</v>
      </c>
      <c r="F1004">
        <v>0.78</v>
      </c>
      <c r="G1004">
        <v>5</v>
      </c>
      <c r="N1004">
        <f t="shared" si="52"/>
        <v>36.793359602999999</v>
      </c>
      <c r="O1004">
        <f>((0.03851*E1004)+(0.0322*N1004))</f>
        <v>10.0805561792166</v>
      </c>
    </row>
    <row r="1005" spans="1:15" x14ac:dyDescent="0.25">
      <c r="A1005" s="2">
        <v>40738</v>
      </c>
      <c r="B1005" t="s">
        <v>40</v>
      </c>
      <c r="C1005">
        <v>15</v>
      </c>
      <c r="D1005" s="6" t="s">
        <v>16</v>
      </c>
      <c r="E1005">
        <v>232</v>
      </c>
      <c r="F1005">
        <v>0.84</v>
      </c>
      <c r="G1005">
        <v>0</v>
      </c>
      <c r="N1005">
        <f t="shared" si="52"/>
        <v>42.856314143999988</v>
      </c>
      <c r="O1005">
        <f>((0.03043*E1005)+(0.02936*N1005))</f>
        <v>8.3180213832678405</v>
      </c>
    </row>
    <row r="1006" spans="1:15" x14ac:dyDescent="0.25">
      <c r="A1006" s="2">
        <v>40738</v>
      </c>
      <c r="B1006" t="s">
        <v>40</v>
      </c>
      <c r="C1006">
        <v>15</v>
      </c>
      <c r="D1006" s="6" t="s">
        <v>16</v>
      </c>
      <c r="E1006">
        <v>233</v>
      </c>
      <c r="F1006">
        <v>0.7</v>
      </c>
      <c r="G1006">
        <v>0</v>
      </c>
      <c r="N1006">
        <f t="shared" si="52"/>
        <v>29.889610858333327</v>
      </c>
      <c r="O1006">
        <f>((0.03043*E1006)+(0.02936*N1006))</f>
        <v>7.9677489748006662</v>
      </c>
    </row>
    <row r="1007" spans="1:15" x14ac:dyDescent="0.25">
      <c r="A1007" s="2">
        <v>40738</v>
      </c>
      <c r="B1007" t="s">
        <v>40</v>
      </c>
      <c r="C1007">
        <v>15</v>
      </c>
      <c r="D1007" t="s">
        <v>16</v>
      </c>
      <c r="E1007">
        <v>233</v>
      </c>
      <c r="F1007">
        <f>0.78-0.03</f>
        <v>0.75</v>
      </c>
      <c r="G1007">
        <v>0</v>
      </c>
      <c r="M1007" t="s">
        <v>52</v>
      </c>
      <c r="N1007">
        <f t="shared" si="52"/>
        <v>34.312053281249995</v>
      </c>
      <c r="O1007">
        <f>((0.03043*E1007)+(0.02936*N1007))</f>
        <v>8.0975918843375005</v>
      </c>
    </row>
    <row r="1008" spans="1:15" x14ac:dyDescent="0.25">
      <c r="A1008" s="2">
        <v>40738</v>
      </c>
      <c r="B1008" t="s">
        <v>40</v>
      </c>
      <c r="C1008">
        <v>15</v>
      </c>
      <c r="D1008" t="s">
        <v>16</v>
      </c>
      <c r="E1008">
        <v>239</v>
      </c>
      <c r="F1008">
        <f>0.69-0.03</f>
        <v>0.65999999999999992</v>
      </c>
      <c r="G1008">
        <v>0</v>
      </c>
      <c r="M1008" t="s">
        <v>52</v>
      </c>
      <c r="N1008">
        <f t="shared" si="52"/>
        <v>27.255492362999991</v>
      </c>
      <c r="O1008">
        <f>((0.03043*E1008)+(0.02936*N1008))</f>
        <v>8.07299125577768</v>
      </c>
    </row>
    <row r="1009" spans="1:15" x14ac:dyDescent="0.25">
      <c r="A1009" s="2">
        <v>40738</v>
      </c>
      <c r="B1009" t="s">
        <v>40</v>
      </c>
      <c r="C1009">
        <v>15</v>
      </c>
      <c r="D1009" s="6" t="s">
        <v>16</v>
      </c>
      <c r="E1009">
        <v>240</v>
      </c>
      <c r="F1009">
        <v>0.79</v>
      </c>
      <c r="G1009">
        <v>7</v>
      </c>
      <c r="N1009">
        <f t="shared" si="52"/>
        <v>39.213326380000005</v>
      </c>
      <c r="O1009">
        <f>((0.03851*E1009)+(0.0322*N1009))</f>
        <v>10.505069109436</v>
      </c>
    </row>
    <row r="1010" spans="1:15" x14ac:dyDescent="0.25">
      <c r="A1010" s="2">
        <v>40738</v>
      </c>
      <c r="B1010" t="s">
        <v>40</v>
      </c>
      <c r="C1010">
        <v>15</v>
      </c>
      <c r="D1010" t="s">
        <v>16</v>
      </c>
      <c r="E1010">
        <v>243</v>
      </c>
      <c r="F1010">
        <f>0.62-0.03</f>
        <v>0.59</v>
      </c>
      <c r="G1010">
        <v>0</v>
      </c>
      <c r="M1010" t="s">
        <v>52</v>
      </c>
      <c r="N1010">
        <f t="shared" si="52"/>
        <v>22.145146449749998</v>
      </c>
      <c r="O1010">
        <f>((0.03043*E1010)+(0.02936*N1010))</f>
        <v>8.0446714997646591</v>
      </c>
    </row>
    <row r="1011" spans="1:15" x14ac:dyDescent="0.25">
      <c r="A1011" s="2">
        <v>40738</v>
      </c>
      <c r="B1011" t="s">
        <v>40</v>
      </c>
      <c r="C1011">
        <v>15</v>
      </c>
      <c r="D1011" t="s">
        <v>16</v>
      </c>
      <c r="E1011">
        <v>245</v>
      </c>
      <c r="F1011">
        <f>1.01-0.03</f>
        <v>0.98</v>
      </c>
      <c r="G1011">
        <v>8</v>
      </c>
      <c r="M1011" t="s">
        <v>52</v>
      </c>
      <c r="N1011">
        <f t="shared" si="52"/>
        <v>61.600820318333319</v>
      </c>
      <c r="O1011">
        <f>((0.03851*E1011)+(0.0322*N1011))</f>
        <v>11.418496414250333</v>
      </c>
    </row>
    <row r="1012" spans="1:15" x14ac:dyDescent="0.25">
      <c r="A1012" s="2">
        <v>40738</v>
      </c>
      <c r="B1012" t="s">
        <v>40</v>
      </c>
      <c r="C1012">
        <v>15</v>
      </c>
      <c r="D1012" s="6" t="s">
        <v>16</v>
      </c>
      <c r="E1012">
        <v>247</v>
      </c>
      <c r="F1012">
        <v>0.7</v>
      </c>
      <c r="G1012">
        <v>0</v>
      </c>
      <c r="N1012">
        <f t="shared" si="52"/>
        <v>31.685553141666659</v>
      </c>
      <c r="O1012">
        <f>((0.03043*E1012)+(0.02936*N1012))</f>
        <v>8.4464978402393331</v>
      </c>
    </row>
    <row r="1013" spans="1:15" x14ac:dyDescent="0.25">
      <c r="A1013" s="2">
        <v>40738</v>
      </c>
      <c r="B1013" t="s">
        <v>40</v>
      </c>
      <c r="C1013">
        <v>15</v>
      </c>
      <c r="D1013" s="6" t="s">
        <v>16</v>
      </c>
      <c r="E1013">
        <v>248</v>
      </c>
      <c r="F1013">
        <v>0.8</v>
      </c>
      <c r="G1013">
        <v>0</v>
      </c>
      <c r="N1013">
        <f t="shared" si="52"/>
        <v>41.552763733333336</v>
      </c>
      <c r="O1013">
        <f>((0.03043*E1013)+(0.02936*N1013))</f>
        <v>8.7666291432106664</v>
      </c>
    </row>
    <row r="1014" spans="1:15" x14ac:dyDescent="0.25">
      <c r="A1014" s="2">
        <v>40738</v>
      </c>
      <c r="B1014" t="s">
        <v>40</v>
      </c>
      <c r="C1014">
        <v>15</v>
      </c>
      <c r="D1014" t="s">
        <v>16</v>
      </c>
      <c r="E1014">
        <v>251</v>
      </c>
      <c r="F1014">
        <f>0.76-0.03</f>
        <v>0.73</v>
      </c>
      <c r="G1014">
        <v>0</v>
      </c>
      <c r="M1014" t="s">
        <v>52</v>
      </c>
      <c r="N1014">
        <f t="shared" si="52"/>
        <v>35.017706755083324</v>
      </c>
      <c r="O1014">
        <f>((0.03043*E1014)+(0.02936*N1014))</f>
        <v>8.6660498703292461</v>
      </c>
    </row>
    <row r="1015" spans="1:15" x14ac:dyDescent="0.25">
      <c r="A1015" s="2">
        <v>40738</v>
      </c>
      <c r="B1015" t="s">
        <v>40</v>
      </c>
      <c r="C1015">
        <v>15</v>
      </c>
      <c r="D1015" s="6" t="s">
        <v>16</v>
      </c>
      <c r="E1015">
        <v>251</v>
      </c>
      <c r="F1015">
        <v>1.0900000000000001</v>
      </c>
      <c r="G1015">
        <v>0</v>
      </c>
      <c r="N1015">
        <f t="shared" si="52"/>
        <v>78.071941069083337</v>
      </c>
      <c r="O1015">
        <f>((0.03043*E1015)+(0.02936*N1015))</f>
        <v>9.9301221897882872</v>
      </c>
    </row>
    <row r="1016" spans="1:15" x14ac:dyDescent="0.25">
      <c r="A1016" s="2">
        <v>40738</v>
      </c>
      <c r="B1016" t="s">
        <v>40</v>
      </c>
      <c r="C1016">
        <v>15</v>
      </c>
      <c r="D1016" t="s">
        <v>16</v>
      </c>
      <c r="E1016">
        <v>251</v>
      </c>
      <c r="F1016">
        <f>0.96-0.03</f>
        <v>0.92999999999999994</v>
      </c>
      <c r="G1016">
        <v>3</v>
      </c>
      <c r="M1016" t="s">
        <v>52</v>
      </c>
      <c r="N1016">
        <f t="shared" si="52"/>
        <v>56.833954911749984</v>
      </c>
      <c r="O1016">
        <f>((0.03851*E1016)+(0.0322*N1016))</f>
        <v>11.49606334815835</v>
      </c>
    </row>
    <row r="1017" spans="1:15" x14ac:dyDescent="0.25">
      <c r="A1017" s="2">
        <v>40738</v>
      </c>
      <c r="B1017" t="s">
        <v>40</v>
      </c>
      <c r="C1017">
        <v>15</v>
      </c>
      <c r="D1017" s="6" t="s">
        <v>16</v>
      </c>
      <c r="E1017">
        <v>252</v>
      </c>
      <c r="F1017">
        <v>1.44</v>
      </c>
      <c r="G1017">
        <v>5</v>
      </c>
      <c r="N1017">
        <f t="shared" si="52"/>
        <v>136.80242150399997</v>
      </c>
      <c r="O1017">
        <f>((0.03851*E1017)+(0.0322*N1017))</f>
        <v>14.109557972428799</v>
      </c>
    </row>
    <row r="1018" spans="1:15" x14ac:dyDescent="0.25">
      <c r="A1018" s="2">
        <v>40738</v>
      </c>
      <c r="B1018" t="s">
        <v>40</v>
      </c>
      <c r="C1018">
        <v>15</v>
      </c>
      <c r="D1018" t="s">
        <v>16</v>
      </c>
      <c r="E1018">
        <v>258</v>
      </c>
      <c r="F1018">
        <f>0.66-0.03</f>
        <v>0.63</v>
      </c>
      <c r="G1018">
        <v>9</v>
      </c>
      <c r="M1018" t="s">
        <v>52</v>
      </c>
      <c r="N1018">
        <f t="shared" si="52"/>
        <v>26.8082870265</v>
      </c>
      <c r="O1018">
        <f>((0.03851*E1018)+(0.0322*N1018))</f>
        <v>10.798806842253299</v>
      </c>
    </row>
    <row r="1019" spans="1:15" x14ac:dyDescent="0.25">
      <c r="A1019" s="2">
        <v>40738</v>
      </c>
      <c r="B1019" t="s">
        <v>40</v>
      </c>
      <c r="C1019">
        <v>15</v>
      </c>
      <c r="D1019" s="6" t="s">
        <v>16</v>
      </c>
      <c r="E1019">
        <v>258</v>
      </c>
      <c r="F1019">
        <v>1.1100000000000001</v>
      </c>
      <c r="G1019">
        <v>1</v>
      </c>
      <c r="N1019">
        <f t="shared" si="52"/>
        <v>83.221190338499994</v>
      </c>
      <c r="O1019">
        <f>((0.03851*E1019)+(0.0322*N1019))</f>
        <v>12.6153023288997</v>
      </c>
    </row>
    <row r="1020" spans="1:15" x14ac:dyDescent="0.25">
      <c r="A1020" s="2">
        <v>40738</v>
      </c>
      <c r="B1020" t="s">
        <v>40</v>
      </c>
      <c r="C1020">
        <v>15</v>
      </c>
      <c r="D1020" s="6" t="s">
        <v>16</v>
      </c>
      <c r="E1020">
        <v>261</v>
      </c>
      <c r="F1020">
        <v>0.81</v>
      </c>
      <c r="G1020">
        <v>5</v>
      </c>
      <c r="N1020">
        <f t="shared" si="52"/>
        <v>44.831039078250008</v>
      </c>
      <c r="O1020">
        <f>((0.03851*E1020)+(0.0322*N1020))</f>
        <v>11.494669458319652</v>
      </c>
    </row>
    <row r="1021" spans="1:15" x14ac:dyDescent="0.25">
      <c r="A1021" s="2">
        <v>40738</v>
      </c>
      <c r="B1021" t="s">
        <v>40</v>
      </c>
      <c r="C1021">
        <v>15</v>
      </c>
      <c r="D1021" t="s">
        <v>16</v>
      </c>
      <c r="E1021">
        <v>263</v>
      </c>
      <c r="F1021">
        <f>0.95-0.03</f>
        <v>0.91999999999999993</v>
      </c>
      <c r="G1021">
        <v>0</v>
      </c>
      <c r="M1021" t="s">
        <v>52</v>
      </c>
      <c r="N1021">
        <f t="shared" si="52"/>
        <v>58.27733225733332</v>
      </c>
      <c r="O1021">
        <f>((0.03043*E1021)+(0.02936*N1021))</f>
        <v>9.7141124750753072</v>
      </c>
    </row>
    <row r="1022" spans="1:15" x14ac:dyDescent="0.25">
      <c r="A1022" s="2">
        <v>40738</v>
      </c>
      <c r="B1022" t="s">
        <v>40</v>
      </c>
      <c r="C1022">
        <v>15</v>
      </c>
      <c r="D1022" t="s">
        <v>16</v>
      </c>
      <c r="E1022">
        <v>265</v>
      </c>
      <c r="F1022">
        <f>0.89-0.03</f>
        <v>0.86</v>
      </c>
      <c r="G1022">
        <v>9</v>
      </c>
      <c r="M1022" t="s">
        <v>52</v>
      </c>
      <c r="N1022">
        <f t="shared" si="52"/>
        <v>51.311065871666656</v>
      </c>
      <c r="O1022">
        <f t="shared" ref="O1022:O1027" si="53">((0.03851*E1022)+(0.0322*N1022))</f>
        <v>11.857366321067667</v>
      </c>
    </row>
    <row r="1023" spans="1:15" x14ac:dyDescent="0.25">
      <c r="A1023" s="2">
        <v>40738</v>
      </c>
      <c r="B1023" t="s">
        <v>40</v>
      </c>
      <c r="C1023">
        <v>15</v>
      </c>
      <c r="D1023" s="6" t="s">
        <v>16</v>
      </c>
      <c r="E1023">
        <v>266</v>
      </c>
      <c r="F1023">
        <v>0.5</v>
      </c>
      <c r="G1023">
        <v>12</v>
      </c>
      <c r="N1023">
        <f t="shared" si="52"/>
        <v>17.409644583333332</v>
      </c>
      <c r="O1023">
        <f t="shared" si="53"/>
        <v>10.804250555583334</v>
      </c>
    </row>
    <row r="1024" spans="1:15" x14ac:dyDescent="0.25">
      <c r="A1024" s="2">
        <v>40738</v>
      </c>
      <c r="B1024" t="s">
        <v>40</v>
      </c>
      <c r="C1024">
        <v>15</v>
      </c>
      <c r="D1024" t="s">
        <v>16</v>
      </c>
      <c r="E1024">
        <v>275</v>
      </c>
      <c r="F1024">
        <f>0.96-0.03</f>
        <v>0.92999999999999994</v>
      </c>
      <c r="G1024">
        <v>8</v>
      </c>
      <c r="M1024" t="s">
        <v>52</v>
      </c>
      <c r="N1024">
        <f t="shared" si="52"/>
        <v>62.268277293749982</v>
      </c>
      <c r="O1024">
        <f t="shared" si="53"/>
        <v>12.595288528858751</v>
      </c>
    </row>
    <row r="1025" spans="1:15" x14ac:dyDescent="0.25">
      <c r="A1025" s="2">
        <v>40738</v>
      </c>
      <c r="B1025" t="s">
        <v>40</v>
      </c>
      <c r="C1025">
        <v>15</v>
      </c>
      <c r="D1025" t="s">
        <v>16</v>
      </c>
      <c r="E1025">
        <v>276</v>
      </c>
      <c r="F1025">
        <f>1.09-0.03</f>
        <v>1.06</v>
      </c>
      <c r="G1025">
        <v>8</v>
      </c>
      <c r="M1025" t="s">
        <v>52</v>
      </c>
      <c r="N1025">
        <f t="shared" si="52"/>
        <v>81.187482052000007</v>
      </c>
      <c r="O1025">
        <f t="shared" si="53"/>
        <v>13.242996922074402</v>
      </c>
    </row>
    <row r="1026" spans="1:15" x14ac:dyDescent="0.25">
      <c r="A1026" s="2">
        <v>40738</v>
      </c>
      <c r="B1026" t="s">
        <v>40</v>
      </c>
      <c r="C1026">
        <v>15</v>
      </c>
      <c r="D1026" t="s">
        <v>16</v>
      </c>
      <c r="E1026">
        <v>280</v>
      </c>
      <c r="F1026">
        <f>0.85-0.03</f>
        <v>0.82</v>
      </c>
      <c r="G1026">
        <v>4</v>
      </c>
      <c r="M1026" t="s">
        <v>52</v>
      </c>
      <c r="N1026">
        <f t="shared" si="52"/>
        <v>49.289452706666651</v>
      </c>
      <c r="O1026">
        <f t="shared" si="53"/>
        <v>12.369920377154667</v>
      </c>
    </row>
    <row r="1027" spans="1:15" x14ac:dyDescent="0.25">
      <c r="A1027" s="2">
        <v>40738</v>
      </c>
      <c r="B1027" t="s">
        <v>40</v>
      </c>
      <c r="C1027">
        <v>15</v>
      </c>
      <c r="D1027" s="6" t="s">
        <v>16</v>
      </c>
      <c r="E1027">
        <v>281</v>
      </c>
      <c r="F1027">
        <v>1.04</v>
      </c>
      <c r="G1027">
        <v>8</v>
      </c>
      <c r="N1027">
        <f t="shared" si="52"/>
        <v>79.568516005333322</v>
      </c>
      <c r="O1027">
        <f t="shared" si="53"/>
        <v>13.383416215371733</v>
      </c>
    </row>
    <row r="1028" spans="1:15" x14ac:dyDescent="0.25">
      <c r="A1028" s="2">
        <v>40738</v>
      </c>
      <c r="B1028" t="s">
        <v>40</v>
      </c>
      <c r="C1028">
        <v>15</v>
      </c>
      <c r="D1028" t="s">
        <v>16</v>
      </c>
      <c r="E1028">
        <v>356</v>
      </c>
      <c r="F1028">
        <f>1.05-0.03</f>
        <v>1.02</v>
      </c>
      <c r="G1028">
        <v>0</v>
      </c>
      <c r="M1028" t="s">
        <v>52</v>
      </c>
      <c r="N1028">
        <f t="shared" si="52"/>
        <v>96.965803667999978</v>
      </c>
      <c r="O1028">
        <f>((0.03043*E1028)+(0.02936*N1028))</f>
        <v>13.679995995692478</v>
      </c>
    </row>
    <row r="1029" spans="1:15" x14ac:dyDescent="0.25">
      <c r="A1029" s="2">
        <v>40738</v>
      </c>
      <c r="B1029" t="s">
        <v>40</v>
      </c>
      <c r="C1029">
        <v>15</v>
      </c>
      <c r="D1029" s="6" t="s">
        <v>19</v>
      </c>
      <c r="E1029">
        <v>263</v>
      </c>
      <c r="F1029">
        <v>2.25</v>
      </c>
      <c r="H1029">
        <v>25</v>
      </c>
      <c r="I1029">
        <v>2.2000000000000002</v>
      </c>
      <c r="O1029">
        <f>(0.66164*E1029)+(16.34893*F1029)+(1.11091*H1029)+(-8.40694*I1029)-154.2499</f>
        <v>65.823994499999998</v>
      </c>
    </row>
    <row r="1030" spans="1:15" x14ac:dyDescent="0.25">
      <c r="A1030" s="2">
        <v>40738</v>
      </c>
      <c r="B1030" t="s">
        <v>40</v>
      </c>
      <c r="C1030">
        <v>15</v>
      </c>
      <c r="D1030" s="6" t="s">
        <v>19</v>
      </c>
      <c r="E1030">
        <v>264</v>
      </c>
      <c r="F1030">
        <v>2.57</v>
      </c>
      <c r="H1030">
        <v>16</v>
      </c>
      <c r="I1030">
        <v>2</v>
      </c>
      <c r="O1030">
        <f>(0.66164*E1030)+(16.34893*F1030)+(1.11091*H1030)+(-8.40694*I1030)-154.2499</f>
        <v>63.400490099999985</v>
      </c>
    </row>
    <row r="1031" spans="1:15" x14ac:dyDescent="0.25">
      <c r="A1031" s="2">
        <v>40738</v>
      </c>
      <c r="B1031" t="s">
        <v>40</v>
      </c>
      <c r="C1031">
        <v>15</v>
      </c>
      <c r="D1031" t="s">
        <v>19</v>
      </c>
      <c r="E1031">
        <v>268</v>
      </c>
      <c r="F1031">
        <f>2.55-0.03</f>
        <v>2.52</v>
      </c>
      <c r="H1031">
        <v>29</v>
      </c>
      <c r="I1031">
        <v>2.4</v>
      </c>
      <c r="M1031" t="s">
        <v>52</v>
      </c>
      <c r="O1031">
        <f>(0.66164*E1031)+(16.34893*F1031)+(1.11091*H1031)+(-8.40694*I1031)-154.2499</f>
        <v>76.308657600000004</v>
      </c>
    </row>
    <row r="1032" spans="1:15" x14ac:dyDescent="0.25">
      <c r="A1032" s="2">
        <v>40738</v>
      </c>
      <c r="B1032" t="s">
        <v>40</v>
      </c>
      <c r="C1032">
        <v>15</v>
      </c>
      <c r="D1032" t="s">
        <v>19</v>
      </c>
      <c r="E1032">
        <v>307</v>
      </c>
      <c r="F1032">
        <f>2.19-0.03</f>
        <v>2.16</v>
      </c>
      <c r="H1032">
        <v>27</v>
      </c>
      <c r="I1032">
        <v>2.6</v>
      </c>
      <c r="M1032" t="s">
        <v>52</v>
      </c>
      <c r="O1032">
        <f>(0.66164*E1032)+(16.34893*F1032)+(1.11091*H1032)+(-8.40694*I1032)-154.2499</f>
        <v>92.323794800000002</v>
      </c>
    </row>
    <row r="1033" spans="1:15" x14ac:dyDescent="0.25">
      <c r="A1033" s="2">
        <v>40738</v>
      </c>
      <c r="B1033" t="s">
        <v>40</v>
      </c>
      <c r="C1033">
        <v>15</v>
      </c>
      <c r="D1033" s="6" t="s">
        <v>19</v>
      </c>
      <c r="F1033">
        <v>1.2</v>
      </c>
      <c r="J1033">
        <f>SUM(186,197,219,270,265)</f>
        <v>1137</v>
      </c>
      <c r="K1033">
        <v>5</v>
      </c>
      <c r="L1033">
        <v>270</v>
      </c>
      <c r="O1033">
        <f>((-7.02235*K1033)+(-0.30125*L1033)+(0.09376*J1033)+33.03698)</f>
        <v>23.192849999999993</v>
      </c>
    </row>
    <row r="1034" spans="1:15" x14ac:dyDescent="0.25">
      <c r="A1034" s="2">
        <v>40738</v>
      </c>
      <c r="B1034" t="s">
        <v>40</v>
      </c>
      <c r="C1034">
        <v>15</v>
      </c>
      <c r="D1034" s="6" t="s">
        <v>19</v>
      </c>
      <c r="F1034">
        <v>1.78</v>
      </c>
      <c r="J1034">
        <f>SUM(182,229,266,287,291)</f>
        <v>1255</v>
      </c>
      <c r="K1034">
        <v>5</v>
      </c>
      <c r="L1034">
        <v>291</v>
      </c>
      <c r="O1034">
        <f>((-7.02235*K1034)+(-0.30125*L1034)+(0.09376*J1034)+33.03698)</f>
        <v>27.930279999999982</v>
      </c>
    </row>
    <row r="1035" spans="1:15" x14ac:dyDescent="0.25">
      <c r="A1035" s="2">
        <v>40738</v>
      </c>
      <c r="B1035" t="s">
        <v>40</v>
      </c>
      <c r="C1035">
        <v>15</v>
      </c>
      <c r="D1035" t="s">
        <v>19</v>
      </c>
      <c r="F1035">
        <f>2.73-0.03</f>
        <v>2.7</v>
      </c>
      <c r="J1035">
        <f>SUM(124,176,255,297,301,323)</f>
        <v>1476</v>
      </c>
      <c r="K1035">
        <v>6</v>
      </c>
      <c r="L1035">
        <v>323</v>
      </c>
      <c r="M1035" t="s">
        <v>52</v>
      </c>
      <c r="O1035">
        <f>((-7.02235*K1035)+(-0.30125*L1035)+(0.09376*J1035)+33.03698)</f>
        <v>31.988889999999969</v>
      </c>
    </row>
    <row r="1036" spans="1:15" x14ac:dyDescent="0.25">
      <c r="A1036" s="2">
        <v>40738</v>
      </c>
      <c r="B1036" t="s">
        <v>40</v>
      </c>
      <c r="C1036">
        <v>18</v>
      </c>
      <c r="D1036" s="6" t="s">
        <v>16</v>
      </c>
      <c r="E1036">
        <v>110</v>
      </c>
      <c r="F1036">
        <v>0.72</v>
      </c>
      <c r="G1036">
        <v>0</v>
      </c>
      <c r="N1036">
        <f t="shared" ref="N1036:N1054" si="54">((1/3)*(3.14159)*((F1036/2)^2)*E1036)</f>
        <v>14.928835679999997</v>
      </c>
      <c r="O1036">
        <f>((0.03043*E1036)+(0.02936*N1036))</f>
        <v>3.7856106155647997</v>
      </c>
    </row>
    <row r="1037" spans="1:15" x14ac:dyDescent="0.25">
      <c r="A1037" s="2">
        <v>40738</v>
      </c>
      <c r="B1037" t="s">
        <v>40</v>
      </c>
      <c r="C1037">
        <v>18</v>
      </c>
      <c r="D1037" s="6" t="s">
        <v>16</v>
      </c>
      <c r="E1037">
        <v>168</v>
      </c>
      <c r="F1037">
        <v>0.75</v>
      </c>
      <c r="G1037">
        <v>0</v>
      </c>
      <c r="N1037">
        <f t="shared" si="54"/>
        <v>24.740021249999998</v>
      </c>
      <c r="O1037">
        <f>((0.03043*E1037)+(0.02936*N1037))</f>
        <v>5.8386070238999999</v>
      </c>
    </row>
    <row r="1038" spans="1:15" x14ac:dyDescent="0.25">
      <c r="A1038" s="2">
        <v>40738</v>
      </c>
      <c r="B1038" t="s">
        <v>40</v>
      </c>
      <c r="C1038">
        <v>18</v>
      </c>
      <c r="D1038" s="6" t="s">
        <v>16</v>
      </c>
      <c r="E1038">
        <v>170</v>
      </c>
      <c r="F1038">
        <v>0.78</v>
      </c>
      <c r="G1038">
        <v>0</v>
      </c>
      <c r="N1038">
        <f t="shared" si="54"/>
        <v>27.077364209999999</v>
      </c>
      <c r="O1038">
        <f>((0.03043*E1038)+(0.02936*N1038))</f>
        <v>5.9680914132055998</v>
      </c>
    </row>
    <row r="1039" spans="1:15" x14ac:dyDescent="0.25">
      <c r="A1039" s="2">
        <v>40738</v>
      </c>
      <c r="B1039" t="s">
        <v>40</v>
      </c>
      <c r="C1039">
        <v>18</v>
      </c>
      <c r="D1039" s="6" t="s">
        <v>16</v>
      </c>
      <c r="E1039">
        <v>181</v>
      </c>
      <c r="F1039">
        <v>0.67</v>
      </c>
      <c r="G1039">
        <v>0</v>
      </c>
      <c r="N1039">
        <f t="shared" si="54"/>
        <v>21.271417910916668</v>
      </c>
      <c r="O1039">
        <f>((0.03043*E1039)+(0.02936*N1039))</f>
        <v>6.1323588298645131</v>
      </c>
    </row>
    <row r="1040" spans="1:15" x14ac:dyDescent="0.25">
      <c r="A1040" s="2">
        <v>40738</v>
      </c>
      <c r="B1040" t="s">
        <v>40</v>
      </c>
      <c r="C1040">
        <v>18</v>
      </c>
      <c r="D1040" s="6" t="s">
        <v>16</v>
      </c>
      <c r="E1040">
        <v>185</v>
      </c>
      <c r="F1040">
        <v>0.97</v>
      </c>
      <c r="G1040">
        <v>2</v>
      </c>
      <c r="N1040">
        <f t="shared" si="54"/>
        <v>45.570464644583325</v>
      </c>
      <c r="O1040">
        <f>((0.03851*E1040)+(0.0322*N1040))</f>
        <v>8.5917189615555838</v>
      </c>
    </row>
    <row r="1041" spans="1:15" x14ac:dyDescent="0.25">
      <c r="A1041" s="2">
        <v>40738</v>
      </c>
      <c r="B1041" t="s">
        <v>40</v>
      </c>
      <c r="C1041">
        <v>18</v>
      </c>
      <c r="D1041" s="6" t="s">
        <v>16</v>
      </c>
      <c r="E1041">
        <v>188</v>
      </c>
      <c r="F1041">
        <v>1.1599999999999999</v>
      </c>
      <c r="G1041">
        <v>3</v>
      </c>
      <c r="N1041">
        <f t="shared" si="54"/>
        <v>66.228068229333317</v>
      </c>
      <c r="O1041">
        <f>((0.03851*E1041)+(0.0322*N1041))</f>
        <v>9.372423796984533</v>
      </c>
    </row>
    <row r="1042" spans="1:15" x14ac:dyDescent="0.25">
      <c r="A1042" s="2">
        <v>40738</v>
      </c>
      <c r="B1042" t="s">
        <v>40</v>
      </c>
      <c r="C1042">
        <v>18</v>
      </c>
      <c r="D1042" s="6" t="s">
        <v>16</v>
      </c>
      <c r="E1042">
        <v>198</v>
      </c>
      <c r="F1042">
        <v>0.87</v>
      </c>
      <c r="G1042">
        <v>0</v>
      </c>
      <c r="N1042">
        <f t="shared" si="54"/>
        <v>39.234846271499997</v>
      </c>
      <c r="O1042">
        <f>((0.03043*E1042)+(0.02936*N1042))</f>
        <v>7.1770750865312394</v>
      </c>
    </row>
    <row r="1043" spans="1:15" x14ac:dyDescent="0.25">
      <c r="A1043" s="2">
        <v>40738</v>
      </c>
      <c r="B1043" t="s">
        <v>40</v>
      </c>
      <c r="C1043">
        <v>18</v>
      </c>
      <c r="D1043" s="6" t="s">
        <v>16</v>
      </c>
      <c r="E1043">
        <v>210</v>
      </c>
      <c r="F1043">
        <v>0.79</v>
      </c>
      <c r="G1043">
        <v>0</v>
      </c>
      <c r="N1043">
        <f t="shared" si="54"/>
        <v>34.311660582500004</v>
      </c>
      <c r="O1043">
        <f>((0.03043*E1043)+(0.02936*N1043))</f>
        <v>7.3976903547021999</v>
      </c>
    </row>
    <row r="1044" spans="1:15" x14ac:dyDescent="0.25">
      <c r="A1044" s="2">
        <v>40738</v>
      </c>
      <c r="B1044" t="s">
        <v>40</v>
      </c>
      <c r="C1044">
        <v>18</v>
      </c>
      <c r="D1044" s="6" t="s">
        <v>16</v>
      </c>
      <c r="E1044">
        <v>211</v>
      </c>
      <c r="F1044">
        <v>0.98</v>
      </c>
      <c r="G1044">
        <v>0</v>
      </c>
      <c r="N1044">
        <f t="shared" si="54"/>
        <v>53.052135049666653</v>
      </c>
      <c r="O1044">
        <f>((0.03043*E1044)+(0.02936*N1044))</f>
        <v>7.978340685058213</v>
      </c>
    </row>
    <row r="1045" spans="1:15" x14ac:dyDescent="0.25">
      <c r="A1045" s="2">
        <v>40738</v>
      </c>
      <c r="B1045" t="s">
        <v>40</v>
      </c>
      <c r="C1045">
        <v>18</v>
      </c>
      <c r="D1045" s="6" t="s">
        <v>16</v>
      </c>
      <c r="E1045">
        <v>219</v>
      </c>
      <c r="F1045">
        <v>0.83</v>
      </c>
      <c r="G1045">
        <v>0</v>
      </c>
      <c r="N1045">
        <f t="shared" si="54"/>
        <v>39.497404655749996</v>
      </c>
      <c r="O1045">
        <f>((0.03043*E1045)+(0.02936*N1045))</f>
        <v>7.8238138006928191</v>
      </c>
    </row>
    <row r="1046" spans="1:15" x14ac:dyDescent="0.25">
      <c r="A1046" s="2">
        <v>40738</v>
      </c>
      <c r="B1046" t="s">
        <v>40</v>
      </c>
      <c r="C1046">
        <v>18</v>
      </c>
      <c r="D1046" s="6" t="s">
        <v>16</v>
      </c>
      <c r="E1046">
        <v>219</v>
      </c>
      <c r="F1046">
        <v>0.66</v>
      </c>
      <c r="G1046">
        <v>7</v>
      </c>
      <c r="N1046">
        <f t="shared" si="54"/>
        <v>24.974698022999998</v>
      </c>
      <c r="O1046">
        <f>((0.03851*E1046)+(0.0322*N1046))</f>
        <v>9.2378752763406009</v>
      </c>
    </row>
    <row r="1047" spans="1:15" x14ac:dyDescent="0.25">
      <c r="A1047" s="2">
        <v>40738</v>
      </c>
      <c r="B1047" t="s">
        <v>40</v>
      </c>
      <c r="C1047">
        <v>18</v>
      </c>
      <c r="D1047" s="6" t="s">
        <v>16</v>
      </c>
      <c r="E1047">
        <v>227</v>
      </c>
      <c r="F1047">
        <v>0.84</v>
      </c>
      <c r="G1047">
        <v>0</v>
      </c>
      <c r="N1047">
        <f t="shared" si="54"/>
        <v>41.932686683999989</v>
      </c>
      <c r="O1047">
        <f>((0.03043*E1047)+(0.02936*N1047))</f>
        <v>8.138753681042239</v>
      </c>
    </row>
    <row r="1048" spans="1:15" x14ac:dyDescent="0.25">
      <c r="A1048" s="2">
        <v>40738</v>
      </c>
      <c r="B1048" t="s">
        <v>40</v>
      </c>
      <c r="C1048">
        <v>18</v>
      </c>
      <c r="D1048" s="6" t="s">
        <v>16</v>
      </c>
      <c r="E1048">
        <v>227</v>
      </c>
      <c r="F1048">
        <v>0.64</v>
      </c>
      <c r="G1048">
        <v>3</v>
      </c>
      <c r="N1048">
        <f t="shared" si="54"/>
        <v>24.341877077333333</v>
      </c>
      <c r="O1048">
        <f t="shared" ref="O1048:O1054" si="55">((0.03851*E1048)+(0.0322*N1048))</f>
        <v>9.5255784418901346</v>
      </c>
    </row>
    <row r="1049" spans="1:15" x14ac:dyDescent="0.25">
      <c r="A1049" s="2">
        <v>40738</v>
      </c>
      <c r="B1049" t="s">
        <v>40</v>
      </c>
      <c r="C1049">
        <v>18</v>
      </c>
      <c r="D1049" s="6" t="s">
        <v>16</v>
      </c>
      <c r="E1049">
        <v>231</v>
      </c>
      <c r="F1049">
        <v>1.1499999999999999</v>
      </c>
      <c r="G1049">
        <v>8</v>
      </c>
      <c r="N1049">
        <f t="shared" si="54"/>
        <v>79.978990918749972</v>
      </c>
      <c r="O1049">
        <f t="shared" si="55"/>
        <v>11.471133507583749</v>
      </c>
    </row>
    <row r="1050" spans="1:15" x14ac:dyDescent="0.25">
      <c r="A1050" s="2">
        <v>40738</v>
      </c>
      <c r="B1050" t="s">
        <v>40</v>
      </c>
      <c r="C1050">
        <v>18</v>
      </c>
      <c r="D1050" s="6" t="s">
        <v>16</v>
      </c>
      <c r="E1050">
        <v>235</v>
      </c>
      <c r="F1050">
        <v>0.96</v>
      </c>
      <c r="G1050">
        <v>10</v>
      </c>
      <c r="N1050">
        <f t="shared" si="54"/>
        <v>56.69941631999999</v>
      </c>
      <c r="O1050">
        <f t="shared" si="55"/>
        <v>10.875571205504</v>
      </c>
    </row>
    <row r="1051" spans="1:15" x14ac:dyDescent="0.25">
      <c r="A1051" s="2">
        <v>40738</v>
      </c>
      <c r="B1051" t="s">
        <v>40</v>
      </c>
      <c r="C1051">
        <v>18</v>
      </c>
      <c r="D1051" s="6" t="s">
        <v>16</v>
      </c>
      <c r="E1051">
        <v>240</v>
      </c>
      <c r="F1051">
        <v>0.88</v>
      </c>
      <c r="G1051">
        <v>4</v>
      </c>
      <c r="N1051">
        <f t="shared" si="54"/>
        <v>48.656945919999991</v>
      </c>
      <c r="O1051">
        <f t="shared" si="55"/>
        <v>10.809153658624</v>
      </c>
    </row>
    <row r="1052" spans="1:15" x14ac:dyDescent="0.25">
      <c r="A1052" s="2">
        <v>40738</v>
      </c>
      <c r="B1052" t="s">
        <v>40</v>
      </c>
      <c r="C1052">
        <v>18</v>
      </c>
      <c r="D1052" s="6" t="s">
        <v>16</v>
      </c>
      <c r="E1052">
        <v>246</v>
      </c>
      <c r="F1052">
        <v>1.25</v>
      </c>
      <c r="G1052">
        <v>3</v>
      </c>
      <c r="N1052">
        <f t="shared" si="54"/>
        <v>100.62905468749999</v>
      </c>
      <c r="O1052">
        <f t="shared" si="55"/>
        <v>12.713715560937501</v>
      </c>
    </row>
    <row r="1053" spans="1:15" x14ac:dyDescent="0.25">
      <c r="A1053" s="2">
        <v>40738</v>
      </c>
      <c r="B1053" t="s">
        <v>40</v>
      </c>
      <c r="C1053">
        <v>18</v>
      </c>
      <c r="D1053" s="6" t="s">
        <v>16</v>
      </c>
      <c r="E1053">
        <v>260</v>
      </c>
      <c r="F1053">
        <v>0.75</v>
      </c>
      <c r="G1053">
        <v>4</v>
      </c>
      <c r="N1053">
        <f t="shared" si="54"/>
        <v>38.288128124999993</v>
      </c>
      <c r="O1053">
        <f t="shared" si="55"/>
        <v>11.245477725625001</v>
      </c>
    </row>
    <row r="1054" spans="1:15" x14ac:dyDescent="0.25">
      <c r="A1054" s="2">
        <v>40738</v>
      </c>
      <c r="B1054" t="s">
        <v>40</v>
      </c>
      <c r="C1054">
        <v>18</v>
      </c>
      <c r="D1054" s="6" t="s">
        <v>16</v>
      </c>
      <c r="E1054">
        <v>261</v>
      </c>
      <c r="F1054">
        <v>0.82</v>
      </c>
      <c r="G1054">
        <v>8</v>
      </c>
      <c r="N1054">
        <f t="shared" si="54"/>
        <v>45.944811272999992</v>
      </c>
      <c r="O1054">
        <f t="shared" si="55"/>
        <v>11.5305329229906</v>
      </c>
    </row>
    <row r="1055" spans="1:15" x14ac:dyDescent="0.25">
      <c r="A1055" s="2">
        <v>40738</v>
      </c>
      <c r="B1055" t="s">
        <v>40</v>
      </c>
      <c r="C1055">
        <v>18</v>
      </c>
      <c r="D1055" s="6" t="s">
        <v>42</v>
      </c>
      <c r="E1055">
        <v>202</v>
      </c>
      <c r="F1055">
        <v>1.21</v>
      </c>
      <c r="H1055">
        <v>9</v>
      </c>
      <c r="I1055">
        <v>1.2</v>
      </c>
      <c r="O1055">
        <f t="shared" ref="O1055:O1061" si="56">(0.66164*E1055)+(16.34893*F1055)+(1.11091*H1055)+(-8.40694*I1055)-154.2499</f>
        <v>-0.90655269999999177</v>
      </c>
    </row>
    <row r="1056" spans="1:15" x14ac:dyDescent="0.25">
      <c r="A1056" s="2">
        <v>40738</v>
      </c>
      <c r="B1056" t="s">
        <v>40</v>
      </c>
      <c r="C1056">
        <v>18</v>
      </c>
      <c r="D1056" s="6" t="s">
        <v>42</v>
      </c>
      <c r="E1056">
        <v>243</v>
      </c>
      <c r="F1056">
        <v>1.82</v>
      </c>
      <c r="H1056">
        <v>21</v>
      </c>
      <c r="I1056">
        <v>1.9</v>
      </c>
      <c r="O1056">
        <f t="shared" si="56"/>
        <v>43.639596600000033</v>
      </c>
    </row>
    <row r="1057" spans="1:16" x14ac:dyDescent="0.25">
      <c r="A1057" s="2">
        <v>40738</v>
      </c>
      <c r="B1057" t="s">
        <v>40</v>
      </c>
      <c r="C1057">
        <v>18</v>
      </c>
      <c r="D1057" s="6" t="s">
        <v>42</v>
      </c>
      <c r="E1057">
        <v>265</v>
      </c>
      <c r="F1057">
        <v>1.69</v>
      </c>
      <c r="H1057">
        <v>18</v>
      </c>
      <c r="I1057">
        <v>1.9</v>
      </c>
      <c r="O1057">
        <f t="shared" si="56"/>
        <v>52.737585699999983</v>
      </c>
    </row>
    <row r="1058" spans="1:16" x14ac:dyDescent="0.25">
      <c r="A1058" s="2">
        <v>40738</v>
      </c>
      <c r="B1058" t="s">
        <v>40</v>
      </c>
      <c r="C1058">
        <v>18</v>
      </c>
      <c r="D1058" s="6" t="s">
        <v>19</v>
      </c>
      <c r="E1058">
        <v>310</v>
      </c>
      <c r="F1058">
        <v>1.95</v>
      </c>
      <c r="H1058">
        <v>21</v>
      </c>
      <c r="I1058">
        <v>2.2000000000000002</v>
      </c>
      <c r="O1058">
        <f t="shared" si="56"/>
        <v>87.5727555</v>
      </c>
    </row>
    <row r="1059" spans="1:16" x14ac:dyDescent="0.25">
      <c r="A1059" s="2">
        <v>40738</v>
      </c>
      <c r="B1059" t="s">
        <v>40</v>
      </c>
      <c r="C1059">
        <v>18</v>
      </c>
      <c r="D1059" s="6" t="s">
        <v>19</v>
      </c>
      <c r="E1059">
        <v>310</v>
      </c>
      <c r="F1059">
        <v>2</v>
      </c>
      <c r="H1059">
        <v>19</v>
      </c>
      <c r="I1059">
        <v>1.9</v>
      </c>
      <c r="O1059">
        <f t="shared" si="56"/>
        <v>88.690463999999992</v>
      </c>
    </row>
    <row r="1060" spans="1:16" x14ac:dyDescent="0.25">
      <c r="A1060" s="2">
        <v>40738</v>
      </c>
      <c r="B1060" t="s">
        <v>40</v>
      </c>
      <c r="C1060">
        <v>18</v>
      </c>
      <c r="D1060" s="6" t="s">
        <v>19</v>
      </c>
      <c r="E1060">
        <v>312</v>
      </c>
      <c r="F1060">
        <v>1.92</v>
      </c>
      <c r="H1060">
        <v>16</v>
      </c>
      <c r="I1060">
        <v>1.4</v>
      </c>
      <c r="O1060">
        <f t="shared" si="56"/>
        <v>89.576569600000028</v>
      </c>
    </row>
    <row r="1061" spans="1:16" x14ac:dyDescent="0.25">
      <c r="A1061" s="2">
        <v>40738</v>
      </c>
      <c r="B1061" t="s">
        <v>40</v>
      </c>
      <c r="C1061">
        <v>18</v>
      </c>
      <c r="D1061" s="6" t="s">
        <v>19</v>
      </c>
      <c r="E1061">
        <v>325</v>
      </c>
      <c r="F1061">
        <v>2.42</v>
      </c>
      <c r="H1061">
        <v>25</v>
      </c>
      <c r="I1061">
        <v>2.2000000000000002</v>
      </c>
      <c r="O1061">
        <f t="shared" si="56"/>
        <v>109.62499260000001</v>
      </c>
    </row>
    <row r="1062" spans="1:16" x14ac:dyDescent="0.25">
      <c r="A1062" s="2">
        <v>40738</v>
      </c>
      <c r="B1062" t="s">
        <v>40</v>
      </c>
      <c r="C1062">
        <v>18</v>
      </c>
      <c r="D1062" s="6" t="s">
        <v>19</v>
      </c>
      <c r="F1062">
        <v>0.51</v>
      </c>
      <c r="J1062">
        <f>SUM(151,162)</f>
        <v>313</v>
      </c>
      <c r="K1062">
        <v>2</v>
      </c>
      <c r="L1062">
        <v>162</v>
      </c>
      <c r="O1062">
        <f t="shared" ref="O1062:O1068" si="57">((-7.02235*K1062)+(-0.30125*L1062)+(0.09376*J1062)+33.03698)</f>
        <v>-0.46334000000000231</v>
      </c>
    </row>
    <row r="1063" spans="1:16" x14ac:dyDescent="0.25">
      <c r="A1063" s="2">
        <v>40738</v>
      </c>
      <c r="B1063" t="s">
        <v>40</v>
      </c>
      <c r="C1063">
        <v>18</v>
      </c>
      <c r="D1063" s="6" t="s">
        <v>19</v>
      </c>
      <c r="E1063" s="6"/>
      <c r="F1063">
        <v>0.8</v>
      </c>
      <c r="J1063">
        <f>SUM(123,164,165)</f>
        <v>452</v>
      </c>
      <c r="K1063">
        <v>3</v>
      </c>
      <c r="L1063">
        <v>165</v>
      </c>
      <c r="O1063">
        <f t="shared" si="57"/>
        <v>4.6431999999999931</v>
      </c>
    </row>
    <row r="1064" spans="1:16" x14ac:dyDescent="0.25">
      <c r="A1064" s="2">
        <v>40738</v>
      </c>
      <c r="B1064" t="s">
        <v>40</v>
      </c>
      <c r="C1064">
        <v>18</v>
      </c>
      <c r="D1064" s="6" t="s">
        <v>19</v>
      </c>
      <c r="F1064">
        <v>0.72</v>
      </c>
      <c r="J1064">
        <f>SUM(258,263,269)</f>
        <v>790</v>
      </c>
      <c r="K1064">
        <v>3</v>
      </c>
      <c r="L1064">
        <v>269</v>
      </c>
      <c r="O1064">
        <f t="shared" si="57"/>
        <v>5.0040799999999734</v>
      </c>
    </row>
    <row r="1065" spans="1:16" x14ac:dyDescent="0.25">
      <c r="A1065" s="2">
        <v>40738</v>
      </c>
      <c r="B1065" t="s">
        <v>40</v>
      </c>
      <c r="C1065">
        <v>18</v>
      </c>
      <c r="D1065" s="6" t="s">
        <v>19</v>
      </c>
      <c r="F1065">
        <v>1.63</v>
      </c>
      <c r="J1065">
        <f>SUM(157,176,213,253,256)</f>
        <v>1055</v>
      </c>
      <c r="K1065">
        <v>5</v>
      </c>
      <c r="L1065">
        <v>256</v>
      </c>
      <c r="O1065">
        <f t="shared" si="57"/>
        <v>19.72202999999999</v>
      </c>
    </row>
    <row r="1066" spans="1:16" x14ac:dyDescent="0.25">
      <c r="A1066" s="2">
        <v>40738</v>
      </c>
      <c r="B1066" t="s">
        <v>40</v>
      </c>
      <c r="C1066">
        <v>18</v>
      </c>
      <c r="D1066" s="6" t="s">
        <v>19</v>
      </c>
      <c r="F1066">
        <v>2.4900000000000002</v>
      </c>
      <c r="G1066" s="6"/>
      <c r="J1066">
        <f>SUM(90,214,240,268,292,310)</f>
        <v>1414</v>
      </c>
      <c r="K1066">
        <v>6</v>
      </c>
      <c r="L1066">
        <v>310</v>
      </c>
      <c r="O1066">
        <f t="shared" si="57"/>
        <v>30.092019999999991</v>
      </c>
    </row>
    <row r="1067" spans="1:16" s="10" customFormat="1" x14ac:dyDescent="0.25">
      <c r="A1067" s="2">
        <v>40738</v>
      </c>
      <c r="B1067" t="s">
        <v>40</v>
      </c>
      <c r="C1067">
        <v>18</v>
      </c>
      <c r="D1067" s="6" t="s">
        <v>19</v>
      </c>
      <c r="E1067"/>
      <c r="F1067">
        <v>2.15</v>
      </c>
      <c r="G1067"/>
      <c r="H1067"/>
      <c r="I1067"/>
      <c r="J1067">
        <f>SUM(193,200,233,248,283,306)</f>
        <v>1463</v>
      </c>
      <c r="K1067">
        <v>6</v>
      </c>
      <c r="L1067">
        <v>306</v>
      </c>
      <c r="M1067"/>
      <c r="N1067"/>
      <c r="O1067">
        <f t="shared" si="57"/>
        <v>35.891259999999988</v>
      </c>
      <c r="P1067"/>
    </row>
    <row r="1068" spans="1:16" s="10" customFormat="1" x14ac:dyDescent="0.25">
      <c r="A1068" s="2">
        <v>40738</v>
      </c>
      <c r="B1068" t="s">
        <v>40</v>
      </c>
      <c r="C1068">
        <v>18</v>
      </c>
      <c r="D1068" s="6" t="s">
        <v>19</v>
      </c>
      <c r="E1068"/>
      <c r="F1068">
        <v>3.99</v>
      </c>
      <c r="G1068"/>
      <c r="H1068"/>
      <c r="I1068"/>
      <c r="J1068">
        <f>SUM(178,234,250,282,293,332,368,367)</f>
        <v>2304</v>
      </c>
      <c r="K1068">
        <v>8</v>
      </c>
      <c r="L1068">
        <v>368</v>
      </c>
      <c r="M1068"/>
      <c r="N1068"/>
      <c r="O1068">
        <f t="shared" si="57"/>
        <v>82.021219999999971</v>
      </c>
      <c r="P1068"/>
    </row>
    <row r="1069" spans="1:16" s="10" customFormat="1" x14ac:dyDescent="0.25">
      <c r="A1069" s="2">
        <v>40738</v>
      </c>
      <c r="B1069" t="s">
        <v>40</v>
      </c>
      <c r="C1069">
        <v>26</v>
      </c>
      <c r="D1069" s="6" t="s">
        <v>12</v>
      </c>
      <c r="E1069">
        <v>305</v>
      </c>
      <c r="F1069">
        <v>1.58</v>
      </c>
      <c r="G1069">
        <v>20</v>
      </c>
      <c r="H1069"/>
      <c r="I1069"/>
      <c r="J1069"/>
      <c r="K1069"/>
      <c r="L1069"/>
      <c r="M1069"/>
      <c r="N1069">
        <f>(1/3)*(3.14159)*((F1069/2)^2)*E1069</f>
        <v>199.33440909833337</v>
      </c>
      <c r="O1069">
        <f>((0.03851*E1069)+(0.0322*N1069))</f>
        <v>18.164117972966338</v>
      </c>
      <c r="P1069"/>
    </row>
    <row r="1070" spans="1:16" s="10" customFormat="1" x14ac:dyDescent="0.25">
      <c r="A1070" s="2">
        <v>40738</v>
      </c>
      <c r="B1070" t="s">
        <v>40</v>
      </c>
      <c r="C1070">
        <v>26</v>
      </c>
      <c r="D1070" s="6" t="s">
        <v>16</v>
      </c>
      <c r="E1070">
        <v>88</v>
      </c>
      <c r="F1070">
        <v>1.0900000000000001</v>
      </c>
      <c r="G1070">
        <v>2</v>
      </c>
      <c r="H1070"/>
      <c r="I1070"/>
      <c r="J1070"/>
      <c r="K1070"/>
      <c r="L1070"/>
      <c r="M1070"/>
      <c r="N1070">
        <f t="shared" ref="N1070:N1088" si="58">((1/3)*(3.14159)*((F1070/2)^2)*E1070)</f>
        <v>27.371835912666668</v>
      </c>
      <c r="O1070">
        <f>((0.03851*E1070)+(0.0322*N1070))</f>
        <v>4.2702531163878668</v>
      </c>
      <c r="P1070"/>
    </row>
    <row r="1071" spans="1:16" s="10" customFormat="1" x14ac:dyDescent="0.25">
      <c r="A1071" s="2">
        <v>40738</v>
      </c>
      <c r="B1071" t="s">
        <v>40</v>
      </c>
      <c r="C1071">
        <v>26</v>
      </c>
      <c r="D1071" s="6" t="s">
        <v>16</v>
      </c>
      <c r="E1071">
        <v>203</v>
      </c>
      <c r="F1071">
        <v>0.85</v>
      </c>
      <c r="G1071">
        <v>0</v>
      </c>
      <c r="H1071"/>
      <c r="I1071"/>
      <c r="J1071"/>
      <c r="K1071"/>
      <c r="L1071"/>
      <c r="M1071"/>
      <c r="N1071">
        <f t="shared" si="58"/>
        <v>38.397429277083326</v>
      </c>
      <c r="O1071">
        <f>((0.03043*E1071)+(0.02936*N1071))</f>
        <v>7.304638523575167</v>
      </c>
      <c r="P1071"/>
    </row>
    <row r="1072" spans="1:16" s="10" customFormat="1" x14ac:dyDescent="0.25">
      <c r="A1072" s="2">
        <v>40738</v>
      </c>
      <c r="B1072" t="s">
        <v>40</v>
      </c>
      <c r="C1072">
        <v>26</v>
      </c>
      <c r="D1072" s="6" t="s">
        <v>16</v>
      </c>
      <c r="E1072">
        <v>213</v>
      </c>
      <c r="F1072">
        <v>0.74</v>
      </c>
      <c r="G1072">
        <v>0</v>
      </c>
      <c r="H1072"/>
      <c r="I1072"/>
      <c r="J1072"/>
      <c r="K1072"/>
      <c r="L1072"/>
      <c r="M1072"/>
      <c r="N1072">
        <f t="shared" si="58"/>
        <v>30.535940640999996</v>
      </c>
      <c r="O1072">
        <f>((0.03043*E1072)+(0.02936*N1072))</f>
        <v>7.3781252172197593</v>
      </c>
      <c r="P1072"/>
    </row>
    <row r="1073" spans="1:16" s="10" customFormat="1" x14ac:dyDescent="0.25">
      <c r="A1073" s="2">
        <v>40738</v>
      </c>
      <c r="B1073" t="s">
        <v>40</v>
      </c>
      <c r="C1073">
        <v>26</v>
      </c>
      <c r="D1073" s="6" t="s">
        <v>16</v>
      </c>
      <c r="E1073">
        <v>233</v>
      </c>
      <c r="F1073">
        <v>0.74</v>
      </c>
      <c r="G1073">
        <v>0</v>
      </c>
      <c r="H1073"/>
      <c r="I1073"/>
      <c r="J1073"/>
      <c r="K1073"/>
      <c r="L1073"/>
      <c r="M1073"/>
      <c r="N1073">
        <f t="shared" si="58"/>
        <v>33.403165114333326</v>
      </c>
      <c r="O1073">
        <f>((0.03043*E1073)+(0.02936*N1073))</f>
        <v>8.0709069277568268</v>
      </c>
      <c r="P1073"/>
    </row>
    <row r="1074" spans="1:16" s="10" customFormat="1" x14ac:dyDescent="0.25">
      <c r="A1074" s="2">
        <v>40738</v>
      </c>
      <c r="B1074" t="s">
        <v>40</v>
      </c>
      <c r="C1074">
        <v>26</v>
      </c>
      <c r="D1074" s="6" t="s">
        <v>16</v>
      </c>
      <c r="E1074">
        <v>233</v>
      </c>
      <c r="F1074">
        <v>1.53</v>
      </c>
      <c r="G1074">
        <v>0</v>
      </c>
      <c r="H1074"/>
      <c r="I1074"/>
      <c r="J1074"/>
      <c r="K1074"/>
      <c r="L1074"/>
      <c r="M1074"/>
      <c r="N1074">
        <f t="shared" si="58"/>
        <v>142.79304093524999</v>
      </c>
      <c r="O1074">
        <f>((0.03043*E1074)+(0.02936*N1074))</f>
        <v>11.282593681858939</v>
      </c>
      <c r="P1074"/>
    </row>
    <row r="1075" spans="1:16" s="10" customFormat="1" x14ac:dyDescent="0.25">
      <c r="A1075" s="2">
        <v>40738</v>
      </c>
      <c r="B1075" t="s">
        <v>40</v>
      </c>
      <c r="C1075">
        <v>26</v>
      </c>
      <c r="D1075" s="6" t="s">
        <v>16</v>
      </c>
      <c r="E1075">
        <v>238</v>
      </c>
      <c r="F1075">
        <v>0.98</v>
      </c>
      <c r="G1075">
        <v>2</v>
      </c>
      <c r="H1075"/>
      <c r="I1075"/>
      <c r="J1075"/>
      <c r="K1075"/>
      <c r="L1075"/>
      <c r="M1075"/>
      <c r="N1075">
        <f t="shared" si="58"/>
        <v>59.840796880666652</v>
      </c>
      <c r="O1075">
        <f>((0.03851*E1075)+(0.0322*N1075))</f>
        <v>11.092253659557468</v>
      </c>
      <c r="P1075"/>
    </row>
    <row r="1076" spans="1:16" s="10" customFormat="1" x14ac:dyDescent="0.25">
      <c r="A1076" s="2">
        <v>40738</v>
      </c>
      <c r="B1076" t="s">
        <v>40</v>
      </c>
      <c r="C1076">
        <v>26</v>
      </c>
      <c r="D1076" s="6" t="s">
        <v>16</v>
      </c>
      <c r="E1076">
        <v>247</v>
      </c>
      <c r="F1076">
        <v>0.97</v>
      </c>
      <c r="G1076">
        <v>0</v>
      </c>
      <c r="H1076"/>
      <c r="I1076"/>
      <c r="J1076"/>
      <c r="K1076"/>
      <c r="L1076"/>
      <c r="M1076"/>
      <c r="N1076">
        <f t="shared" si="58"/>
        <v>60.842728471416656</v>
      </c>
      <c r="O1076">
        <f t="shared" ref="O1076:O1082" si="59">((0.03043*E1076)+(0.02936*N1076))</f>
        <v>9.3025525079207938</v>
      </c>
      <c r="P1076"/>
    </row>
    <row r="1077" spans="1:16" s="10" customFormat="1" x14ac:dyDescent="0.25">
      <c r="A1077" s="2">
        <v>40738</v>
      </c>
      <c r="B1077" t="s">
        <v>40</v>
      </c>
      <c r="C1077">
        <v>26</v>
      </c>
      <c r="D1077" s="6" t="s">
        <v>16</v>
      </c>
      <c r="E1077">
        <v>251</v>
      </c>
      <c r="F1077">
        <v>0.52</v>
      </c>
      <c r="G1077">
        <v>0</v>
      </c>
      <c r="H1077"/>
      <c r="I1077"/>
      <c r="J1077"/>
      <c r="K1077"/>
      <c r="L1077"/>
      <c r="M1077"/>
      <c r="N1077">
        <f t="shared" si="58"/>
        <v>17.768414161333332</v>
      </c>
      <c r="O1077">
        <f t="shared" si="59"/>
        <v>8.1596106397767461</v>
      </c>
      <c r="P1077"/>
    </row>
    <row r="1078" spans="1:16" s="10" customFormat="1" x14ac:dyDescent="0.25">
      <c r="A1078" s="2">
        <v>40738</v>
      </c>
      <c r="B1078" t="s">
        <v>40</v>
      </c>
      <c r="C1078">
        <v>26</v>
      </c>
      <c r="D1078" s="6" t="s">
        <v>16</v>
      </c>
      <c r="E1078">
        <v>254</v>
      </c>
      <c r="F1078">
        <v>0.94</v>
      </c>
      <c r="G1078">
        <v>0</v>
      </c>
      <c r="H1078"/>
      <c r="I1078"/>
      <c r="J1078"/>
      <c r="K1078"/>
      <c r="L1078"/>
      <c r="M1078"/>
      <c r="N1078">
        <f t="shared" si="58"/>
        <v>58.756738891333328</v>
      </c>
      <c r="O1078">
        <f t="shared" si="59"/>
        <v>9.4543178538495454</v>
      </c>
      <c r="P1078"/>
    </row>
    <row r="1079" spans="1:16" s="10" customFormat="1" x14ac:dyDescent="0.25">
      <c r="A1079" s="2">
        <v>40738</v>
      </c>
      <c r="B1079" t="s">
        <v>40</v>
      </c>
      <c r="C1079">
        <v>26</v>
      </c>
      <c r="D1079" s="6" t="s">
        <v>16</v>
      </c>
      <c r="E1079">
        <v>258</v>
      </c>
      <c r="F1079">
        <v>1.05</v>
      </c>
      <c r="G1079">
        <v>0</v>
      </c>
      <c r="H1079"/>
      <c r="I1079"/>
      <c r="J1079"/>
      <c r="K1079"/>
      <c r="L1079"/>
      <c r="M1079"/>
      <c r="N1079">
        <f t="shared" si="58"/>
        <v>74.467463962499991</v>
      </c>
      <c r="O1079">
        <f t="shared" si="59"/>
        <v>10.037304741939</v>
      </c>
      <c r="P1079"/>
    </row>
    <row r="1080" spans="1:16" s="10" customFormat="1" x14ac:dyDescent="0.25">
      <c r="A1080" s="2">
        <v>40738</v>
      </c>
      <c r="B1080" t="s">
        <v>40</v>
      </c>
      <c r="C1080">
        <v>26</v>
      </c>
      <c r="D1080" s="6" t="s">
        <v>16</v>
      </c>
      <c r="E1080">
        <v>261</v>
      </c>
      <c r="F1080">
        <v>0.8</v>
      </c>
      <c r="G1080">
        <v>0</v>
      </c>
      <c r="H1080"/>
      <c r="I1080"/>
      <c r="J1080"/>
      <c r="K1080"/>
      <c r="L1080"/>
      <c r="M1080"/>
      <c r="N1080">
        <f t="shared" si="58"/>
        <v>43.730932800000005</v>
      </c>
      <c r="O1080">
        <f t="shared" si="59"/>
        <v>9.226170187008</v>
      </c>
      <c r="P1080"/>
    </row>
    <row r="1081" spans="1:16" s="10" customFormat="1" x14ac:dyDescent="0.25">
      <c r="A1081" s="2">
        <v>40738</v>
      </c>
      <c r="B1081" t="s">
        <v>40</v>
      </c>
      <c r="C1081">
        <v>26</v>
      </c>
      <c r="D1081" s="6" t="s">
        <v>16</v>
      </c>
      <c r="E1081">
        <v>264</v>
      </c>
      <c r="F1081">
        <v>1.01</v>
      </c>
      <c r="G1081">
        <v>0</v>
      </c>
      <c r="H1081"/>
      <c r="I1081"/>
      <c r="J1081"/>
      <c r="K1081"/>
      <c r="L1081"/>
      <c r="M1081"/>
      <c r="N1081">
        <f t="shared" si="58"/>
        <v>70.504191097999993</v>
      </c>
      <c r="O1081">
        <f t="shared" si="59"/>
        <v>10.103523050637278</v>
      </c>
      <c r="P1081"/>
    </row>
    <row r="1082" spans="1:16" s="10" customFormat="1" x14ac:dyDescent="0.25">
      <c r="A1082" s="2">
        <v>40738</v>
      </c>
      <c r="B1082" t="s">
        <v>40</v>
      </c>
      <c r="C1082">
        <v>26</v>
      </c>
      <c r="D1082" s="6" t="s">
        <v>16</v>
      </c>
      <c r="E1082">
        <v>285</v>
      </c>
      <c r="F1082">
        <v>1.8</v>
      </c>
      <c r="G1082">
        <v>0</v>
      </c>
      <c r="H1082"/>
      <c r="I1082"/>
      <c r="J1082"/>
      <c r="K1082"/>
      <c r="L1082"/>
      <c r="M1082"/>
      <c r="N1082">
        <f t="shared" si="58"/>
        <v>241.7453505</v>
      </c>
      <c r="O1082">
        <f t="shared" si="59"/>
        <v>15.770193490680001</v>
      </c>
      <c r="P1082"/>
    </row>
    <row r="1083" spans="1:16" s="10" customFormat="1" x14ac:dyDescent="0.25">
      <c r="A1083" s="2">
        <v>40738</v>
      </c>
      <c r="B1083" t="s">
        <v>40</v>
      </c>
      <c r="C1083">
        <v>26</v>
      </c>
      <c r="D1083" s="6" t="s">
        <v>16</v>
      </c>
      <c r="E1083">
        <v>286</v>
      </c>
      <c r="F1083">
        <v>0.82</v>
      </c>
      <c r="G1083">
        <v>7</v>
      </c>
      <c r="H1083"/>
      <c r="I1083"/>
      <c r="J1083"/>
      <c r="K1083"/>
      <c r="L1083"/>
      <c r="M1083"/>
      <c r="N1083">
        <f t="shared" si="58"/>
        <v>50.345655264666654</v>
      </c>
      <c r="O1083">
        <f>((0.03851*E1083)+(0.0322*N1083))</f>
        <v>12.634990099522268</v>
      </c>
      <c r="P1083"/>
    </row>
    <row r="1084" spans="1:16" s="10" customFormat="1" x14ac:dyDescent="0.25">
      <c r="A1084" s="2">
        <v>40738</v>
      </c>
      <c r="B1084" t="s">
        <v>40</v>
      </c>
      <c r="C1084">
        <v>26</v>
      </c>
      <c r="D1084" s="6" t="s">
        <v>16</v>
      </c>
      <c r="E1084">
        <v>293</v>
      </c>
      <c r="F1084">
        <v>2.09</v>
      </c>
      <c r="G1084">
        <v>0</v>
      </c>
      <c r="H1084"/>
      <c r="I1084"/>
      <c r="J1084"/>
      <c r="K1084"/>
      <c r="L1084"/>
      <c r="M1084"/>
      <c r="N1084">
        <f t="shared" si="58"/>
        <v>335.06452739558324</v>
      </c>
      <c r="O1084">
        <f>((0.03043*E1084)+(0.02936*N1084))</f>
        <v>18.753484524334326</v>
      </c>
      <c r="P1084"/>
    </row>
    <row r="1085" spans="1:16" s="10" customFormat="1" x14ac:dyDescent="0.25">
      <c r="A1085" s="2">
        <v>40738</v>
      </c>
      <c r="B1085" t="s">
        <v>40</v>
      </c>
      <c r="C1085">
        <v>26</v>
      </c>
      <c r="D1085" s="6" t="s">
        <v>16</v>
      </c>
      <c r="E1085">
        <v>301</v>
      </c>
      <c r="F1085">
        <v>1.58</v>
      </c>
      <c r="G1085">
        <v>15</v>
      </c>
      <c r="H1085"/>
      <c r="I1085"/>
      <c r="J1085"/>
      <c r="K1085"/>
      <c r="L1085"/>
      <c r="M1085"/>
      <c r="N1085">
        <f t="shared" si="58"/>
        <v>196.72018733966669</v>
      </c>
      <c r="O1085">
        <f>((0.03851*E1085)+(0.0322*N1085))</f>
        <v>17.925900032337267</v>
      </c>
      <c r="P1085"/>
    </row>
    <row r="1086" spans="1:16" s="10" customFormat="1" x14ac:dyDescent="0.25">
      <c r="A1086" s="2">
        <v>40738</v>
      </c>
      <c r="B1086" t="s">
        <v>40</v>
      </c>
      <c r="C1086">
        <v>26</v>
      </c>
      <c r="D1086" s="6" t="s">
        <v>16</v>
      </c>
      <c r="E1086">
        <v>310</v>
      </c>
      <c r="F1086">
        <v>0.97</v>
      </c>
      <c r="G1086">
        <v>0</v>
      </c>
      <c r="H1086"/>
      <c r="I1086"/>
      <c r="J1086"/>
      <c r="K1086"/>
      <c r="L1086"/>
      <c r="M1086"/>
      <c r="N1086">
        <f t="shared" si="58"/>
        <v>76.361319134166649</v>
      </c>
      <c r="O1086">
        <f>((0.03043*E1086)+(0.02936*N1086))</f>
        <v>11.675268329779133</v>
      </c>
      <c r="P1086"/>
    </row>
    <row r="1087" spans="1:16" s="10" customFormat="1" x14ac:dyDescent="0.25">
      <c r="A1087" s="2">
        <v>40738</v>
      </c>
      <c r="B1087" t="s">
        <v>40</v>
      </c>
      <c r="C1087">
        <v>26</v>
      </c>
      <c r="D1087" s="6" t="s">
        <v>16</v>
      </c>
      <c r="E1087">
        <v>320</v>
      </c>
      <c r="F1087">
        <v>0.69</v>
      </c>
      <c r="G1087">
        <v>0</v>
      </c>
      <c r="H1087"/>
      <c r="I1087"/>
      <c r="J1087"/>
      <c r="K1087"/>
      <c r="L1087"/>
      <c r="M1087"/>
      <c r="N1087">
        <f t="shared" si="58"/>
        <v>39.885626639999991</v>
      </c>
      <c r="O1087">
        <f>((0.03043*E1087)+(0.02936*N1087))</f>
        <v>10.908641998150401</v>
      </c>
      <c r="P1087"/>
    </row>
    <row r="1088" spans="1:16" s="10" customFormat="1" x14ac:dyDescent="0.25">
      <c r="A1088" s="2">
        <v>40738</v>
      </c>
      <c r="B1088" t="s">
        <v>40</v>
      </c>
      <c r="C1088">
        <v>26</v>
      </c>
      <c r="D1088" s="6" t="s">
        <v>16</v>
      </c>
      <c r="E1088">
        <v>370</v>
      </c>
      <c r="F1088">
        <v>0.56000000000000005</v>
      </c>
      <c r="G1088">
        <v>0</v>
      </c>
      <c r="H1088"/>
      <c r="I1088"/>
      <c r="J1088"/>
      <c r="K1088"/>
      <c r="L1088"/>
      <c r="M1088"/>
      <c r="N1088">
        <f t="shared" si="58"/>
        <v>30.377080906666666</v>
      </c>
      <c r="O1088">
        <f>((0.03043*E1088)+(0.02936*N1088))</f>
        <v>12.150971095419733</v>
      </c>
      <c r="P1088"/>
    </row>
    <row r="1089" spans="1:16" s="10" customFormat="1" x14ac:dyDescent="0.25">
      <c r="A1089" s="2">
        <v>40738</v>
      </c>
      <c r="B1089" t="s">
        <v>40</v>
      </c>
      <c r="C1089">
        <v>26</v>
      </c>
      <c r="D1089" s="6" t="s">
        <v>42</v>
      </c>
      <c r="E1089">
        <v>316</v>
      </c>
      <c r="F1089">
        <v>2.1800000000000002</v>
      </c>
      <c r="G1089"/>
      <c r="H1089">
        <v>18</v>
      </c>
      <c r="I1089">
        <v>1.7</v>
      </c>
      <c r="J1089"/>
      <c r="K1089"/>
      <c r="L1089"/>
      <c r="M1089"/>
      <c r="N1089"/>
      <c r="O1089">
        <f>(0.66164*E1089)+(16.34893*F1089)+(1.11091*H1089)+(-8.40694*I1089)-154.2499</f>
        <v>96.173589399999969</v>
      </c>
      <c r="P1089"/>
    </row>
    <row r="1090" spans="1:16" s="10" customFormat="1" x14ac:dyDescent="0.25">
      <c r="A1090" s="2">
        <v>40738</v>
      </c>
      <c r="B1090" t="s">
        <v>40</v>
      </c>
      <c r="C1090">
        <v>26</v>
      </c>
      <c r="D1090" s="6" t="s">
        <v>19</v>
      </c>
      <c r="E1090">
        <v>250</v>
      </c>
      <c r="F1090">
        <v>2.5499999999999998</v>
      </c>
      <c r="G1090"/>
      <c r="H1090">
        <v>37</v>
      </c>
      <c r="I1090">
        <v>0.5</v>
      </c>
      <c r="J1090"/>
      <c r="K1090"/>
      <c r="L1090"/>
      <c r="M1090"/>
      <c r="N1090"/>
      <c r="O1090">
        <f>(0.66164*E1090)+(16.34893*F1090)+(1.11091*H1090)+(-8.40694*I1090)-154.2499</f>
        <v>89.750071499999962</v>
      </c>
      <c r="P1090"/>
    </row>
    <row r="1091" spans="1:16" x14ac:dyDescent="0.25">
      <c r="A1091" s="2">
        <v>40738</v>
      </c>
      <c r="B1091" t="s">
        <v>40</v>
      </c>
      <c r="C1091">
        <v>26</v>
      </c>
      <c r="D1091" s="6" t="s">
        <v>19</v>
      </c>
      <c r="E1091">
        <v>289</v>
      </c>
      <c r="F1091">
        <v>2.2200000000000002</v>
      </c>
      <c r="H1091">
        <v>41</v>
      </c>
      <c r="I1091">
        <v>2.1</v>
      </c>
      <c r="O1091">
        <f>(0.66164*E1091)+(16.34893*F1091)+(1.11091*H1091)+(-8.40694*I1091)-154.2499</f>
        <v>101.15142059999999</v>
      </c>
    </row>
    <row r="1092" spans="1:16" x14ac:dyDescent="0.25">
      <c r="A1092" s="2">
        <v>40738</v>
      </c>
      <c r="B1092" t="s">
        <v>40</v>
      </c>
      <c r="C1092">
        <v>26</v>
      </c>
      <c r="D1092" s="6" t="s">
        <v>19</v>
      </c>
      <c r="E1092">
        <v>370</v>
      </c>
      <c r="F1092">
        <v>3.5</v>
      </c>
      <c r="H1092">
        <v>28</v>
      </c>
      <c r="I1092">
        <v>1.9</v>
      </c>
      <c r="O1092">
        <f>(0.66164*E1092)+(16.34893*F1092)+(1.11091*H1092)+(-8.40694*I1092)-154.2499</f>
        <v>162.910449</v>
      </c>
    </row>
    <row r="1093" spans="1:16" x14ac:dyDescent="0.25">
      <c r="A1093" s="2">
        <v>40738</v>
      </c>
      <c r="B1093" t="s">
        <v>40</v>
      </c>
      <c r="C1093">
        <v>26</v>
      </c>
      <c r="D1093" s="6" t="s">
        <v>19</v>
      </c>
      <c r="E1093">
        <v>371</v>
      </c>
      <c r="F1093">
        <v>3.02</v>
      </c>
      <c r="H1093">
        <v>38</v>
      </c>
      <c r="I1093">
        <v>2.6</v>
      </c>
      <c r="O1093">
        <f>(0.66164*E1093)+(16.34893*F1093)+(1.11091*H1093)+(-8.40694*I1093)-154.2499</f>
        <v>160.9488446</v>
      </c>
    </row>
    <row r="1094" spans="1:16" x14ac:dyDescent="0.25">
      <c r="A1094" s="2">
        <v>40738</v>
      </c>
      <c r="B1094" t="s">
        <v>40</v>
      </c>
      <c r="C1094">
        <v>26</v>
      </c>
      <c r="D1094" s="6" t="s">
        <v>19</v>
      </c>
      <c r="F1094">
        <v>1.65</v>
      </c>
      <c r="J1094">
        <f>SUM(205,269,321)</f>
        <v>795</v>
      </c>
      <c r="K1094">
        <v>3</v>
      </c>
      <c r="L1094">
        <v>321</v>
      </c>
      <c r="O1094">
        <f t="shared" ref="O1094:O1099" si="60">((-7.02235*K1094)+(-0.30125*L1094)+(0.09376*J1094)+33.03698)</f>
        <v>-10.192120000000017</v>
      </c>
    </row>
    <row r="1095" spans="1:16" x14ac:dyDescent="0.25">
      <c r="A1095" s="2">
        <v>40738</v>
      </c>
      <c r="B1095" t="s">
        <v>40</v>
      </c>
      <c r="C1095">
        <v>26</v>
      </c>
      <c r="D1095" s="6" t="s">
        <v>19</v>
      </c>
      <c r="F1095">
        <v>0.55000000000000004</v>
      </c>
      <c r="J1095">
        <f>51+46</f>
        <v>97</v>
      </c>
      <c r="K1095">
        <v>2</v>
      </c>
      <c r="L1095">
        <v>51</v>
      </c>
      <c r="O1095">
        <f t="shared" si="60"/>
        <v>12.723249999999997</v>
      </c>
    </row>
    <row r="1096" spans="1:16" x14ac:dyDescent="0.25">
      <c r="A1096" s="2">
        <v>40738</v>
      </c>
      <c r="B1096" t="s">
        <v>40</v>
      </c>
      <c r="C1096">
        <v>26</v>
      </c>
      <c r="D1096" s="6" t="s">
        <v>19</v>
      </c>
      <c r="F1096">
        <v>1.61</v>
      </c>
      <c r="J1096">
        <f>SUM(230,253,366,385,386)</f>
        <v>1620</v>
      </c>
      <c r="K1096">
        <v>5</v>
      </c>
      <c r="L1096">
        <v>386</v>
      </c>
      <c r="O1096">
        <f t="shared" si="60"/>
        <v>33.533929999999998</v>
      </c>
    </row>
    <row r="1097" spans="1:16" x14ac:dyDescent="0.25">
      <c r="A1097" s="2">
        <v>40738</v>
      </c>
      <c r="B1097" t="s">
        <v>40</v>
      </c>
      <c r="C1097">
        <v>26</v>
      </c>
      <c r="D1097" s="6" t="s">
        <v>19</v>
      </c>
      <c r="F1097">
        <v>1.98</v>
      </c>
      <c r="J1097">
        <f>SUM(247,298,305,340,331)</f>
        <v>1521</v>
      </c>
      <c r="K1097">
        <v>5</v>
      </c>
      <c r="L1097">
        <v>340</v>
      </c>
      <c r="O1097">
        <f t="shared" si="60"/>
        <v>38.109189999999984</v>
      </c>
    </row>
    <row r="1098" spans="1:16" x14ac:dyDescent="0.25">
      <c r="A1098" s="2">
        <v>40738</v>
      </c>
      <c r="B1098" t="s">
        <v>40</v>
      </c>
      <c r="C1098">
        <v>26</v>
      </c>
      <c r="D1098" s="6" t="s">
        <v>19</v>
      </c>
      <c r="F1098">
        <v>1.45</v>
      </c>
      <c r="J1098">
        <f>SUM(318,334,351,303,312,338)</f>
        <v>1956</v>
      </c>
      <c r="K1098">
        <v>6</v>
      </c>
      <c r="L1098">
        <v>351</v>
      </c>
      <c r="O1098">
        <f t="shared" si="60"/>
        <v>68.558689999999956</v>
      </c>
    </row>
    <row r="1099" spans="1:16" x14ac:dyDescent="0.25">
      <c r="A1099" s="2">
        <v>40738</v>
      </c>
      <c r="B1099" t="s">
        <v>40</v>
      </c>
      <c r="C1099">
        <v>26</v>
      </c>
      <c r="D1099" s="6" t="s">
        <v>19</v>
      </c>
      <c r="F1099">
        <v>1.96</v>
      </c>
      <c r="J1099">
        <f>SUM(292,351,378,388,397,397)</f>
        <v>2203</v>
      </c>
      <c r="K1099">
        <v>6</v>
      </c>
      <c r="L1099">
        <v>397</v>
      </c>
      <c r="O1099">
        <f t="shared" si="60"/>
        <v>77.859909999999985</v>
      </c>
    </row>
    <row r="1100" spans="1:16" x14ac:dyDescent="0.25">
      <c r="A1100" s="2">
        <v>40738</v>
      </c>
      <c r="B1100" t="s">
        <v>40</v>
      </c>
      <c r="C1100">
        <v>27</v>
      </c>
      <c r="D1100" s="6" t="s">
        <v>16</v>
      </c>
      <c r="E1100">
        <v>86</v>
      </c>
      <c r="F1100">
        <v>1.01</v>
      </c>
      <c r="G1100">
        <v>0</v>
      </c>
      <c r="N1100">
        <f>((1/3)*(3.14159)*((F1100/2)^2)*E1100)</f>
        <v>22.96727437283333</v>
      </c>
      <c r="O1100">
        <f>((0.03043*E1100)+(0.02936*N1100))</f>
        <v>3.2912991755863863</v>
      </c>
    </row>
    <row r="1101" spans="1:16" x14ac:dyDescent="0.25">
      <c r="A1101" s="2">
        <v>40738</v>
      </c>
      <c r="B1101" t="s">
        <v>40</v>
      </c>
      <c r="C1101">
        <v>27</v>
      </c>
      <c r="D1101" s="6" t="s">
        <v>16</v>
      </c>
      <c r="E1101">
        <v>131</v>
      </c>
      <c r="F1101">
        <v>0.9</v>
      </c>
      <c r="G1101">
        <v>0</v>
      </c>
      <c r="N1101">
        <f t="shared" ref="N1100:N1110" si="61">((1/3)*(3.14159)*((F1101/2)^2)*E1101)</f>
        <v>27.779509574999999</v>
      </c>
      <c r="O1101">
        <f>((0.03043*E1101)+(0.02936*N1101))</f>
        <v>4.801936401122</v>
      </c>
    </row>
    <row r="1102" spans="1:16" x14ac:dyDescent="0.25">
      <c r="A1102" s="2">
        <v>40738</v>
      </c>
      <c r="B1102" t="s">
        <v>40</v>
      </c>
      <c r="C1102">
        <v>27</v>
      </c>
      <c r="D1102" s="6" t="s">
        <v>16</v>
      </c>
      <c r="E1102">
        <v>159</v>
      </c>
      <c r="F1102">
        <v>0.87</v>
      </c>
      <c r="G1102">
        <v>0</v>
      </c>
      <c r="N1102">
        <f t="shared" si="61"/>
        <v>31.50677049075</v>
      </c>
      <c r="O1102">
        <f>((0.03043*E1102)+(0.02936*N1102))</f>
        <v>5.763408781608419</v>
      </c>
    </row>
    <row r="1103" spans="1:16" x14ac:dyDescent="0.25">
      <c r="A1103" s="2">
        <v>40738</v>
      </c>
      <c r="B1103" t="s">
        <v>40</v>
      </c>
      <c r="C1103">
        <v>27</v>
      </c>
      <c r="D1103" s="6" t="s">
        <v>16</v>
      </c>
      <c r="E1103">
        <v>191</v>
      </c>
      <c r="F1103">
        <v>1.1399999999999999</v>
      </c>
      <c r="G1103">
        <v>4</v>
      </c>
      <c r="N1103">
        <f t="shared" si="61"/>
        <v>64.984731626999988</v>
      </c>
      <c r="O1103">
        <f>((0.03851*E1103)+(0.0322*N1103))</f>
        <v>9.4479183583894013</v>
      </c>
    </row>
    <row r="1104" spans="1:16" x14ac:dyDescent="0.25">
      <c r="A1104" s="2">
        <v>40738</v>
      </c>
      <c r="B1104" t="s">
        <v>40</v>
      </c>
      <c r="C1104">
        <v>27</v>
      </c>
      <c r="D1104" s="6" t="s">
        <v>16</v>
      </c>
      <c r="E1104">
        <v>202</v>
      </c>
      <c r="F1104">
        <v>0.75</v>
      </c>
      <c r="G1104">
        <v>0</v>
      </c>
      <c r="N1104">
        <f t="shared" si="61"/>
        <v>29.746930312499995</v>
      </c>
      <c r="O1104">
        <f>((0.03043*E1104)+(0.02936*N1104))</f>
        <v>7.0202298739749995</v>
      </c>
    </row>
    <row r="1105" spans="1:15" x14ac:dyDescent="0.25">
      <c r="A1105" s="2">
        <v>40738</v>
      </c>
      <c r="B1105" t="s">
        <v>40</v>
      </c>
      <c r="C1105">
        <v>27</v>
      </c>
      <c r="D1105" s="6" t="s">
        <v>16</v>
      </c>
      <c r="E1105">
        <v>221</v>
      </c>
      <c r="F1105">
        <v>0.95</v>
      </c>
      <c r="G1105">
        <v>2</v>
      </c>
      <c r="N1105">
        <f t="shared" si="61"/>
        <v>52.216498289583328</v>
      </c>
      <c r="O1105">
        <f t="shared" ref="O1105:O1110" si="62">((0.03851*E1105)+(0.0322*N1105))</f>
        <v>10.192081244924584</v>
      </c>
    </row>
    <row r="1106" spans="1:15" x14ac:dyDescent="0.25">
      <c r="A1106" s="2">
        <v>40738</v>
      </c>
      <c r="B1106" t="s">
        <v>40</v>
      </c>
      <c r="C1106">
        <v>27</v>
      </c>
      <c r="D1106" s="6" t="s">
        <v>16</v>
      </c>
      <c r="E1106">
        <v>257</v>
      </c>
      <c r="F1106">
        <v>1.65</v>
      </c>
      <c r="G1106">
        <v>11</v>
      </c>
      <c r="N1106">
        <f t="shared" si="61"/>
        <v>183.17629543124997</v>
      </c>
      <c r="O1106">
        <f t="shared" si="62"/>
        <v>15.79534671288625</v>
      </c>
    </row>
    <row r="1107" spans="1:15" x14ac:dyDescent="0.25">
      <c r="A1107" s="2">
        <v>40738</v>
      </c>
      <c r="B1107" t="s">
        <v>40</v>
      </c>
      <c r="C1107">
        <v>27</v>
      </c>
      <c r="D1107" s="6" t="s">
        <v>16</v>
      </c>
      <c r="E1107">
        <v>265</v>
      </c>
      <c r="F1107">
        <v>1.04</v>
      </c>
      <c r="G1107">
        <v>9</v>
      </c>
      <c r="N1107">
        <f t="shared" si="61"/>
        <v>75.037924346666657</v>
      </c>
      <c r="O1107">
        <f t="shared" si="62"/>
        <v>12.621371163962667</v>
      </c>
    </row>
    <row r="1108" spans="1:15" x14ac:dyDescent="0.25">
      <c r="A1108" s="2">
        <v>40738</v>
      </c>
      <c r="B1108" t="s">
        <v>40</v>
      </c>
      <c r="C1108">
        <v>27</v>
      </c>
      <c r="D1108" s="6" t="s">
        <v>16</v>
      </c>
      <c r="E1108">
        <v>290</v>
      </c>
      <c r="F1108">
        <v>1.22</v>
      </c>
      <c r="G1108">
        <v>14</v>
      </c>
      <c r="M1108" t="s">
        <v>41</v>
      </c>
      <c r="N1108">
        <f t="shared" si="61"/>
        <v>113.00194510333331</v>
      </c>
      <c r="O1108">
        <f t="shared" si="62"/>
        <v>14.806562632327335</v>
      </c>
    </row>
    <row r="1109" spans="1:15" x14ac:dyDescent="0.25">
      <c r="A1109" s="2">
        <v>40738</v>
      </c>
      <c r="B1109" t="s">
        <v>40</v>
      </c>
      <c r="C1109">
        <v>27</v>
      </c>
      <c r="D1109" s="6" t="s">
        <v>16</v>
      </c>
      <c r="E1109">
        <v>296</v>
      </c>
      <c r="F1109">
        <v>1.52</v>
      </c>
      <c r="G1109">
        <v>14</v>
      </c>
      <c r="N1109">
        <f t="shared" si="61"/>
        <v>179.03879522133332</v>
      </c>
      <c r="O1109">
        <f t="shared" si="62"/>
        <v>17.164009206126934</v>
      </c>
    </row>
    <row r="1110" spans="1:15" x14ac:dyDescent="0.25">
      <c r="A1110" s="2">
        <v>40738</v>
      </c>
      <c r="B1110" t="s">
        <v>40</v>
      </c>
      <c r="C1110">
        <v>27</v>
      </c>
      <c r="D1110" s="6" t="s">
        <v>16</v>
      </c>
      <c r="E1110">
        <v>310</v>
      </c>
      <c r="F1110">
        <v>1.23</v>
      </c>
      <c r="G1110">
        <v>7</v>
      </c>
      <c r="N1110">
        <f t="shared" si="61"/>
        <v>122.78354736749998</v>
      </c>
      <c r="O1110">
        <f t="shared" si="62"/>
        <v>15.8917302252335</v>
      </c>
    </row>
    <row r="1111" spans="1:15" x14ac:dyDescent="0.25">
      <c r="A1111" s="2">
        <v>40738</v>
      </c>
      <c r="B1111" t="s">
        <v>40</v>
      </c>
      <c r="C1111">
        <v>27</v>
      </c>
      <c r="D1111" s="6" t="s">
        <v>19</v>
      </c>
      <c r="E1111">
        <v>335</v>
      </c>
      <c r="F1111">
        <v>2.52</v>
      </c>
      <c r="H1111">
        <v>41</v>
      </c>
      <c r="I1111">
        <v>2.4</v>
      </c>
      <c r="O1111">
        <f t="shared" ref="O1111:O1117" si="63">(0.66164*E1111)+(16.34893*F1111)+(1.11091*H1111)+(-8.40694*I1111)-154.2499</f>
        <v>133.96945760000003</v>
      </c>
    </row>
    <row r="1112" spans="1:15" x14ac:dyDescent="0.25">
      <c r="A1112" s="2">
        <v>40738</v>
      </c>
      <c r="B1112" t="s">
        <v>40</v>
      </c>
      <c r="C1112">
        <v>27</v>
      </c>
      <c r="D1112" s="6" t="s">
        <v>19</v>
      </c>
      <c r="E1112">
        <v>339</v>
      </c>
      <c r="F1112">
        <v>2.38</v>
      </c>
      <c r="H1112">
        <v>24</v>
      </c>
      <c r="I1112">
        <v>2.1</v>
      </c>
      <c r="O1112">
        <f t="shared" si="63"/>
        <v>117.96377939999994</v>
      </c>
    </row>
    <row r="1113" spans="1:15" x14ac:dyDescent="0.25">
      <c r="A1113" s="2">
        <v>40738</v>
      </c>
      <c r="B1113" t="s">
        <v>40</v>
      </c>
      <c r="C1113">
        <v>27</v>
      </c>
      <c r="D1113" s="6" t="s">
        <v>19</v>
      </c>
      <c r="E1113">
        <v>341</v>
      </c>
      <c r="F1113">
        <v>2.31</v>
      </c>
      <c r="H1113">
        <v>26</v>
      </c>
      <c r="I1113">
        <v>1.9</v>
      </c>
      <c r="O1113">
        <f t="shared" si="63"/>
        <v>122.04584230000003</v>
      </c>
    </row>
    <row r="1114" spans="1:15" x14ac:dyDescent="0.25">
      <c r="A1114" s="2">
        <v>40738</v>
      </c>
      <c r="B1114" t="s">
        <v>40</v>
      </c>
      <c r="C1114">
        <v>27</v>
      </c>
      <c r="D1114" s="6" t="s">
        <v>19</v>
      </c>
      <c r="E1114">
        <v>346</v>
      </c>
      <c r="F1114">
        <v>2</v>
      </c>
      <c r="H1114">
        <v>32</v>
      </c>
      <c r="I1114">
        <v>2.4</v>
      </c>
      <c r="O1114">
        <f t="shared" si="63"/>
        <v>122.74786400000002</v>
      </c>
    </row>
    <row r="1115" spans="1:15" x14ac:dyDescent="0.25">
      <c r="A1115" s="2">
        <v>40738</v>
      </c>
      <c r="B1115" t="s">
        <v>40</v>
      </c>
      <c r="C1115">
        <v>27</v>
      </c>
      <c r="D1115" s="6" t="s">
        <v>19</v>
      </c>
      <c r="E1115">
        <v>357</v>
      </c>
      <c r="F1115">
        <v>1.84</v>
      </c>
      <c r="H1115">
        <v>28</v>
      </c>
      <c r="I1115">
        <v>2</v>
      </c>
      <c r="O1115">
        <f t="shared" si="63"/>
        <v>126.3292112</v>
      </c>
    </row>
    <row r="1116" spans="1:15" x14ac:dyDescent="0.25">
      <c r="A1116" s="2">
        <v>40738</v>
      </c>
      <c r="B1116" t="s">
        <v>40</v>
      </c>
      <c r="C1116">
        <v>27</v>
      </c>
      <c r="D1116" s="6" t="s">
        <v>19</v>
      </c>
      <c r="E1116">
        <v>358</v>
      </c>
      <c r="F1116">
        <v>1.88</v>
      </c>
      <c r="H1116">
        <v>31</v>
      </c>
      <c r="I1116">
        <v>2.4</v>
      </c>
      <c r="O1116">
        <f t="shared" si="63"/>
        <v>127.61476240000005</v>
      </c>
    </row>
    <row r="1117" spans="1:15" x14ac:dyDescent="0.25">
      <c r="A1117" s="2">
        <v>40738</v>
      </c>
      <c r="B1117" t="s">
        <v>40</v>
      </c>
      <c r="C1117">
        <v>27</v>
      </c>
      <c r="D1117" s="6" t="s">
        <v>19</v>
      </c>
      <c r="E1117">
        <v>364</v>
      </c>
      <c r="F1117">
        <v>2.2999999999999998</v>
      </c>
      <c r="H1117">
        <v>26</v>
      </c>
      <c r="I1117">
        <v>2.4</v>
      </c>
      <c r="O1117">
        <f t="shared" si="63"/>
        <v>132.89660300000006</v>
      </c>
    </row>
    <row r="1118" spans="1:15" x14ac:dyDescent="0.25">
      <c r="A1118" s="2">
        <v>40738</v>
      </c>
      <c r="B1118" t="s">
        <v>40</v>
      </c>
      <c r="C1118">
        <v>27</v>
      </c>
      <c r="D1118" s="6" t="s">
        <v>19</v>
      </c>
      <c r="F1118">
        <v>0.75</v>
      </c>
      <c r="J1118">
        <f>SUM(282,331,322)</f>
        <v>935</v>
      </c>
      <c r="K1118">
        <v>3</v>
      </c>
      <c r="L1118">
        <v>322</v>
      </c>
      <c r="O1118">
        <f t="shared" ref="O1118:O1125" si="64">((-7.02235*K1118)+(-0.30125*L1118)+(0.09376*J1118)+33.03698)</f>
        <v>2.6330299999999767</v>
      </c>
    </row>
    <row r="1119" spans="1:15" x14ac:dyDescent="0.25">
      <c r="A1119" s="2">
        <v>40738</v>
      </c>
      <c r="B1119" t="s">
        <v>40</v>
      </c>
      <c r="C1119">
        <v>27</v>
      </c>
      <c r="D1119" s="6" t="s">
        <v>19</v>
      </c>
      <c r="F1119">
        <v>1.1200000000000001</v>
      </c>
      <c r="J1119">
        <f>SUM(160,280,321,312)</f>
        <v>1073</v>
      </c>
      <c r="K1119">
        <v>4</v>
      </c>
      <c r="L1119">
        <v>321</v>
      </c>
      <c r="O1119">
        <f t="shared" si="64"/>
        <v>8.8508099999999956</v>
      </c>
    </row>
    <row r="1120" spans="1:15" x14ac:dyDescent="0.25">
      <c r="A1120" s="2">
        <v>40738</v>
      </c>
      <c r="B1120" t="s">
        <v>40</v>
      </c>
      <c r="C1120">
        <v>27</v>
      </c>
      <c r="D1120" s="7" t="s">
        <v>19</v>
      </c>
      <c r="F1120">
        <v>2.15</v>
      </c>
      <c r="J1120">
        <f>SUM(254,329,362,387)</f>
        <v>1332</v>
      </c>
      <c r="K1120">
        <v>4</v>
      </c>
      <c r="L1120">
        <v>387</v>
      </c>
      <c r="O1120">
        <f t="shared" si="64"/>
        <v>13.252149999999972</v>
      </c>
    </row>
    <row r="1121" spans="1:15" x14ac:dyDescent="0.25">
      <c r="A1121" s="2">
        <v>40738</v>
      </c>
      <c r="B1121" t="s">
        <v>40</v>
      </c>
      <c r="C1121">
        <v>27</v>
      </c>
      <c r="D1121" s="7" t="s">
        <v>19</v>
      </c>
      <c r="F1121">
        <v>1.2</v>
      </c>
      <c r="J1121">
        <f>SUM(242,281,305,321)</f>
        <v>1149</v>
      </c>
      <c r="K1121">
        <v>4</v>
      </c>
      <c r="L1121">
        <v>321</v>
      </c>
      <c r="O1121">
        <f t="shared" si="64"/>
        <v>15.976569999999995</v>
      </c>
    </row>
    <row r="1122" spans="1:15" x14ac:dyDescent="0.25">
      <c r="A1122" s="2">
        <v>40738</v>
      </c>
      <c r="B1122" t="s">
        <v>40</v>
      </c>
      <c r="C1122">
        <v>27</v>
      </c>
      <c r="D1122" s="6" t="s">
        <v>19</v>
      </c>
      <c r="F1122">
        <v>1.99</v>
      </c>
      <c r="J1122">
        <f>SUM(284,322,370,376)</f>
        <v>1352</v>
      </c>
      <c r="K1122">
        <v>4</v>
      </c>
      <c r="L1122">
        <v>376</v>
      </c>
      <c r="O1122">
        <f t="shared" si="64"/>
        <v>18.441099999999977</v>
      </c>
    </row>
    <row r="1123" spans="1:15" x14ac:dyDescent="0.25">
      <c r="A1123" s="2">
        <v>40738</v>
      </c>
      <c r="B1123" t="s">
        <v>40</v>
      </c>
      <c r="C1123">
        <v>27</v>
      </c>
      <c r="D1123" s="6" t="s">
        <v>19</v>
      </c>
      <c r="F1123">
        <v>1.64</v>
      </c>
      <c r="J1123">
        <f>SUM(272,277,325,330,348)</f>
        <v>1552</v>
      </c>
      <c r="K1123">
        <v>5</v>
      </c>
      <c r="L1123">
        <v>348</v>
      </c>
      <c r="O1123">
        <f t="shared" si="64"/>
        <v>38.605749999999972</v>
      </c>
    </row>
    <row r="1124" spans="1:15" x14ac:dyDescent="0.25">
      <c r="A1124" s="2">
        <v>40738</v>
      </c>
      <c r="B1124" t="s">
        <v>40</v>
      </c>
      <c r="C1124">
        <v>27</v>
      </c>
      <c r="D1124" s="7" t="s">
        <v>19</v>
      </c>
      <c r="F1124">
        <v>1.86</v>
      </c>
      <c r="J1124">
        <f>SUM(263,342,367,381,396)</f>
        <v>1749</v>
      </c>
      <c r="K1124">
        <v>5</v>
      </c>
      <c r="L1124">
        <v>396</v>
      </c>
      <c r="O1124">
        <f t="shared" si="64"/>
        <v>42.616469999999993</v>
      </c>
    </row>
    <row r="1125" spans="1:15" x14ac:dyDescent="0.25">
      <c r="A1125" s="2">
        <v>40738</v>
      </c>
      <c r="B1125" t="s">
        <v>40</v>
      </c>
      <c r="C1125">
        <v>27</v>
      </c>
      <c r="D1125" s="7" t="s">
        <v>19</v>
      </c>
      <c r="F1125">
        <v>3.4</v>
      </c>
      <c r="J1125">
        <f>SUM(281,342,372,384,307,321)</f>
        <v>2007</v>
      </c>
      <c r="K1125">
        <v>6</v>
      </c>
      <c r="L1125">
        <v>384</v>
      </c>
      <c r="O1125">
        <f t="shared" si="64"/>
        <v>63.399200000000008</v>
      </c>
    </row>
    <row r="1126" spans="1:15" x14ac:dyDescent="0.25">
      <c r="A1126" s="2">
        <v>40738</v>
      </c>
      <c r="B1126" t="s">
        <v>44</v>
      </c>
      <c r="C1126">
        <v>10</v>
      </c>
      <c r="D1126" s="6" t="s">
        <v>43</v>
      </c>
      <c r="E1126" s="15">
        <v>75</v>
      </c>
      <c r="F1126">
        <v>0.65</v>
      </c>
      <c r="G1126">
        <v>0</v>
      </c>
      <c r="N1126">
        <f t="shared" ref="N1126:N1136" si="65">((1/3)*(3.14159)*((F1126/2)^2)*E1126)</f>
        <v>8.2957610937500004</v>
      </c>
      <c r="O1126">
        <f>((0.03043*E1126)+(0.02936*N1126))</f>
        <v>2.5258135457124999</v>
      </c>
    </row>
    <row r="1127" spans="1:15" x14ac:dyDescent="0.25">
      <c r="A1127" s="2">
        <v>40738</v>
      </c>
      <c r="B1127" t="s">
        <v>44</v>
      </c>
      <c r="C1127">
        <v>10</v>
      </c>
      <c r="D1127" s="6" t="s">
        <v>43</v>
      </c>
      <c r="E1127" s="15">
        <v>128</v>
      </c>
      <c r="F1127">
        <v>1.34</v>
      </c>
      <c r="G1127">
        <v>0</v>
      </c>
      <c r="N1127">
        <f t="shared" si="65"/>
        <v>60.171082709333334</v>
      </c>
      <c r="O1127">
        <f>((0.03043*E1127)+(0.02936*N1127))</f>
        <v>5.661662988346027</v>
      </c>
    </row>
    <row r="1128" spans="1:15" x14ac:dyDescent="0.25">
      <c r="A1128" s="2">
        <v>40738</v>
      </c>
      <c r="B1128" t="s">
        <v>44</v>
      </c>
      <c r="C1128">
        <v>10</v>
      </c>
      <c r="D1128" s="6" t="s">
        <v>43</v>
      </c>
      <c r="E1128" s="15">
        <v>137</v>
      </c>
      <c r="F1128">
        <v>0.78</v>
      </c>
      <c r="G1128">
        <v>0</v>
      </c>
      <c r="N1128">
        <f t="shared" si="65"/>
        <v>21.821169980999997</v>
      </c>
      <c r="O1128">
        <f>((0.03043*E1128)+(0.02936*N1128))</f>
        <v>4.8095795506421597</v>
      </c>
    </row>
    <row r="1129" spans="1:15" x14ac:dyDescent="0.25">
      <c r="A1129" s="2">
        <v>40738</v>
      </c>
      <c r="B1129" t="s">
        <v>44</v>
      </c>
      <c r="C1129">
        <v>10</v>
      </c>
      <c r="D1129" s="6" t="s">
        <v>43</v>
      </c>
      <c r="E1129" s="15">
        <v>158</v>
      </c>
      <c r="F1129">
        <v>1.45</v>
      </c>
      <c r="G1129">
        <v>0</v>
      </c>
      <c r="N1129">
        <f t="shared" si="65"/>
        <v>86.968374170833329</v>
      </c>
      <c r="O1129">
        <f>((0.03043*E1129)+(0.02936*N1129))</f>
        <v>7.3613314656556659</v>
      </c>
    </row>
    <row r="1130" spans="1:15" x14ac:dyDescent="0.25">
      <c r="A1130" s="2">
        <v>40738</v>
      </c>
      <c r="B1130" t="s">
        <v>44</v>
      </c>
      <c r="C1130">
        <v>10</v>
      </c>
      <c r="D1130" s="6" t="s">
        <v>43</v>
      </c>
      <c r="E1130" s="15">
        <v>190</v>
      </c>
      <c r="F1130">
        <v>1.4</v>
      </c>
      <c r="G1130">
        <v>10</v>
      </c>
      <c r="N1130">
        <f t="shared" si="65"/>
        <v>97.494009666666642</v>
      </c>
      <c r="O1130">
        <f>((0.02449*E1130)+(N1130*0.05767))</f>
        <v>10.275579537476666</v>
      </c>
    </row>
    <row r="1131" spans="1:15" x14ac:dyDescent="0.25">
      <c r="A1131" s="2">
        <v>40738</v>
      </c>
      <c r="B1131" t="s">
        <v>44</v>
      </c>
      <c r="C1131">
        <v>10</v>
      </c>
      <c r="D1131" s="6" t="s">
        <v>43</v>
      </c>
      <c r="E1131" s="15">
        <v>218</v>
      </c>
      <c r="F1131">
        <v>2.2799999999999998</v>
      </c>
      <c r="G1131">
        <v>0</v>
      </c>
      <c r="N1131">
        <f t="shared" si="65"/>
        <v>296.68421978399994</v>
      </c>
      <c r="O1131">
        <f>((0.03043*E1131)+(0.02936*N1131))</f>
        <v>15.344388692858239</v>
      </c>
    </row>
    <row r="1132" spans="1:15" x14ac:dyDescent="0.25">
      <c r="A1132" s="2">
        <v>40738</v>
      </c>
      <c r="B1132" t="s">
        <v>44</v>
      </c>
      <c r="C1132">
        <v>10</v>
      </c>
      <c r="D1132" s="6" t="s">
        <v>43</v>
      </c>
      <c r="E1132" s="15">
        <v>231</v>
      </c>
      <c r="F1132">
        <v>1.75</v>
      </c>
      <c r="G1132">
        <v>17</v>
      </c>
      <c r="N1132">
        <f t="shared" si="65"/>
        <v>185.20654796874999</v>
      </c>
      <c r="O1132">
        <f>((0.02449*E1132)+(N1132*0.05767))</f>
        <v>16.338051621357813</v>
      </c>
    </row>
    <row r="1133" spans="1:15" x14ac:dyDescent="0.25">
      <c r="A1133" s="2">
        <v>40738</v>
      </c>
      <c r="B1133" t="s">
        <v>44</v>
      </c>
      <c r="C1133">
        <v>10</v>
      </c>
      <c r="D1133" s="6" t="s">
        <v>43</v>
      </c>
      <c r="E1133" s="15">
        <v>244</v>
      </c>
      <c r="F1133">
        <v>0.74</v>
      </c>
      <c r="G1133">
        <v>8</v>
      </c>
      <c r="N1133">
        <f t="shared" si="65"/>
        <v>34.980138574666661</v>
      </c>
      <c r="O1133">
        <f>((0.02449*E1133)+(N1133*0.05767))</f>
        <v>7.9928645916010268</v>
      </c>
    </row>
    <row r="1134" spans="1:15" x14ac:dyDescent="0.25">
      <c r="A1134" s="2">
        <v>40738</v>
      </c>
      <c r="B1134" t="s">
        <v>44</v>
      </c>
      <c r="C1134">
        <v>10</v>
      </c>
      <c r="D1134" s="6" t="s">
        <v>43</v>
      </c>
      <c r="E1134" s="15">
        <v>280</v>
      </c>
      <c r="F1134">
        <v>0.88</v>
      </c>
      <c r="G1134">
        <v>0</v>
      </c>
      <c r="N1134">
        <f t="shared" si="65"/>
        <v>56.766436906666655</v>
      </c>
      <c r="O1134">
        <f>((0.03043*E1134)+(0.02936*N1134))</f>
        <v>10.187062587579733</v>
      </c>
    </row>
    <row r="1135" spans="1:15" x14ac:dyDescent="0.25">
      <c r="A1135" s="2">
        <v>40738</v>
      </c>
      <c r="B1135" t="s">
        <v>44</v>
      </c>
      <c r="C1135">
        <v>10</v>
      </c>
      <c r="D1135" s="6" t="s">
        <v>43</v>
      </c>
      <c r="E1135" s="15">
        <v>326</v>
      </c>
      <c r="F1135">
        <v>1.28</v>
      </c>
      <c r="G1135">
        <v>0</v>
      </c>
      <c r="N1135">
        <f t="shared" si="65"/>
        <v>139.83175202133333</v>
      </c>
      <c r="O1135">
        <f>((0.03043*E1135)+(0.02936*N1135))</f>
        <v>14.025640239346348</v>
      </c>
    </row>
    <row r="1136" spans="1:15" x14ac:dyDescent="0.25">
      <c r="A1136" s="2">
        <v>40738</v>
      </c>
      <c r="B1136" t="s">
        <v>44</v>
      </c>
      <c r="C1136">
        <v>10</v>
      </c>
      <c r="D1136" s="6" t="s">
        <v>43</v>
      </c>
      <c r="E1136" s="15">
        <v>358</v>
      </c>
      <c r="F1136">
        <v>1.43</v>
      </c>
      <c r="G1136">
        <v>16</v>
      </c>
      <c r="N1136">
        <f t="shared" si="65"/>
        <v>191.65641549816664</v>
      </c>
      <c r="O1136">
        <f>((0.02449*E1136)+(N1136*0.05767))</f>
        <v>19.820245481779271</v>
      </c>
    </row>
    <row r="1137" spans="1:15" x14ac:dyDescent="0.25">
      <c r="A1137" s="2">
        <v>40738</v>
      </c>
      <c r="B1137" t="s">
        <v>44</v>
      </c>
      <c r="C1137">
        <v>10</v>
      </c>
      <c r="D1137" s="7" t="s">
        <v>19</v>
      </c>
      <c r="E1137" s="6">
        <v>249</v>
      </c>
      <c r="F1137">
        <v>2</v>
      </c>
      <c r="H1137">
        <v>24</v>
      </c>
      <c r="I1137">
        <v>2</v>
      </c>
      <c r="O1137">
        <f t="shared" ref="O1137:O1144" si="66">(0.66164*E1137)+(16.34893*F1137)+(1.11091*H1137)+(-8.40694*I1137)-154.2499</f>
        <v>53.044279999999986</v>
      </c>
    </row>
    <row r="1138" spans="1:15" x14ac:dyDescent="0.25">
      <c r="A1138" s="2">
        <v>40738</v>
      </c>
      <c r="B1138" t="s">
        <v>44</v>
      </c>
      <c r="C1138">
        <v>10</v>
      </c>
      <c r="D1138" s="7" t="s">
        <v>19</v>
      </c>
      <c r="E1138" s="6">
        <v>271</v>
      </c>
      <c r="F1138">
        <v>1.87</v>
      </c>
      <c r="H1138">
        <v>24.5</v>
      </c>
      <c r="I1138">
        <v>1.9</v>
      </c>
      <c r="O1138">
        <f t="shared" si="66"/>
        <v>66.871148100000028</v>
      </c>
    </row>
    <row r="1139" spans="1:15" x14ac:dyDescent="0.25">
      <c r="A1139" s="2">
        <v>40738</v>
      </c>
      <c r="B1139" t="s">
        <v>44</v>
      </c>
      <c r="C1139">
        <v>10</v>
      </c>
      <c r="D1139" s="7" t="s">
        <v>19</v>
      </c>
      <c r="E1139" s="6">
        <v>273</v>
      </c>
      <c r="F1139">
        <v>1.96</v>
      </c>
      <c r="H1139">
        <v>24</v>
      </c>
      <c r="I1139">
        <v>2.5</v>
      </c>
      <c r="O1139">
        <f t="shared" si="66"/>
        <v>64.066212800000045</v>
      </c>
    </row>
    <row r="1140" spans="1:15" x14ac:dyDescent="0.25">
      <c r="A1140" s="2">
        <v>40738</v>
      </c>
      <c r="B1140" t="s">
        <v>44</v>
      </c>
      <c r="C1140">
        <v>10</v>
      </c>
      <c r="D1140" s="6" t="s">
        <v>19</v>
      </c>
      <c r="E1140" s="6">
        <v>281</v>
      </c>
      <c r="F1140">
        <v>2.6</v>
      </c>
      <c r="H1140">
        <v>24</v>
      </c>
      <c r="I1140">
        <v>1.8</v>
      </c>
      <c r="O1140">
        <f t="shared" si="66"/>
        <v>85.707505999999995</v>
      </c>
    </row>
    <row r="1141" spans="1:15" x14ac:dyDescent="0.25">
      <c r="A1141" s="2">
        <v>40738</v>
      </c>
      <c r="B1141" t="s">
        <v>44</v>
      </c>
      <c r="C1141">
        <v>10</v>
      </c>
      <c r="D1141" s="7" t="s">
        <v>19</v>
      </c>
      <c r="E1141" s="6">
        <v>292</v>
      </c>
      <c r="F1141">
        <v>1.98</v>
      </c>
      <c r="H1141">
        <v>21</v>
      </c>
      <c r="I1141">
        <v>2</v>
      </c>
      <c r="O1141">
        <f t="shared" si="66"/>
        <v>77.83509140000001</v>
      </c>
    </row>
    <row r="1142" spans="1:15" x14ac:dyDescent="0.25">
      <c r="A1142" s="2">
        <v>40738</v>
      </c>
      <c r="B1142" t="s">
        <v>44</v>
      </c>
      <c r="C1142">
        <v>10</v>
      </c>
      <c r="D1142" s="7" t="s">
        <v>19</v>
      </c>
      <c r="E1142" s="6">
        <v>300</v>
      </c>
      <c r="F1142">
        <v>2.54</v>
      </c>
      <c r="H1142">
        <v>31</v>
      </c>
      <c r="I1142">
        <v>2</v>
      </c>
      <c r="O1142">
        <f t="shared" si="66"/>
        <v>103.39271220000003</v>
      </c>
    </row>
    <row r="1143" spans="1:15" x14ac:dyDescent="0.25">
      <c r="A1143" s="2">
        <v>40738</v>
      </c>
      <c r="B1143" t="s">
        <v>44</v>
      </c>
      <c r="C1143">
        <v>10</v>
      </c>
      <c r="D1143" s="7" t="s">
        <v>19</v>
      </c>
      <c r="E1143" s="6">
        <v>314</v>
      </c>
      <c r="F1143">
        <v>2.25</v>
      </c>
      <c r="H1143">
        <v>31</v>
      </c>
      <c r="I1143">
        <v>2.1</v>
      </c>
      <c r="O1143">
        <f t="shared" si="66"/>
        <v>107.07378850000001</v>
      </c>
    </row>
    <row r="1144" spans="1:15" x14ac:dyDescent="0.25">
      <c r="A1144" s="2">
        <v>40738</v>
      </c>
      <c r="B1144" t="s">
        <v>44</v>
      </c>
      <c r="C1144">
        <v>10</v>
      </c>
      <c r="D1144" s="7" t="s">
        <v>19</v>
      </c>
      <c r="E1144" s="6">
        <v>320</v>
      </c>
      <c r="F1144">
        <v>2.4</v>
      </c>
      <c r="H1144">
        <v>32</v>
      </c>
      <c r="I1144">
        <v>2.4</v>
      </c>
      <c r="O1144">
        <f t="shared" si="66"/>
        <v>112.08479600000007</v>
      </c>
    </row>
    <row r="1145" spans="1:15" x14ac:dyDescent="0.25">
      <c r="A1145" s="2">
        <v>40738</v>
      </c>
      <c r="B1145" t="s">
        <v>44</v>
      </c>
      <c r="C1145">
        <v>10</v>
      </c>
      <c r="D1145" s="7" t="s">
        <v>19</v>
      </c>
      <c r="E1145" s="6"/>
      <c r="F1145">
        <v>1.94</v>
      </c>
      <c r="J1145">
        <f>SUM(120,218,254,281,299)</f>
        <v>1172</v>
      </c>
      <c r="K1145">
        <v>5</v>
      </c>
      <c r="L1145">
        <v>299</v>
      </c>
      <c r="O1145">
        <f>((-7.02235*K1145)+(-0.30125*L1145)+(0.09376*J1145)+33.03698)</f>
        <v>17.738199999999992</v>
      </c>
    </row>
    <row r="1146" spans="1:15" x14ac:dyDescent="0.25">
      <c r="A1146" s="2">
        <v>40738</v>
      </c>
      <c r="B1146" t="s">
        <v>44</v>
      </c>
      <c r="C1146">
        <v>20</v>
      </c>
      <c r="D1146" s="6" t="s">
        <v>29</v>
      </c>
      <c r="E1146">
        <v>67</v>
      </c>
      <c r="F1146">
        <v>0.54</v>
      </c>
      <c r="G1146">
        <v>0</v>
      </c>
      <c r="M1146" t="s">
        <v>47</v>
      </c>
      <c r="O1146">
        <f t="shared" ref="O1146:O1177" si="67">((3.55251*F1146)+(0.01568*E1146)-2.29794)</f>
        <v>0.67097540000000011</v>
      </c>
    </row>
    <row r="1147" spans="1:15" x14ac:dyDescent="0.25">
      <c r="A1147" s="2">
        <v>40738</v>
      </c>
      <c r="B1147" t="s">
        <v>44</v>
      </c>
      <c r="C1147">
        <v>20</v>
      </c>
      <c r="D1147" s="6" t="s">
        <v>29</v>
      </c>
      <c r="E1147">
        <v>80</v>
      </c>
      <c r="F1147">
        <v>0.65</v>
      </c>
      <c r="G1147">
        <v>0</v>
      </c>
      <c r="M1147" t="s">
        <v>47</v>
      </c>
      <c r="O1147">
        <f t="shared" si="67"/>
        <v>1.2655914999999998</v>
      </c>
    </row>
    <row r="1148" spans="1:15" x14ac:dyDescent="0.25">
      <c r="A1148" s="2">
        <v>40738</v>
      </c>
      <c r="B1148" t="s">
        <v>44</v>
      </c>
      <c r="C1148">
        <v>20</v>
      </c>
      <c r="D1148" s="6" t="s">
        <v>29</v>
      </c>
      <c r="E1148">
        <v>87</v>
      </c>
      <c r="F1148">
        <v>0.47</v>
      </c>
      <c r="G1148">
        <v>0</v>
      </c>
      <c r="M1148" t="s">
        <v>47</v>
      </c>
      <c r="O1148">
        <f t="shared" si="67"/>
        <v>0.7358996999999996</v>
      </c>
    </row>
    <row r="1149" spans="1:15" x14ac:dyDescent="0.25">
      <c r="A1149" s="2">
        <v>40738</v>
      </c>
      <c r="B1149" t="s">
        <v>44</v>
      </c>
      <c r="C1149">
        <v>20</v>
      </c>
      <c r="D1149" s="6" t="s">
        <v>29</v>
      </c>
      <c r="E1149">
        <v>97</v>
      </c>
      <c r="F1149">
        <v>0.33</v>
      </c>
      <c r="G1149">
        <v>0</v>
      </c>
      <c r="M1149" t="s">
        <v>47</v>
      </c>
      <c r="O1149">
        <f t="shared" si="67"/>
        <v>0.39534829999999976</v>
      </c>
    </row>
    <row r="1150" spans="1:15" x14ac:dyDescent="0.25">
      <c r="A1150" s="2">
        <v>40738</v>
      </c>
      <c r="B1150" t="s">
        <v>44</v>
      </c>
      <c r="C1150">
        <v>20</v>
      </c>
      <c r="D1150" s="6" t="s">
        <v>29</v>
      </c>
      <c r="E1150">
        <v>105</v>
      </c>
      <c r="F1150">
        <v>0.35</v>
      </c>
      <c r="G1150">
        <v>0</v>
      </c>
      <c r="M1150" t="s">
        <v>47</v>
      </c>
      <c r="O1150">
        <f t="shared" si="67"/>
        <v>0.59183849999999971</v>
      </c>
    </row>
    <row r="1151" spans="1:15" x14ac:dyDescent="0.25">
      <c r="A1151" s="2">
        <v>40738</v>
      </c>
      <c r="B1151" t="s">
        <v>44</v>
      </c>
      <c r="C1151">
        <v>20</v>
      </c>
      <c r="D1151" s="6" t="s">
        <v>29</v>
      </c>
      <c r="E1151">
        <v>106</v>
      </c>
      <c r="F1151">
        <v>0.42</v>
      </c>
      <c r="G1151">
        <v>0</v>
      </c>
      <c r="M1151" t="s">
        <v>47</v>
      </c>
      <c r="O1151">
        <f t="shared" si="67"/>
        <v>0.85619419999999957</v>
      </c>
    </row>
    <row r="1152" spans="1:15" x14ac:dyDescent="0.25">
      <c r="A1152" s="2">
        <v>40738</v>
      </c>
      <c r="B1152" t="s">
        <v>44</v>
      </c>
      <c r="C1152">
        <v>20</v>
      </c>
      <c r="D1152" s="6" t="s">
        <v>29</v>
      </c>
      <c r="E1152">
        <v>114</v>
      </c>
      <c r="F1152">
        <v>0.35</v>
      </c>
      <c r="G1152">
        <v>0</v>
      </c>
      <c r="M1152" t="s">
        <v>47</v>
      </c>
      <c r="O1152">
        <f t="shared" si="67"/>
        <v>0.73295850000000007</v>
      </c>
    </row>
    <row r="1153" spans="1:15" x14ac:dyDescent="0.25">
      <c r="A1153" s="2">
        <v>40738</v>
      </c>
      <c r="B1153" t="s">
        <v>44</v>
      </c>
      <c r="C1153">
        <v>20</v>
      </c>
      <c r="D1153" s="6" t="s">
        <v>29</v>
      </c>
      <c r="E1153">
        <v>114</v>
      </c>
      <c r="F1153">
        <v>0.4</v>
      </c>
      <c r="G1153">
        <v>0</v>
      </c>
      <c r="M1153" t="s">
        <v>47</v>
      </c>
      <c r="O1153">
        <f t="shared" si="67"/>
        <v>0.91058399999999962</v>
      </c>
    </row>
    <row r="1154" spans="1:15" x14ac:dyDescent="0.25">
      <c r="A1154" s="2">
        <v>40738</v>
      </c>
      <c r="B1154" t="s">
        <v>44</v>
      </c>
      <c r="C1154">
        <v>20</v>
      </c>
      <c r="D1154" s="6" t="s">
        <v>29</v>
      </c>
      <c r="E1154">
        <v>118</v>
      </c>
      <c r="F1154">
        <v>0.34</v>
      </c>
      <c r="G1154">
        <v>1</v>
      </c>
      <c r="M1154" t="s">
        <v>47</v>
      </c>
      <c r="O1154">
        <f t="shared" si="67"/>
        <v>0.76015339999999965</v>
      </c>
    </row>
    <row r="1155" spans="1:15" x14ac:dyDescent="0.25">
      <c r="A1155" s="2">
        <v>40738</v>
      </c>
      <c r="B1155" t="s">
        <v>44</v>
      </c>
      <c r="C1155">
        <v>20</v>
      </c>
      <c r="D1155" s="6" t="s">
        <v>29</v>
      </c>
      <c r="E1155">
        <v>120</v>
      </c>
      <c r="F1155">
        <v>0.42</v>
      </c>
      <c r="G1155">
        <v>1</v>
      </c>
      <c r="M1155" t="s">
        <v>47</v>
      </c>
      <c r="O1155">
        <f t="shared" si="67"/>
        <v>1.0757141999999997</v>
      </c>
    </row>
    <row r="1156" spans="1:15" x14ac:dyDescent="0.25">
      <c r="A1156" s="2">
        <v>40738</v>
      </c>
      <c r="B1156" t="s">
        <v>44</v>
      </c>
      <c r="C1156">
        <v>20</v>
      </c>
      <c r="D1156" s="6" t="s">
        <v>29</v>
      </c>
      <c r="E1156">
        <v>126</v>
      </c>
      <c r="F1156">
        <v>0.4</v>
      </c>
      <c r="G1156">
        <v>1</v>
      </c>
      <c r="M1156" t="s">
        <v>47</v>
      </c>
      <c r="O1156">
        <f t="shared" si="67"/>
        <v>1.0987439999999995</v>
      </c>
    </row>
    <row r="1157" spans="1:15" x14ac:dyDescent="0.25">
      <c r="A1157" s="2">
        <v>40738</v>
      </c>
      <c r="B1157" t="s">
        <v>44</v>
      </c>
      <c r="C1157">
        <v>20</v>
      </c>
      <c r="D1157" s="6" t="s">
        <v>29</v>
      </c>
      <c r="E1157">
        <v>126</v>
      </c>
      <c r="F1157">
        <v>0.54</v>
      </c>
      <c r="G1157">
        <v>0</v>
      </c>
      <c r="M1157" t="s">
        <v>47</v>
      </c>
      <c r="O1157">
        <f t="shared" si="67"/>
        <v>1.5960953999999998</v>
      </c>
    </row>
    <row r="1158" spans="1:15" x14ac:dyDescent="0.25">
      <c r="A1158" s="2">
        <v>40738</v>
      </c>
      <c r="B1158" t="s">
        <v>44</v>
      </c>
      <c r="C1158">
        <v>20</v>
      </c>
      <c r="D1158" s="6" t="s">
        <v>29</v>
      </c>
      <c r="E1158">
        <v>127</v>
      </c>
      <c r="F1158">
        <v>0.44</v>
      </c>
      <c r="G1158">
        <v>0</v>
      </c>
      <c r="M1158" t="s">
        <v>47</v>
      </c>
      <c r="O1158">
        <f t="shared" si="67"/>
        <v>1.2565243999999995</v>
      </c>
    </row>
    <row r="1159" spans="1:15" x14ac:dyDescent="0.25">
      <c r="A1159" s="2">
        <v>40738</v>
      </c>
      <c r="B1159" t="s">
        <v>44</v>
      </c>
      <c r="C1159">
        <v>20</v>
      </c>
      <c r="D1159" s="6" t="s">
        <v>29</v>
      </c>
      <c r="E1159">
        <v>129</v>
      </c>
      <c r="F1159">
        <v>0.36</v>
      </c>
      <c r="G1159">
        <v>0</v>
      </c>
      <c r="M1159" t="s">
        <v>47</v>
      </c>
      <c r="O1159">
        <f t="shared" si="67"/>
        <v>1.0036836</v>
      </c>
    </row>
    <row r="1160" spans="1:15" x14ac:dyDescent="0.25">
      <c r="A1160" s="2">
        <v>40738</v>
      </c>
      <c r="B1160" t="s">
        <v>44</v>
      </c>
      <c r="C1160">
        <v>20</v>
      </c>
      <c r="D1160" s="6" t="s">
        <v>29</v>
      </c>
      <c r="E1160">
        <v>130</v>
      </c>
      <c r="F1160">
        <v>0.38</v>
      </c>
      <c r="G1160">
        <v>0</v>
      </c>
      <c r="M1160" t="s">
        <v>47</v>
      </c>
      <c r="O1160">
        <f t="shared" si="67"/>
        <v>1.0904137999999999</v>
      </c>
    </row>
    <row r="1161" spans="1:15" x14ac:dyDescent="0.25">
      <c r="A1161" s="2">
        <v>40738</v>
      </c>
      <c r="B1161" t="s">
        <v>44</v>
      </c>
      <c r="C1161">
        <v>20</v>
      </c>
      <c r="D1161" s="6" t="s">
        <v>29</v>
      </c>
      <c r="E1161">
        <v>130</v>
      </c>
      <c r="F1161">
        <v>0.39</v>
      </c>
      <c r="G1161">
        <v>1</v>
      </c>
      <c r="M1161" t="s">
        <v>47</v>
      </c>
      <c r="O1161">
        <f t="shared" si="67"/>
        <v>1.1259389</v>
      </c>
    </row>
    <row r="1162" spans="1:15" x14ac:dyDescent="0.25">
      <c r="A1162" s="2">
        <v>40738</v>
      </c>
      <c r="B1162" t="s">
        <v>44</v>
      </c>
      <c r="C1162">
        <v>20</v>
      </c>
      <c r="D1162" s="6" t="s">
        <v>29</v>
      </c>
      <c r="E1162">
        <v>130</v>
      </c>
      <c r="F1162">
        <v>0.52</v>
      </c>
      <c r="G1162">
        <v>0</v>
      </c>
      <c r="M1162" t="s">
        <v>47</v>
      </c>
      <c r="O1162">
        <f t="shared" si="67"/>
        <v>1.5877651999999993</v>
      </c>
    </row>
    <row r="1163" spans="1:15" x14ac:dyDescent="0.25">
      <c r="A1163" s="2">
        <v>40738</v>
      </c>
      <c r="B1163" t="s">
        <v>44</v>
      </c>
      <c r="C1163">
        <v>20</v>
      </c>
      <c r="D1163" s="6" t="s">
        <v>29</v>
      </c>
      <c r="E1163">
        <v>132</v>
      </c>
      <c r="F1163">
        <v>0.41</v>
      </c>
      <c r="G1163">
        <v>0</v>
      </c>
      <c r="M1163" t="s">
        <v>47</v>
      </c>
      <c r="O1163">
        <f t="shared" si="67"/>
        <v>1.2283490999999995</v>
      </c>
    </row>
    <row r="1164" spans="1:15" x14ac:dyDescent="0.25">
      <c r="A1164" s="2">
        <v>40738</v>
      </c>
      <c r="B1164" t="s">
        <v>44</v>
      </c>
      <c r="C1164">
        <v>20</v>
      </c>
      <c r="D1164" s="6" t="s">
        <v>29</v>
      </c>
      <c r="E1164">
        <v>133</v>
      </c>
      <c r="F1164">
        <v>0.44</v>
      </c>
      <c r="G1164">
        <v>0</v>
      </c>
      <c r="M1164" t="s">
        <v>47</v>
      </c>
      <c r="O1164">
        <f t="shared" si="67"/>
        <v>1.3506043999999995</v>
      </c>
    </row>
    <row r="1165" spans="1:15" x14ac:dyDescent="0.25">
      <c r="A1165" s="2">
        <v>40738</v>
      </c>
      <c r="B1165" t="s">
        <v>44</v>
      </c>
      <c r="C1165">
        <v>20</v>
      </c>
      <c r="D1165" s="6" t="s">
        <v>29</v>
      </c>
      <c r="E1165">
        <v>133</v>
      </c>
      <c r="F1165">
        <v>0.5</v>
      </c>
      <c r="G1165">
        <v>0</v>
      </c>
      <c r="M1165" t="s">
        <v>47</v>
      </c>
      <c r="O1165">
        <f t="shared" si="67"/>
        <v>1.5637549999999996</v>
      </c>
    </row>
    <row r="1166" spans="1:15" x14ac:dyDescent="0.25">
      <c r="A1166" s="2">
        <v>40738</v>
      </c>
      <c r="B1166" t="s">
        <v>44</v>
      </c>
      <c r="C1166">
        <v>20</v>
      </c>
      <c r="D1166" s="6" t="s">
        <v>29</v>
      </c>
      <c r="E1166">
        <v>135</v>
      </c>
      <c r="F1166">
        <v>0.48</v>
      </c>
      <c r="G1166">
        <v>1</v>
      </c>
      <c r="M1166" t="s">
        <v>47</v>
      </c>
      <c r="O1166">
        <f t="shared" si="67"/>
        <v>1.5240648000000001</v>
      </c>
    </row>
    <row r="1167" spans="1:15" x14ac:dyDescent="0.25">
      <c r="A1167" s="2">
        <v>40738</v>
      </c>
      <c r="B1167" t="s">
        <v>44</v>
      </c>
      <c r="C1167">
        <v>20</v>
      </c>
      <c r="D1167" s="6" t="s">
        <v>29</v>
      </c>
      <c r="E1167">
        <v>136</v>
      </c>
      <c r="F1167">
        <v>0.72</v>
      </c>
      <c r="G1167">
        <v>0</v>
      </c>
      <c r="M1167" t="s">
        <v>47</v>
      </c>
      <c r="O1167">
        <f t="shared" si="67"/>
        <v>2.3923472000000001</v>
      </c>
    </row>
    <row r="1168" spans="1:15" x14ac:dyDescent="0.25">
      <c r="A1168" s="2">
        <v>40738</v>
      </c>
      <c r="B1168" t="s">
        <v>44</v>
      </c>
      <c r="C1168">
        <v>20</v>
      </c>
      <c r="D1168" s="6" t="s">
        <v>29</v>
      </c>
      <c r="E1168">
        <v>137</v>
      </c>
      <c r="F1168">
        <v>0.67</v>
      </c>
      <c r="G1168">
        <v>0</v>
      </c>
      <c r="M1168" t="s">
        <v>47</v>
      </c>
      <c r="O1168">
        <f t="shared" si="67"/>
        <v>2.2304017000000003</v>
      </c>
    </row>
    <row r="1169" spans="1:15" x14ac:dyDescent="0.25">
      <c r="A1169" s="2">
        <v>40738</v>
      </c>
      <c r="B1169" t="s">
        <v>44</v>
      </c>
      <c r="C1169">
        <v>20</v>
      </c>
      <c r="D1169" s="6" t="s">
        <v>29</v>
      </c>
      <c r="E1169">
        <v>138</v>
      </c>
      <c r="F1169">
        <v>0.55000000000000004</v>
      </c>
      <c r="G1169">
        <v>0</v>
      </c>
      <c r="M1169" t="s">
        <v>47</v>
      </c>
      <c r="O1169">
        <f t="shared" si="67"/>
        <v>1.8197804999999998</v>
      </c>
    </row>
    <row r="1170" spans="1:15" x14ac:dyDescent="0.25">
      <c r="A1170" s="2">
        <v>40738</v>
      </c>
      <c r="B1170" t="s">
        <v>44</v>
      </c>
      <c r="C1170">
        <v>20</v>
      </c>
      <c r="D1170" s="6" t="s">
        <v>29</v>
      </c>
      <c r="E1170">
        <v>139</v>
      </c>
      <c r="F1170">
        <v>0.45</v>
      </c>
      <c r="G1170">
        <v>0</v>
      </c>
      <c r="M1170" t="s">
        <v>47</v>
      </c>
      <c r="O1170">
        <f t="shared" si="67"/>
        <v>1.4802095</v>
      </c>
    </row>
    <row r="1171" spans="1:15" x14ac:dyDescent="0.25">
      <c r="A1171" s="2">
        <v>40738</v>
      </c>
      <c r="B1171" t="s">
        <v>44</v>
      </c>
      <c r="C1171">
        <v>20</v>
      </c>
      <c r="D1171" s="6" t="s">
        <v>29</v>
      </c>
      <c r="E1171">
        <v>143</v>
      </c>
      <c r="F1171">
        <v>0.38</v>
      </c>
      <c r="G1171">
        <v>0</v>
      </c>
      <c r="M1171" t="s">
        <v>47</v>
      </c>
      <c r="O1171">
        <f t="shared" si="67"/>
        <v>1.2942537999999995</v>
      </c>
    </row>
    <row r="1172" spans="1:15" x14ac:dyDescent="0.25">
      <c r="A1172" s="2">
        <v>40738</v>
      </c>
      <c r="B1172" t="s">
        <v>44</v>
      </c>
      <c r="C1172">
        <v>20</v>
      </c>
      <c r="D1172" s="6" t="s">
        <v>29</v>
      </c>
      <c r="E1172">
        <v>143</v>
      </c>
      <c r="F1172">
        <v>0.38</v>
      </c>
      <c r="G1172">
        <v>1</v>
      </c>
      <c r="M1172" t="s">
        <v>47</v>
      </c>
      <c r="O1172">
        <f t="shared" si="67"/>
        <v>1.2942537999999995</v>
      </c>
    </row>
    <row r="1173" spans="1:15" x14ac:dyDescent="0.25">
      <c r="A1173" s="2">
        <v>40738</v>
      </c>
      <c r="B1173" t="s">
        <v>44</v>
      </c>
      <c r="C1173">
        <v>20</v>
      </c>
      <c r="D1173" s="6" t="s">
        <v>29</v>
      </c>
      <c r="E1173">
        <v>144</v>
      </c>
      <c r="F1173">
        <v>0.35</v>
      </c>
      <c r="G1173">
        <v>0</v>
      </c>
      <c r="M1173" t="s">
        <v>47</v>
      </c>
      <c r="O1173">
        <f t="shared" si="67"/>
        <v>1.2033584999999998</v>
      </c>
    </row>
    <row r="1174" spans="1:15" x14ac:dyDescent="0.25">
      <c r="A1174" s="2">
        <v>40738</v>
      </c>
      <c r="B1174" t="s">
        <v>44</v>
      </c>
      <c r="C1174">
        <v>20</v>
      </c>
      <c r="D1174" s="6" t="s">
        <v>29</v>
      </c>
      <c r="E1174">
        <v>144</v>
      </c>
      <c r="F1174">
        <v>0.39</v>
      </c>
      <c r="G1174">
        <v>1</v>
      </c>
      <c r="M1174" t="s">
        <v>47</v>
      </c>
      <c r="O1174">
        <f t="shared" si="67"/>
        <v>1.3454589000000001</v>
      </c>
    </row>
    <row r="1175" spans="1:15" x14ac:dyDescent="0.25">
      <c r="A1175" s="2">
        <v>40738</v>
      </c>
      <c r="B1175" t="s">
        <v>44</v>
      </c>
      <c r="C1175">
        <v>20</v>
      </c>
      <c r="D1175" s="6" t="s">
        <v>29</v>
      </c>
      <c r="E1175">
        <v>145</v>
      </c>
      <c r="F1175">
        <v>0.5</v>
      </c>
      <c r="G1175">
        <v>0</v>
      </c>
      <c r="M1175" t="s">
        <v>47</v>
      </c>
      <c r="O1175">
        <f t="shared" si="67"/>
        <v>1.7519149999999999</v>
      </c>
    </row>
    <row r="1176" spans="1:15" x14ac:dyDescent="0.25">
      <c r="A1176" s="2">
        <v>40738</v>
      </c>
      <c r="B1176" t="s">
        <v>44</v>
      </c>
      <c r="C1176">
        <v>20</v>
      </c>
      <c r="D1176" s="6" t="s">
        <v>29</v>
      </c>
      <c r="E1176">
        <v>145</v>
      </c>
      <c r="F1176">
        <v>0.59</v>
      </c>
      <c r="G1176">
        <v>1</v>
      </c>
      <c r="M1176" t="s">
        <v>47</v>
      </c>
      <c r="O1176">
        <f t="shared" si="67"/>
        <v>2.0716408999999998</v>
      </c>
    </row>
    <row r="1177" spans="1:15" x14ac:dyDescent="0.25">
      <c r="A1177" s="2">
        <v>40738</v>
      </c>
      <c r="B1177" t="s">
        <v>44</v>
      </c>
      <c r="C1177">
        <v>20</v>
      </c>
      <c r="D1177" s="6" t="s">
        <v>29</v>
      </c>
      <c r="E1177">
        <v>149</v>
      </c>
      <c r="F1177">
        <v>0.6</v>
      </c>
      <c r="G1177">
        <v>0</v>
      </c>
      <c r="M1177" t="s">
        <v>47</v>
      </c>
      <c r="O1177">
        <f t="shared" si="67"/>
        <v>2.1698859999999995</v>
      </c>
    </row>
    <row r="1178" spans="1:15" x14ac:dyDescent="0.25">
      <c r="A1178" s="2">
        <v>40738</v>
      </c>
      <c r="B1178" t="s">
        <v>44</v>
      </c>
      <c r="C1178">
        <v>20</v>
      </c>
      <c r="D1178" s="6" t="s">
        <v>29</v>
      </c>
      <c r="E1178">
        <v>151</v>
      </c>
      <c r="F1178">
        <v>0.42</v>
      </c>
      <c r="G1178">
        <v>0</v>
      </c>
      <c r="M1178" t="s">
        <v>47</v>
      </c>
      <c r="O1178">
        <f t="shared" ref="O1178:O1209" si="68">((3.55251*F1178)+(0.01568*E1178)-2.29794)</f>
        <v>1.5617942</v>
      </c>
    </row>
    <row r="1179" spans="1:15" x14ac:dyDescent="0.25">
      <c r="A1179" s="2">
        <v>40738</v>
      </c>
      <c r="B1179" t="s">
        <v>44</v>
      </c>
      <c r="C1179">
        <v>20</v>
      </c>
      <c r="D1179" s="6" t="s">
        <v>29</v>
      </c>
      <c r="E1179">
        <v>151</v>
      </c>
      <c r="F1179">
        <v>0.49</v>
      </c>
      <c r="G1179">
        <v>0</v>
      </c>
      <c r="M1179" t="s">
        <v>47</v>
      </c>
      <c r="O1179">
        <f t="shared" si="68"/>
        <v>1.8104698999999997</v>
      </c>
    </row>
    <row r="1180" spans="1:15" x14ac:dyDescent="0.25">
      <c r="A1180" s="2">
        <v>40738</v>
      </c>
      <c r="B1180" t="s">
        <v>44</v>
      </c>
      <c r="C1180">
        <v>20</v>
      </c>
      <c r="D1180" s="6" t="s">
        <v>29</v>
      </c>
      <c r="E1180">
        <v>153</v>
      </c>
      <c r="F1180">
        <v>0.66</v>
      </c>
      <c r="G1180">
        <v>0</v>
      </c>
      <c r="M1180" t="s">
        <v>47</v>
      </c>
      <c r="O1180">
        <f t="shared" si="68"/>
        <v>2.4457565999999997</v>
      </c>
    </row>
    <row r="1181" spans="1:15" x14ac:dyDescent="0.25">
      <c r="A1181" s="2">
        <v>40738</v>
      </c>
      <c r="B1181" t="s">
        <v>44</v>
      </c>
      <c r="C1181">
        <v>20</v>
      </c>
      <c r="D1181" s="6" t="s">
        <v>29</v>
      </c>
      <c r="E1181">
        <v>153</v>
      </c>
      <c r="F1181">
        <v>1.46</v>
      </c>
      <c r="G1181">
        <v>1</v>
      </c>
      <c r="M1181" t="s">
        <v>47</v>
      </c>
      <c r="O1181">
        <f t="shared" si="68"/>
        <v>5.2877645999999991</v>
      </c>
    </row>
    <row r="1182" spans="1:15" x14ac:dyDescent="0.25">
      <c r="A1182" s="2">
        <v>40738</v>
      </c>
      <c r="B1182" t="s">
        <v>44</v>
      </c>
      <c r="C1182">
        <v>20</v>
      </c>
      <c r="D1182" s="6" t="s">
        <v>29</v>
      </c>
      <c r="E1182">
        <v>154</v>
      </c>
      <c r="F1182">
        <v>0.35</v>
      </c>
      <c r="G1182">
        <v>1</v>
      </c>
      <c r="M1182" t="s">
        <v>47</v>
      </c>
      <c r="O1182">
        <f t="shared" si="68"/>
        <v>1.3601584999999998</v>
      </c>
    </row>
    <row r="1183" spans="1:15" x14ac:dyDescent="0.25">
      <c r="A1183" s="2">
        <v>40738</v>
      </c>
      <c r="B1183" t="s">
        <v>44</v>
      </c>
      <c r="C1183">
        <v>20</v>
      </c>
      <c r="D1183" s="6" t="s">
        <v>29</v>
      </c>
      <c r="E1183">
        <v>155</v>
      </c>
      <c r="F1183">
        <v>0.55000000000000004</v>
      </c>
      <c r="G1183">
        <v>0</v>
      </c>
      <c r="M1183" t="s">
        <v>47</v>
      </c>
      <c r="O1183">
        <f t="shared" si="68"/>
        <v>2.0863404999999999</v>
      </c>
    </row>
    <row r="1184" spans="1:15" x14ac:dyDescent="0.25">
      <c r="A1184" s="2">
        <v>40738</v>
      </c>
      <c r="B1184" t="s">
        <v>44</v>
      </c>
      <c r="C1184">
        <v>20</v>
      </c>
      <c r="D1184" s="6" t="s">
        <v>29</v>
      </c>
      <c r="E1184">
        <v>155</v>
      </c>
      <c r="F1184">
        <v>0.64</v>
      </c>
      <c r="G1184">
        <v>1</v>
      </c>
      <c r="M1184" t="s">
        <v>47</v>
      </c>
      <c r="O1184">
        <f t="shared" si="68"/>
        <v>2.4060663999999998</v>
      </c>
    </row>
    <row r="1185" spans="1:15" x14ac:dyDescent="0.25">
      <c r="A1185" s="2">
        <v>40738</v>
      </c>
      <c r="B1185" t="s">
        <v>44</v>
      </c>
      <c r="C1185">
        <v>20</v>
      </c>
      <c r="D1185" s="6" t="s">
        <v>29</v>
      </c>
      <c r="E1185">
        <v>157</v>
      </c>
      <c r="F1185">
        <v>0.56000000000000005</v>
      </c>
      <c r="G1185">
        <v>1</v>
      </c>
      <c r="M1185" t="s">
        <v>47</v>
      </c>
      <c r="O1185">
        <f t="shared" si="68"/>
        <v>2.1532255999999994</v>
      </c>
    </row>
    <row r="1186" spans="1:15" x14ac:dyDescent="0.25">
      <c r="A1186" s="2">
        <v>40738</v>
      </c>
      <c r="B1186" t="s">
        <v>44</v>
      </c>
      <c r="C1186">
        <v>20</v>
      </c>
      <c r="D1186" s="6" t="s">
        <v>29</v>
      </c>
      <c r="E1186">
        <v>162</v>
      </c>
      <c r="F1186">
        <v>0.38</v>
      </c>
      <c r="G1186">
        <v>0</v>
      </c>
      <c r="M1186" t="s">
        <v>47</v>
      </c>
      <c r="O1186">
        <f t="shared" si="68"/>
        <v>1.5921737999999999</v>
      </c>
    </row>
    <row r="1187" spans="1:15" x14ac:dyDescent="0.25">
      <c r="A1187" s="2">
        <v>40738</v>
      </c>
      <c r="B1187" t="s">
        <v>44</v>
      </c>
      <c r="C1187">
        <v>20</v>
      </c>
      <c r="D1187" s="6" t="s">
        <v>29</v>
      </c>
      <c r="E1187">
        <v>162</v>
      </c>
      <c r="F1187">
        <v>0.72</v>
      </c>
      <c r="G1187">
        <v>0</v>
      </c>
      <c r="M1187" t="s">
        <v>47</v>
      </c>
      <c r="O1187">
        <f t="shared" si="68"/>
        <v>2.8000271999999993</v>
      </c>
    </row>
    <row r="1188" spans="1:15" x14ac:dyDescent="0.25">
      <c r="A1188" s="2">
        <v>40738</v>
      </c>
      <c r="B1188" t="s">
        <v>44</v>
      </c>
      <c r="C1188">
        <v>20</v>
      </c>
      <c r="D1188" s="6" t="s">
        <v>29</v>
      </c>
      <c r="E1188">
        <v>162</v>
      </c>
      <c r="F1188">
        <v>0.72</v>
      </c>
      <c r="G1188">
        <v>0</v>
      </c>
      <c r="M1188" t="s">
        <v>47</v>
      </c>
      <c r="O1188">
        <f t="shared" si="68"/>
        <v>2.8000271999999993</v>
      </c>
    </row>
    <row r="1189" spans="1:15" x14ac:dyDescent="0.25">
      <c r="A1189" s="2">
        <v>40738</v>
      </c>
      <c r="B1189" t="s">
        <v>44</v>
      </c>
      <c r="C1189">
        <v>20</v>
      </c>
      <c r="D1189" s="6" t="s">
        <v>29</v>
      </c>
      <c r="E1189">
        <v>163</v>
      </c>
      <c r="F1189">
        <v>0.51</v>
      </c>
      <c r="G1189">
        <v>0</v>
      </c>
      <c r="M1189" t="s">
        <v>47</v>
      </c>
      <c r="O1189">
        <f t="shared" si="68"/>
        <v>2.0696800999999998</v>
      </c>
    </row>
    <row r="1190" spans="1:15" x14ac:dyDescent="0.25">
      <c r="A1190" s="2">
        <v>40738</v>
      </c>
      <c r="B1190" t="s">
        <v>44</v>
      </c>
      <c r="C1190">
        <v>20</v>
      </c>
      <c r="D1190" s="6" t="s">
        <v>29</v>
      </c>
      <c r="E1190">
        <v>163</v>
      </c>
      <c r="F1190">
        <v>0.64</v>
      </c>
      <c r="G1190">
        <v>0</v>
      </c>
      <c r="M1190" t="s">
        <v>47</v>
      </c>
      <c r="O1190">
        <f t="shared" si="68"/>
        <v>2.5315064</v>
      </c>
    </row>
    <row r="1191" spans="1:15" x14ac:dyDescent="0.25">
      <c r="A1191" s="2">
        <v>40738</v>
      </c>
      <c r="B1191" t="s">
        <v>44</v>
      </c>
      <c r="C1191">
        <v>20</v>
      </c>
      <c r="D1191" s="6" t="s">
        <v>29</v>
      </c>
      <c r="E1191">
        <v>163</v>
      </c>
      <c r="F1191">
        <v>0.66</v>
      </c>
      <c r="G1191">
        <v>0</v>
      </c>
      <c r="M1191" t="s">
        <v>47</v>
      </c>
      <c r="O1191">
        <f t="shared" si="68"/>
        <v>2.6025566000000002</v>
      </c>
    </row>
    <row r="1192" spans="1:15" x14ac:dyDescent="0.25">
      <c r="A1192" s="2">
        <v>40738</v>
      </c>
      <c r="B1192" t="s">
        <v>44</v>
      </c>
      <c r="C1192">
        <v>20</v>
      </c>
      <c r="D1192" s="6" t="s">
        <v>29</v>
      </c>
      <c r="E1192">
        <v>165</v>
      </c>
      <c r="F1192">
        <v>0.71</v>
      </c>
      <c r="G1192">
        <v>0</v>
      </c>
      <c r="M1192" t="s">
        <v>47</v>
      </c>
      <c r="O1192">
        <f t="shared" si="68"/>
        <v>2.8115420999999992</v>
      </c>
    </row>
    <row r="1193" spans="1:15" x14ac:dyDescent="0.25">
      <c r="A1193" s="2">
        <v>40738</v>
      </c>
      <c r="B1193" t="s">
        <v>44</v>
      </c>
      <c r="C1193">
        <v>20</v>
      </c>
      <c r="D1193" s="6" t="s">
        <v>29</v>
      </c>
      <c r="E1193">
        <v>171</v>
      </c>
      <c r="F1193">
        <v>0.52</v>
      </c>
      <c r="G1193">
        <v>0</v>
      </c>
      <c r="M1193" t="s">
        <v>47</v>
      </c>
      <c r="O1193">
        <f t="shared" si="68"/>
        <v>2.2306452000000001</v>
      </c>
    </row>
    <row r="1194" spans="1:15" x14ac:dyDescent="0.25">
      <c r="A1194" s="2">
        <v>40738</v>
      </c>
      <c r="B1194" t="s">
        <v>44</v>
      </c>
      <c r="C1194">
        <v>20</v>
      </c>
      <c r="D1194" s="6" t="s">
        <v>29</v>
      </c>
      <c r="E1194">
        <v>172</v>
      </c>
      <c r="F1194">
        <v>0.44</v>
      </c>
      <c r="G1194">
        <v>0</v>
      </c>
      <c r="M1194" t="s">
        <v>47</v>
      </c>
      <c r="O1194">
        <f t="shared" si="68"/>
        <v>1.9621243999999991</v>
      </c>
    </row>
    <row r="1195" spans="1:15" x14ac:dyDescent="0.25">
      <c r="A1195" s="2">
        <v>40738</v>
      </c>
      <c r="B1195" t="s">
        <v>44</v>
      </c>
      <c r="C1195">
        <v>20</v>
      </c>
      <c r="D1195" s="6" t="s">
        <v>29</v>
      </c>
      <c r="E1195">
        <v>174</v>
      </c>
      <c r="F1195">
        <v>0.76</v>
      </c>
      <c r="G1195">
        <v>0</v>
      </c>
      <c r="M1195" t="s">
        <v>47</v>
      </c>
      <c r="O1195">
        <f t="shared" si="68"/>
        <v>3.1302875999999995</v>
      </c>
    </row>
    <row r="1196" spans="1:15" x14ac:dyDescent="0.25">
      <c r="A1196" s="2">
        <v>40738</v>
      </c>
      <c r="B1196" t="s">
        <v>44</v>
      </c>
      <c r="C1196">
        <v>20</v>
      </c>
      <c r="D1196" s="6" t="s">
        <v>29</v>
      </c>
      <c r="E1196">
        <v>176</v>
      </c>
      <c r="F1196">
        <v>0.76</v>
      </c>
      <c r="G1196">
        <v>0</v>
      </c>
      <c r="M1196" t="s">
        <v>47</v>
      </c>
      <c r="O1196">
        <f t="shared" si="68"/>
        <v>3.1616475999999998</v>
      </c>
    </row>
    <row r="1197" spans="1:15" x14ac:dyDescent="0.25">
      <c r="A1197" s="2">
        <v>40738</v>
      </c>
      <c r="B1197" t="s">
        <v>44</v>
      </c>
      <c r="C1197">
        <v>20</v>
      </c>
      <c r="D1197" s="6" t="s">
        <v>29</v>
      </c>
      <c r="E1197">
        <v>177</v>
      </c>
      <c r="F1197">
        <v>0.48</v>
      </c>
      <c r="G1197">
        <v>0</v>
      </c>
      <c r="M1197" t="s">
        <v>47</v>
      </c>
      <c r="O1197">
        <f t="shared" si="68"/>
        <v>2.1826247999999997</v>
      </c>
    </row>
    <row r="1198" spans="1:15" x14ac:dyDescent="0.25">
      <c r="A1198" s="2">
        <v>40738</v>
      </c>
      <c r="B1198" t="s">
        <v>44</v>
      </c>
      <c r="C1198">
        <v>20</v>
      </c>
      <c r="D1198" s="6" t="s">
        <v>29</v>
      </c>
      <c r="E1198">
        <v>178</v>
      </c>
      <c r="F1198">
        <v>0.88</v>
      </c>
      <c r="G1198">
        <v>1</v>
      </c>
      <c r="M1198" t="s">
        <v>47</v>
      </c>
      <c r="O1198">
        <f t="shared" si="68"/>
        <v>3.6193087999999993</v>
      </c>
    </row>
    <row r="1199" spans="1:15" x14ac:dyDescent="0.25">
      <c r="A1199" s="2">
        <v>40738</v>
      </c>
      <c r="B1199" t="s">
        <v>44</v>
      </c>
      <c r="C1199">
        <v>20</v>
      </c>
      <c r="D1199" s="6" t="s">
        <v>29</v>
      </c>
      <c r="E1199">
        <v>179</v>
      </c>
      <c r="F1199">
        <v>0.7</v>
      </c>
      <c r="G1199">
        <v>0</v>
      </c>
      <c r="M1199" t="s">
        <v>47</v>
      </c>
      <c r="O1199">
        <f t="shared" si="68"/>
        <v>2.9955369999999992</v>
      </c>
    </row>
    <row r="1200" spans="1:15" x14ac:dyDescent="0.25">
      <c r="A1200" s="2">
        <v>40738</v>
      </c>
      <c r="B1200" t="s">
        <v>44</v>
      </c>
      <c r="C1200">
        <v>20</v>
      </c>
      <c r="D1200" s="6" t="s">
        <v>29</v>
      </c>
      <c r="E1200">
        <v>180</v>
      </c>
      <c r="F1200">
        <v>0.68</v>
      </c>
      <c r="G1200">
        <v>0</v>
      </c>
      <c r="M1200" t="s">
        <v>47</v>
      </c>
      <c r="O1200">
        <f t="shared" si="68"/>
        <v>2.9401668000000005</v>
      </c>
    </row>
    <row r="1201" spans="1:15" x14ac:dyDescent="0.25">
      <c r="A1201" s="2">
        <v>40738</v>
      </c>
      <c r="B1201" t="s">
        <v>44</v>
      </c>
      <c r="C1201">
        <v>20</v>
      </c>
      <c r="D1201" s="6" t="s">
        <v>29</v>
      </c>
      <c r="E1201">
        <v>180</v>
      </c>
      <c r="F1201">
        <v>0.71</v>
      </c>
      <c r="G1201">
        <v>0</v>
      </c>
      <c r="M1201" t="s">
        <v>47</v>
      </c>
      <c r="O1201">
        <f t="shared" si="68"/>
        <v>3.0467420999999999</v>
      </c>
    </row>
    <row r="1202" spans="1:15" x14ac:dyDescent="0.25">
      <c r="A1202" s="2">
        <v>40738</v>
      </c>
      <c r="B1202" t="s">
        <v>44</v>
      </c>
      <c r="C1202">
        <v>20</v>
      </c>
      <c r="D1202" s="6" t="s">
        <v>29</v>
      </c>
      <c r="E1202">
        <v>182</v>
      </c>
      <c r="F1202">
        <v>0.55000000000000004</v>
      </c>
      <c r="G1202">
        <v>0</v>
      </c>
      <c r="M1202" t="s">
        <v>47</v>
      </c>
      <c r="O1202">
        <f t="shared" si="68"/>
        <v>2.5097004999999997</v>
      </c>
    </row>
    <row r="1203" spans="1:15" x14ac:dyDescent="0.25">
      <c r="A1203" s="2">
        <v>40738</v>
      </c>
      <c r="B1203" t="s">
        <v>44</v>
      </c>
      <c r="C1203">
        <v>20</v>
      </c>
      <c r="D1203" s="6" t="s">
        <v>29</v>
      </c>
      <c r="E1203">
        <v>183</v>
      </c>
      <c r="F1203">
        <v>0.64</v>
      </c>
      <c r="G1203">
        <v>1</v>
      </c>
      <c r="M1203" t="s">
        <v>47</v>
      </c>
      <c r="O1203">
        <f t="shared" si="68"/>
        <v>2.8451063999999993</v>
      </c>
    </row>
    <row r="1204" spans="1:15" x14ac:dyDescent="0.25">
      <c r="A1204" s="2">
        <v>40738</v>
      </c>
      <c r="B1204" t="s">
        <v>44</v>
      </c>
      <c r="C1204">
        <v>20</v>
      </c>
      <c r="D1204" s="6" t="s">
        <v>29</v>
      </c>
      <c r="E1204">
        <v>186</v>
      </c>
      <c r="F1204">
        <v>0.52</v>
      </c>
      <c r="G1204">
        <v>0</v>
      </c>
      <c r="M1204" t="s">
        <v>47</v>
      </c>
      <c r="O1204">
        <f t="shared" si="68"/>
        <v>2.4658452</v>
      </c>
    </row>
    <row r="1205" spans="1:15" x14ac:dyDescent="0.25">
      <c r="A1205" s="2">
        <v>40738</v>
      </c>
      <c r="B1205" t="s">
        <v>44</v>
      </c>
      <c r="C1205">
        <v>20</v>
      </c>
      <c r="D1205" s="6" t="s">
        <v>29</v>
      </c>
      <c r="E1205">
        <v>186</v>
      </c>
      <c r="F1205">
        <v>0.9</v>
      </c>
      <c r="G1205">
        <v>0</v>
      </c>
      <c r="M1205" t="s">
        <v>47</v>
      </c>
      <c r="O1205">
        <f t="shared" si="68"/>
        <v>3.8157989999999997</v>
      </c>
    </row>
    <row r="1206" spans="1:15" x14ac:dyDescent="0.25">
      <c r="A1206" s="2">
        <v>40738</v>
      </c>
      <c r="B1206" t="s">
        <v>44</v>
      </c>
      <c r="C1206">
        <v>20</v>
      </c>
      <c r="D1206" s="6" t="s">
        <v>29</v>
      </c>
      <c r="E1206">
        <v>187</v>
      </c>
      <c r="F1206">
        <v>0.65</v>
      </c>
      <c r="G1206">
        <v>1</v>
      </c>
      <c r="M1206" t="s">
        <v>47</v>
      </c>
      <c r="O1206">
        <f t="shared" si="68"/>
        <v>2.9433514999999999</v>
      </c>
    </row>
    <row r="1207" spans="1:15" x14ac:dyDescent="0.25">
      <c r="A1207" s="2">
        <v>40738</v>
      </c>
      <c r="B1207" t="s">
        <v>44</v>
      </c>
      <c r="C1207">
        <v>20</v>
      </c>
      <c r="D1207" s="6" t="s">
        <v>29</v>
      </c>
      <c r="E1207">
        <v>188</v>
      </c>
      <c r="F1207">
        <v>0.63</v>
      </c>
      <c r="G1207">
        <v>1</v>
      </c>
      <c r="M1207" t="s">
        <v>47</v>
      </c>
      <c r="O1207">
        <f t="shared" si="68"/>
        <v>2.8879812999999994</v>
      </c>
    </row>
    <row r="1208" spans="1:15" x14ac:dyDescent="0.25">
      <c r="A1208" s="2">
        <v>40738</v>
      </c>
      <c r="B1208" t="s">
        <v>44</v>
      </c>
      <c r="C1208">
        <v>20</v>
      </c>
      <c r="D1208" s="6" t="s">
        <v>29</v>
      </c>
      <c r="E1208">
        <v>191</v>
      </c>
      <c r="F1208">
        <v>0.55000000000000004</v>
      </c>
      <c r="G1208">
        <v>0</v>
      </c>
      <c r="M1208" t="s">
        <v>47</v>
      </c>
      <c r="O1208">
        <f t="shared" si="68"/>
        <v>2.6508204999999996</v>
      </c>
    </row>
    <row r="1209" spans="1:15" x14ac:dyDescent="0.25">
      <c r="A1209" s="2">
        <v>40738</v>
      </c>
      <c r="B1209" t="s">
        <v>44</v>
      </c>
      <c r="C1209">
        <v>20</v>
      </c>
      <c r="D1209" s="6" t="s">
        <v>29</v>
      </c>
      <c r="E1209">
        <v>191</v>
      </c>
      <c r="F1209">
        <v>0.61</v>
      </c>
      <c r="G1209">
        <v>0</v>
      </c>
      <c r="M1209" t="s">
        <v>47</v>
      </c>
      <c r="O1209">
        <f t="shared" si="68"/>
        <v>2.8639710999999992</v>
      </c>
    </row>
    <row r="1210" spans="1:15" x14ac:dyDescent="0.25">
      <c r="A1210" s="2">
        <v>40738</v>
      </c>
      <c r="B1210" t="s">
        <v>44</v>
      </c>
      <c r="C1210">
        <v>20</v>
      </c>
      <c r="D1210" s="6" t="s">
        <v>29</v>
      </c>
      <c r="E1210">
        <v>192</v>
      </c>
      <c r="F1210">
        <v>1.1299999999999999</v>
      </c>
      <c r="G1210">
        <v>0</v>
      </c>
      <c r="M1210" t="s">
        <v>47</v>
      </c>
      <c r="O1210">
        <f t="shared" ref="O1210:O1236" si="69">((3.55251*F1210)+(0.01568*E1210)-2.29794)</f>
        <v>4.7269562999999994</v>
      </c>
    </row>
    <row r="1211" spans="1:15" x14ac:dyDescent="0.25">
      <c r="A1211" s="2">
        <v>40738</v>
      </c>
      <c r="B1211" t="s">
        <v>44</v>
      </c>
      <c r="C1211">
        <v>20</v>
      </c>
      <c r="D1211" s="6" t="s">
        <v>29</v>
      </c>
      <c r="E1211">
        <v>193</v>
      </c>
      <c r="F1211">
        <v>0.78</v>
      </c>
      <c r="G1211">
        <v>0</v>
      </c>
      <c r="M1211" t="s">
        <v>47</v>
      </c>
      <c r="O1211">
        <f t="shared" si="69"/>
        <v>3.4992578000000001</v>
      </c>
    </row>
    <row r="1212" spans="1:15" x14ac:dyDescent="0.25">
      <c r="A1212" s="2">
        <v>40738</v>
      </c>
      <c r="B1212" t="s">
        <v>44</v>
      </c>
      <c r="C1212">
        <v>20</v>
      </c>
      <c r="D1212" s="6" t="s">
        <v>29</v>
      </c>
      <c r="E1212">
        <v>193</v>
      </c>
      <c r="F1212">
        <v>0.78</v>
      </c>
      <c r="G1212">
        <v>0</v>
      </c>
      <c r="M1212" t="s">
        <v>47</v>
      </c>
      <c r="O1212">
        <f t="shared" si="69"/>
        <v>3.4992578000000001</v>
      </c>
    </row>
    <row r="1213" spans="1:15" x14ac:dyDescent="0.25">
      <c r="A1213" s="2">
        <v>40738</v>
      </c>
      <c r="B1213" t="s">
        <v>44</v>
      </c>
      <c r="C1213">
        <v>20</v>
      </c>
      <c r="D1213" s="6" t="s">
        <v>29</v>
      </c>
      <c r="E1213">
        <v>194</v>
      </c>
      <c r="F1213">
        <v>0.34</v>
      </c>
      <c r="G1213">
        <v>0</v>
      </c>
      <c r="M1213" t="s">
        <v>47</v>
      </c>
      <c r="O1213">
        <f t="shared" si="69"/>
        <v>1.9518333999999995</v>
      </c>
    </row>
    <row r="1214" spans="1:15" x14ac:dyDescent="0.25">
      <c r="A1214" s="2">
        <v>40738</v>
      </c>
      <c r="B1214" t="s">
        <v>44</v>
      </c>
      <c r="C1214">
        <v>20</v>
      </c>
      <c r="D1214" s="6" t="s">
        <v>29</v>
      </c>
      <c r="E1214">
        <v>195</v>
      </c>
      <c r="F1214">
        <v>0.65</v>
      </c>
      <c r="G1214">
        <v>1</v>
      </c>
      <c r="M1214" t="s">
        <v>47</v>
      </c>
      <c r="O1214">
        <f t="shared" si="69"/>
        <v>3.0687915000000001</v>
      </c>
    </row>
    <row r="1215" spans="1:15" x14ac:dyDescent="0.25">
      <c r="A1215" s="2">
        <v>40738</v>
      </c>
      <c r="B1215" t="s">
        <v>44</v>
      </c>
      <c r="C1215">
        <v>20</v>
      </c>
      <c r="D1215" s="6" t="s">
        <v>29</v>
      </c>
      <c r="E1215">
        <v>198</v>
      </c>
      <c r="F1215">
        <v>0.74</v>
      </c>
      <c r="G1215">
        <v>0</v>
      </c>
      <c r="M1215" t="s">
        <v>47</v>
      </c>
      <c r="O1215">
        <f t="shared" si="69"/>
        <v>3.4355573999999991</v>
      </c>
    </row>
    <row r="1216" spans="1:15" x14ac:dyDescent="0.25">
      <c r="A1216" s="2">
        <v>40738</v>
      </c>
      <c r="B1216" t="s">
        <v>44</v>
      </c>
      <c r="C1216">
        <v>20</v>
      </c>
      <c r="D1216" s="6" t="s">
        <v>29</v>
      </c>
      <c r="E1216">
        <v>199</v>
      </c>
      <c r="F1216">
        <v>0.8</v>
      </c>
      <c r="G1216">
        <v>0</v>
      </c>
      <c r="M1216" t="s">
        <v>47</v>
      </c>
      <c r="O1216">
        <f t="shared" si="69"/>
        <v>3.6643879999999993</v>
      </c>
    </row>
    <row r="1217" spans="1:15" x14ac:dyDescent="0.25">
      <c r="A1217" s="2">
        <v>40738</v>
      </c>
      <c r="B1217" t="s">
        <v>44</v>
      </c>
      <c r="C1217">
        <v>20</v>
      </c>
      <c r="D1217" s="6" t="s">
        <v>29</v>
      </c>
      <c r="E1217">
        <v>200</v>
      </c>
      <c r="F1217">
        <v>0.64</v>
      </c>
      <c r="G1217">
        <v>0</v>
      </c>
      <c r="M1217" t="s">
        <v>47</v>
      </c>
      <c r="O1217">
        <f t="shared" si="69"/>
        <v>3.1116663999999994</v>
      </c>
    </row>
    <row r="1218" spans="1:15" x14ac:dyDescent="0.25">
      <c r="A1218" s="2">
        <v>40738</v>
      </c>
      <c r="B1218" t="s">
        <v>44</v>
      </c>
      <c r="C1218">
        <v>20</v>
      </c>
      <c r="D1218" s="6" t="s">
        <v>29</v>
      </c>
      <c r="E1218">
        <v>200</v>
      </c>
      <c r="F1218">
        <v>0.66</v>
      </c>
      <c r="G1218">
        <v>1</v>
      </c>
      <c r="M1218" t="s">
        <v>47</v>
      </c>
      <c r="O1218">
        <f t="shared" si="69"/>
        <v>3.1827165999999996</v>
      </c>
    </row>
    <row r="1219" spans="1:15" x14ac:dyDescent="0.25">
      <c r="A1219" s="2">
        <v>40738</v>
      </c>
      <c r="B1219" t="s">
        <v>44</v>
      </c>
      <c r="C1219">
        <v>20</v>
      </c>
      <c r="D1219" s="6" t="s">
        <v>29</v>
      </c>
      <c r="E1219">
        <v>201</v>
      </c>
      <c r="F1219">
        <v>0.78</v>
      </c>
      <c r="G1219">
        <v>0</v>
      </c>
      <c r="M1219" t="s">
        <v>47</v>
      </c>
      <c r="O1219">
        <f t="shared" si="69"/>
        <v>3.6246978000000003</v>
      </c>
    </row>
    <row r="1220" spans="1:15" x14ac:dyDescent="0.25">
      <c r="A1220" s="2">
        <v>40738</v>
      </c>
      <c r="B1220" t="s">
        <v>44</v>
      </c>
      <c r="C1220">
        <v>20</v>
      </c>
      <c r="D1220" s="6" t="s">
        <v>29</v>
      </c>
      <c r="E1220">
        <v>201</v>
      </c>
      <c r="F1220">
        <v>0.93</v>
      </c>
      <c r="G1220">
        <v>0</v>
      </c>
      <c r="M1220" t="s">
        <v>47</v>
      </c>
      <c r="O1220">
        <f t="shared" si="69"/>
        <v>4.1575743000000003</v>
      </c>
    </row>
    <row r="1221" spans="1:15" x14ac:dyDescent="0.25">
      <c r="A1221" s="2">
        <v>40738</v>
      </c>
      <c r="B1221" t="s">
        <v>44</v>
      </c>
      <c r="C1221">
        <v>20</v>
      </c>
      <c r="D1221" s="6" t="s">
        <v>29</v>
      </c>
      <c r="E1221">
        <v>202</v>
      </c>
      <c r="F1221">
        <v>0.6</v>
      </c>
      <c r="G1221">
        <v>0</v>
      </c>
      <c r="M1221" t="s">
        <v>47</v>
      </c>
      <c r="O1221">
        <f t="shared" si="69"/>
        <v>3.0009260000000002</v>
      </c>
    </row>
    <row r="1222" spans="1:15" x14ac:dyDescent="0.25">
      <c r="A1222" s="2">
        <v>40738</v>
      </c>
      <c r="B1222" t="s">
        <v>44</v>
      </c>
      <c r="C1222">
        <v>20</v>
      </c>
      <c r="D1222" s="6" t="s">
        <v>29</v>
      </c>
      <c r="E1222">
        <v>203</v>
      </c>
      <c r="F1222">
        <v>0.71</v>
      </c>
      <c r="G1222">
        <v>0</v>
      </c>
      <c r="M1222" t="s">
        <v>47</v>
      </c>
      <c r="O1222">
        <f t="shared" si="69"/>
        <v>3.4073821</v>
      </c>
    </row>
    <row r="1223" spans="1:15" x14ac:dyDescent="0.25">
      <c r="A1223" s="2">
        <v>40738</v>
      </c>
      <c r="B1223" t="s">
        <v>44</v>
      </c>
      <c r="C1223">
        <v>20</v>
      </c>
      <c r="D1223" s="6" t="s">
        <v>29</v>
      </c>
      <c r="E1223">
        <v>203</v>
      </c>
      <c r="F1223">
        <v>0.88</v>
      </c>
      <c r="G1223">
        <v>0</v>
      </c>
      <c r="M1223" t="s">
        <v>47</v>
      </c>
      <c r="O1223">
        <f t="shared" si="69"/>
        <v>4.0113088000000001</v>
      </c>
    </row>
    <row r="1224" spans="1:15" x14ac:dyDescent="0.25">
      <c r="A1224" s="2">
        <v>40738</v>
      </c>
      <c r="B1224" t="s">
        <v>44</v>
      </c>
      <c r="C1224">
        <v>20</v>
      </c>
      <c r="D1224" s="6" t="s">
        <v>29</v>
      </c>
      <c r="E1224">
        <v>203</v>
      </c>
      <c r="F1224">
        <v>0.98</v>
      </c>
      <c r="G1224">
        <v>0</v>
      </c>
      <c r="M1224" t="s">
        <v>47</v>
      </c>
      <c r="O1224">
        <f t="shared" si="69"/>
        <v>4.3665597999999992</v>
      </c>
    </row>
    <row r="1225" spans="1:15" x14ac:dyDescent="0.25">
      <c r="A1225" s="2">
        <v>40738</v>
      </c>
      <c r="B1225" t="s">
        <v>44</v>
      </c>
      <c r="C1225">
        <v>20</v>
      </c>
      <c r="D1225" s="6" t="s">
        <v>29</v>
      </c>
      <c r="E1225">
        <v>209</v>
      </c>
      <c r="F1225">
        <v>0.68</v>
      </c>
      <c r="G1225">
        <v>0</v>
      </c>
      <c r="M1225" t="s">
        <v>47</v>
      </c>
      <c r="O1225">
        <f t="shared" si="69"/>
        <v>3.3948868000000005</v>
      </c>
    </row>
    <row r="1226" spans="1:15" x14ac:dyDescent="0.25">
      <c r="A1226" s="2">
        <v>40738</v>
      </c>
      <c r="B1226" t="s">
        <v>44</v>
      </c>
      <c r="C1226">
        <v>20</v>
      </c>
      <c r="D1226" s="6" t="s">
        <v>29</v>
      </c>
      <c r="E1226">
        <v>211</v>
      </c>
      <c r="F1226">
        <v>0.8</v>
      </c>
      <c r="G1226">
        <v>0</v>
      </c>
      <c r="M1226" t="s">
        <v>47</v>
      </c>
      <c r="O1226">
        <f t="shared" si="69"/>
        <v>3.8525479999999992</v>
      </c>
    </row>
    <row r="1227" spans="1:15" x14ac:dyDescent="0.25">
      <c r="A1227" s="2">
        <v>40738</v>
      </c>
      <c r="B1227" t="s">
        <v>44</v>
      </c>
      <c r="C1227">
        <v>20</v>
      </c>
      <c r="D1227" s="6" t="s">
        <v>29</v>
      </c>
      <c r="E1227">
        <v>214</v>
      </c>
      <c r="F1227">
        <v>0.85</v>
      </c>
      <c r="G1227">
        <v>0</v>
      </c>
      <c r="M1227" t="s">
        <v>47</v>
      </c>
      <c r="O1227">
        <f t="shared" si="69"/>
        <v>4.0772134999999992</v>
      </c>
    </row>
    <row r="1228" spans="1:15" x14ac:dyDescent="0.25">
      <c r="A1228" s="2">
        <v>40738</v>
      </c>
      <c r="B1228" t="s">
        <v>44</v>
      </c>
      <c r="C1228">
        <v>20</v>
      </c>
      <c r="D1228" s="6" t="s">
        <v>29</v>
      </c>
      <c r="E1228">
        <v>214</v>
      </c>
      <c r="F1228">
        <v>0.91</v>
      </c>
      <c r="G1228">
        <v>0</v>
      </c>
      <c r="M1228" t="s">
        <v>47</v>
      </c>
      <c r="O1228">
        <f t="shared" si="69"/>
        <v>4.2903640999999997</v>
      </c>
    </row>
    <row r="1229" spans="1:15" x14ac:dyDescent="0.25">
      <c r="A1229" s="2">
        <v>40738</v>
      </c>
      <c r="B1229" t="s">
        <v>44</v>
      </c>
      <c r="C1229">
        <v>20</v>
      </c>
      <c r="D1229" s="6" t="s">
        <v>29</v>
      </c>
      <c r="E1229">
        <v>216</v>
      </c>
      <c r="F1229">
        <v>0.33</v>
      </c>
      <c r="G1229">
        <v>0</v>
      </c>
      <c r="M1229" t="s">
        <v>47</v>
      </c>
      <c r="O1229">
        <f t="shared" si="69"/>
        <v>2.2612682999999998</v>
      </c>
    </row>
    <row r="1230" spans="1:15" x14ac:dyDescent="0.25">
      <c r="A1230" s="2">
        <v>40738</v>
      </c>
      <c r="B1230" t="s">
        <v>44</v>
      </c>
      <c r="C1230">
        <v>20</v>
      </c>
      <c r="D1230" s="6" t="s">
        <v>29</v>
      </c>
      <c r="E1230">
        <v>216</v>
      </c>
      <c r="F1230">
        <v>1.1100000000000001</v>
      </c>
      <c r="G1230">
        <v>0</v>
      </c>
      <c r="M1230" t="s">
        <v>47</v>
      </c>
      <c r="O1230">
        <f t="shared" si="69"/>
        <v>5.032226099999999</v>
      </c>
    </row>
    <row r="1231" spans="1:15" x14ac:dyDescent="0.25">
      <c r="A1231" s="2">
        <v>40738</v>
      </c>
      <c r="B1231" t="s">
        <v>44</v>
      </c>
      <c r="C1231">
        <v>20</v>
      </c>
      <c r="D1231" s="6" t="s">
        <v>29</v>
      </c>
      <c r="E1231">
        <v>217</v>
      </c>
      <c r="F1231">
        <v>0.35</v>
      </c>
      <c r="G1231">
        <v>0</v>
      </c>
      <c r="M1231" t="s">
        <v>47</v>
      </c>
      <c r="O1231">
        <f t="shared" si="69"/>
        <v>2.3479984999999997</v>
      </c>
    </row>
    <row r="1232" spans="1:15" x14ac:dyDescent="0.25">
      <c r="A1232" s="2">
        <v>40738</v>
      </c>
      <c r="B1232" t="s">
        <v>44</v>
      </c>
      <c r="C1232">
        <v>20</v>
      </c>
      <c r="D1232" s="6" t="s">
        <v>29</v>
      </c>
      <c r="E1232">
        <v>219</v>
      </c>
      <c r="F1232">
        <v>0.88</v>
      </c>
      <c r="G1232">
        <v>0</v>
      </c>
      <c r="M1232" t="s">
        <v>47</v>
      </c>
      <c r="O1232">
        <f t="shared" si="69"/>
        <v>4.2621887999999988</v>
      </c>
    </row>
    <row r="1233" spans="1:15" x14ac:dyDescent="0.25">
      <c r="A1233" s="2">
        <v>40738</v>
      </c>
      <c r="B1233" t="s">
        <v>44</v>
      </c>
      <c r="C1233">
        <v>20</v>
      </c>
      <c r="D1233" s="6" t="s">
        <v>29</v>
      </c>
      <c r="E1233">
        <v>222</v>
      </c>
      <c r="F1233">
        <v>0.69</v>
      </c>
      <c r="G1233">
        <v>1</v>
      </c>
      <c r="M1233" t="s">
        <v>47</v>
      </c>
      <c r="O1233">
        <f t="shared" si="69"/>
        <v>3.6342518999999993</v>
      </c>
    </row>
    <row r="1234" spans="1:15" x14ac:dyDescent="0.25">
      <c r="A1234" s="2">
        <v>40738</v>
      </c>
      <c r="B1234" t="s">
        <v>44</v>
      </c>
      <c r="C1234">
        <v>20</v>
      </c>
      <c r="D1234" s="6" t="s">
        <v>29</v>
      </c>
      <c r="E1234">
        <v>238</v>
      </c>
      <c r="F1234">
        <v>0.45</v>
      </c>
      <c r="G1234">
        <v>1</v>
      </c>
      <c r="M1234" t="s">
        <v>47</v>
      </c>
      <c r="O1234">
        <f t="shared" si="69"/>
        <v>3.0325294999999994</v>
      </c>
    </row>
    <row r="1235" spans="1:15" x14ac:dyDescent="0.25">
      <c r="A1235" s="2">
        <v>40738</v>
      </c>
      <c r="B1235" t="s">
        <v>44</v>
      </c>
      <c r="C1235">
        <v>20</v>
      </c>
      <c r="D1235" s="6" t="s">
        <v>29</v>
      </c>
      <c r="E1235">
        <v>262</v>
      </c>
      <c r="F1235">
        <v>0.8</v>
      </c>
      <c r="G1235">
        <v>1</v>
      </c>
      <c r="M1235" t="s">
        <v>47</v>
      </c>
      <c r="O1235">
        <f t="shared" si="69"/>
        <v>4.6522279999999991</v>
      </c>
    </row>
    <row r="1236" spans="1:15" x14ac:dyDescent="0.25">
      <c r="A1236" s="2">
        <v>40738</v>
      </c>
      <c r="B1236" t="s">
        <v>44</v>
      </c>
      <c r="C1236">
        <v>20</v>
      </c>
      <c r="D1236" s="6" t="s">
        <v>29</v>
      </c>
      <c r="E1236">
        <v>263</v>
      </c>
      <c r="F1236">
        <v>0.64</v>
      </c>
      <c r="G1236">
        <v>0</v>
      </c>
      <c r="M1236" t="s">
        <v>47</v>
      </c>
      <c r="O1236">
        <f t="shared" si="69"/>
        <v>4.0995063999999992</v>
      </c>
    </row>
    <row r="1237" spans="1:15" x14ac:dyDescent="0.25">
      <c r="A1237" s="2">
        <v>40738</v>
      </c>
      <c r="B1237" t="s">
        <v>44</v>
      </c>
      <c r="C1237">
        <v>20</v>
      </c>
      <c r="D1237" s="6" t="s">
        <v>19</v>
      </c>
      <c r="F1237">
        <v>2.66</v>
      </c>
      <c r="J1237">
        <f>SUM(201,204,221,220,223)</f>
        <v>1069</v>
      </c>
      <c r="K1237">
        <v>5</v>
      </c>
      <c r="L1237">
        <v>223</v>
      </c>
      <c r="M1237" t="s">
        <v>47</v>
      </c>
      <c r="O1237">
        <f>((-7.02235*K1237)+(-0.30125*L1237)+(0.09376*J1237)+33.03698)</f>
        <v>30.975919999999988</v>
      </c>
    </row>
    <row r="1238" spans="1:15" x14ac:dyDescent="0.25">
      <c r="A1238" s="2">
        <v>40738</v>
      </c>
      <c r="B1238" t="s">
        <v>44</v>
      </c>
      <c r="C1238">
        <v>22</v>
      </c>
      <c r="D1238" s="6" t="s">
        <v>29</v>
      </c>
      <c r="E1238">
        <v>37</v>
      </c>
      <c r="F1238">
        <v>0.64</v>
      </c>
      <c r="G1238">
        <v>0</v>
      </c>
      <c r="M1238" t="s">
        <v>46</v>
      </c>
      <c r="O1238">
        <f t="shared" ref="O1238:O1269" si="70">((3.55251*F1238)+(0.01568*E1238)-2.29794)</f>
        <v>0.5558263999999995</v>
      </c>
    </row>
    <row r="1239" spans="1:15" x14ac:dyDescent="0.25">
      <c r="A1239" s="2">
        <v>40738</v>
      </c>
      <c r="B1239" t="s">
        <v>44</v>
      </c>
      <c r="C1239">
        <v>22</v>
      </c>
      <c r="D1239" s="6" t="s">
        <v>29</v>
      </c>
      <c r="E1239">
        <v>85</v>
      </c>
      <c r="F1239">
        <v>0.26</v>
      </c>
      <c r="G1239">
        <v>0</v>
      </c>
      <c r="M1239" t="s">
        <v>46</v>
      </c>
      <c r="O1239">
        <f t="shared" si="70"/>
        <v>-4.1487400000000285E-2</v>
      </c>
    </row>
    <row r="1240" spans="1:15" x14ac:dyDescent="0.25">
      <c r="A1240" s="2">
        <v>40738</v>
      </c>
      <c r="B1240" t="s">
        <v>44</v>
      </c>
      <c r="C1240">
        <v>22</v>
      </c>
      <c r="D1240" s="6" t="s">
        <v>29</v>
      </c>
      <c r="E1240">
        <v>85</v>
      </c>
      <c r="F1240">
        <v>0.49</v>
      </c>
      <c r="G1240">
        <v>0</v>
      </c>
      <c r="M1240" t="s">
        <v>46</v>
      </c>
      <c r="O1240">
        <f t="shared" si="70"/>
        <v>0.7755898999999995</v>
      </c>
    </row>
    <row r="1241" spans="1:15" x14ac:dyDescent="0.25">
      <c r="A1241" s="2">
        <v>40738</v>
      </c>
      <c r="B1241" t="s">
        <v>44</v>
      </c>
      <c r="C1241">
        <v>22</v>
      </c>
      <c r="D1241" s="6" t="s">
        <v>29</v>
      </c>
      <c r="E1241">
        <v>85</v>
      </c>
      <c r="F1241">
        <v>0.87</v>
      </c>
      <c r="G1241">
        <v>0</v>
      </c>
      <c r="M1241" t="s">
        <v>46</v>
      </c>
      <c r="O1241">
        <f t="shared" si="70"/>
        <v>2.1255437000000001</v>
      </c>
    </row>
    <row r="1242" spans="1:15" x14ac:dyDescent="0.25">
      <c r="A1242" s="2">
        <v>40738</v>
      </c>
      <c r="B1242" t="s">
        <v>44</v>
      </c>
      <c r="C1242">
        <v>22</v>
      </c>
      <c r="D1242" s="6" t="s">
        <v>29</v>
      </c>
      <c r="E1242">
        <v>88</v>
      </c>
      <c r="F1242">
        <v>0.41</v>
      </c>
      <c r="G1242">
        <v>0</v>
      </c>
      <c r="M1242" t="s">
        <v>46</v>
      </c>
      <c r="O1242">
        <f t="shared" si="70"/>
        <v>0.53842909999999966</v>
      </c>
    </row>
    <row r="1243" spans="1:15" x14ac:dyDescent="0.25">
      <c r="A1243" s="2">
        <v>40738</v>
      </c>
      <c r="B1243" t="s">
        <v>44</v>
      </c>
      <c r="C1243">
        <v>22</v>
      </c>
      <c r="D1243" s="6" t="s">
        <v>29</v>
      </c>
      <c r="E1243">
        <v>89</v>
      </c>
      <c r="F1243">
        <v>0.4</v>
      </c>
      <c r="G1243">
        <v>0</v>
      </c>
      <c r="M1243" t="s">
        <v>46</v>
      </c>
      <c r="O1243">
        <f t="shared" si="70"/>
        <v>0.51858399999999971</v>
      </c>
    </row>
    <row r="1244" spans="1:15" x14ac:dyDescent="0.25">
      <c r="A1244" s="2">
        <v>40738</v>
      </c>
      <c r="B1244" t="s">
        <v>44</v>
      </c>
      <c r="C1244">
        <v>22</v>
      </c>
      <c r="D1244" s="6" t="s">
        <v>29</v>
      </c>
      <c r="E1244">
        <v>95</v>
      </c>
      <c r="F1244">
        <v>0.45</v>
      </c>
      <c r="G1244">
        <v>0</v>
      </c>
      <c r="M1244" t="s">
        <v>46</v>
      </c>
      <c r="O1244">
        <f t="shared" si="70"/>
        <v>0.79028949999999965</v>
      </c>
    </row>
    <row r="1245" spans="1:15" x14ac:dyDescent="0.25">
      <c r="A1245" s="2">
        <v>40738</v>
      </c>
      <c r="B1245" t="s">
        <v>44</v>
      </c>
      <c r="C1245">
        <v>22</v>
      </c>
      <c r="D1245" s="6" t="s">
        <v>29</v>
      </c>
      <c r="E1245">
        <v>104</v>
      </c>
      <c r="F1245">
        <v>0.62</v>
      </c>
      <c r="G1245">
        <v>0</v>
      </c>
      <c r="M1245" t="s">
        <v>46</v>
      </c>
      <c r="O1245">
        <f t="shared" si="70"/>
        <v>1.5353362000000002</v>
      </c>
    </row>
    <row r="1246" spans="1:15" x14ac:dyDescent="0.25">
      <c r="A1246" s="2">
        <v>40738</v>
      </c>
      <c r="B1246" t="s">
        <v>44</v>
      </c>
      <c r="C1246">
        <v>22</v>
      </c>
      <c r="D1246" s="6" t="s">
        <v>29</v>
      </c>
      <c r="E1246">
        <v>106</v>
      </c>
      <c r="F1246">
        <v>0.28000000000000003</v>
      </c>
      <c r="G1246">
        <v>0</v>
      </c>
      <c r="M1246" t="s">
        <v>46</v>
      </c>
      <c r="O1246">
        <f t="shared" si="70"/>
        <v>0.35884280000000013</v>
      </c>
    </row>
    <row r="1247" spans="1:15" x14ac:dyDescent="0.25">
      <c r="A1247" s="2">
        <v>40738</v>
      </c>
      <c r="B1247" t="s">
        <v>44</v>
      </c>
      <c r="C1247">
        <v>22</v>
      </c>
      <c r="D1247" s="6" t="s">
        <v>29</v>
      </c>
      <c r="E1247">
        <v>106</v>
      </c>
      <c r="F1247">
        <v>0.5</v>
      </c>
      <c r="G1247">
        <v>0</v>
      </c>
      <c r="M1247" t="s">
        <v>46</v>
      </c>
      <c r="O1247">
        <f t="shared" si="70"/>
        <v>1.1403949999999998</v>
      </c>
    </row>
    <row r="1248" spans="1:15" x14ac:dyDescent="0.25">
      <c r="A1248" s="2">
        <v>40738</v>
      </c>
      <c r="B1248" t="s">
        <v>44</v>
      </c>
      <c r="C1248">
        <v>22</v>
      </c>
      <c r="D1248" s="6" t="s">
        <v>29</v>
      </c>
      <c r="E1248">
        <v>106</v>
      </c>
      <c r="F1248">
        <v>0.63</v>
      </c>
      <c r="G1248">
        <v>0</v>
      </c>
      <c r="M1248" t="s">
        <v>46</v>
      </c>
      <c r="O1248">
        <f t="shared" si="70"/>
        <v>1.6022212999999996</v>
      </c>
    </row>
    <row r="1249" spans="1:16" x14ac:dyDescent="0.25">
      <c r="A1249" s="2">
        <v>40738</v>
      </c>
      <c r="B1249" t="s">
        <v>44</v>
      </c>
      <c r="C1249">
        <v>22</v>
      </c>
      <c r="D1249" s="6" t="s">
        <v>29</v>
      </c>
      <c r="E1249">
        <v>107</v>
      </c>
      <c r="F1249">
        <v>0.39</v>
      </c>
      <c r="G1249">
        <v>0</v>
      </c>
      <c r="M1249" t="s">
        <v>46</v>
      </c>
      <c r="O1249">
        <f t="shared" si="70"/>
        <v>0.76529889999999989</v>
      </c>
    </row>
    <row r="1250" spans="1:16" x14ac:dyDescent="0.25">
      <c r="A1250" s="2">
        <v>40738</v>
      </c>
      <c r="B1250" t="s">
        <v>44</v>
      </c>
      <c r="C1250">
        <v>22</v>
      </c>
      <c r="D1250" s="6" t="s">
        <v>29</v>
      </c>
      <c r="E1250">
        <v>108</v>
      </c>
      <c r="F1250">
        <v>0.4</v>
      </c>
      <c r="G1250">
        <v>0</v>
      </c>
      <c r="M1250" t="s">
        <v>46</v>
      </c>
      <c r="O1250">
        <f t="shared" si="70"/>
        <v>0.81650399999999967</v>
      </c>
    </row>
    <row r="1251" spans="1:16" x14ac:dyDescent="0.25">
      <c r="A1251" s="2">
        <v>40738</v>
      </c>
      <c r="B1251" t="s">
        <v>44</v>
      </c>
      <c r="C1251">
        <v>22</v>
      </c>
      <c r="D1251" s="6" t="s">
        <v>29</v>
      </c>
      <c r="E1251">
        <v>112</v>
      </c>
      <c r="F1251">
        <v>0.51</v>
      </c>
      <c r="G1251">
        <v>0</v>
      </c>
      <c r="M1251" t="s">
        <v>46</v>
      </c>
      <c r="O1251">
        <f t="shared" si="70"/>
        <v>1.2700000999999999</v>
      </c>
    </row>
    <row r="1252" spans="1:16" x14ac:dyDescent="0.25">
      <c r="A1252" s="2">
        <v>40738</v>
      </c>
      <c r="B1252" t="s">
        <v>44</v>
      </c>
      <c r="C1252">
        <v>22</v>
      </c>
      <c r="D1252" s="6" t="s">
        <v>29</v>
      </c>
      <c r="E1252">
        <v>115</v>
      </c>
      <c r="F1252">
        <v>0.41</v>
      </c>
      <c r="G1252">
        <v>0</v>
      </c>
      <c r="M1252" t="s">
        <v>46</v>
      </c>
      <c r="O1252">
        <f t="shared" si="70"/>
        <v>0.9617890999999994</v>
      </c>
    </row>
    <row r="1253" spans="1:16" x14ac:dyDescent="0.25">
      <c r="A1253" s="2">
        <v>40738</v>
      </c>
      <c r="B1253" t="s">
        <v>44</v>
      </c>
      <c r="C1253">
        <v>22</v>
      </c>
      <c r="D1253" s="6" t="s">
        <v>29</v>
      </c>
      <c r="E1253">
        <v>115</v>
      </c>
      <c r="F1253">
        <v>0.41</v>
      </c>
      <c r="G1253">
        <v>0</v>
      </c>
      <c r="M1253" t="s">
        <v>46</v>
      </c>
      <c r="O1253">
        <f t="shared" si="70"/>
        <v>0.9617890999999994</v>
      </c>
    </row>
    <row r="1254" spans="1:16" x14ac:dyDescent="0.25">
      <c r="A1254" s="2">
        <v>40738</v>
      </c>
      <c r="B1254" t="s">
        <v>44</v>
      </c>
      <c r="C1254">
        <v>22</v>
      </c>
      <c r="D1254" s="6" t="s">
        <v>29</v>
      </c>
      <c r="E1254">
        <v>115</v>
      </c>
      <c r="F1254">
        <v>0.68</v>
      </c>
      <c r="G1254">
        <v>0</v>
      </c>
      <c r="M1254" t="s">
        <v>46</v>
      </c>
      <c r="O1254">
        <f t="shared" si="70"/>
        <v>1.9209668</v>
      </c>
    </row>
    <row r="1255" spans="1:16" x14ac:dyDescent="0.25">
      <c r="A1255" s="2">
        <v>40738</v>
      </c>
      <c r="B1255" t="s">
        <v>44</v>
      </c>
      <c r="C1255">
        <v>22</v>
      </c>
      <c r="D1255" s="6" t="s">
        <v>29</v>
      </c>
      <c r="E1255">
        <v>118</v>
      </c>
      <c r="F1255">
        <v>0.39</v>
      </c>
      <c r="G1255">
        <v>0</v>
      </c>
      <c r="M1255" t="s">
        <v>46</v>
      </c>
      <c r="O1255">
        <f t="shared" si="70"/>
        <v>0.93777890000000008</v>
      </c>
    </row>
    <row r="1256" spans="1:16" x14ac:dyDescent="0.25">
      <c r="A1256" s="2">
        <v>40738</v>
      </c>
      <c r="B1256" t="s">
        <v>44</v>
      </c>
      <c r="C1256">
        <v>22</v>
      </c>
      <c r="D1256" s="6" t="s">
        <v>29</v>
      </c>
      <c r="E1256">
        <v>121</v>
      </c>
      <c r="F1256">
        <v>0.39</v>
      </c>
      <c r="G1256">
        <v>0</v>
      </c>
      <c r="M1256" t="s">
        <v>46</v>
      </c>
      <c r="O1256">
        <f t="shared" si="70"/>
        <v>0.98481890000000005</v>
      </c>
    </row>
    <row r="1257" spans="1:16" x14ac:dyDescent="0.25">
      <c r="A1257" s="2">
        <v>40738</v>
      </c>
      <c r="B1257" t="s">
        <v>44</v>
      </c>
      <c r="C1257">
        <v>22</v>
      </c>
      <c r="D1257" s="6" t="s">
        <v>29</v>
      </c>
      <c r="E1257">
        <v>124</v>
      </c>
      <c r="F1257">
        <v>0.42</v>
      </c>
      <c r="G1257">
        <v>0</v>
      </c>
      <c r="M1257" t="s">
        <v>46</v>
      </c>
      <c r="O1257">
        <f t="shared" si="70"/>
        <v>1.1384341999999994</v>
      </c>
    </row>
    <row r="1258" spans="1:16" s="9" customFormat="1" x14ac:dyDescent="0.25">
      <c r="A1258" s="2">
        <v>40738</v>
      </c>
      <c r="B1258" t="s">
        <v>44</v>
      </c>
      <c r="C1258">
        <v>22</v>
      </c>
      <c r="D1258" s="6" t="s">
        <v>29</v>
      </c>
      <c r="E1258">
        <v>131</v>
      </c>
      <c r="F1258">
        <v>0.41</v>
      </c>
      <c r="G1258">
        <v>0</v>
      </c>
      <c r="H1258"/>
      <c r="I1258"/>
      <c r="J1258"/>
      <c r="K1258"/>
      <c r="L1258"/>
      <c r="M1258" t="s">
        <v>46</v>
      </c>
      <c r="N1258"/>
      <c r="O1258">
        <f t="shared" si="70"/>
        <v>1.2126690999999998</v>
      </c>
      <c r="P1258"/>
    </row>
    <row r="1259" spans="1:16" x14ac:dyDescent="0.25">
      <c r="A1259" s="2">
        <v>40738</v>
      </c>
      <c r="B1259" t="s">
        <v>44</v>
      </c>
      <c r="C1259">
        <v>22</v>
      </c>
      <c r="D1259" s="6" t="s">
        <v>29</v>
      </c>
      <c r="E1259">
        <v>131</v>
      </c>
      <c r="F1259">
        <v>0.46</v>
      </c>
      <c r="G1259">
        <v>0</v>
      </c>
      <c r="M1259" t="s">
        <v>46</v>
      </c>
      <c r="O1259">
        <f t="shared" si="70"/>
        <v>1.3902945999999998</v>
      </c>
    </row>
    <row r="1260" spans="1:16" x14ac:dyDescent="0.25">
      <c r="A1260" s="2">
        <v>40738</v>
      </c>
      <c r="B1260" t="s">
        <v>44</v>
      </c>
      <c r="C1260">
        <v>22</v>
      </c>
      <c r="D1260" s="6" t="s">
        <v>29</v>
      </c>
      <c r="E1260">
        <v>131</v>
      </c>
      <c r="F1260">
        <v>0.67</v>
      </c>
      <c r="G1260">
        <v>0</v>
      </c>
      <c r="M1260" t="s">
        <v>46</v>
      </c>
      <c r="O1260">
        <f t="shared" si="70"/>
        <v>2.1363217000000003</v>
      </c>
    </row>
    <row r="1261" spans="1:16" x14ac:dyDescent="0.25">
      <c r="A1261" s="2">
        <v>40738</v>
      </c>
      <c r="B1261" t="s">
        <v>44</v>
      </c>
      <c r="C1261">
        <v>22</v>
      </c>
      <c r="D1261" s="6" t="s">
        <v>29</v>
      </c>
      <c r="E1261">
        <v>133</v>
      </c>
      <c r="F1261">
        <v>0.51</v>
      </c>
      <c r="G1261">
        <v>0</v>
      </c>
      <c r="M1261" t="s">
        <v>46</v>
      </c>
      <c r="O1261">
        <f t="shared" si="70"/>
        <v>1.5992800999999996</v>
      </c>
    </row>
    <row r="1262" spans="1:16" x14ac:dyDescent="0.25">
      <c r="A1262" s="2">
        <v>40738</v>
      </c>
      <c r="B1262" t="s">
        <v>44</v>
      </c>
      <c r="C1262">
        <v>22</v>
      </c>
      <c r="D1262" s="6" t="s">
        <v>29</v>
      </c>
      <c r="E1262">
        <v>133</v>
      </c>
      <c r="F1262">
        <v>0.57999999999999996</v>
      </c>
      <c r="G1262">
        <v>0</v>
      </c>
      <c r="M1262" t="s">
        <v>46</v>
      </c>
      <c r="O1262">
        <f t="shared" si="70"/>
        <v>1.8479557999999998</v>
      </c>
    </row>
    <row r="1263" spans="1:16" x14ac:dyDescent="0.25">
      <c r="A1263" s="2">
        <v>40738</v>
      </c>
      <c r="B1263" t="s">
        <v>44</v>
      </c>
      <c r="C1263">
        <v>22</v>
      </c>
      <c r="D1263" s="6" t="s">
        <v>29</v>
      </c>
      <c r="E1263">
        <v>133</v>
      </c>
      <c r="F1263">
        <v>0.64</v>
      </c>
      <c r="G1263">
        <v>0</v>
      </c>
      <c r="M1263" t="s">
        <v>46</v>
      </c>
      <c r="O1263">
        <f t="shared" si="70"/>
        <v>2.0611063999999995</v>
      </c>
    </row>
    <row r="1264" spans="1:16" x14ac:dyDescent="0.25">
      <c r="A1264" s="2">
        <v>40738</v>
      </c>
      <c r="B1264" t="s">
        <v>44</v>
      </c>
      <c r="C1264">
        <v>22</v>
      </c>
      <c r="D1264" s="6" t="s">
        <v>29</v>
      </c>
      <c r="E1264">
        <v>134</v>
      </c>
      <c r="F1264">
        <v>0.5</v>
      </c>
      <c r="G1264">
        <v>0</v>
      </c>
      <c r="M1264" t="s">
        <v>46</v>
      </c>
      <c r="O1264">
        <f t="shared" si="70"/>
        <v>1.5794349999999997</v>
      </c>
    </row>
    <row r="1265" spans="1:15" x14ac:dyDescent="0.25">
      <c r="A1265" s="2">
        <v>40738</v>
      </c>
      <c r="B1265" t="s">
        <v>44</v>
      </c>
      <c r="C1265">
        <v>22</v>
      </c>
      <c r="D1265" s="6" t="s">
        <v>29</v>
      </c>
      <c r="E1265">
        <v>134</v>
      </c>
      <c r="F1265">
        <v>0.83</v>
      </c>
      <c r="G1265">
        <v>0</v>
      </c>
      <c r="M1265" t="s">
        <v>46</v>
      </c>
      <c r="O1265">
        <f t="shared" si="70"/>
        <v>2.751763299999999</v>
      </c>
    </row>
    <row r="1266" spans="1:15" x14ac:dyDescent="0.25">
      <c r="A1266" s="2">
        <v>40738</v>
      </c>
      <c r="B1266" t="s">
        <v>44</v>
      </c>
      <c r="C1266">
        <v>22</v>
      </c>
      <c r="D1266" s="6" t="s">
        <v>29</v>
      </c>
      <c r="E1266">
        <v>137</v>
      </c>
      <c r="F1266">
        <v>0.81</v>
      </c>
      <c r="G1266">
        <v>0</v>
      </c>
      <c r="M1266" t="s">
        <v>46</v>
      </c>
      <c r="O1266">
        <f t="shared" si="70"/>
        <v>2.7277530999999997</v>
      </c>
    </row>
    <row r="1267" spans="1:15" x14ac:dyDescent="0.25">
      <c r="A1267" s="2">
        <v>40738</v>
      </c>
      <c r="B1267" t="s">
        <v>44</v>
      </c>
      <c r="C1267">
        <v>22</v>
      </c>
      <c r="D1267" s="6" t="s">
        <v>29</v>
      </c>
      <c r="E1267">
        <v>137</v>
      </c>
      <c r="F1267">
        <v>1.01</v>
      </c>
      <c r="G1267">
        <v>0</v>
      </c>
      <c r="M1267" t="s">
        <v>46</v>
      </c>
      <c r="O1267">
        <f t="shared" si="70"/>
        <v>3.4382550999999997</v>
      </c>
    </row>
    <row r="1268" spans="1:15" x14ac:dyDescent="0.25">
      <c r="A1268" s="2">
        <v>40738</v>
      </c>
      <c r="B1268" t="s">
        <v>44</v>
      </c>
      <c r="C1268">
        <v>22</v>
      </c>
      <c r="D1268" s="6" t="s">
        <v>29</v>
      </c>
      <c r="E1268">
        <v>142</v>
      </c>
      <c r="F1268">
        <v>0.6</v>
      </c>
      <c r="G1268">
        <v>1</v>
      </c>
      <c r="M1268" t="s">
        <v>46</v>
      </c>
      <c r="O1268">
        <f t="shared" si="70"/>
        <v>2.0601259999999999</v>
      </c>
    </row>
    <row r="1269" spans="1:15" x14ac:dyDescent="0.25">
      <c r="A1269" s="2">
        <v>40738</v>
      </c>
      <c r="B1269" t="s">
        <v>44</v>
      </c>
      <c r="C1269">
        <v>22</v>
      </c>
      <c r="D1269" s="6" t="s">
        <v>29</v>
      </c>
      <c r="E1269">
        <v>142</v>
      </c>
      <c r="F1269">
        <v>0.66</v>
      </c>
      <c r="G1269">
        <v>0</v>
      </c>
      <c r="M1269" t="s">
        <v>46</v>
      </c>
      <c r="O1269">
        <f t="shared" si="70"/>
        <v>2.2732765999999995</v>
      </c>
    </row>
    <row r="1270" spans="1:15" x14ac:dyDescent="0.25">
      <c r="A1270" s="2">
        <v>40738</v>
      </c>
      <c r="B1270" t="s">
        <v>44</v>
      </c>
      <c r="C1270">
        <v>22</v>
      </c>
      <c r="D1270" s="6" t="s">
        <v>29</v>
      </c>
      <c r="E1270">
        <v>147</v>
      </c>
      <c r="F1270">
        <v>0.96</v>
      </c>
      <c r="G1270">
        <v>0</v>
      </c>
      <c r="M1270" t="s">
        <v>46</v>
      </c>
      <c r="O1270">
        <f t="shared" ref="O1270:O1303" si="71">((3.55251*F1270)+(0.01568*E1270)-2.29794)</f>
        <v>3.4174295999999997</v>
      </c>
    </row>
    <row r="1271" spans="1:15" x14ac:dyDescent="0.25">
      <c r="A1271" s="2">
        <v>40738</v>
      </c>
      <c r="B1271" t="s">
        <v>44</v>
      </c>
      <c r="C1271">
        <v>22</v>
      </c>
      <c r="D1271" s="6" t="s">
        <v>29</v>
      </c>
      <c r="E1271">
        <v>148</v>
      </c>
      <c r="F1271">
        <v>0.54</v>
      </c>
      <c r="G1271">
        <v>0</v>
      </c>
      <c r="M1271" t="s">
        <v>46</v>
      </c>
      <c r="O1271">
        <f t="shared" si="71"/>
        <v>1.9410554000000002</v>
      </c>
    </row>
    <row r="1272" spans="1:15" x14ac:dyDescent="0.25">
      <c r="A1272" s="2">
        <v>40738</v>
      </c>
      <c r="B1272" t="s">
        <v>44</v>
      </c>
      <c r="C1272">
        <v>22</v>
      </c>
      <c r="D1272" s="6" t="s">
        <v>29</v>
      </c>
      <c r="E1272">
        <v>149</v>
      </c>
      <c r="F1272">
        <v>0.56000000000000005</v>
      </c>
      <c r="G1272">
        <v>0</v>
      </c>
      <c r="M1272" t="s">
        <v>46</v>
      </c>
      <c r="O1272">
        <f t="shared" si="71"/>
        <v>2.0277856000000001</v>
      </c>
    </row>
    <row r="1273" spans="1:15" x14ac:dyDescent="0.25">
      <c r="A1273" s="2">
        <v>40738</v>
      </c>
      <c r="B1273" t="s">
        <v>44</v>
      </c>
      <c r="C1273">
        <v>22</v>
      </c>
      <c r="D1273" s="6" t="s">
        <v>29</v>
      </c>
      <c r="E1273">
        <v>149</v>
      </c>
      <c r="F1273">
        <v>0.6</v>
      </c>
      <c r="G1273">
        <v>1</v>
      </c>
      <c r="M1273" t="s">
        <v>46</v>
      </c>
      <c r="O1273">
        <f t="shared" si="71"/>
        <v>2.1698859999999995</v>
      </c>
    </row>
    <row r="1274" spans="1:15" x14ac:dyDescent="0.25">
      <c r="A1274" s="2">
        <v>40738</v>
      </c>
      <c r="B1274" t="s">
        <v>44</v>
      </c>
      <c r="C1274">
        <v>22</v>
      </c>
      <c r="D1274" s="6" t="s">
        <v>29</v>
      </c>
      <c r="E1274">
        <v>150</v>
      </c>
      <c r="F1274">
        <v>0.42</v>
      </c>
      <c r="G1274">
        <v>0</v>
      </c>
      <c r="M1274" t="s">
        <v>46</v>
      </c>
      <c r="O1274">
        <f t="shared" si="71"/>
        <v>1.5461141999999994</v>
      </c>
    </row>
    <row r="1275" spans="1:15" x14ac:dyDescent="0.25">
      <c r="A1275" s="2">
        <v>40738</v>
      </c>
      <c r="B1275" t="s">
        <v>44</v>
      </c>
      <c r="C1275">
        <v>22</v>
      </c>
      <c r="D1275" s="6" t="s">
        <v>29</v>
      </c>
      <c r="E1275">
        <v>151</v>
      </c>
      <c r="F1275">
        <v>0.54</v>
      </c>
      <c r="G1275">
        <v>0</v>
      </c>
      <c r="M1275" t="s">
        <v>46</v>
      </c>
      <c r="O1275">
        <f t="shared" si="71"/>
        <v>1.9880954000000002</v>
      </c>
    </row>
    <row r="1276" spans="1:15" x14ac:dyDescent="0.25">
      <c r="A1276" s="2">
        <v>40738</v>
      </c>
      <c r="B1276" t="s">
        <v>44</v>
      </c>
      <c r="C1276">
        <v>22</v>
      </c>
      <c r="D1276" s="6" t="s">
        <v>29</v>
      </c>
      <c r="E1276">
        <v>153</v>
      </c>
      <c r="F1276">
        <v>0.84</v>
      </c>
      <c r="G1276">
        <v>0</v>
      </c>
      <c r="M1276" t="s">
        <v>46</v>
      </c>
      <c r="O1276">
        <f t="shared" si="71"/>
        <v>3.0852083999999995</v>
      </c>
    </row>
    <row r="1277" spans="1:15" x14ac:dyDescent="0.25">
      <c r="A1277" s="2">
        <v>40738</v>
      </c>
      <c r="B1277" t="s">
        <v>44</v>
      </c>
      <c r="C1277">
        <v>22</v>
      </c>
      <c r="D1277" s="6" t="s">
        <v>29</v>
      </c>
      <c r="E1277">
        <v>157</v>
      </c>
      <c r="F1277">
        <v>0.63</v>
      </c>
      <c r="G1277">
        <v>1</v>
      </c>
      <c r="M1277" t="s">
        <v>46</v>
      </c>
      <c r="O1277">
        <f t="shared" si="71"/>
        <v>2.4019012999999991</v>
      </c>
    </row>
    <row r="1278" spans="1:15" x14ac:dyDescent="0.25">
      <c r="A1278" s="2">
        <v>40738</v>
      </c>
      <c r="B1278" t="s">
        <v>44</v>
      </c>
      <c r="C1278">
        <v>22</v>
      </c>
      <c r="D1278" s="6" t="s">
        <v>29</v>
      </c>
      <c r="E1278">
        <v>158</v>
      </c>
      <c r="F1278">
        <v>0.84</v>
      </c>
      <c r="G1278">
        <v>1</v>
      </c>
      <c r="M1278" t="s">
        <v>46</v>
      </c>
      <c r="O1278">
        <f t="shared" si="71"/>
        <v>3.1636083999999998</v>
      </c>
    </row>
    <row r="1279" spans="1:15" x14ac:dyDescent="0.25">
      <c r="A1279" s="2">
        <v>40738</v>
      </c>
      <c r="B1279" t="s">
        <v>44</v>
      </c>
      <c r="C1279">
        <v>22</v>
      </c>
      <c r="D1279" s="6" t="s">
        <v>29</v>
      </c>
      <c r="E1279">
        <v>159</v>
      </c>
      <c r="F1279">
        <v>0.7</v>
      </c>
      <c r="G1279">
        <v>0</v>
      </c>
      <c r="M1279" t="s">
        <v>46</v>
      </c>
      <c r="O1279">
        <f t="shared" si="71"/>
        <v>2.681937</v>
      </c>
    </row>
    <row r="1280" spans="1:15" x14ac:dyDescent="0.25">
      <c r="A1280" s="2">
        <v>40738</v>
      </c>
      <c r="B1280" t="s">
        <v>44</v>
      </c>
      <c r="C1280">
        <v>22</v>
      </c>
      <c r="D1280" s="6" t="s">
        <v>29</v>
      </c>
      <c r="E1280">
        <v>164</v>
      </c>
      <c r="F1280">
        <v>0.47</v>
      </c>
      <c r="G1280">
        <v>0</v>
      </c>
      <c r="M1280" t="s">
        <v>46</v>
      </c>
      <c r="O1280">
        <f t="shared" si="71"/>
        <v>1.9432597</v>
      </c>
    </row>
    <row r="1281" spans="1:15" x14ac:dyDescent="0.25">
      <c r="A1281" s="2">
        <v>40738</v>
      </c>
      <c r="B1281" t="s">
        <v>44</v>
      </c>
      <c r="C1281">
        <v>22</v>
      </c>
      <c r="D1281" s="6" t="s">
        <v>29</v>
      </c>
      <c r="E1281">
        <v>164</v>
      </c>
      <c r="F1281">
        <v>0.79</v>
      </c>
      <c r="G1281">
        <v>1</v>
      </c>
      <c r="M1281" t="s">
        <v>46</v>
      </c>
      <c r="O1281">
        <f t="shared" si="71"/>
        <v>3.0800629000000002</v>
      </c>
    </row>
    <row r="1282" spans="1:15" x14ac:dyDescent="0.25">
      <c r="A1282" s="2">
        <v>40738</v>
      </c>
      <c r="B1282" t="s">
        <v>44</v>
      </c>
      <c r="C1282">
        <v>22</v>
      </c>
      <c r="D1282" s="6" t="s">
        <v>29</v>
      </c>
      <c r="E1282">
        <v>165</v>
      </c>
      <c r="F1282">
        <v>0.72</v>
      </c>
      <c r="G1282">
        <v>0</v>
      </c>
      <c r="M1282" t="s">
        <v>46</v>
      </c>
      <c r="O1282">
        <f t="shared" si="71"/>
        <v>2.8470671999999992</v>
      </c>
    </row>
    <row r="1283" spans="1:15" x14ac:dyDescent="0.25">
      <c r="A1283" s="2">
        <v>40738</v>
      </c>
      <c r="B1283" t="s">
        <v>44</v>
      </c>
      <c r="C1283">
        <v>22</v>
      </c>
      <c r="D1283" s="6" t="s">
        <v>29</v>
      </c>
      <c r="E1283">
        <v>167</v>
      </c>
      <c r="F1283">
        <v>0.74</v>
      </c>
      <c r="G1283">
        <v>1</v>
      </c>
      <c r="M1283" t="s">
        <v>46</v>
      </c>
      <c r="O1283">
        <f t="shared" si="71"/>
        <v>2.9494773999999997</v>
      </c>
    </row>
    <row r="1284" spans="1:15" x14ac:dyDescent="0.25">
      <c r="A1284" s="2">
        <v>40738</v>
      </c>
      <c r="B1284" t="s">
        <v>44</v>
      </c>
      <c r="C1284">
        <v>22</v>
      </c>
      <c r="D1284" s="6" t="s">
        <v>29</v>
      </c>
      <c r="E1284">
        <v>168</v>
      </c>
      <c r="F1284">
        <v>0.68</v>
      </c>
      <c r="G1284">
        <v>0</v>
      </c>
      <c r="M1284" t="s">
        <v>46</v>
      </c>
      <c r="O1284">
        <f t="shared" si="71"/>
        <v>2.7520068000000006</v>
      </c>
    </row>
    <row r="1285" spans="1:15" x14ac:dyDescent="0.25">
      <c r="A1285" s="2">
        <v>40738</v>
      </c>
      <c r="B1285" t="s">
        <v>44</v>
      </c>
      <c r="C1285">
        <v>22</v>
      </c>
      <c r="D1285" s="6" t="s">
        <v>29</v>
      </c>
      <c r="E1285">
        <v>171</v>
      </c>
      <c r="F1285">
        <v>0.4</v>
      </c>
      <c r="G1285">
        <v>0</v>
      </c>
      <c r="M1285" t="s">
        <v>46</v>
      </c>
      <c r="O1285">
        <f t="shared" si="71"/>
        <v>1.8043439999999999</v>
      </c>
    </row>
    <row r="1286" spans="1:15" x14ac:dyDescent="0.25">
      <c r="A1286" s="2">
        <v>40738</v>
      </c>
      <c r="B1286" t="s">
        <v>44</v>
      </c>
      <c r="C1286">
        <v>22</v>
      </c>
      <c r="D1286" s="6" t="s">
        <v>29</v>
      </c>
      <c r="E1286">
        <v>174</v>
      </c>
      <c r="F1286">
        <v>0.56000000000000005</v>
      </c>
      <c r="G1286">
        <v>0</v>
      </c>
      <c r="M1286" t="s">
        <v>46</v>
      </c>
      <c r="O1286">
        <f t="shared" si="71"/>
        <v>2.4197855999999995</v>
      </c>
    </row>
    <row r="1287" spans="1:15" x14ac:dyDescent="0.25">
      <c r="A1287" s="2">
        <v>40738</v>
      </c>
      <c r="B1287" t="s">
        <v>44</v>
      </c>
      <c r="C1287">
        <v>22</v>
      </c>
      <c r="D1287" s="6" t="s">
        <v>29</v>
      </c>
      <c r="E1287">
        <v>182</v>
      </c>
      <c r="F1287">
        <v>0.65</v>
      </c>
      <c r="G1287">
        <v>0</v>
      </c>
      <c r="M1287" t="s">
        <v>46</v>
      </c>
      <c r="O1287">
        <f t="shared" si="71"/>
        <v>2.8649514999999997</v>
      </c>
    </row>
    <row r="1288" spans="1:15" x14ac:dyDescent="0.25">
      <c r="A1288" s="2">
        <v>40738</v>
      </c>
      <c r="B1288" t="s">
        <v>44</v>
      </c>
      <c r="C1288">
        <v>22</v>
      </c>
      <c r="D1288" s="6" t="s">
        <v>29</v>
      </c>
      <c r="E1288">
        <v>183</v>
      </c>
      <c r="F1288">
        <v>0.74</v>
      </c>
      <c r="G1288">
        <v>0</v>
      </c>
      <c r="M1288" t="s">
        <v>46</v>
      </c>
      <c r="O1288">
        <f t="shared" si="71"/>
        <v>3.2003574000000001</v>
      </c>
    </row>
    <row r="1289" spans="1:15" x14ac:dyDescent="0.25">
      <c r="A1289" s="2">
        <v>40738</v>
      </c>
      <c r="B1289" t="s">
        <v>44</v>
      </c>
      <c r="C1289">
        <v>22</v>
      </c>
      <c r="D1289" s="6" t="s">
        <v>29</v>
      </c>
      <c r="E1289">
        <v>185</v>
      </c>
      <c r="F1289">
        <v>0.92</v>
      </c>
      <c r="G1289">
        <v>0</v>
      </c>
      <c r="M1289" t="s">
        <v>46</v>
      </c>
      <c r="O1289">
        <f t="shared" si="71"/>
        <v>3.8711691999999993</v>
      </c>
    </row>
    <row r="1290" spans="1:15" x14ac:dyDescent="0.25">
      <c r="A1290" s="2">
        <v>40738</v>
      </c>
      <c r="B1290" t="s">
        <v>44</v>
      </c>
      <c r="C1290">
        <v>22</v>
      </c>
      <c r="D1290" s="6" t="s">
        <v>29</v>
      </c>
      <c r="E1290">
        <v>186</v>
      </c>
      <c r="F1290">
        <v>0.56000000000000005</v>
      </c>
      <c r="G1290">
        <v>0</v>
      </c>
      <c r="M1290" t="s">
        <v>46</v>
      </c>
      <c r="O1290">
        <f t="shared" si="71"/>
        <v>2.6079455999999994</v>
      </c>
    </row>
    <row r="1291" spans="1:15" x14ac:dyDescent="0.25">
      <c r="A1291" s="2">
        <v>40738</v>
      </c>
      <c r="B1291" t="s">
        <v>44</v>
      </c>
      <c r="C1291">
        <v>22</v>
      </c>
      <c r="D1291" s="6" t="s">
        <v>29</v>
      </c>
      <c r="E1291">
        <v>186</v>
      </c>
      <c r="F1291">
        <v>0.71</v>
      </c>
      <c r="G1291">
        <v>0</v>
      </c>
      <c r="M1291" t="s">
        <v>46</v>
      </c>
      <c r="O1291">
        <f t="shared" si="71"/>
        <v>3.1408220999999998</v>
      </c>
    </row>
    <row r="1292" spans="1:15" x14ac:dyDescent="0.25">
      <c r="A1292" s="2">
        <v>40738</v>
      </c>
      <c r="B1292" t="s">
        <v>44</v>
      </c>
      <c r="C1292">
        <v>22</v>
      </c>
      <c r="D1292" s="6" t="s">
        <v>29</v>
      </c>
      <c r="E1292">
        <v>186</v>
      </c>
      <c r="F1292">
        <v>0.79</v>
      </c>
      <c r="G1292">
        <v>0</v>
      </c>
      <c r="M1292" t="s">
        <v>46</v>
      </c>
      <c r="O1292">
        <f t="shared" si="71"/>
        <v>3.4250228999999996</v>
      </c>
    </row>
    <row r="1293" spans="1:15" x14ac:dyDescent="0.25">
      <c r="A1293" s="2">
        <v>40738</v>
      </c>
      <c r="B1293" t="s">
        <v>44</v>
      </c>
      <c r="C1293">
        <v>22</v>
      </c>
      <c r="D1293" s="6" t="s">
        <v>29</v>
      </c>
      <c r="E1293">
        <v>186</v>
      </c>
      <c r="F1293">
        <v>0.8</v>
      </c>
      <c r="G1293">
        <v>0</v>
      </c>
      <c r="M1293" t="s">
        <v>46</v>
      </c>
      <c r="O1293">
        <f t="shared" si="71"/>
        <v>3.4605479999999997</v>
      </c>
    </row>
    <row r="1294" spans="1:15" x14ac:dyDescent="0.25">
      <c r="A1294" s="2">
        <v>40738</v>
      </c>
      <c r="B1294" t="s">
        <v>44</v>
      </c>
      <c r="C1294">
        <v>22</v>
      </c>
      <c r="D1294" s="6" t="s">
        <v>29</v>
      </c>
      <c r="E1294">
        <v>187</v>
      </c>
      <c r="F1294">
        <v>0.7</v>
      </c>
      <c r="G1294">
        <v>0</v>
      </c>
      <c r="M1294" t="s">
        <v>46</v>
      </c>
      <c r="O1294">
        <f t="shared" si="71"/>
        <v>3.1209770000000003</v>
      </c>
    </row>
    <row r="1295" spans="1:15" x14ac:dyDescent="0.25">
      <c r="A1295" s="2">
        <v>40738</v>
      </c>
      <c r="B1295" t="s">
        <v>44</v>
      </c>
      <c r="C1295">
        <v>22</v>
      </c>
      <c r="D1295" s="6" t="s">
        <v>29</v>
      </c>
      <c r="E1295">
        <v>187</v>
      </c>
      <c r="F1295">
        <v>0.86</v>
      </c>
      <c r="G1295">
        <v>0</v>
      </c>
      <c r="M1295" t="s">
        <v>46</v>
      </c>
      <c r="O1295">
        <f t="shared" si="71"/>
        <v>3.6893786</v>
      </c>
    </row>
    <row r="1296" spans="1:15" x14ac:dyDescent="0.25">
      <c r="A1296" s="2">
        <v>40738</v>
      </c>
      <c r="B1296" t="s">
        <v>44</v>
      </c>
      <c r="C1296">
        <v>22</v>
      </c>
      <c r="D1296" s="6" t="s">
        <v>29</v>
      </c>
      <c r="E1296">
        <v>189</v>
      </c>
      <c r="F1296">
        <v>0.67</v>
      </c>
      <c r="G1296">
        <v>0</v>
      </c>
      <c r="M1296" t="s">
        <v>46</v>
      </c>
      <c r="O1296">
        <f t="shared" si="71"/>
        <v>3.0457617000000003</v>
      </c>
    </row>
    <row r="1297" spans="1:15" x14ac:dyDescent="0.25">
      <c r="A1297" s="2">
        <v>40738</v>
      </c>
      <c r="B1297" t="s">
        <v>44</v>
      </c>
      <c r="C1297">
        <v>22</v>
      </c>
      <c r="D1297" s="6" t="s">
        <v>29</v>
      </c>
      <c r="E1297">
        <v>192</v>
      </c>
      <c r="F1297">
        <v>0.75</v>
      </c>
      <c r="G1297">
        <v>0</v>
      </c>
      <c r="M1297" t="s">
        <v>46</v>
      </c>
      <c r="O1297">
        <f t="shared" si="71"/>
        <v>3.3770025000000001</v>
      </c>
    </row>
    <row r="1298" spans="1:15" x14ac:dyDescent="0.25">
      <c r="A1298" s="2">
        <v>40738</v>
      </c>
      <c r="B1298" t="s">
        <v>44</v>
      </c>
      <c r="C1298">
        <v>22</v>
      </c>
      <c r="D1298" s="6" t="s">
        <v>29</v>
      </c>
      <c r="E1298">
        <v>194</v>
      </c>
      <c r="F1298">
        <v>0.71</v>
      </c>
      <c r="G1298">
        <v>0</v>
      </c>
      <c r="M1298" t="s">
        <v>46</v>
      </c>
      <c r="O1298">
        <f t="shared" si="71"/>
        <v>3.2662620999999992</v>
      </c>
    </row>
    <row r="1299" spans="1:15" x14ac:dyDescent="0.25">
      <c r="A1299" s="2">
        <v>40738</v>
      </c>
      <c r="B1299" t="s">
        <v>44</v>
      </c>
      <c r="C1299">
        <v>22</v>
      </c>
      <c r="D1299" s="6" t="s">
        <v>29</v>
      </c>
      <c r="E1299">
        <v>198</v>
      </c>
      <c r="F1299">
        <v>0.74</v>
      </c>
      <c r="G1299">
        <v>1</v>
      </c>
      <c r="M1299" t="s">
        <v>46</v>
      </c>
      <c r="O1299">
        <f t="shared" si="71"/>
        <v>3.4355573999999991</v>
      </c>
    </row>
    <row r="1300" spans="1:15" x14ac:dyDescent="0.25">
      <c r="A1300" s="2">
        <v>40738</v>
      </c>
      <c r="B1300" t="s">
        <v>44</v>
      </c>
      <c r="C1300">
        <v>22</v>
      </c>
      <c r="D1300" s="6" t="s">
        <v>29</v>
      </c>
      <c r="E1300">
        <v>198</v>
      </c>
      <c r="F1300">
        <v>0.98</v>
      </c>
      <c r="G1300">
        <v>1</v>
      </c>
      <c r="M1300" t="s">
        <v>46</v>
      </c>
      <c r="O1300">
        <f t="shared" si="71"/>
        <v>4.288159799999999</v>
      </c>
    </row>
    <row r="1301" spans="1:15" x14ac:dyDescent="0.25">
      <c r="A1301" s="2">
        <v>40738</v>
      </c>
      <c r="B1301" t="s">
        <v>44</v>
      </c>
      <c r="C1301">
        <v>22</v>
      </c>
      <c r="D1301" s="6" t="s">
        <v>29</v>
      </c>
      <c r="E1301">
        <v>201</v>
      </c>
      <c r="F1301">
        <v>0.68</v>
      </c>
      <c r="G1301">
        <v>1</v>
      </c>
      <c r="M1301" t="s">
        <v>46</v>
      </c>
      <c r="O1301">
        <f t="shared" si="71"/>
        <v>3.2694467999999994</v>
      </c>
    </row>
    <row r="1302" spans="1:15" x14ac:dyDescent="0.25">
      <c r="A1302" s="2">
        <v>40738</v>
      </c>
      <c r="B1302" t="s">
        <v>44</v>
      </c>
      <c r="C1302">
        <v>22</v>
      </c>
      <c r="D1302" s="6" t="s">
        <v>29</v>
      </c>
      <c r="E1302">
        <v>216</v>
      </c>
      <c r="F1302">
        <v>0.84</v>
      </c>
      <c r="G1302">
        <v>0</v>
      </c>
      <c r="M1302" t="s">
        <v>46</v>
      </c>
      <c r="O1302">
        <f t="shared" si="71"/>
        <v>4.0730483999999993</v>
      </c>
    </row>
    <row r="1303" spans="1:15" x14ac:dyDescent="0.25">
      <c r="A1303" s="2">
        <v>40738</v>
      </c>
      <c r="B1303" t="s">
        <v>44</v>
      </c>
      <c r="C1303">
        <v>22</v>
      </c>
      <c r="D1303" s="6" t="s">
        <v>29</v>
      </c>
      <c r="E1303">
        <v>248</v>
      </c>
      <c r="F1303">
        <v>0.75</v>
      </c>
      <c r="G1303">
        <v>1</v>
      </c>
      <c r="M1303" t="s">
        <v>46</v>
      </c>
      <c r="O1303">
        <f t="shared" si="71"/>
        <v>4.2550824999999985</v>
      </c>
    </row>
    <row r="1304" spans="1:15" x14ac:dyDescent="0.25">
      <c r="A1304" s="2">
        <v>40738</v>
      </c>
      <c r="B1304" t="s">
        <v>44</v>
      </c>
      <c r="C1304">
        <v>22</v>
      </c>
      <c r="D1304" s="6" t="s">
        <v>19</v>
      </c>
      <c r="E1304">
        <v>227</v>
      </c>
      <c r="F1304">
        <v>2.84</v>
      </c>
      <c r="H1304">
        <v>22</v>
      </c>
      <c r="I1304">
        <v>1.9</v>
      </c>
      <c r="M1304" t="s">
        <v>46</v>
      </c>
      <c r="O1304">
        <f>(0.66164*E1304)+(16.34893*F1304)+(1.11091*H1304)+(-8.40694*I1304)-154.2499</f>
        <v>50.840175200000004</v>
      </c>
    </row>
    <row r="1305" spans="1:15" x14ac:dyDescent="0.25">
      <c r="A1305" s="2">
        <v>40738</v>
      </c>
      <c r="B1305" t="s">
        <v>44</v>
      </c>
      <c r="C1305">
        <v>22</v>
      </c>
      <c r="D1305" s="6" t="s">
        <v>19</v>
      </c>
      <c r="E1305">
        <v>263</v>
      </c>
      <c r="F1305">
        <v>1.99</v>
      </c>
      <c r="H1305">
        <v>24</v>
      </c>
      <c r="I1305">
        <v>2.1</v>
      </c>
      <c r="M1305" t="s">
        <v>46</v>
      </c>
      <c r="O1305">
        <f>(0.66164*E1305)+(16.34893*F1305)+(1.11091*H1305)+(-8.40694*I1305)-154.2499</f>
        <v>61.303056700000042</v>
      </c>
    </row>
    <row r="1306" spans="1:15" x14ac:dyDescent="0.25">
      <c r="A1306" s="2">
        <v>40738</v>
      </c>
      <c r="B1306" t="s">
        <v>44</v>
      </c>
      <c r="C1306">
        <v>22</v>
      </c>
      <c r="D1306" s="6" t="s">
        <v>19</v>
      </c>
      <c r="F1306">
        <v>2.71</v>
      </c>
      <c r="J1306">
        <f>SUM(191,121,138,142)</f>
        <v>592</v>
      </c>
      <c r="K1306">
        <v>4</v>
      </c>
      <c r="L1306">
        <v>142</v>
      </c>
      <c r="M1306" t="s">
        <v>46</v>
      </c>
      <c r="O1306">
        <f>((-7.02235*K1306)+(-0.30125*L1306)+(0.09376*J1306)+33.03698)</f>
        <v>17.675999999999995</v>
      </c>
    </row>
    <row r="1307" spans="1:15" x14ac:dyDescent="0.25">
      <c r="A1307" s="2">
        <v>40738</v>
      </c>
      <c r="B1307" t="s">
        <v>44</v>
      </c>
      <c r="C1307">
        <v>25</v>
      </c>
      <c r="D1307" s="6" t="s">
        <v>29</v>
      </c>
      <c r="E1307" s="6">
        <v>58</v>
      </c>
      <c r="F1307">
        <v>0.79</v>
      </c>
      <c r="G1307">
        <v>0</v>
      </c>
      <c r="M1307" t="s">
        <v>45</v>
      </c>
      <c r="O1307">
        <f t="shared" ref="O1307:O1338" si="72">((3.55251*F1307)+(0.01568*E1307)-2.29794)</f>
        <v>1.4179828999999997</v>
      </c>
    </row>
    <row r="1308" spans="1:15" x14ac:dyDescent="0.25">
      <c r="A1308" s="2">
        <v>40738</v>
      </c>
      <c r="B1308" t="s">
        <v>44</v>
      </c>
      <c r="C1308">
        <v>25</v>
      </c>
      <c r="D1308" s="6" t="s">
        <v>29</v>
      </c>
      <c r="E1308" s="6">
        <v>60</v>
      </c>
      <c r="F1308">
        <v>0.95</v>
      </c>
      <c r="G1308">
        <v>0</v>
      </c>
      <c r="M1308" t="s">
        <v>45</v>
      </c>
      <c r="O1308">
        <f t="shared" si="72"/>
        <v>2.0177444999999996</v>
      </c>
    </row>
    <row r="1309" spans="1:15" x14ac:dyDescent="0.25">
      <c r="A1309" s="2">
        <v>40738</v>
      </c>
      <c r="B1309" t="s">
        <v>44</v>
      </c>
      <c r="C1309">
        <v>25</v>
      </c>
      <c r="D1309" s="6" t="s">
        <v>29</v>
      </c>
      <c r="E1309" s="6">
        <v>78</v>
      </c>
      <c r="F1309">
        <v>1.02</v>
      </c>
      <c r="G1309">
        <v>0</v>
      </c>
      <c r="M1309" t="s">
        <v>45</v>
      </c>
      <c r="O1309">
        <f t="shared" si="72"/>
        <v>2.5486602</v>
      </c>
    </row>
    <row r="1310" spans="1:15" x14ac:dyDescent="0.25">
      <c r="A1310" s="2">
        <v>40738</v>
      </c>
      <c r="B1310" t="s">
        <v>44</v>
      </c>
      <c r="C1310">
        <v>25</v>
      </c>
      <c r="D1310" s="6" t="s">
        <v>29</v>
      </c>
      <c r="E1310" s="6">
        <v>79</v>
      </c>
      <c r="F1310">
        <v>1.05</v>
      </c>
      <c r="G1310">
        <v>0</v>
      </c>
      <c r="M1310" t="s">
        <v>45</v>
      </c>
      <c r="O1310">
        <f t="shared" si="72"/>
        <v>2.6709155</v>
      </c>
    </row>
    <row r="1311" spans="1:15" x14ac:dyDescent="0.25">
      <c r="A1311" s="2">
        <v>40738</v>
      </c>
      <c r="B1311" t="s">
        <v>44</v>
      </c>
      <c r="C1311">
        <v>25</v>
      </c>
      <c r="D1311" s="6" t="s">
        <v>29</v>
      </c>
      <c r="E1311" s="6">
        <v>81</v>
      </c>
      <c r="F1311">
        <v>1.38</v>
      </c>
      <c r="G1311">
        <v>0</v>
      </c>
      <c r="M1311" t="s">
        <v>45</v>
      </c>
      <c r="O1311">
        <f t="shared" si="72"/>
        <v>3.8746037999999996</v>
      </c>
    </row>
    <row r="1312" spans="1:15" x14ac:dyDescent="0.25">
      <c r="A1312" s="2">
        <v>40738</v>
      </c>
      <c r="B1312" t="s">
        <v>44</v>
      </c>
      <c r="C1312">
        <v>25</v>
      </c>
      <c r="D1312" s="6" t="s">
        <v>29</v>
      </c>
      <c r="E1312" s="6">
        <v>97</v>
      </c>
      <c r="F1312">
        <v>0.75</v>
      </c>
      <c r="G1312">
        <v>0</v>
      </c>
      <c r="M1312" t="s">
        <v>45</v>
      </c>
      <c r="O1312">
        <f t="shared" si="72"/>
        <v>1.8874024999999999</v>
      </c>
    </row>
    <row r="1313" spans="1:15" x14ac:dyDescent="0.25">
      <c r="A1313" s="2">
        <v>40738</v>
      </c>
      <c r="B1313" t="s">
        <v>44</v>
      </c>
      <c r="C1313">
        <v>25</v>
      </c>
      <c r="D1313" s="6" t="s">
        <v>29</v>
      </c>
      <c r="E1313" s="6">
        <v>100</v>
      </c>
      <c r="F1313">
        <v>1.1299999999999999</v>
      </c>
      <c r="G1313">
        <v>0</v>
      </c>
      <c r="M1313" t="s">
        <v>45</v>
      </c>
      <c r="O1313">
        <f t="shared" si="72"/>
        <v>3.2843962999999996</v>
      </c>
    </row>
    <row r="1314" spans="1:15" x14ac:dyDescent="0.25">
      <c r="A1314" s="2">
        <v>40738</v>
      </c>
      <c r="B1314" t="s">
        <v>44</v>
      </c>
      <c r="C1314">
        <v>25</v>
      </c>
      <c r="D1314" s="6" t="s">
        <v>29</v>
      </c>
      <c r="E1314" s="6">
        <v>113</v>
      </c>
      <c r="F1314">
        <v>1.01</v>
      </c>
      <c r="G1314">
        <v>0</v>
      </c>
      <c r="M1314" t="s">
        <v>45</v>
      </c>
      <c r="O1314">
        <f t="shared" si="72"/>
        <v>3.0619350999999999</v>
      </c>
    </row>
    <row r="1315" spans="1:15" x14ac:dyDescent="0.25">
      <c r="A1315" s="2">
        <v>40738</v>
      </c>
      <c r="B1315" t="s">
        <v>44</v>
      </c>
      <c r="C1315">
        <v>25</v>
      </c>
      <c r="D1315" s="6" t="s">
        <v>29</v>
      </c>
      <c r="E1315" s="6">
        <v>116</v>
      </c>
      <c r="F1315">
        <v>0.54</v>
      </c>
      <c r="G1315">
        <v>1</v>
      </c>
      <c r="M1315" t="s">
        <v>45</v>
      </c>
      <c r="O1315">
        <f t="shared" si="72"/>
        <v>1.4392954000000002</v>
      </c>
    </row>
    <row r="1316" spans="1:15" x14ac:dyDescent="0.25">
      <c r="A1316" s="2">
        <v>40738</v>
      </c>
      <c r="B1316" t="s">
        <v>44</v>
      </c>
      <c r="C1316">
        <v>25</v>
      </c>
      <c r="D1316" s="6" t="s">
        <v>29</v>
      </c>
      <c r="E1316" s="6">
        <v>121</v>
      </c>
      <c r="F1316">
        <v>0.47</v>
      </c>
      <c r="G1316">
        <v>0</v>
      </c>
      <c r="M1316" t="s">
        <v>45</v>
      </c>
      <c r="O1316">
        <f t="shared" si="72"/>
        <v>1.2690196999999999</v>
      </c>
    </row>
    <row r="1317" spans="1:15" x14ac:dyDescent="0.25">
      <c r="A1317" s="2">
        <v>40738</v>
      </c>
      <c r="B1317" t="s">
        <v>44</v>
      </c>
      <c r="C1317">
        <v>25</v>
      </c>
      <c r="D1317" s="6" t="s">
        <v>29</v>
      </c>
      <c r="E1317" s="6">
        <v>122</v>
      </c>
      <c r="F1317">
        <v>0.59</v>
      </c>
      <c r="G1317">
        <v>0</v>
      </c>
      <c r="M1317" t="s">
        <v>45</v>
      </c>
      <c r="O1317">
        <f t="shared" si="72"/>
        <v>1.7110008999999997</v>
      </c>
    </row>
    <row r="1318" spans="1:15" x14ac:dyDescent="0.25">
      <c r="A1318" s="2">
        <v>40738</v>
      </c>
      <c r="B1318" t="s">
        <v>44</v>
      </c>
      <c r="C1318">
        <v>25</v>
      </c>
      <c r="D1318" s="6" t="s">
        <v>29</v>
      </c>
      <c r="E1318" s="6">
        <v>123</v>
      </c>
      <c r="F1318">
        <v>0.66</v>
      </c>
      <c r="G1318">
        <v>0</v>
      </c>
      <c r="M1318" t="s">
        <v>45</v>
      </c>
      <c r="O1318">
        <f t="shared" si="72"/>
        <v>1.9753566</v>
      </c>
    </row>
    <row r="1319" spans="1:15" x14ac:dyDescent="0.25">
      <c r="A1319" s="2">
        <v>40738</v>
      </c>
      <c r="B1319" t="s">
        <v>44</v>
      </c>
      <c r="C1319">
        <v>25</v>
      </c>
      <c r="D1319" s="6" t="s">
        <v>29</v>
      </c>
      <c r="E1319" s="6">
        <v>124</v>
      </c>
      <c r="F1319">
        <v>0.45</v>
      </c>
      <c r="G1319">
        <v>0</v>
      </c>
      <c r="M1319" t="s">
        <v>45</v>
      </c>
      <c r="O1319">
        <f t="shared" si="72"/>
        <v>1.2450094999999997</v>
      </c>
    </row>
    <row r="1320" spans="1:15" x14ac:dyDescent="0.25">
      <c r="A1320" s="2">
        <v>40738</v>
      </c>
      <c r="B1320" t="s">
        <v>44</v>
      </c>
      <c r="C1320">
        <v>25</v>
      </c>
      <c r="D1320" s="6" t="s">
        <v>29</v>
      </c>
      <c r="E1320" s="6">
        <v>125</v>
      </c>
      <c r="F1320">
        <v>0.42</v>
      </c>
      <c r="G1320">
        <v>0</v>
      </c>
      <c r="M1320" t="s">
        <v>45</v>
      </c>
      <c r="O1320">
        <f t="shared" si="72"/>
        <v>1.1541142</v>
      </c>
    </row>
    <row r="1321" spans="1:15" x14ac:dyDescent="0.25">
      <c r="A1321" s="2">
        <v>40738</v>
      </c>
      <c r="B1321" t="s">
        <v>44</v>
      </c>
      <c r="C1321">
        <v>25</v>
      </c>
      <c r="D1321" s="6" t="s">
        <v>29</v>
      </c>
      <c r="E1321" s="6">
        <v>125</v>
      </c>
      <c r="F1321">
        <v>0.55000000000000004</v>
      </c>
      <c r="G1321">
        <v>0</v>
      </c>
      <c r="M1321" t="s">
        <v>45</v>
      </c>
      <c r="O1321">
        <f t="shared" si="72"/>
        <v>1.6159405000000002</v>
      </c>
    </row>
    <row r="1322" spans="1:15" x14ac:dyDescent="0.25">
      <c r="A1322" s="2">
        <v>40738</v>
      </c>
      <c r="B1322" t="s">
        <v>44</v>
      </c>
      <c r="C1322">
        <v>25</v>
      </c>
      <c r="D1322" s="6" t="s">
        <v>29</v>
      </c>
      <c r="E1322" s="6">
        <v>126</v>
      </c>
      <c r="F1322">
        <v>0.28999999999999998</v>
      </c>
      <c r="G1322">
        <v>0</v>
      </c>
      <c r="M1322" t="s">
        <v>45</v>
      </c>
      <c r="O1322">
        <f t="shared" si="72"/>
        <v>0.70796789999999943</v>
      </c>
    </row>
    <row r="1323" spans="1:15" x14ac:dyDescent="0.25">
      <c r="A1323" s="2">
        <v>40738</v>
      </c>
      <c r="B1323" t="s">
        <v>44</v>
      </c>
      <c r="C1323">
        <v>25</v>
      </c>
      <c r="D1323" s="6" t="s">
        <v>29</v>
      </c>
      <c r="E1323" s="6">
        <v>127</v>
      </c>
      <c r="F1323">
        <v>0.39</v>
      </c>
      <c r="G1323">
        <v>0</v>
      </c>
      <c r="M1323" t="s">
        <v>45</v>
      </c>
      <c r="O1323">
        <f t="shared" si="72"/>
        <v>1.0788989</v>
      </c>
    </row>
    <row r="1324" spans="1:15" x14ac:dyDescent="0.25">
      <c r="A1324" s="2">
        <v>40738</v>
      </c>
      <c r="B1324" t="s">
        <v>44</v>
      </c>
      <c r="C1324">
        <v>25</v>
      </c>
      <c r="D1324" s="6" t="s">
        <v>29</v>
      </c>
      <c r="E1324" s="6">
        <v>128</v>
      </c>
      <c r="F1324">
        <v>0.68</v>
      </c>
      <c r="G1324">
        <v>0</v>
      </c>
      <c r="M1324" t="s">
        <v>45</v>
      </c>
      <c r="O1324">
        <f t="shared" si="72"/>
        <v>2.1248068000000004</v>
      </c>
    </row>
    <row r="1325" spans="1:15" x14ac:dyDescent="0.25">
      <c r="A1325" s="2">
        <v>40738</v>
      </c>
      <c r="B1325" t="s">
        <v>44</v>
      </c>
      <c r="C1325">
        <v>25</v>
      </c>
      <c r="D1325" s="6" t="s">
        <v>29</v>
      </c>
      <c r="E1325" s="6">
        <v>133</v>
      </c>
      <c r="F1325">
        <v>0.64</v>
      </c>
      <c r="G1325">
        <v>0</v>
      </c>
      <c r="M1325" t="s">
        <v>45</v>
      </c>
      <c r="O1325">
        <f t="shared" si="72"/>
        <v>2.0611063999999995</v>
      </c>
    </row>
    <row r="1326" spans="1:15" x14ac:dyDescent="0.25">
      <c r="A1326" s="2">
        <v>40738</v>
      </c>
      <c r="B1326" t="s">
        <v>44</v>
      </c>
      <c r="C1326">
        <v>25</v>
      </c>
      <c r="D1326" s="6" t="s">
        <v>29</v>
      </c>
      <c r="E1326" s="6">
        <v>134</v>
      </c>
      <c r="F1326">
        <v>0.45</v>
      </c>
      <c r="G1326">
        <v>0</v>
      </c>
      <c r="M1326" t="s">
        <v>45</v>
      </c>
      <c r="O1326">
        <f t="shared" si="72"/>
        <v>1.4018094999999997</v>
      </c>
    </row>
    <row r="1327" spans="1:15" x14ac:dyDescent="0.25">
      <c r="A1327" s="2">
        <v>40738</v>
      </c>
      <c r="B1327" t="s">
        <v>44</v>
      </c>
      <c r="C1327">
        <v>25</v>
      </c>
      <c r="D1327" s="6" t="s">
        <v>29</v>
      </c>
      <c r="E1327" s="6">
        <v>135</v>
      </c>
      <c r="F1327">
        <v>0.5</v>
      </c>
      <c r="G1327">
        <v>0</v>
      </c>
      <c r="M1327" t="s">
        <v>45</v>
      </c>
      <c r="O1327">
        <f t="shared" si="72"/>
        <v>1.5951149999999998</v>
      </c>
    </row>
    <row r="1328" spans="1:15" x14ac:dyDescent="0.25">
      <c r="A1328" s="2">
        <v>40738</v>
      </c>
      <c r="B1328" t="s">
        <v>44</v>
      </c>
      <c r="C1328">
        <v>25</v>
      </c>
      <c r="D1328" s="6" t="s">
        <v>29</v>
      </c>
      <c r="E1328" s="6">
        <v>140</v>
      </c>
      <c r="F1328">
        <v>1.01</v>
      </c>
      <c r="G1328">
        <v>0</v>
      </c>
      <c r="M1328" t="s">
        <v>45</v>
      </c>
      <c r="O1328">
        <f t="shared" si="72"/>
        <v>3.4852950999999996</v>
      </c>
    </row>
    <row r="1329" spans="1:15" x14ac:dyDescent="0.25">
      <c r="A1329" s="2">
        <v>40738</v>
      </c>
      <c r="B1329" t="s">
        <v>44</v>
      </c>
      <c r="C1329">
        <v>25</v>
      </c>
      <c r="D1329" s="6" t="s">
        <v>29</v>
      </c>
      <c r="E1329" s="6">
        <v>141</v>
      </c>
      <c r="F1329">
        <v>0.57999999999999996</v>
      </c>
      <c r="G1329">
        <v>1</v>
      </c>
      <c r="M1329" t="s">
        <v>45</v>
      </c>
      <c r="O1329">
        <f t="shared" si="72"/>
        <v>1.9733957999999991</v>
      </c>
    </row>
    <row r="1330" spans="1:15" x14ac:dyDescent="0.25">
      <c r="A1330" s="2">
        <v>40738</v>
      </c>
      <c r="B1330" t="s">
        <v>44</v>
      </c>
      <c r="C1330">
        <v>25</v>
      </c>
      <c r="D1330" s="6" t="s">
        <v>29</v>
      </c>
      <c r="E1330" s="6">
        <v>144</v>
      </c>
      <c r="F1330">
        <v>0.57999999999999996</v>
      </c>
      <c r="G1330">
        <v>0</v>
      </c>
      <c r="M1330" t="s">
        <v>45</v>
      </c>
      <c r="O1330">
        <f t="shared" si="72"/>
        <v>2.0204358</v>
      </c>
    </row>
    <row r="1331" spans="1:15" x14ac:dyDescent="0.25">
      <c r="A1331" s="2">
        <v>40738</v>
      </c>
      <c r="B1331" t="s">
        <v>44</v>
      </c>
      <c r="C1331">
        <v>25</v>
      </c>
      <c r="D1331" s="6" t="s">
        <v>29</v>
      </c>
      <c r="E1331" s="6">
        <v>148</v>
      </c>
      <c r="F1331">
        <v>0.64</v>
      </c>
      <c r="G1331">
        <v>0</v>
      </c>
      <c r="M1331" t="s">
        <v>45</v>
      </c>
      <c r="O1331">
        <f t="shared" si="72"/>
        <v>2.2963063999999993</v>
      </c>
    </row>
    <row r="1332" spans="1:15" x14ac:dyDescent="0.25">
      <c r="A1332" s="2">
        <v>40738</v>
      </c>
      <c r="B1332" t="s">
        <v>44</v>
      </c>
      <c r="C1332">
        <v>25</v>
      </c>
      <c r="D1332" s="6" t="s">
        <v>29</v>
      </c>
      <c r="E1332" s="6">
        <v>149</v>
      </c>
      <c r="F1332">
        <v>0.31</v>
      </c>
      <c r="G1332">
        <v>0</v>
      </c>
      <c r="M1332" t="s">
        <v>45</v>
      </c>
      <c r="O1332">
        <f t="shared" si="72"/>
        <v>1.1396580999999997</v>
      </c>
    </row>
    <row r="1333" spans="1:15" x14ac:dyDescent="0.25">
      <c r="A1333" s="2">
        <v>40738</v>
      </c>
      <c r="B1333" t="s">
        <v>44</v>
      </c>
      <c r="C1333">
        <v>25</v>
      </c>
      <c r="D1333" s="6" t="s">
        <v>29</v>
      </c>
      <c r="E1333" s="6">
        <v>153</v>
      </c>
      <c r="F1333">
        <v>0.35</v>
      </c>
      <c r="G1333">
        <v>0</v>
      </c>
      <c r="M1333" t="s">
        <v>45</v>
      </c>
      <c r="O1333">
        <f t="shared" si="72"/>
        <v>1.3444784999999997</v>
      </c>
    </row>
    <row r="1334" spans="1:15" x14ac:dyDescent="0.25">
      <c r="A1334" s="2">
        <v>40738</v>
      </c>
      <c r="B1334" t="s">
        <v>44</v>
      </c>
      <c r="C1334">
        <v>25</v>
      </c>
      <c r="D1334" s="6" t="s">
        <v>29</v>
      </c>
      <c r="E1334" s="6">
        <v>156</v>
      </c>
      <c r="F1334">
        <v>0.61</v>
      </c>
      <c r="G1334">
        <v>0</v>
      </c>
      <c r="M1334" t="s">
        <v>45</v>
      </c>
      <c r="O1334">
        <f t="shared" si="72"/>
        <v>2.3151710999999993</v>
      </c>
    </row>
    <row r="1335" spans="1:15" x14ac:dyDescent="0.25">
      <c r="A1335" s="2">
        <v>40738</v>
      </c>
      <c r="B1335" t="s">
        <v>44</v>
      </c>
      <c r="C1335">
        <v>25</v>
      </c>
      <c r="D1335" s="6" t="s">
        <v>29</v>
      </c>
      <c r="E1335" s="6">
        <v>159</v>
      </c>
      <c r="F1335">
        <v>0.57999999999999996</v>
      </c>
      <c r="G1335">
        <v>0</v>
      </c>
      <c r="M1335" t="s">
        <v>45</v>
      </c>
      <c r="O1335">
        <f t="shared" si="72"/>
        <v>2.255635799999999</v>
      </c>
    </row>
    <row r="1336" spans="1:15" x14ac:dyDescent="0.25">
      <c r="A1336" s="2">
        <v>40738</v>
      </c>
      <c r="B1336" t="s">
        <v>44</v>
      </c>
      <c r="C1336">
        <v>25</v>
      </c>
      <c r="D1336" s="6" t="s">
        <v>29</v>
      </c>
      <c r="E1336" s="6">
        <v>160</v>
      </c>
      <c r="F1336">
        <v>0.91</v>
      </c>
      <c r="G1336">
        <v>0</v>
      </c>
      <c r="M1336" t="s">
        <v>45</v>
      </c>
      <c r="O1336">
        <f t="shared" si="72"/>
        <v>3.4436440999999998</v>
      </c>
    </row>
    <row r="1337" spans="1:15" x14ac:dyDescent="0.25">
      <c r="A1337" s="2">
        <v>40738</v>
      </c>
      <c r="B1337" t="s">
        <v>44</v>
      </c>
      <c r="C1337">
        <v>25</v>
      </c>
      <c r="D1337" s="6" t="s">
        <v>29</v>
      </c>
      <c r="E1337" s="6">
        <v>161</v>
      </c>
      <c r="F1337">
        <v>0.54</v>
      </c>
      <c r="G1337">
        <v>1</v>
      </c>
      <c r="M1337" t="s">
        <v>45</v>
      </c>
      <c r="O1337">
        <f t="shared" si="72"/>
        <v>2.1448953999999998</v>
      </c>
    </row>
    <row r="1338" spans="1:15" x14ac:dyDescent="0.25">
      <c r="A1338" s="2">
        <v>40738</v>
      </c>
      <c r="B1338" t="s">
        <v>44</v>
      </c>
      <c r="C1338">
        <v>25</v>
      </c>
      <c r="D1338" s="6" t="s">
        <v>29</v>
      </c>
      <c r="E1338" s="6">
        <v>161</v>
      </c>
      <c r="F1338">
        <v>0.81</v>
      </c>
      <c r="G1338">
        <v>0</v>
      </c>
      <c r="M1338" t="s">
        <v>45</v>
      </c>
      <c r="O1338">
        <f t="shared" si="72"/>
        <v>3.1040730999999995</v>
      </c>
    </row>
    <row r="1339" spans="1:15" x14ac:dyDescent="0.25">
      <c r="A1339" s="2">
        <v>40738</v>
      </c>
      <c r="B1339" t="s">
        <v>44</v>
      </c>
      <c r="C1339">
        <v>25</v>
      </c>
      <c r="D1339" s="6" t="s">
        <v>29</v>
      </c>
      <c r="E1339" s="6">
        <v>166</v>
      </c>
      <c r="F1339">
        <v>0.69</v>
      </c>
      <c r="G1339">
        <v>0</v>
      </c>
      <c r="M1339" t="s">
        <v>45</v>
      </c>
      <c r="O1339">
        <f t="shared" ref="O1339:O1370" si="73">((3.55251*F1339)+(0.01568*E1339)-2.29794)</f>
        <v>2.7561718999999996</v>
      </c>
    </row>
    <row r="1340" spans="1:15" x14ac:dyDescent="0.25">
      <c r="A1340" s="2">
        <v>40738</v>
      </c>
      <c r="B1340" t="s">
        <v>44</v>
      </c>
      <c r="C1340">
        <v>25</v>
      </c>
      <c r="D1340" s="6" t="s">
        <v>29</v>
      </c>
      <c r="E1340" s="6">
        <v>167</v>
      </c>
      <c r="F1340">
        <v>1.02</v>
      </c>
      <c r="G1340">
        <v>0</v>
      </c>
      <c r="M1340" t="s">
        <v>45</v>
      </c>
      <c r="O1340">
        <f t="shared" si="73"/>
        <v>3.9441802000000004</v>
      </c>
    </row>
    <row r="1341" spans="1:15" x14ac:dyDescent="0.25">
      <c r="A1341" s="2">
        <v>40738</v>
      </c>
      <c r="B1341" t="s">
        <v>44</v>
      </c>
      <c r="C1341">
        <v>25</v>
      </c>
      <c r="D1341" s="6" t="s">
        <v>29</v>
      </c>
      <c r="E1341" s="6">
        <v>168</v>
      </c>
      <c r="F1341">
        <v>0.78</v>
      </c>
      <c r="G1341">
        <v>0</v>
      </c>
      <c r="M1341" t="s">
        <v>45</v>
      </c>
      <c r="O1341">
        <f t="shared" si="73"/>
        <v>3.1072577999999997</v>
      </c>
    </row>
    <row r="1342" spans="1:15" x14ac:dyDescent="0.25">
      <c r="A1342" s="2">
        <v>40738</v>
      </c>
      <c r="B1342" t="s">
        <v>44</v>
      </c>
      <c r="C1342">
        <v>25</v>
      </c>
      <c r="D1342" s="6" t="s">
        <v>29</v>
      </c>
      <c r="E1342" s="6">
        <v>168</v>
      </c>
      <c r="F1342">
        <v>1.2</v>
      </c>
      <c r="G1342">
        <v>0</v>
      </c>
      <c r="M1342" t="s">
        <v>45</v>
      </c>
      <c r="O1342">
        <f t="shared" si="73"/>
        <v>4.5993119999999994</v>
      </c>
    </row>
    <row r="1343" spans="1:15" x14ac:dyDescent="0.25">
      <c r="A1343" s="2">
        <v>40738</v>
      </c>
      <c r="B1343" t="s">
        <v>44</v>
      </c>
      <c r="C1343">
        <v>25</v>
      </c>
      <c r="D1343" s="6" t="s">
        <v>29</v>
      </c>
      <c r="E1343" s="6">
        <v>171</v>
      </c>
      <c r="F1343">
        <v>0.68</v>
      </c>
      <c r="G1343">
        <v>0</v>
      </c>
      <c r="M1343" t="s">
        <v>45</v>
      </c>
      <c r="O1343">
        <f t="shared" si="73"/>
        <v>2.7990467999999997</v>
      </c>
    </row>
    <row r="1344" spans="1:15" x14ac:dyDescent="0.25">
      <c r="A1344" s="2">
        <v>40738</v>
      </c>
      <c r="B1344" t="s">
        <v>44</v>
      </c>
      <c r="C1344">
        <v>25</v>
      </c>
      <c r="D1344" s="6" t="s">
        <v>29</v>
      </c>
      <c r="E1344" s="6">
        <v>176</v>
      </c>
      <c r="F1344">
        <v>0.61</v>
      </c>
      <c r="G1344">
        <v>0</v>
      </c>
      <c r="M1344" t="s">
        <v>45</v>
      </c>
      <c r="O1344">
        <f t="shared" si="73"/>
        <v>2.6287711000000002</v>
      </c>
    </row>
    <row r="1345" spans="1:15" x14ac:dyDescent="0.25">
      <c r="A1345" s="2">
        <v>40738</v>
      </c>
      <c r="B1345" t="s">
        <v>44</v>
      </c>
      <c r="C1345">
        <v>25</v>
      </c>
      <c r="D1345" s="6" t="s">
        <v>29</v>
      </c>
      <c r="E1345" s="6">
        <v>176</v>
      </c>
      <c r="F1345">
        <v>0.68</v>
      </c>
      <c r="G1345">
        <v>0</v>
      </c>
      <c r="M1345" t="s">
        <v>45</v>
      </c>
      <c r="O1345">
        <f t="shared" si="73"/>
        <v>2.8774468</v>
      </c>
    </row>
    <row r="1346" spans="1:15" x14ac:dyDescent="0.25">
      <c r="A1346" s="2">
        <v>40738</v>
      </c>
      <c r="B1346" t="s">
        <v>44</v>
      </c>
      <c r="C1346">
        <v>25</v>
      </c>
      <c r="D1346" s="6" t="s">
        <v>29</v>
      </c>
      <c r="E1346" s="6">
        <v>184</v>
      </c>
      <c r="F1346">
        <v>0.72</v>
      </c>
      <c r="G1346">
        <v>0</v>
      </c>
      <c r="M1346" t="s">
        <v>45</v>
      </c>
      <c r="O1346">
        <f t="shared" si="73"/>
        <v>3.1449871999999996</v>
      </c>
    </row>
    <row r="1347" spans="1:15" x14ac:dyDescent="0.25">
      <c r="A1347" s="2">
        <v>40738</v>
      </c>
      <c r="B1347" t="s">
        <v>44</v>
      </c>
      <c r="C1347">
        <v>25</v>
      </c>
      <c r="D1347" s="6" t="s">
        <v>29</v>
      </c>
      <c r="E1347" s="6">
        <v>185</v>
      </c>
      <c r="F1347">
        <v>0.62</v>
      </c>
      <c r="G1347">
        <v>0</v>
      </c>
      <c r="M1347" t="s">
        <v>45</v>
      </c>
      <c r="O1347">
        <f t="shared" si="73"/>
        <v>2.8054162000000002</v>
      </c>
    </row>
    <row r="1348" spans="1:15" x14ac:dyDescent="0.25">
      <c r="A1348" s="2">
        <v>40738</v>
      </c>
      <c r="B1348" t="s">
        <v>44</v>
      </c>
      <c r="C1348">
        <v>25</v>
      </c>
      <c r="D1348" s="6" t="s">
        <v>29</v>
      </c>
      <c r="E1348" s="6">
        <v>187</v>
      </c>
      <c r="F1348">
        <v>0.57999999999999996</v>
      </c>
      <c r="G1348">
        <v>0</v>
      </c>
      <c r="M1348" t="s">
        <v>45</v>
      </c>
      <c r="O1348">
        <f t="shared" si="73"/>
        <v>2.6946757999999993</v>
      </c>
    </row>
    <row r="1349" spans="1:15" x14ac:dyDescent="0.25">
      <c r="A1349" s="2">
        <v>40738</v>
      </c>
      <c r="B1349" t="s">
        <v>44</v>
      </c>
      <c r="C1349">
        <v>25</v>
      </c>
      <c r="D1349" s="6" t="s">
        <v>29</v>
      </c>
      <c r="E1349" s="6">
        <v>194</v>
      </c>
      <c r="F1349">
        <v>0.57999999999999996</v>
      </c>
      <c r="G1349">
        <v>0</v>
      </c>
      <c r="M1349" t="s">
        <v>45</v>
      </c>
      <c r="O1349">
        <f t="shared" si="73"/>
        <v>2.8044357999999989</v>
      </c>
    </row>
    <row r="1350" spans="1:15" x14ac:dyDescent="0.25">
      <c r="A1350" s="2">
        <v>40738</v>
      </c>
      <c r="B1350" t="s">
        <v>44</v>
      </c>
      <c r="C1350">
        <v>25</v>
      </c>
      <c r="D1350" s="6" t="s">
        <v>29</v>
      </c>
      <c r="E1350" s="6">
        <v>198</v>
      </c>
      <c r="F1350">
        <v>0.73</v>
      </c>
      <c r="G1350">
        <v>0</v>
      </c>
      <c r="M1350" t="s">
        <v>45</v>
      </c>
      <c r="O1350">
        <f t="shared" si="73"/>
        <v>3.4000322999999999</v>
      </c>
    </row>
    <row r="1351" spans="1:15" x14ac:dyDescent="0.25">
      <c r="A1351" s="2">
        <v>40738</v>
      </c>
      <c r="B1351" t="s">
        <v>44</v>
      </c>
      <c r="C1351">
        <v>25</v>
      </c>
      <c r="D1351" s="6" t="s">
        <v>29</v>
      </c>
      <c r="E1351" s="6">
        <v>206</v>
      </c>
      <c r="F1351">
        <v>0.54</v>
      </c>
      <c r="G1351">
        <v>0</v>
      </c>
      <c r="M1351" t="s">
        <v>45</v>
      </c>
      <c r="O1351">
        <f t="shared" si="73"/>
        <v>2.8504954000000002</v>
      </c>
    </row>
    <row r="1352" spans="1:15" x14ac:dyDescent="0.25">
      <c r="A1352" s="2">
        <v>40738</v>
      </c>
      <c r="B1352" t="s">
        <v>44</v>
      </c>
      <c r="C1352">
        <v>25</v>
      </c>
      <c r="D1352" s="6" t="s">
        <v>29</v>
      </c>
      <c r="E1352" s="6">
        <v>206</v>
      </c>
      <c r="F1352">
        <v>0.86</v>
      </c>
      <c r="G1352">
        <v>0</v>
      </c>
      <c r="M1352" t="s">
        <v>45</v>
      </c>
      <c r="O1352">
        <f t="shared" si="73"/>
        <v>3.9872985999999995</v>
      </c>
    </row>
    <row r="1353" spans="1:15" x14ac:dyDescent="0.25">
      <c r="A1353" s="2">
        <v>40738</v>
      </c>
      <c r="B1353" t="s">
        <v>44</v>
      </c>
      <c r="C1353">
        <v>25</v>
      </c>
      <c r="D1353" s="6" t="s">
        <v>29</v>
      </c>
      <c r="E1353" s="6">
        <v>208</v>
      </c>
      <c r="F1353">
        <v>0.64</v>
      </c>
      <c r="G1353">
        <v>0</v>
      </c>
      <c r="M1353" t="s">
        <v>45</v>
      </c>
      <c r="O1353">
        <f t="shared" si="73"/>
        <v>3.2371063999999996</v>
      </c>
    </row>
    <row r="1354" spans="1:15" x14ac:dyDescent="0.25">
      <c r="A1354" s="2">
        <v>40738</v>
      </c>
      <c r="B1354" t="s">
        <v>44</v>
      </c>
      <c r="C1354">
        <v>25</v>
      </c>
      <c r="D1354" s="6" t="s">
        <v>29</v>
      </c>
      <c r="E1354" s="6">
        <v>210</v>
      </c>
      <c r="F1354">
        <v>0.74</v>
      </c>
      <c r="G1354">
        <v>0</v>
      </c>
      <c r="M1354" t="s">
        <v>45</v>
      </c>
      <c r="O1354">
        <f t="shared" si="73"/>
        <v>3.623717399999999</v>
      </c>
    </row>
    <row r="1355" spans="1:15" x14ac:dyDescent="0.25">
      <c r="A1355" s="2">
        <v>40738</v>
      </c>
      <c r="B1355" t="s">
        <v>44</v>
      </c>
      <c r="C1355">
        <v>25</v>
      </c>
      <c r="D1355" s="6" t="s">
        <v>29</v>
      </c>
      <c r="E1355" s="6">
        <v>211</v>
      </c>
      <c r="F1355">
        <v>0.67</v>
      </c>
      <c r="G1355">
        <v>0</v>
      </c>
      <c r="M1355" t="s">
        <v>45</v>
      </c>
      <c r="O1355">
        <f t="shared" si="73"/>
        <v>3.3907216999999998</v>
      </c>
    </row>
    <row r="1356" spans="1:15" x14ac:dyDescent="0.25">
      <c r="A1356" s="2">
        <v>40738</v>
      </c>
      <c r="B1356" t="s">
        <v>44</v>
      </c>
      <c r="C1356">
        <v>25</v>
      </c>
      <c r="D1356" s="6" t="s">
        <v>29</v>
      </c>
      <c r="E1356" s="6">
        <v>215</v>
      </c>
      <c r="F1356">
        <v>0.63</v>
      </c>
      <c r="G1356">
        <v>1</v>
      </c>
      <c r="M1356" t="s">
        <v>45</v>
      </c>
      <c r="O1356">
        <f t="shared" si="73"/>
        <v>3.3113412999999992</v>
      </c>
    </row>
    <row r="1357" spans="1:15" x14ac:dyDescent="0.25">
      <c r="A1357" s="2">
        <v>40738</v>
      </c>
      <c r="B1357" t="s">
        <v>44</v>
      </c>
      <c r="C1357">
        <v>25</v>
      </c>
      <c r="D1357" s="6" t="s">
        <v>29</v>
      </c>
      <c r="E1357" s="6">
        <v>217</v>
      </c>
      <c r="F1357">
        <v>0.62</v>
      </c>
      <c r="G1357">
        <v>0</v>
      </c>
      <c r="M1357" t="s">
        <v>45</v>
      </c>
      <c r="O1357">
        <f t="shared" si="73"/>
        <v>3.3071761999999993</v>
      </c>
    </row>
    <row r="1358" spans="1:15" x14ac:dyDescent="0.25">
      <c r="A1358" s="2">
        <v>40738</v>
      </c>
      <c r="B1358" t="s">
        <v>44</v>
      </c>
      <c r="C1358">
        <v>25</v>
      </c>
      <c r="D1358" s="6" t="s">
        <v>29</v>
      </c>
      <c r="E1358" s="6">
        <v>218</v>
      </c>
      <c r="F1358">
        <v>0.57999999999999996</v>
      </c>
      <c r="G1358">
        <v>2</v>
      </c>
      <c r="M1358" t="s">
        <v>45</v>
      </c>
      <c r="O1358">
        <f t="shared" si="73"/>
        <v>3.1807557999999996</v>
      </c>
    </row>
    <row r="1359" spans="1:15" x14ac:dyDescent="0.25">
      <c r="A1359" s="2">
        <v>40738</v>
      </c>
      <c r="B1359" t="s">
        <v>44</v>
      </c>
      <c r="C1359">
        <v>25</v>
      </c>
      <c r="D1359" s="6" t="s">
        <v>29</v>
      </c>
      <c r="E1359" s="6">
        <v>220</v>
      </c>
      <c r="F1359">
        <v>0.81</v>
      </c>
      <c r="G1359">
        <v>0</v>
      </c>
      <c r="M1359" t="s">
        <v>45</v>
      </c>
      <c r="O1359">
        <f t="shared" si="73"/>
        <v>4.0291930999999988</v>
      </c>
    </row>
    <row r="1360" spans="1:15" x14ac:dyDescent="0.25">
      <c r="A1360" s="2">
        <v>40738</v>
      </c>
      <c r="B1360" t="s">
        <v>44</v>
      </c>
      <c r="C1360">
        <v>25</v>
      </c>
      <c r="D1360" s="6" t="s">
        <v>29</v>
      </c>
      <c r="E1360" s="6">
        <v>221</v>
      </c>
      <c r="F1360">
        <v>0.79</v>
      </c>
      <c r="G1360">
        <v>0</v>
      </c>
      <c r="M1360" t="s">
        <v>45</v>
      </c>
      <c r="O1360">
        <f t="shared" si="73"/>
        <v>3.9738228999999996</v>
      </c>
    </row>
    <row r="1361" spans="1:15" x14ac:dyDescent="0.25">
      <c r="A1361" s="2">
        <v>40738</v>
      </c>
      <c r="B1361" t="s">
        <v>44</v>
      </c>
      <c r="C1361">
        <v>25</v>
      </c>
      <c r="D1361" s="6" t="s">
        <v>29</v>
      </c>
      <c r="E1361" s="6">
        <v>223</v>
      </c>
      <c r="F1361">
        <v>0.76</v>
      </c>
      <c r="G1361">
        <v>0</v>
      </c>
      <c r="M1361" t="s">
        <v>45</v>
      </c>
      <c r="O1361">
        <f t="shared" si="73"/>
        <v>3.8986075999999996</v>
      </c>
    </row>
    <row r="1362" spans="1:15" x14ac:dyDescent="0.25">
      <c r="A1362" s="2">
        <v>40738</v>
      </c>
      <c r="B1362" t="s">
        <v>44</v>
      </c>
      <c r="C1362">
        <v>25</v>
      </c>
      <c r="D1362" s="6" t="s">
        <v>29</v>
      </c>
      <c r="E1362" s="6">
        <v>230</v>
      </c>
      <c r="F1362">
        <v>0.69</v>
      </c>
      <c r="G1362">
        <v>0</v>
      </c>
      <c r="M1362" t="s">
        <v>45</v>
      </c>
      <c r="O1362">
        <f t="shared" si="73"/>
        <v>3.7596918999999995</v>
      </c>
    </row>
    <row r="1363" spans="1:15" x14ac:dyDescent="0.25">
      <c r="A1363" s="2">
        <v>40738</v>
      </c>
      <c r="B1363" t="s">
        <v>44</v>
      </c>
      <c r="C1363">
        <v>25</v>
      </c>
      <c r="D1363" s="6" t="s">
        <v>29</v>
      </c>
      <c r="E1363" s="6">
        <v>231</v>
      </c>
      <c r="F1363">
        <v>0.72</v>
      </c>
      <c r="G1363">
        <v>0</v>
      </c>
      <c r="M1363" t="s">
        <v>45</v>
      </c>
      <c r="O1363">
        <f t="shared" si="73"/>
        <v>3.8819471999999995</v>
      </c>
    </row>
    <row r="1364" spans="1:15" x14ac:dyDescent="0.25">
      <c r="A1364" s="2">
        <v>40738</v>
      </c>
      <c r="B1364" t="s">
        <v>44</v>
      </c>
      <c r="C1364">
        <v>25</v>
      </c>
      <c r="D1364" s="6" t="s">
        <v>29</v>
      </c>
      <c r="E1364" s="6">
        <v>231</v>
      </c>
      <c r="F1364">
        <v>0.75</v>
      </c>
      <c r="G1364">
        <v>0</v>
      </c>
      <c r="M1364" t="s">
        <v>45</v>
      </c>
      <c r="O1364">
        <f t="shared" si="73"/>
        <v>3.9885224999999997</v>
      </c>
    </row>
    <row r="1365" spans="1:15" x14ac:dyDescent="0.25">
      <c r="A1365" s="2">
        <v>40738</v>
      </c>
      <c r="B1365" t="s">
        <v>44</v>
      </c>
      <c r="C1365">
        <v>25</v>
      </c>
      <c r="D1365" s="6" t="s">
        <v>29</v>
      </c>
      <c r="E1365" s="6">
        <v>232</v>
      </c>
      <c r="F1365">
        <v>0.59</v>
      </c>
      <c r="G1365">
        <v>0</v>
      </c>
      <c r="M1365" t="s">
        <v>45</v>
      </c>
      <c r="O1365">
        <f t="shared" si="73"/>
        <v>3.4358008999999998</v>
      </c>
    </row>
    <row r="1366" spans="1:15" x14ac:dyDescent="0.25">
      <c r="A1366" s="2">
        <v>40738</v>
      </c>
      <c r="B1366" t="s">
        <v>44</v>
      </c>
      <c r="C1366">
        <v>25</v>
      </c>
      <c r="D1366" s="6" t="s">
        <v>29</v>
      </c>
      <c r="E1366" s="6">
        <v>234</v>
      </c>
      <c r="F1366">
        <v>0.67</v>
      </c>
      <c r="G1366">
        <v>1</v>
      </c>
      <c r="M1366" t="s">
        <v>45</v>
      </c>
      <c r="O1366">
        <f t="shared" si="73"/>
        <v>3.7513616999999999</v>
      </c>
    </row>
    <row r="1367" spans="1:15" x14ac:dyDescent="0.25">
      <c r="A1367" s="2">
        <v>40738</v>
      </c>
      <c r="B1367" t="s">
        <v>44</v>
      </c>
      <c r="C1367">
        <v>25</v>
      </c>
      <c r="D1367" s="6" t="s">
        <v>29</v>
      </c>
      <c r="E1367" s="6">
        <v>234</v>
      </c>
      <c r="F1367">
        <v>1.1200000000000001</v>
      </c>
      <c r="G1367">
        <v>0</v>
      </c>
      <c r="M1367" t="s">
        <v>45</v>
      </c>
      <c r="O1367">
        <f t="shared" si="73"/>
        <v>5.3499911999999998</v>
      </c>
    </row>
    <row r="1368" spans="1:15" x14ac:dyDescent="0.25">
      <c r="A1368" s="2">
        <v>40738</v>
      </c>
      <c r="B1368" t="s">
        <v>44</v>
      </c>
      <c r="C1368">
        <v>25</v>
      </c>
      <c r="D1368" s="6" t="s">
        <v>29</v>
      </c>
      <c r="E1368" s="6">
        <v>235</v>
      </c>
      <c r="F1368">
        <v>0.73</v>
      </c>
      <c r="G1368">
        <v>0</v>
      </c>
      <c r="M1368" t="s">
        <v>45</v>
      </c>
      <c r="O1368">
        <f t="shared" si="73"/>
        <v>3.9801922999999992</v>
      </c>
    </row>
    <row r="1369" spans="1:15" x14ac:dyDescent="0.25">
      <c r="A1369" s="2">
        <v>40738</v>
      </c>
      <c r="B1369" t="s">
        <v>44</v>
      </c>
      <c r="C1369">
        <v>25</v>
      </c>
      <c r="D1369" s="6" t="s">
        <v>29</v>
      </c>
      <c r="E1369" s="6">
        <v>242</v>
      </c>
      <c r="F1369">
        <v>0.75</v>
      </c>
      <c r="G1369">
        <v>1</v>
      </c>
      <c r="M1369" t="s">
        <v>45</v>
      </c>
      <c r="O1369">
        <f t="shared" si="73"/>
        <v>4.1610024999999986</v>
      </c>
    </row>
    <row r="1370" spans="1:15" x14ac:dyDescent="0.25">
      <c r="A1370" s="2">
        <v>40738</v>
      </c>
      <c r="B1370" t="s">
        <v>44</v>
      </c>
      <c r="C1370">
        <v>25</v>
      </c>
      <c r="D1370" s="6" t="s">
        <v>29</v>
      </c>
      <c r="E1370" s="6">
        <v>244</v>
      </c>
      <c r="F1370">
        <v>0.69</v>
      </c>
      <c r="G1370">
        <v>0</v>
      </c>
      <c r="M1370" t="s">
        <v>45</v>
      </c>
      <c r="O1370">
        <f t="shared" si="73"/>
        <v>3.9792118999999997</v>
      </c>
    </row>
    <row r="1371" spans="1:15" x14ac:dyDescent="0.25">
      <c r="A1371" s="2">
        <v>40738</v>
      </c>
      <c r="B1371" t="s">
        <v>44</v>
      </c>
      <c r="C1371">
        <v>25</v>
      </c>
      <c r="D1371" s="6" t="s">
        <v>29</v>
      </c>
      <c r="E1371" s="6">
        <v>245</v>
      </c>
      <c r="F1371">
        <v>0.69</v>
      </c>
      <c r="G1371">
        <v>0</v>
      </c>
      <c r="M1371" t="s">
        <v>45</v>
      </c>
      <c r="O1371">
        <f t="shared" ref="O1371:O1386" si="74">((3.55251*F1371)+(0.01568*E1371)-2.29794)</f>
        <v>3.9948918999999994</v>
      </c>
    </row>
    <row r="1372" spans="1:15" x14ac:dyDescent="0.25">
      <c r="A1372" s="2">
        <v>40738</v>
      </c>
      <c r="B1372" t="s">
        <v>44</v>
      </c>
      <c r="C1372">
        <v>25</v>
      </c>
      <c r="D1372" s="6" t="s">
        <v>29</v>
      </c>
      <c r="E1372" s="6">
        <v>245</v>
      </c>
      <c r="F1372">
        <v>0.81</v>
      </c>
      <c r="G1372">
        <v>0</v>
      </c>
      <c r="M1372" t="s">
        <v>45</v>
      </c>
      <c r="O1372">
        <f t="shared" si="74"/>
        <v>4.4211931</v>
      </c>
    </row>
    <row r="1373" spans="1:15" x14ac:dyDescent="0.25">
      <c r="A1373" s="2">
        <v>40738</v>
      </c>
      <c r="B1373" t="s">
        <v>44</v>
      </c>
      <c r="C1373">
        <v>25</v>
      </c>
      <c r="D1373" s="6" t="s">
        <v>29</v>
      </c>
      <c r="E1373" s="6">
        <v>247</v>
      </c>
      <c r="F1373">
        <v>0.86</v>
      </c>
      <c r="G1373">
        <v>0</v>
      </c>
      <c r="M1373" t="s">
        <v>45</v>
      </c>
      <c r="O1373">
        <f t="shared" si="74"/>
        <v>4.6301785999999989</v>
      </c>
    </row>
    <row r="1374" spans="1:15" x14ac:dyDescent="0.25">
      <c r="A1374" s="2">
        <v>40738</v>
      </c>
      <c r="B1374" t="s">
        <v>44</v>
      </c>
      <c r="C1374">
        <v>25</v>
      </c>
      <c r="D1374" s="6" t="s">
        <v>29</v>
      </c>
      <c r="E1374" s="6">
        <v>251</v>
      </c>
      <c r="F1374">
        <v>0.86</v>
      </c>
      <c r="G1374">
        <v>0</v>
      </c>
      <c r="M1374" t="s">
        <v>45</v>
      </c>
      <c r="O1374">
        <f t="shared" si="74"/>
        <v>4.6928985999999995</v>
      </c>
    </row>
    <row r="1375" spans="1:15" x14ac:dyDescent="0.25">
      <c r="A1375" s="2">
        <v>40738</v>
      </c>
      <c r="B1375" t="s">
        <v>44</v>
      </c>
      <c r="C1375">
        <v>25</v>
      </c>
      <c r="D1375" s="6" t="s">
        <v>29</v>
      </c>
      <c r="E1375" s="6">
        <v>254</v>
      </c>
      <c r="F1375">
        <v>0.98</v>
      </c>
      <c r="G1375">
        <v>0</v>
      </c>
      <c r="M1375" t="s">
        <v>45</v>
      </c>
      <c r="O1375">
        <f t="shared" si="74"/>
        <v>5.1662397999999996</v>
      </c>
    </row>
    <row r="1376" spans="1:15" x14ac:dyDescent="0.25">
      <c r="A1376" s="2">
        <v>40738</v>
      </c>
      <c r="B1376" t="s">
        <v>44</v>
      </c>
      <c r="C1376">
        <v>25</v>
      </c>
      <c r="D1376" s="6" t="s">
        <v>29</v>
      </c>
      <c r="E1376" s="6">
        <v>258</v>
      </c>
      <c r="F1376">
        <v>0.82</v>
      </c>
      <c r="G1376">
        <v>0</v>
      </c>
      <c r="M1376" t="s">
        <v>45</v>
      </c>
      <c r="O1376">
        <f t="shared" si="74"/>
        <v>4.6605581999999988</v>
      </c>
    </row>
    <row r="1377" spans="1:15" x14ac:dyDescent="0.25">
      <c r="A1377" s="2">
        <v>40738</v>
      </c>
      <c r="B1377" t="s">
        <v>44</v>
      </c>
      <c r="C1377">
        <v>25</v>
      </c>
      <c r="D1377" s="6" t="s">
        <v>29</v>
      </c>
      <c r="E1377" s="6">
        <v>259</v>
      </c>
      <c r="F1377">
        <v>0.81</v>
      </c>
      <c r="G1377">
        <v>0</v>
      </c>
      <c r="M1377" t="s">
        <v>45</v>
      </c>
      <c r="O1377">
        <f t="shared" si="74"/>
        <v>4.6407130999999993</v>
      </c>
    </row>
    <row r="1378" spans="1:15" x14ac:dyDescent="0.25">
      <c r="A1378" s="2">
        <v>40738</v>
      </c>
      <c r="B1378" t="s">
        <v>44</v>
      </c>
      <c r="C1378">
        <v>25</v>
      </c>
      <c r="D1378" s="6" t="s">
        <v>29</v>
      </c>
      <c r="E1378" s="6">
        <v>264</v>
      </c>
      <c r="F1378">
        <v>0.8</v>
      </c>
      <c r="G1378">
        <v>1</v>
      </c>
      <c r="M1378" t="s">
        <v>45</v>
      </c>
      <c r="O1378">
        <f t="shared" si="74"/>
        <v>4.6835880000000003</v>
      </c>
    </row>
    <row r="1379" spans="1:15" x14ac:dyDescent="0.25">
      <c r="A1379" s="2">
        <v>40738</v>
      </c>
      <c r="B1379" t="s">
        <v>44</v>
      </c>
      <c r="C1379">
        <v>25</v>
      </c>
      <c r="D1379" s="6" t="s">
        <v>29</v>
      </c>
      <c r="E1379" s="6">
        <v>264</v>
      </c>
      <c r="F1379">
        <v>0.84</v>
      </c>
      <c r="G1379">
        <v>0</v>
      </c>
      <c r="M1379" t="s">
        <v>45</v>
      </c>
      <c r="O1379">
        <f t="shared" si="74"/>
        <v>4.8256883999999989</v>
      </c>
    </row>
    <row r="1380" spans="1:15" x14ac:dyDescent="0.25">
      <c r="A1380" s="2">
        <v>40738</v>
      </c>
      <c r="B1380" t="s">
        <v>44</v>
      </c>
      <c r="C1380">
        <v>25</v>
      </c>
      <c r="D1380" s="6" t="s">
        <v>29</v>
      </c>
      <c r="E1380" s="6">
        <v>266</v>
      </c>
      <c r="F1380">
        <v>0.79</v>
      </c>
      <c r="G1380">
        <v>0</v>
      </c>
      <c r="M1380" t="s">
        <v>45</v>
      </c>
      <c r="O1380">
        <f t="shared" si="74"/>
        <v>4.6794228999999987</v>
      </c>
    </row>
    <row r="1381" spans="1:15" x14ac:dyDescent="0.25">
      <c r="A1381" s="2">
        <v>40738</v>
      </c>
      <c r="B1381" t="s">
        <v>44</v>
      </c>
      <c r="C1381">
        <v>25</v>
      </c>
      <c r="D1381" s="6" t="s">
        <v>29</v>
      </c>
      <c r="E1381" s="6">
        <v>272</v>
      </c>
      <c r="F1381">
        <v>0.69</v>
      </c>
      <c r="G1381">
        <v>0</v>
      </c>
      <c r="M1381" t="s">
        <v>45</v>
      </c>
      <c r="O1381">
        <f t="shared" si="74"/>
        <v>4.4182518999999996</v>
      </c>
    </row>
    <row r="1382" spans="1:15" x14ac:dyDescent="0.25">
      <c r="A1382" s="2">
        <v>40738</v>
      </c>
      <c r="B1382" t="s">
        <v>44</v>
      </c>
      <c r="C1382">
        <v>25</v>
      </c>
      <c r="D1382" s="6" t="s">
        <v>29</v>
      </c>
      <c r="E1382" s="6">
        <v>272</v>
      </c>
      <c r="F1382">
        <v>0.86</v>
      </c>
      <c r="G1382">
        <v>1</v>
      </c>
      <c r="M1382" t="s">
        <v>45</v>
      </c>
      <c r="O1382">
        <f t="shared" si="74"/>
        <v>5.0221786000000002</v>
      </c>
    </row>
    <row r="1383" spans="1:15" x14ac:dyDescent="0.25">
      <c r="A1383" s="2">
        <v>40738</v>
      </c>
      <c r="B1383" t="s">
        <v>44</v>
      </c>
      <c r="C1383">
        <v>25</v>
      </c>
      <c r="D1383" s="6" t="s">
        <v>29</v>
      </c>
      <c r="E1383" s="6">
        <v>277</v>
      </c>
      <c r="F1383">
        <v>0.81</v>
      </c>
      <c r="G1383">
        <v>0</v>
      </c>
      <c r="M1383" t="s">
        <v>45</v>
      </c>
      <c r="O1383">
        <f t="shared" si="74"/>
        <v>4.9229530999999991</v>
      </c>
    </row>
    <row r="1384" spans="1:15" x14ac:dyDescent="0.25">
      <c r="A1384" s="2">
        <v>40738</v>
      </c>
      <c r="B1384" t="s">
        <v>44</v>
      </c>
      <c r="C1384">
        <v>25</v>
      </c>
      <c r="D1384" s="6" t="s">
        <v>29</v>
      </c>
      <c r="E1384" s="6">
        <v>277</v>
      </c>
      <c r="F1384">
        <v>0.85</v>
      </c>
      <c r="G1384">
        <v>0</v>
      </c>
      <c r="M1384" t="s">
        <v>45</v>
      </c>
      <c r="O1384">
        <f t="shared" si="74"/>
        <v>5.0650534999999994</v>
      </c>
    </row>
    <row r="1385" spans="1:15" x14ac:dyDescent="0.25">
      <c r="A1385" s="2">
        <v>40738</v>
      </c>
      <c r="B1385" t="s">
        <v>44</v>
      </c>
      <c r="C1385">
        <v>25</v>
      </c>
      <c r="D1385" s="6" t="s">
        <v>29</v>
      </c>
      <c r="E1385" s="6">
        <v>281</v>
      </c>
      <c r="F1385">
        <v>0.91</v>
      </c>
      <c r="G1385">
        <v>0</v>
      </c>
      <c r="M1385" t="s">
        <v>45</v>
      </c>
      <c r="O1385">
        <f t="shared" si="74"/>
        <v>5.3409241000000005</v>
      </c>
    </row>
    <row r="1386" spans="1:15" x14ac:dyDescent="0.25">
      <c r="A1386" s="2">
        <v>40738</v>
      </c>
      <c r="B1386" t="s">
        <v>44</v>
      </c>
      <c r="C1386">
        <v>25</v>
      </c>
      <c r="D1386" s="6" t="s">
        <v>29</v>
      </c>
      <c r="E1386" s="6">
        <v>288</v>
      </c>
      <c r="F1386">
        <v>1.1399999999999999</v>
      </c>
      <c r="G1386">
        <v>0</v>
      </c>
      <c r="M1386" t="s">
        <v>45</v>
      </c>
      <c r="O1386">
        <f t="shared" si="74"/>
        <v>6.2677613999999977</v>
      </c>
    </row>
    <row r="1387" spans="1:15" x14ac:dyDescent="0.25">
      <c r="A1387" s="2">
        <v>40738</v>
      </c>
      <c r="B1387" t="s">
        <v>44</v>
      </c>
      <c r="C1387">
        <v>25</v>
      </c>
      <c r="D1387" s="6" t="s">
        <v>19</v>
      </c>
      <c r="E1387">
        <v>272</v>
      </c>
      <c r="F1387">
        <v>2.4500000000000002</v>
      </c>
      <c r="H1387">
        <v>20</v>
      </c>
      <c r="I1387">
        <v>1.7</v>
      </c>
      <c r="M1387" t="s">
        <v>45</v>
      </c>
      <c r="O1387">
        <f>(0.66164*E1387)+(16.34893*F1387)+(1.11091*H1387)+(-8.40694*I1387)-154.2499</f>
        <v>73.697460500000005</v>
      </c>
    </row>
    <row r="1388" spans="1:15" x14ac:dyDescent="0.25">
      <c r="A1388" s="2">
        <v>40738</v>
      </c>
      <c r="B1388" t="s">
        <v>44</v>
      </c>
      <c r="C1388">
        <v>25</v>
      </c>
      <c r="D1388" s="6" t="s">
        <v>19</v>
      </c>
      <c r="E1388">
        <v>278</v>
      </c>
      <c r="F1388">
        <v>2.21</v>
      </c>
      <c r="H1388">
        <v>18.5</v>
      </c>
      <c r="I1388">
        <v>1.8</v>
      </c>
      <c r="M1388" t="s">
        <v>45</v>
      </c>
      <c r="O1388">
        <f>(0.66164*E1388)+(16.34893*F1388)+(1.11091*H1388)+(-8.40694*I1388)-154.2499</f>
        <v>71.236498299999994</v>
      </c>
    </row>
    <row r="1389" spans="1:15" x14ac:dyDescent="0.25">
      <c r="A1389" s="2">
        <v>40738</v>
      </c>
      <c r="B1389" t="s">
        <v>44</v>
      </c>
      <c r="C1389">
        <v>25</v>
      </c>
      <c r="D1389" s="6" t="s">
        <v>19</v>
      </c>
      <c r="E1389">
        <v>278</v>
      </c>
      <c r="F1389">
        <v>2.37</v>
      </c>
      <c r="H1389">
        <v>27</v>
      </c>
      <c r="I1389">
        <v>1.9</v>
      </c>
      <c r="M1389" t="s">
        <v>45</v>
      </c>
      <c r="O1389">
        <f>(0.66164*E1389)+(16.34893*F1389)+(1.11091*H1389)+(-8.40694*I1389)-154.2499</f>
        <v>82.454368100000039</v>
      </c>
    </row>
    <row r="1390" spans="1:15" x14ac:dyDescent="0.25">
      <c r="A1390" s="2">
        <v>40738</v>
      </c>
      <c r="B1390" t="s">
        <v>44</v>
      </c>
      <c r="C1390">
        <v>25</v>
      </c>
      <c r="D1390" s="6" t="s">
        <v>19</v>
      </c>
      <c r="E1390" s="6">
        <v>281</v>
      </c>
      <c r="F1390">
        <v>2.5099999999999998</v>
      </c>
      <c r="H1390">
        <v>26</v>
      </c>
      <c r="I1390">
        <v>1.9</v>
      </c>
      <c r="M1390" t="s">
        <v>45</v>
      </c>
      <c r="O1390">
        <f>(0.66164*E1390)+(16.34893*F1390)+(1.11091*H1390)+(-8.40694*I1390)-154.2499</f>
        <v>85.617228299999994</v>
      </c>
    </row>
    <row r="1391" spans="1:15" x14ac:dyDescent="0.25">
      <c r="A1391" s="2">
        <v>40738</v>
      </c>
      <c r="B1391" t="s">
        <v>44</v>
      </c>
      <c r="C1391">
        <v>25</v>
      </c>
      <c r="D1391" s="6" t="s">
        <v>19</v>
      </c>
      <c r="E1391" s="6">
        <v>289</v>
      </c>
      <c r="F1391">
        <v>2.4</v>
      </c>
      <c r="H1391">
        <v>23</v>
      </c>
      <c r="I1391">
        <v>2.2000000000000002</v>
      </c>
      <c r="M1391" t="s">
        <v>45</v>
      </c>
      <c r="O1391">
        <f>(0.66164*E1391)+(16.34893*F1391)+(1.11091*H1391)+(-8.40694*I1391)-154.2499</f>
        <v>83.257153999999986</v>
      </c>
    </row>
    <row r="1392" spans="1:15" x14ac:dyDescent="0.25">
      <c r="A1392" s="2">
        <v>40738</v>
      </c>
      <c r="B1392" t="s">
        <v>44</v>
      </c>
      <c r="C1392">
        <v>25</v>
      </c>
      <c r="D1392" s="6" t="s">
        <v>19</v>
      </c>
      <c r="F1392">
        <v>0.71</v>
      </c>
      <c r="J1392">
        <f>SUM(157,190)</f>
        <v>347</v>
      </c>
      <c r="K1392">
        <v>2</v>
      </c>
      <c r="L1392">
        <v>190</v>
      </c>
      <c r="M1392" t="s">
        <v>45</v>
      </c>
      <c r="O1392">
        <f>((-7.02235*K1392)+(-0.30125*L1392)+(0.09376*J1392)+33.03698)</f>
        <v>-5.7105000000000032</v>
      </c>
    </row>
    <row r="1393" spans="1:15" x14ac:dyDescent="0.25">
      <c r="A1393" s="2">
        <v>40738</v>
      </c>
      <c r="B1393" t="s">
        <v>44</v>
      </c>
      <c r="C1393">
        <v>25</v>
      </c>
      <c r="D1393" s="6" t="s">
        <v>19</v>
      </c>
      <c r="F1393">
        <v>2.54</v>
      </c>
      <c r="J1393">
        <f>SUM(207,236,265,291)</f>
        <v>999</v>
      </c>
      <c r="K1393">
        <v>4</v>
      </c>
      <c r="L1393">
        <v>291</v>
      </c>
      <c r="M1393" t="s">
        <v>45</v>
      </c>
      <c r="O1393">
        <f>((-7.02235*K1393)+(-0.30125*L1393)+(0.09376*J1393)+33.03698)</f>
        <v>10.950069999999997</v>
      </c>
    </row>
    <row r="1394" spans="1:15" x14ac:dyDescent="0.25">
      <c r="A1394" s="2">
        <v>40738</v>
      </c>
      <c r="B1394" t="s">
        <v>44</v>
      </c>
      <c r="C1394">
        <v>25</v>
      </c>
      <c r="D1394" s="6" t="s">
        <v>19</v>
      </c>
      <c r="F1394">
        <v>1.86</v>
      </c>
      <c r="J1394">
        <f>SUM(111,196,197,229,236,244)</f>
        <v>1213</v>
      </c>
      <c r="K1394">
        <v>6</v>
      </c>
      <c r="L1394">
        <v>244</v>
      </c>
      <c r="M1394" t="s">
        <v>45</v>
      </c>
      <c r="O1394">
        <f>((-7.02235*K1394)+(-0.30125*L1394)+(0.09376*J1394)+33.03698)</f>
        <v>31.128759999999986</v>
      </c>
    </row>
    <row r="1395" spans="1:15" x14ac:dyDescent="0.25">
      <c r="A1395" s="2">
        <v>40738</v>
      </c>
      <c r="B1395" t="s">
        <v>44</v>
      </c>
      <c r="C1395">
        <v>25</v>
      </c>
      <c r="D1395" s="6" t="s">
        <v>19</v>
      </c>
      <c r="F1395">
        <v>1.98</v>
      </c>
      <c r="J1395">
        <f>SUM(211,238,241,258,264)</f>
        <v>1212</v>
      </c>
      <c r="K1395">
        <v>5</v>
      </c>
      <c r="L1395">
        <v>264</v>
      </c>
      <c r="M1395" t="s">
        <v>45</v>
      </c>
      <c r="O1395">
        <f>((-7.02235*K1395)+(-0.30125*L1395)+(0.09376*J1395)+33.03698)</f>
        <v>32.032349999999994</v>
      </c>
    </row>
    <row r="1396" spans="1:15" x14ac:dyDescent="0.25">
      <c r="A1396" s="2">
        <v>40738</v>
      </c>
      <c r="B1396" t="s">
        <v>44</v>
      </c>
      <c r="C1396">
        <v>29</v>
      </c>
      <c r="D1396" s="6" t="s">
        <v>19</v>
      </c>
      <c r="E1396" s="6">
        <v>265</v>
      </c>
      <c r="F1396">
        <v>2.67</v>
      </c>
      <c r="H1396">
        <v>29</v>
      </c>
      <c r="I1396">
        <v>2.7</v>
      </c>
      <c r="O1396">
        <f t="shared" ref="O1396:O1402" si="75">(0.66164*E1396)+(16.34893*F1396)+(1.11091*H1396)+(-8.40694*I1396)-154.2499</f>
        <v>74.253995100000026</v>
      </c>
    </row>
    <row r="1397" spans="1:15" x14ac:dyDescent="0.25">
      <c r="A1397" s="2">
        <v>40738</v>
      </c>
      <c r="B1397" t="s">
        <v>44</v>
      </c>
      <c r="C1397">
        <v>29</v>
      </c>
      <c r="D1397" s="6" t="s">
        <v>19</v>
      </c>
      <c r="E1397" s="6">
        <v>269</v>
      </c>
      <c r="F1397">
        <v>3.05</v>
      </c>
      <c r="H1397">
        <v>33</v>
      </c>
      <c r="I1397">
        <v>2.4</v>
      </c>
      <c r="O1397">
        <f t="shared" si="75"/>
        <v>90.078870499999994</v>
      </c>
    </row>
    <row r="1398" spans="1:15" x14ac:dyDescent="0.25">
      <c r="A1398" s="2">
        <v>40738</v>
      </c>
      <c r="B1398" t="s">
        <v>44</v>
      </c>
      <c r="C1398">
        <v>29</v>
      </c>
      <c r="D1398" s="6" t="s">
        <v>19</v>
      </c>
      <c r="E1398" s="6">
        <v>280</v>
      </c>
      <c r="F1398">
        <v>2.48</v>
      </c>
      <c r="H1398">
        <v>32</v>
      </c>
      <c r="I1398">
        <v>2.4</v>
      </c>
      <c r="O1398">
        <f t="shared" si="75"/>
        <v>86.927110400000004</v>
      </c>
    </row>
    <row r="1399" spans="1:15" x14ac:dyDescent="0.25">
      <c r="A1399" s="2">
        <v>40738</v>
      </c>
      <c r="B1399" t="s">
        <v>44</v>
      </c>
      <c r="C1399">
        <v>29</v>
      </c>
      <c r="D1399" s="6" t="s">
        <v>19</v>
      </c>
      <c r="E1399" s="6">
        <v>301</v>
      </c>
      <c r="F1399">
        <v>2.0299999999999998</v>
      </c>
      <c r="H1399">
        <v>16</v>
      </c>
      <c r="I1399">
        <v>2.2000000000000002</v>
      </c>
      <c r="O1399">
        <f t="shared" si="75"/>
        <v>77.371359899999987</v>
      </c>
    </row>
    <row r="1400" spans="1:15" x14ac:dyDescent="0.25">
      <c r="A1400" s="2">
        <v>40738</v>
      </c>
      <c r="B1400" t="s">
        <v>44</v>
      </c>
      <c r="C1400">
        <v>29</v>
      </c>
      <c r="D1400" s="6" t="s">
        <v>19</v>
      </c>
      <c r="E1400" s="6">
        <v>305</v>
      </c>
      <c r="F1400">
        <v>2.4</v>
      </c>
      <c r="H1400">
        <v>24</v>
      </c>
      <c r="I1400">
        <v>1.8</v>
      </c>
      <c r="O1400">
        <f t="shared" si="75"/>
        <v>98.317079999999947</v>
      </c>
    </row>
    <row r="1401" spans="1:15" x14ac:dyDescent="0.25">
      <c r="A1401" s="2">
        <v>40738</v>
      </c>
      <c r="B1401" t="s">
        <v>44</v>
      </c>
      <c r="C1401">
        <v>29</v>
      </c>
      <c r="D1401" s="6" t="s">
        <v>19</v>
      </c>
      <c r="E1401" s="6">
        <v>310</v>
      </c>
      <c r="F1401">
        <v>1.87</v>
      </c>
      <c r="H1401">
        <v>22</v>
      </c>
      <c r="I1401">
        <v>2.2999999999999998</v>
      </c>
      <c r="O1401">
        <f t="shared" si="75"/>
        <v>86.535057099999989</v>
      </c>
    </row>
    <row r="1402" spans="1:15" x14ac:dyDescent="0.25">
      <c r="A1402" s="2">
        <v>40738</v>
      </c>
      <c r="B1402" t="s">
        <v>44</v>
      </c>
      <c r="C1402">
        <v>29</v>
      </c>
      <c r="D1402" s="6" t="s">
        <v>19</v>
      </c>
      <c r="E1402" s="6">
        <v>339</v>
      </c>
      <c r="F1402">
        <v>2.52</v>
      </c>
      <c r="H1402">
        <v>27</v>
      </c>
      <c r="I1402">
        <v>2.5</v>
      </c>
      <c r="O1402">
        <f t="shared" si="75"/>
        <v>120.22258359999998</v>
      </c>
    </row>
    <row r="1403" spans="1:15" x14ac:dyDescent="0.25">
      <c r="A1403" s="2">
        <v>40738</v>
      </c>
      <c r="B1403" t="s">
        <v>44</v>
      </c>
      <c r="C1403">
        <v>29</v>
      </c>
      <c r="D1403" s="6" t="s">
        <v>19</v>
      </c>
      <c r="E1403" s="6"/>
      <c r="F1403">
        <v>1.45</v>
      </c>
      <c r="J1403">
        <f>SUM(245,255,264,293)</f>
        <v>1057</v>
      </c>
      <c r="K1403">
        <v>4</v>
      </c>
      <c r="L1403">
        <v>293</v>
      </c>
      <c r="O1403">
        <f>((-7.02235*K1403)+(-0.30125*L1403)+(0.09376*J1403)+33.03698)</f>
        <v>15.785650000000004</v>
      </c>
    </row>
    <row r="1404" spans="1:15" x14ac:dyDescent="0.25">
      <c r="A1404" s="2">
        <v>40745</v>
      </c>
      <c r="B1404" t="s">
        <v>48</v>
      </c>
      <c r="C1404">
        <v>4</v>
      </c>
      <c r="D1404" s="6" t="s">
        <v>12</v>
      </c>
      <c r="E1404">
        <v>255</v>
      </c>
      <c r="F1404">
        <v>1.61</v>
      </c>
      <c r="G1404">
        <v>8</v>
      </c>
      <c r="N1404">
        <f>(1/3)*(3.14159)*((F1404/2)^2)*E1404</f>
        <v>173.04545307875</v>
      </c>
      <c r="O1404">
        <f>((0.03851*E1404)+(0.0322*N1404))</f>
        <v>15.39211358913575</v>
      </c>
    </row>
    <row r="1405" spans="1:15" x14ac:dyDescent="0.25">
      <c r="A1405" s="2">
        <v>40745</v>
      </c>
      <c r="B1405" t="s">
        <v>48</v>
      </c>
      <c r="C1405">
        <v>4</v>
      </c>
      <c r="D1405" s="6" t="s">
        <v>16</v>
      </c>
      <c r="E1405">
        <v>47</v>
      </c>
      <c r="F1405">
        <v>0.88</v>
      </c>
      <c r="G1405">
        <v>0</v>
      </c>
      <c r="N1405">
        <f t="shared" ref="N1405:N1442" si="76">((1/3)*(3.14159)*((F1405/2)^2)*E1405)</f>
        <v>9.5286519093333322</v>
      </c>
      <c r="O1405">
        <f>((0.03043*E1405)+(0.02936*N1405))</f>
        <v>1.7099712200580266</v>
      </c>
    </row>
    <row r="1406" spans="1:15" x14ac:dyDescent="0.25">
      <c r="A1406" s="2">
        <v>40745</v>
      </c>
      <c r="B1406" t="s">
        <v>48</v>
      </c>
      <c r="C1406">
        <v>4</v>
      </c>
      <c r="D1406" s="6" t="s">
        <v>16</v>
      </c>
      <c r="E1406">
        <v>68</v>
      </c>
      <c r="F1406">
        <v>0.91</v>
      </c>
      <c r="G1406">
        <v>0</v>
      </c>
      <c r="N1406">
        <f t="shared" si="76"/>
        <v>14.742120514333333</v>
      </c>
      <c r="O1406">
        <f>((0.03043*E1406)+(0.02936*N1406))</f>
        <v>2.5020686583008263</v>
      </c>
    </row>
    <row r="1407" spans="1:15" x14ac:dyDescent="0.25">
      <c r="A1407" s="2">
        <v>40745</v>
      </c>
      <c r="B1407" t="s">
        <v>48</v>
      </c>
      <c r="C1407">
        <v>4</v>
      </c>
      <c r="D1407" s="6" t="s">
        <v>16</v>
      </c>
      <c r="E1407">
        <v>108</v>
      </c>
      <c r="F1407">
        <v>0.97</v>
      </c>
      <c r="G1407">
        <v>0</v>
      </c>
      <c r="N1407">
        <f t="shared" si="76"/>
        <v>26.603298278999997</v>
      </c>
      <c r="O1407">
        <f>((0.03043*E1407)+(0.02936*N1407))</f>
        <v>4.0675128374714395</v>
      </c>
    </row>
    <row r="1408" spans="1:15" x14ac:dyDescent="0.25">
      <c r="A1408" s="2">
        <v>40745</v>
      </c>
      <c r="B1408" t="s">
        <v>48</v>
      </c>
      <c r="C1408">
        <v>4</v>
      </c>
      <c r="D1408" s="6" t="s">
        <v>16</v>
      </c>
      <c r="E1408">
        <v>115</v>
      </c>
      <c r="F1408">
        <v>1.1100000000000001</v>
      </c>
      <c r="G1408">
        <v>0</v>
      </c>
      <c r="N1408">
        <f t="shared" si="76"/>
        <v>37.094716623750003</v>
      </c>
      <c r="O1408">
        <f>((0.03043*E1408)+(0.02936*N1408))</f>
        <v>4.5885508800733001</v>
      </c>
    </row>
    <row r="1409" spans="1:15" x14ac:dyDescent="0.25">
      <c r="A1409" s="2">
        <v>40745</v>
      </c>
      <c r="B1409" t="s">
        <v>48</v>
      </c>
      <c r="C1409">
        <v>4</v>
      </c>
      <c r="D1409" s="6" t="s">
        <v>16</v>
      </c>
      <c r="E1409">
        <v>137</v>
      </c>
      <c r="F1409">
        <v>1.26</v>
      </c>
      <c r="G1409">
        <v>4</v>
      </c>
      <c r="N1409">
        <f t="shared" si="76"/>
        <v>56.941632908999999</v>
      </c>
      <c r="O1409">
        <f>((0.03851*E1409)+(0.0322*N1409))</f>
        <v>7.1093905796698005</v>
      </c>
    </row>
    <row r="1410" spans="1:15" x14ac:dyDescent="0.25">
      <c r="A1410" s="2">
        <v>40745</v>
      </c>
      <c r="B1410" t="s">
        <v>48</v>
      </c>
      <c r="C1410">
        <v>4</v>
      </c>
      <c r="D1410" s="6" t="s">
        <v>16</v>
      </c>
      <c r="E1410">
        <v>151</v>
      </c>
      <c r="F1410">
        <v>1.4</v>
      </c>
      <c r="G1410">
        <v>0</v>
      </c>
      <c r="N1410">
        <f t="shared" si="76"/>
        <v>77.482081366666648</v>
      </c>
      <c r="O1410">
        <f>((0.03043*E1410)+(0.02936*N1410))</f>
        <v>6.8698039089253324</v>
      </c>
    </row>
    <row r="1411" spans="1:15" x14ac:dyDescent="0.25">
      <c r="A1411" s="2">
        <v>40745</v>
      </c>
      <c r="B1411" t="s">
        <v>48</v>
      </c>
      <c r="C1411">
        <v>4</v>
      </c>
      <c r="D1411" s="6" t="s">
        <v>16</v>
      </c>
      <c r="E1411">
        <v>173</v>
      </c>
      <c r="F1411">
        <v>2.2999999999999998</v>
      </c>
      <c r="G1411">
        <v>0</v>
      </c>
      <c r="N1411">
        <f t="shared" si="76"/>
        <v>239.59074335833327</v>
      </c>
      <c r="O1411">
        <f>((0.03043*E1411)+(0.02936*N1411))</f>
        <v>12.298774225000665</v>
      </c>
    </row>
    <row r="1412" spans="1:15" x14ac:dyDescent="0.25">
      <c r="A1412" s="2">
        <v>40745</v>
      </c>
      <c r="B1412" t="s">
        <v>48</v>
      </c>
      <c r="C1412">
        <v>4</v>
      </c>
      <c r="D1412" s="6" t="s">
        <v>16</v>
      </c>
      <c r="E1412">
        <v>236</v>
      </c>
      <c r="F1412">
        <v>1.2</v>
      </c>
      <c r="G1412">
        <v>0</v>
      </c>
      <c r="N1412">
        <f t="shared" si="76"/>
        <v>88.969828799999988</v>
      </c>
      <c r="O1412">
        <f>((0.03043*E1412)+(0.02936*N1412))</f>
        <v>9.7936341735679999</v>
      </c>
    </row>
    <row r="1413" spans="1:15" x14ac:dyDescent="0.25">
      <c r="A1413" s="2">
        <v>40745</v>
      </c>
      <c r="B1413" t="s">
        <v>48</v>
      </c>
      <c r="C1413">
        <v>4</v>
      </c>
      <c r="D1413" s="6" t="s">
        <v>16</v>
      </c>
      <c r="E1413">
        <v>249</v>
      </c>
      <c r="F1413">
        <v>1.3</v>
      </c>
      <c r="G1413">
        <v>0</v>
      </c>
      <c r="N1413">
        <f t="shared" si="76"/>
        <v>110.16770732499999</v>
      </c>
      <c r="O1413">
        <f>((0.03043*E1413)+(0.02936*N1413))</f>
        <v>10.811593887061999</v>
      </c>
    </row>
    <row r="1414" spans="1:15" x14ac:dyDescent="0.25">
      <c r="A1414" s="2">
        <v>40745</v>
      </c>
      <c r="B1414" t="s">
        <v>48</v>
      </c>
      <c r="C1414">
        <v>4</v>
      </c>
      <c r="D1414" s="6" t="s">
        <v>16</v>
      </c>
      <c r="E1414">
        <v>268</v>
      </c>
      <c r="F1414">
        <v>1.33</v>
      </c>
      <c r="G1414">
        <v>2</v>
      </c>
      <c r="N1414">
        <f t="shared" si="76"/>
        <v>124.10987430566666</v>
      </c>
      <c r="O1414">
        <f>((0.03851*E1414)+(0.0322*N1414))</f>
        <v>14.317017952642468</v>
      </c>
    </row>
    <row r="1415" spans="1:15" x14ac:dyDescent="0.25">
      <c r="A1415" s="2">
        <v>40745</v>
      </c>
      <c r="B1415" t="s">
        <v>48</v>
      </c>
      <c r="C1415">
        <v>4</v>
      </c>
      <c r="D1415" s="6" t="s">
        <v>16</v>
      </c>
      <c r="E1415">
        <v>273</v>
      </c>
      <c r="F1415">
        <v>1.67</v>
      </c>
      <c r="G1415">
        <v>0</v>
      </c>
      <c r="N1415">
        <f t="shared" si="76"/>
        <v>199.32595298524998</v>
      </c>
      <c r="O1415">
        <f>((0.03043*E1415)+(0.02936*N1415))</f>
        <v>14.15959997964694</v>
      </c>
    </row>
    <row r="1416" spans="1:15" x14ac:dyDescent="0.25">
      <c r="A1416" s="2">
        <v>40745</v>
      </c>
      <c r="B1416" t="s">
        <v>48</v>
      </c>
      <c r="C1416">
        <v>4</v>
      </c>
      <c r="D1416" s="6" t="s">
        <v>16</v>
      </c>
      <c r="E1416">
        <v>275</v>
      </c>
      <c r="F1416">
        <v>2.48</v>
      </c>
      <c r="G1416">
        <v>0</v>
      </c>
      <c r="N1416">
        <f t="shared" si="76"/>
        <v>442.79663853333329</v>
      </c>
      <c r="O1416">
        <f>((0.03043*E1416)+(0.02936*N1416))</f>
        <v>21.368759307338664</v>
      </c>
    </row>
    <row r="1417" spans="1:15" x14ac:dyDescent="0.25">
      <c r="A1417" s="2">
        <v>40745</v>
      </c>
      <c r="B1417" t="s">
        <v>48</v>
      </c>
      <c r="C1417">
        <v>4</v>
      </c>
      <c r="D1417" s="6" t="s">
        <v>16</v>
      </c>
      <c r="E1417">
        <v>288</v>
      </c>
      <c r="F1417">
        <v>1.68</v>
      </c>
      <c r="G1417">
        <v>0</v>
      </c>
      <c r="N1417">
        <f t="shared" si="76"/>
        <v>212.80376678399995</v>
      </c>
      <c r="O1417">
        <f>((0.03043*E1417)+(0.02936*N1417))</f>
        <v>15.011758592778239</v>
      </c>
    </row>
    <row r="1418" spans="1:15" x14ac:dyDescent="0.25">
      <c r="A1418" s="2">
        <v>40745</v>
      </c>
      <c r="B1418" t="s">
        <v>48</v>
      </c>
      <c r="C1418">
        <v>4</v>
      </c>
      <c r="D1418" s="6" t="s">
        <v>16</v>
      </c>
      <c r="E1418">
        <v>290</v>
      </c>
      <c r="F1418">
        <v>1.37</v>
      </c>
      <c r="G1418">
        <v>0</v>
      </c>
      <c r="N1418">
        <f t="shared" si="76"/>
        <v>142.49754821583335</v>
      </c>
      <c r="O1418">
        <f>((0.03043*E1418)+(0.02936*N1418))</f>
        <v>13.008428015616868</v>
      </c>
    </row>
    <row r="1419" spans="1:15" x14ac:dyDescent="0.25">
      <c r="A1419" s="2">
        <v>40745</v>
      </c>
      <c r="B1419" t="s">
        <v>48</v>
      </c>
      <c r="C1419">
        <v>4</v>
      </c>
      <c r="D1419" s="6" t="s">
        <v>16</v>
      </c>
      <c r="E1419">
        <v>290</v>
      </c>
      <c r="F1419">
        <v>2.1</v>
      </c>
      <c r="G1419">
        <v>3</v>
      </c>
      <c r="N1419">
        <f t="shared" si="76"/>
        <v>334.81495424999997</v>
      </c>
      <c r="O1419">
        <f>((0.03851*E1419)+(0.0322*N1419))</f>
        <v>21.94894152685</v>
      </c>
    </row>
    <row r="1420" spans="1:15" x14ac:dyDescent="0.25">
      <c r="A1420" s="2">
        <v>40745</v>
      </c>
      <c r="B1420" t="s">
        <v>48</v>
      </c>
      <c r="C1420">
        <v>4</v>
      </c>
      <c r="D1420" s="6" t="s">
        <v>16</v>
      </c>
      <c r="E1420">
        <v>291</v>
      </c>
      <c r="F1420">
        <v>1.7</v>
      </c>
      <c r="G1420">
        <v>5</v>
      </c>
      <c r="N1420">
        <f t="shared" si="76"/>
        <v>220.17048117499994</v>
      </c>
      <c r="O1420">
        <f>((0.03851*E1420)+(0.0322*N1420))</f>
        <v>18.295899493834998</v>
      </c>
    </row>
    <row r="1421" spans="1:15" x14ac:dyDescent="0.25">
      <c r="A1421" s="2">
        <v>40745</v>
      </c>
      <c r="B1421" t="s">
        <v>48</v>
      </c>
      <c r="C1421">
        <v>4</v>
      </c>
      <c r="D1421" s="6" t="s">
        <v>16</v>
      </c>
      <c r="E1421">
        <v>299</v>
      </c>
      <c r="F1421">
        <v>1.85</v>
      </c>
      <c r="G1421">
        <v>0</v>
      </c>
      <c r="N1421">
        <f t="shared" si="76"/>
        <v>267.90628672708334</v>
      </c>
      <c r="O1421">
        <f>((0.03043*E1421)+(0.02936*N1421))</f>
        <v>16.964298578307169</v>
      </c>
    </row>
    <row r="1422" spans="1:15" x14ac:dyDescent="0.25">
      <c r="A1422" s="2">
        <v>40745</v>
      </c>
      <c r="B1422" t="s">
        <v>48</v>
      </c>
      <c r="C1422">
        <v>4</v>
      </c>
      <c r="D1422" s="6" t="s">
        <v>16</v>
      </c>
      <c r="E1422">
        <v>301</v>
      </c>
      <c r="F1422">
        <v>2.04</v>
      </c>
      <c r="G1422">
        <v>0</v>
      </c>
      <c r="N1422">
        <f t="shared" si="76"/>
        <v>327.94052701199996</v>
      </c>
      <c r="O1422">
        <f>((0.03043*E1422)+(0.02936*N1422))</f>
        <v>18.787763873072322</v>
      </c>
    </row>
    <row r="1423" spans="1:15" x14ac:dyDescent="0.25">
      <c r="A1423" s="2">
        <v>40745</v>
      </c>
      <c r="B1423" t="s">
        <v>48</v>
      </c>
      <c r="C1423">
        <v>4</v>
      </c>
      <c r="D1423" s="6" t="s">
        <v>16</v>
      </c>
      <c r="E1423">
        <v>306</v>
      </c>
      <c r="F1423">
        <v>1.73</v>
      </c>
      <c r="G1423">
        <v>12</v>
      </c>
      <c r="N1423">
        <f t="shared" si="76"/>
        <v>239.7628501305</v>
      </c>
      <c r="O1423">
        <f>((0.03851*E1423)+(0.0322*N1423))</f>
        <v>19.504423774202099</v>
      </c>
    </row>
    <row r="1424" spans="1:15" x14ac:dyDescent="0.25">
      <c r="A1424" s="2">
        <v>40745</v>
      </c>
      <c r="B1424" t="s">
        <v>48</v>
      </c>
      <c r="C1424">
        <v>4</v>
      </c>
      <c r="D1424" s="6" t="s">
        <v>16</v>
      </c>
      <c r="E1424">
        <v>314</v>
      </c>
      <c r="F1424">
        <v>1.46</v>
      </c>
      <c r="G1424">
        <v>0</v>
      </c>
      <c r="N1424">
        <f t="shared" si="76"/>
        <v>175.22804655133331</v>
      </c>
      <c r="O1424">
        <f>((0.03043*E1424)+(0.02936*N1424))</f>
        <v>14.699715446747145</v>
      </c>
    </row>
    <row r="1425" spans="1:15" x14ac:dyDescent="0.25">
      <c r="A1425" s="2">
        <v>40745</v>
      </c>
      <c r="B1425" t="s">
        <v>48</v>
      </c>
      <c r="C1425">
        <v>4</v>
      </c>
      <c r="D1425" s="6" t="s">
        <v>16</v>
      </c>
      <c r="E1425">
        <v>315</v>
      </c>
      <c r="F1425">
        <v>2.5299999999999998</v>
      </c>
      <c r="G1425">
        <v>0</v>
      </c>
      <c r="N1425">
        <f t="shared" si="76"/>
        <v>527.86134006374982</v>
      </c>
      <c r="O1425">
        <f>((0.03043*E1425)+(0.02936*N1425))</f>
        <v>25.083458944271698</v>
      </c>
    </row>
    <row r="1426" spans="1:15" x14ac:dyDescent="0.25">
      <c r="A1426" s="2">
        <v>40745</v>
      </c>
      <c r="B1426" t="s">
        <v>48</v>
      </c>
      <c r="C1426">
        <v>4</v>
      </c>
      <c r="D1426" s="6" t="s">
        <v>16</v>
      </c>
      <c r="E1426">
        <v>317</v>
      </c>
      <c r="F1426">
        <v>2.25</v>
      </c>
      <c r="G1426">
        <v>7</v>
      </c>
      <c r="N1426">
        <f t="shared" si="76"/>
        <v>420.13857515624994</v>
      </c>
      <c r="O1426">
        <f>((0.03851*E1426)+(0.0322*N1426))</f>
        <v>25.73613212003125</v>
      </c>
    </row>
    <row r="1427" spans="1:15" x14ac:dyDescent="0.25">
      <c r="A1427" s="2">
        <v>40745</v>
      </c>
      <c r="B1427" t="s">
        <v>48</v>
      </c>
      <c r="C1427">
        <v>4</v>
      </c>
      <c r="D1427" s="6" t="s">
        <v>16</v>
      </c>
      <c r="E1427">
        <v>320</v>
      </c>
      <c r="F1427">
        <v>1.6</v>
      </c>
      <c r="G1427">
        <v>0</v>
      </c>
      <c r="N1427">
        <f t="shared" si="76"/>
        <v>214.46587733333334</v>
      </c>
      <c r="O1427">
        <f>((0.03043*E1427)+(0.02936*N1427))</f>
        <v>16.034318158506668</v>
      </c>
    </row>
    <row r="1428" spans="1:15" x14ac:dyDescent="0.25">
      <c r="A1428" s="2">
        <v>40745</v>
      </c>
      <c r="B1428" t="s">
        <v>48</v>
      </c>
      <c r="C1428">
        <v>4</v>
      </c>
      <c r="D1428" s="6" t="s">
        <v>16</v>
      </c>
      <c r="E1428">
        <v>326</v>
      </c>
      <c r="F1428">
        <v>2.52</v>
      </c>
      <c r="G1428">
        <v>0</v>
      </c>
      <c r="N1428">
        <f t="shared" si="76"/>
        <v>541.984593528</v>
      </c>
      <c r="O1428">
        <f>((0.03043*E1428)+(0.02936*N1428))</f>
        <v>25.832847665982079</v>
      </c>
    </row>
    <row r="1429" spans="1:15" x14ac:dyDescent="0.25">
      <c r="A1429" s="2">
        <v>40745</v>
      </c>
      <c r="B1429" t="s">
        <v>48</v>
      </c>
      <c r="C1429">
        <v>4</v>
      </c>
      <c r="D1429" s="6" t="s">
        <v>16</v>
      </c>
      <c r="E1429">
        <v>338</v>
      </c>
      <c r="F1429">
        <v>1.94</v>
      </c>
      <c r="G1429">
        <v>14</v>
      </c>
      <c r="N1429">
        <f t="shared" si="76"/>
        <v>333.0338821593333</v>
      </c>
      <c r="O1429">
        <f>((0.03851*E1429)+(0.0322*N1429))</f>
        <v>23.740071005530535</v>
      </c>
    </row>
    <row r="1430" spans="1:15" x14ac:dyDescent="0.25">
      <c r="A1430" s="2">
        <v>40745</v>
      </c>
      <c r="B1430" t="s">
        <v>48</v>
      </c>
      <c r="C1430">
        <v>4</v>
      </c>
      <c r="D1430" s="6" t="s">
        <v>16</v>
      </c>
      <c r="E1430">
        <v>345</v>
      </c>
      <c r="F1430">
        <v>2.27</v>
      </c>
      <c r="G1430">
        <v>0</v>
      </c>
      <c r="N1430">
        <f t="shared" si="76"/>
        <v>465.41359944124991</v>
      </c>
      <c r="O1430">
        <f>((0.03043*E1430)+(0.02936*N1430))</f>
        <v>24.162893279595096</v>
      </c>
    </row>
    <row r="1431" spans="1:15" x14ac:dyDescent="0.25">
      <c r="A1431" s="2">
        <v>40745</v>
      </c>
      <c r="B1431" t="s">
        <v>48</v>
      </c>
      <c r="C1431">
        <v>4</v>
      </c>
      <c r="D1431" s="6" t="s">
        <v>16</v>
      </c>
      <c r="E1431">
        <v>347</v>
      </c>
      <c r="F1431">
        <v>1.76</v>
      </c>
      <c r="G1431">
        <v>6</v>
      </c>
      <c r="N1431">
        <f t="shared" si="76"/>
        <v>281.39933723733327</v>
      </c>
      <c r="O1431">
        <f>((0.03851*E1431)+(0.0322*N1431))</f>
        <v>22.424028659042133</v>
      </c>
    </row>
    <row r="1432" spans="1:15" x14ac:dyDescent="0.25">
      <c r="A1432" s="2">
        <v>40745</v>
      </c>
      <c r="B1432" t="s">
        <v>48</v>
      </c>
      <c r="C1432">
        <v>4</v>
      </c>
      <c r="D1432" s="6" t="s">
        <v>16</v>
      </c>
      <c r="E1432">
        <v>351</v>
      </c>
      <c r="F1432">
        <v>1.05</v>
      </c>
      <c r="G1432">
        <v>0</v>
      </c>
      <c r="N1432">
        <f t="shared" si="76"/>
        <v>101.31038701874999</v>
      </c>
      <c r="O1432">
        <f>((0.03043*E1432)+(0.02936*N1432))</f>
        <v>13.6554029628705</v>
      </c>
    </row>
    <row r="1433" spans="1:15" x14ac:dyDescent="0.25">
      <c r="A1433" s="2">
        <v>40745</v>
      </c>
      <c r="B1433" t="s">
        <v>48</v>
      </c>
      <c r="C1433">
        <v>4</v>
      </c>
      <c r="D1433" s="6" t="s">
        <v>16</v>
      </c>
      <c r="E1433">
        <v>352</v>
      </c>
      <c r="F1433">
        <v>1.44</v>
      </c>
      <c r="G1433">
        <v>2</v>
      </c>
      <c r="N1433">
        <f t="shared" si="76"/>
        <v>191.08909670399996</v>
      </c>
      <c r="O1433">
        <f>((0.03851*E1433)+(0.0322*N1433))</f>
        <v>19.708588913868802</v>
      </c>
    </row>
    <row r="1434" spans="1:15" x14ac:dyDescent="0.25">
      <c r="A1434" s="2">
        <v>40745</v>
      </c>
      <c r="B1434" t="s">
        <v>48</v>
      </c>
      <c r="C1434">
        <v>4</v>
      </c>
      <c r="D1434" s="6" t="s">
        <v>16</v>
      </c>
      <c r="E1434">
        <v>352</v>
      </c>
      <c r="F1434">
        <v>1.84</v>
      </c>
      <c r="G1434">
        <v>0</v>
      </c>
      <c r="N1434">
        <f t="shared" si="76"/>
        <v>311.99423505066665</v>
      </c>
      <c r="O1434">
        <f>((0.03043*E1434)+(0.02936*N1434))</f>
        <v>19.871510741087572</v>
      </c>
    </row>
    <row r="1435" spans="1:15" x14ac:dyDescent="0.25">
      <c r="A1435" s="2">
        <v>40745</v>
      </c>
      <c r="B1435" t="s">
        <v>48</v>
      </c>
      <c r="C1435">
        <v>4</v>
      </c>
      <c r="D1435" s="6" t="s">
        <v>16</v>
      </c>
      <c r="E1435">
        <v>361</v>
      </c>
      <c r="F1435">
        <v>2.1800000000000002</v>
      </c>
      <c r="G1435">
        <v>10</v>
      </c>
      <c r="N1435">
        <f t="shared" si="76"/>
        <v>449.14694383966673</v>
      </c>
      <c r="O1435">
        <f>((0.03851*E1435)+(0.0322*N1435))</f>
        <v>28.36464159163727</v>
      </c>
    </row>
    <row r="1436" spans="1:15" x14ac:dyDescent="0.25">
      <c r="A1436" s="2">
        <v>40745</v>
      </c>
      <c r="B1436" t="s">
        <v>48</v>
      </c>
      <c r="C1436">
        <v>4</v>
      </c>
      <c r="D1436" s="6" t="s">
        <v>16</v>
      </c>
      <c r="E1436">
        <v>362</v>
      </c>
      <c r="F1436">
        <v>2.37</v>
      </c>
      <c r="G1436">
        <v>0</v>
      </c>
      <c r="N1436">
        <f t="shared" si="76"/>
        <v>532.32090560849997</v>
      </c>
      <c r="O1436">
        <f>((0.03043*E1436)+(0.02936*N1436))</f>
        <v>26.644601788665558</v>
      </c>
    </row>
    <row r="1437" spans="1:15" x14ac:dyDescent="0.25">
      <c r="A1437" s="2">
        <v>40745</v>
      </c>
      <c r="B1437" t="s">
        <v>48</v>
      </c>
      <c r="C1437">
        <v>4</v>
      </c>
      <c r="D1437" s="6" t="s">
        <v>16</v>
      </c>
      <c r="E1437">
        <v>365</v>
      </c>
      <c r="F1437">
        <v>1.33</v>
      </c>
      <c r="G1437">
        <v>3</v>
      </c>
      <c r="N1437">
        <f t="shared" si="76"/>
        <v>169.03023925958334</v>
      </c>
      <c r="O1437">
        <f>((0.03851*E1437)+(0.0322*N1437))</f>
        <v>19.498923704158585</v>
      </c>
    </row>
    <row r="1438" spans="1:15" x14ac:dyDescent="0.25">
      <c r="A1438" s="2">
        <v>40745</v>
      </c>
      <c r="B1438" t="s">
        <v>48</v>
      </c>
      <c r="C1438">
        <v>4</v>
      </c>
      <c r="D1438" s="6" t="s">
        <v>16</v>
      </c>
      <c r="E1438">
        <v>365</v>
      </c>
      <c r="F1438">
        <v>2</v>
      </c>
      <c r="G1438">
        <v>24</v>
      </c>
      <c r="N1438">
        <f t="shared" si="76"/>
        <v>382.22678333333329</v>
      </c>
      <c r="O1438">
        <f>((0.03851*E1438)+(0.0322*N1438))</f>
        <v>26.363852423333334</v>
      </c>
    </row>
    <row r="1439" spans="1:15" x14ac:dyDescent="0.25">
      <c r="A1439" s="2">
        <v>40745</v>
      </c>
      <c r="B1439" t="s">
        <v>48</v>
      </c>
      <c r="C1439">
        <v>4</v>
      </c>
      <c r="D1439" s="6" t="s">
        <v>16</v>
      </c>
      <c r="E1439">
        <v>366</v>
      </c>
      <c r="F1439">
        <v>1.56</v>
      </c>
      <c r="G1439">
        <v>0</v>
      </c>
      <c r="N1439">
        <f t="shared" si="76"/>
        <v>233.18388943199997</v>
      </c>
      <c r="O1439">
        <f>((0.03043*E1439)+(0.02936*N1439))</f>
        <v>17.98365899372352</v>
      </c>
    </row>
    <row r="1440" spans="1:15" x14ac:dyDescent="0.25">
      <c r="A1440" s="2">
        <v>40745</v>
      </c>
      <c r="B1440" t="s">
        <v>48</v>
      </c>
      <c r="C1440">
        <v>4</v>
      </c>
      <c r="D1440" s="6" t="s">
        <v>16</v>
      </c>
      <c r="E1440">
        <v>370</v>
      </c>
      <c r="F1440">
        <v>1.89</v>
      </c>
      <c r="G1440">
        <v>0</v>
      </c>
      <c r="N1440">
        <f t="shared" si="76"/>
        <v>346.01393720249996</v>
      </c>
      <c r="O1440">
        <f>((0.03043*E1440)+(0.02936*N1440))</f>
        <v>21.4180691962654</v>
      </c>
    </row>
    <row r="1441" spans="1:15" x14ac:dyDescent="0.25">
      <c r="A1441" s="2">
        <v>40745</v>
      </c>
      <c r="B1441" t="s">
        <v>48</v>
      </c>
      <c r="C1441">
        <v>4</v>
      </c>
      <c r="D1441" s="6" t="s">
        <v>16</v>
      </c>
      <c r="E1441">
        <v>375</v>
      </c>
      <c r="F1441">
        <v>2.14</v>
      </c>
      <c r="G1441">
        <v>7</v>
      </c>
      <c r="N1441">
        <f t="shared" si="76"/>
        <v>449.60079887499995</v>
      </c>
      <c r="O1441">
        <f>((0.03851*E1441)+(0.0322*N1441))</f>
        <v>28.918395723774999</v>
      </c>
    </row>
    <row r="1442" spans="1:15" x14ac:dyDescent="0.25">
      <c r="A1442" s="2">
        <v>40745</v>
      </c>
      <c r="B1442" t="s">
        <v>48</v>
      </c>
      <c r="C1442">
        <v>4</v>
      </c>
      <c r="D1442" s="6" t="s">
        <v>16</v>
      </c>
      <c r="E1442">
        <v>381</v>
      </c>
      <c r="F1442">
        <v>2.0099999999999998</v>
      </c>
      <c r="G1442">
        <v>0</v>
      </c>
      <c r="N1442">
        <f t="shared" si="76"/>
        <v>402.98172384824989</v>
      </c>
      <c r="O1442">
        <f>((0.03043*E1442)+(0.02936*N1442))</f>
        <v>23.425373412184616</v>
      </c>
    </row>
    <row r="1443" spans="1:15" x14ac:dyDescent="0.25">
      <c r="A1443" s="2">
        <v>40745</v>
      </c>
      <c r="B1443" t="s">
        <v>48</v>
      </c>
      <c r="C1443">
        <v>4</v>
      </c>
      <c r="D1443" s="6" t="s">
        <v>19</v>
      </c>
      <c r="E1443">
        <v>328</v>
      </c>
      <c r="F1443">
        <v>2.31</v>
      </c>
      <c r="H1443">
        <v>30</v>
      </c>
      <c r="I1443">
        <v>1.2</v>
      </c>
      <c r="O1443">
        <f>(0.66164*E1443)+(16.34893*F1443)+(1.11091*H1443)+(-8.40694*I1443)-154.2499</f>
        <v>123.77302030000001</v>
      </c>
    </row>
    <row r="1444" spans="1:15" x14ac:dyDescent="0.25">
      <c r="A1444" s="2">
        <v>40745</v>
      </c>
      <c r="B1444" t="s">
        <v>48</v>
      </c>
      <c r="C1444">
        <v>4</v>
      </c>
      <c r="D1444" s="6" t="s">
        <v>19</v>
      </c>
      <c r="E1444">
        <v>335</v>
      </c>
      <c r="F1444">
        <v>2.57</v>
      </c>
      <c r="H1444">
        <v>35</v>
      </c>
      <c r="I1444">
        <v>2.1</v>
      </c>
      <c r="O1444">
        <f>(0.66164*E1444)+(16.34893*F1444)+(1.11091*H1444)+(-8.40694*I1444)-154.2499</f>
        <v>130.64352609999995</v>
      </c>
    </row>
    <row r="1445" spans="1:15" x14ac:dyDescent="0.25">
      <c r="A1445" s="2">
        <v>40745</v>
      </c>
      <c r="B1445" t="s">
        <v>48</v>
      </c>
      <c r="C1445">
        <v>4</v>
      </c>
      <c r="D1445" s="6" t="s">
        <v>19</v>
      </c>
      <c r="E1445">
        <v>340</v>
      </c>
      <c r="F1445">
        <v>2.7</v>
      </c>
      <c r="H1445">
        <v>28</v>
      </c>
      <c r="I1445">
        <v>2</v>
      </c>
      <c r="O1445">
        <f>(0.66164*E1445)+(16.34893*F1445)+(1.11091*H1445)+(-8.40694*I1445)-154.2499</f>
        <v>129.14141100000003</v>
      </c>
    </row>
    <row r="1446" spans="1:15" x14ac:dyDescent="0.25">
      <c r="A1446" s="2">
        <v>40745</v>
      </c>
      <c r="B1446" t="s">
        <v>48</v>
      </c>
      <c r="C1446">
        <v>4</v>
      </c>
      <c r="D1446" s="6" t="s">
        <v>19</v>
      </c>
      <c r="E1446">
        <v>375</v>
      </c>
      <c r="F1446">
        <v>3.52</v>
      </c>
      <c r="H1446">
        <v>52</v>
      </c>
      <c r="I1446">
        <v>2.6</v>
      </c>
      <c r="O1446">
        <f>(0.66164*E1446)+(16.34893*F1446)+(1.11091*H1446)+(-8.40694*I1446)-154.2499</f>
        <v>187.32260959999999</v>
      </c>
    </row>
    <row r="1447" spans="1:15" x14ac:dyDescent="0.25">
      <c r="A1447" s="2">
        <v>40745</v>
      </c>
      <c r="B1447" t="s">
        <v>48</v>
      </c>
      <c r="C1447">
        <v>4</v>
      </c>
      <c r="D1447" s="6" t="s">
        <v>19</v>
      </c>
      <c r="F1447">
        <v>1.38</v>
      </c>
      <c r="J1447">
        <f>221+288+236+303+363+305</f>
        <v>1716</v>
      </c>
      <c r="K1447">
        <v>6</v>
      </c>
      <c r="L1447">
        <v>363</v>
      </c>
      <c r="O1447">
        <f>((-7.02235*K1447)+(-0.30125*L1447)+(0.09376*J1447)+33.03698)</f>
        <v>42.441289999999981</v>
      </c>
    </row>
    <row r="1448" spans="1:15" x14ac:dyDescent="0.25">
      <c r="A1448" s="2">
        <v>40745</v>
      </c>
      <c r="B1448" t="s">
        <v>48</v>
      </c>
      <c r="C1448">
        <v>5</v>
      </c>
      <c r="D1448" s="6" t="s">
        <v>43</v>
      </c>
      <c r="E1448" s="15">
        <v>198</v>
      </c>
      <c r="F1448">
        <v>1.1499999999999999</v>
      </c>
      <c r="G1448">
        <v>5</v>
      </c>
      <c r="N1448">
        <f t="shared" ref="N1448:N1488" si="77">((1/3)*(3.14159)*((F1448/2)^2)*E1448)</f>
        <v>68.553420787499988</v>
      </c>
      <c r="O1448">
        <f>((0.02449*E1448)+(N1448*0.05767))</f>
        <v>8.8024957768151246</v>
      </c>
    </row>
    <row r="1449" spans="1:15" x14ac:dyDescent="0.25">
      <c r="A1449" s="2">
        <v>40745</v>
      </c>
      <c r="B1449" t="s">
        <v>48</v>
      </c>
      <c r="C1449">
        <v>5</v>
      </c>
      <c r="D1449" s="6" t="s">
        <v>43</v>
      </c>
      <c r="E1449" s="15">
        <v>240</v>
      </c>
      <c r="F1449">
        <v>1.5</v>
      </c>
      <c r="G1449">
        <v>15</v>
      </c>
      <c r="N1449">
        <f t="shared" si="77"/>
        <v>141.37154999999998</v>
      </c>
      <c r="O1449">
        <f>((0.02449*E1449)+(N1449*0.05767))</f>
        <v>14.030497288499998</v>
      </c>
    </row>
    <row r="1450" spans="1:15" x14ac:dyDescent="0.25">
      <c r="A1450" s="2">
        <v>40745</v>
      </c>
      <c r="B1450" t="s">
        <v>48</v>
      </c>
      <c r="C1450">
        <v>5</v>
      </c>
      <c r="D1450" s="6" t="s">
        <v>43</v>
      </c>
      <c r="E1450" s="15">
        <v>262</v>
      </c>
      <c r="F1450">
        <v>1.5</v>
      </c>
      <c r="G1450">
        <v>53</v>
      </c>
      <c r="N1450">
        <f t="shared" si="77"/>
        <v>154.33060874999998</v>
      </c>
      <c r="O1450">
        <f>((0.02449*E1450)+(N1450*0.05767))</f>
        <v>15.316626206612499</v>
      </c>
    </row>
    <row r="1451" spans="1:15" x14ac:dyDescent="0.25">
      <c r="A1451" s="2">
        <v>40745</v>
      </c>
      <c r="B1451" t="s">
        <v>48</v>
      </c>
      <c r="C1451">
        <v>5</v>
      </c>
      <c r="D1451" s="6" t="s">
        <v>16</v>
      </c>
      <c r="E1451">
        <v>126</v>
      </c>
      <c r="F1451">
        <v>1.2</v>
      </c>
      <c r="G1451">
        <v>0</v>
      </c>
      <c r="N1451">
        <f t="shared" si="77"/>
        <v>47.500840799999992</v>
      </c>
      <c r="O1451">
        <f>((0.03043*E1451)+(0.02936*N1451))</f>
        <v>5.228804685888</v>
      </c>
    </row>
    <row r="1452" spans="1:15" x14ac:dyDescent="0.25">
      <c r="A1452" s="2">
        <v>40745</v>
      </c>
      <c r="B1452" t="s">
        <v>48</v>
      </c>
      <c r="C1452">
        <v>5</v>
      </c>
      <c r="D1452" s="6" t="s">
        <v>16</v>
      </c>
      <c r="E1452">
        <v>171</v>
      </c>
      <c r="F1452">
        <v>0.82</v>
      </c>
      <c r="G1452">
        <v>0</v>
      </c>
      <c r="N1452">
        <f t="shared" si="77"/>
        <v>30.101772902999993</v>
      </c>
      <c r="O1452">
        <f>((0.03043*E1452)+(0.02936*N1452))</f>
        <v>6.0873180524320798</v>
      </c>
    </row>
    <row r="1453" spans="1:15" x14ac:dyDescent="0.25">
      <c r="A1453" s="2">
        <v>40745</v>
      </c>
      <c r="B1453" t="s">
        <v>48</v>
      </c>
      <c r="C1453">
        <v>5</v>
      </c>
      <c r="D1453" s="6" t="s">
        <v>16</v>
      </c>
      <c r="E1453">
        <v>218</v>
      </c>
      <c r="F1453">
        <v>0.96</v>
      </c>
      <c r="G1453">
        <v>12</v>
      </c>
      <c r="N1453">
        <f t="shared" si="77"/>
        <v>52.597756415999989</v>
      </c>
      <c r="O1453">
        <f>((0.03851*E1453)+(0.0322*N1453))</f>
        <v>10.088827756595199</v>
      </c>
    </row>
    <row r="1454" spans="1:15" x14ac:dyDescent="0.25">
      <c r="A1454" s="2">
        <v>40745</v>
      </c>
      <c r="B1454" t="s">
        <v>48</v>
      </c>
      <c r="C1454">
        <v>5</v>
      </c>
      <c r="D1454" s="6" t="s">
        <v>16</v>
      </c>
      <c r="E1454">
        <v>221</v>
      </c>
      <c r="F1454">
        <v>1.4</v>
      </c>
      <c r="G1454">
        <v>0</v>
      </c>
      <c r="N1454">
        <f t="shared" si="77"/>
        <v>113.4009270333333</v>
      </c>
      <c r="O1454">
        <f>((0.03043*E1454)+(0.02936*N1454))</f>
        <v>10.054481217698665</v>
      </c>
    </row>
    <row r="1455" spans="1:15" x14ac:dyDescent="0.25">
      <c r="A1455" s="2">
        <v>40745</v>
      </c>
      <c r="B1455" t="s">
        <v>48</v>
      </c>
      <c r="C1455">
        <v>5</v>
      </c>
      <c r="D1455" s="6" t="s">
        <v>16</v>
      </c>
      <c r="E1455">
        <v>221</v>
      </c>
      <c r="F1455">
        <v>0.98</v>
      </c>
      <c r="G1455">
        <v>7</v>
      </c>
      <c r="N1455">
        <f t="shared" si="77"/>
        <v>55.566454246333322</v>
      </c>
      <c r="O1455">
        <f>((0.03851*E1455)+(0.0322*N1455))</f>
        <v>10.299949826731934</v>
      </c>
    </row>
    <row r="1456" spans="1:15" x14ac:dyDescent="0.25">
      <c r="A1456" s="2">
        <v>40745</v>
      </c>
      <c r="B1456" t="s">
        <v>48</v>
      </c>
      <c r="C1456">
        <v>5</v>
      </c>
      <c r="D1456" s="6" t="s">
        <v>16</v>
      </c>
      <c r="E1456">
        <v>230</v>
      </c>
      <c r="F1456">
        <v>1.07</v>
      </c>
      <c r="G1456">
        <v>0</v>
      </c>
      <c r="N1456">
        <f t="shared" si="77"/>
        <v>68.938789160833323</v>
      </c>
      <c r="O1456">
        <f>((0.03043*E1456)+(0.02936*N1456))</f>
        <v>9.0229428497620674</v>
      </c>
    </row>
    <row r="1457" spans="1:15" x14ac:dyDescent="0.25">
      <c r="A1457" s="2">
        <v>40745</v>
      </c>
      <c r="B1457" t="s">
        <v>48</v>
      </c>
      <c r="C1457">
        <v>5</v>
      </c>
      <c r="D1457" s="6" t="s">
        <v>16</v>
      </c>
      <c r="E1457">
        <v>235</v>
      </c>
      <c r="F1457">
        <v>1.27</v>
      </c>
      <c r="G1457">
        <v>8</v>
      </c>
      <c r="N1457">
        <f t="shared" si="77"/>
        <v>99.230130840416663</v>
      </c>
      <c r="O1457">
        <f>((0.03851*E1457)+(0.0322*N1457))</f>
        <v>12.245060213061418</v>
      </c>
    </row>
    <row r="1458" spans="1:15" x14ac:dyDescent="0.25">
      <c r="A1458" s="2">
        <v>40745</v>
      </c>
      <c r="B1458" t="s">
        <v>48</v>
      </c>
      <c r="C1458">
        <v>5</v>
      </c>
      <c r="D1458" s="6" t="s">
        <v>16</v>
      </c>
      <c r="E1458">
        <v>237</v>
      </c>
      <c r="F1458">
        <v>1</v>
      </c>
      <c r="G1458">
        <v>0</v>
      </c>
      <c r="N1458">
        <f t="shared" si="77"/>
        <v>62.046402499999992</v>
      </c>
      <c r="O1458">
        <f>((0.03043*E1458)+(0.02936*N1458))</f>
        <v>9.0335923773999998</v>
      </c>
    </row>
    <row r="1459" spans="1:15" x14ac:dyDescent="0.25">
      <c r="A1459" s="2">
        <v>40745</v>
      </c>
      <c r="B1459" t="s">
        <v>48</v>
      </c>
      <c r="C1459">
        <v>5</v>
      </c>
      <c r="D1459" s="6" t="s">
        <v>16</v>
      </c>
      <c r="E1459">
        <v>256</v>
      </c>
      <c r="F1459">
        <v>1.1299999999999999</v>
      </c>
      <c r="G1459">
        <v>0</v>
      </c>
      <c r="N1459">
        <f t="shared" si="77"/>
        <v>85.578587114666632</v>
      </c>
      <c r="O1459">
        <f>((0.03043*E1459)+(0.02936*N1459))</f>
        <v>10.302667317686613</v>
      </c>
    </row>
    <row r="1460" spans="1:15" x14ac:dyDescent="0.25">
      <c r="A1460" s="2">
        <v>40745</v>
      </c>
      <c r="B1460" t="s">
        <v>48</v>
      </c>
      <c r="C1460">
        <v>5</v>
      </c>
      <c r="D1460" s="6" t="s">
        <v>16</v>
      </c>
      <c r="E1460">
        <v>258</v>
      </c>
      <c r="F1460">
        <v>1.45</v>
      </c>
      <c r="G1460">
        <v>29</v>
      </c>
      <c r="N1460">
        <f t="shared" si="77"/>
        <v>142.0116489625</v>
      </c>
      <c r="O1460">
        <f>((0.03851*E1460)+(0.0322*N1460))</f>
        <v>14.508355096592499</v>
      </c>
    </row>
    <row r="1461" spans="1:15" x14ac:dyDescent="0.25">
      <c r="A1461" s="2">
        <v>40745</v>
      </c>
      <c r="B1461" t="s">
        <v>48</v>
      </c>
      <c r="C1461">
        <v>5</v>
      </c>
      <c r="D1461" s="6" t="s">
        <v>16</v>
      </c>
      <c r="E1461">
        <v>274</v>
      </c>
      <c r="F1461">
        <v>1.23</v>
      </c>
      <c r="G1461">
        <v>0</v>
      </c>
      <c r="N1461">
        <f t="shared" si="77"/>
        <v>108.52481283449998</v>
      </c>
      <c r="O1461">
        <f>((0.03043*E1461)+(0.02936*N1461))</f>
        <v>11.524108504820919</v>
      </c>
    </row>
    <row r="1462" spans="1:15" x14ac:dyDescent="0.25">
      <c r="A1462" s="2">
        <v>40745</v>
      </c>
      <c r="B1462" t="s">
        <v>48</v>
      </c>
      <c r="C1462">
        <v>5</v>
      </c>
      <c r="D1462" s="6" t="s">
        <v>16</v>
      </c>
      <c r="E1462">
        <v>274</v>
      </c>
      <c r="F1462">
        <v>1.45</v>
      </c>
      <c r="G1462">
        <v>0</v>
      </c>
      <c r="N1462">
        <f t="shared" si="77"/>
        <v>150.81857292916666</v>
      </c>
      <c r="O1462">
        <f>((0.03043*E1462)+(0.02936*N1462))</f>
        <v>12.765853301200332</v>
      </c>
    </row>
    <row r="1463" spans="1:15" x14ac:dyDescent="0.25">
      <c r="A1463" s="2">
        <v>40745</v>
      </c>
      <c r="B1463" t="s">
        <v>48</v>
      </c>
      <c r="C1463">
        <v>5</v>
      </c>
      <c r="D1463" s="6" t="s">
        <v>16</v>
      </c>
      <c r="E1463">
        <v>280</v>
      </c>
      <c r="F1463">
        <v>1.47</v>
      </c>
      <c r="G1463">
        <v>7</v>
      </c>
      <c r="N1463">
        <f t="shared" si="77"/>
        <v>158.40210938999996</v>
      </c>
      <c r="O1463">
        <f>((0.03851*E1463)+(0.0322*N1463))</f>
        <v>15.883347922357999</v>
      </c>
    </row>
    <row r="1464" spans="1:15" x14ac:dyDescent="0.25">
      <c r="A1464" s="2">
        <v>40745</v>
      </c>
      <c r="B1464" t="s">
        <v>48</v>
      </c>
      <c r="C1464">
        <v>5</v>
      </c>
      <c r="D1464" s="6" t="s">
        <v>16</v>
      </c>
      <c r="E1464">
        <v>282</v>
      </c>
      <c r="F1464">
        <v>1.75</v>
      </c>
      <c r="G1464">
        <v>0</v>
      </c>
      <c r="N1464">
        <f t="shared" si="77"/>
        <v>226.09630531249999</v>
      </c>
      <c r="O1464">
        <f>((0.03043*E1464)+(0.02936*N1464))</f>
        <v>15.219447523974999</v>
      </c>
    </row>
    <row r="1465" spans="1:15" x14ac:dyDescent="0.25">
      <c r="A1465" s="2">
        <v>40745</v>
      </c>
      <c r="B1465" t="s">
        <v>48</v>
      </c>
      <c r="C1465">
        <v>5</v>
      </c>
      <c r="D1465" s="6" t="s">
        <v>16</v>
      </c>
      <c r="E1465">
        <v>284</v>
      </c>
      <c r="F1465">
        <v>2.23</v>
      </c>
      <c r="G1465">
        <v>0</v>
      </c>
      <c r="N1465">
        <f t="shared" si="77"/>
        <v>369.73990556033328</v>
      </c>
      <c r="O1465">
        <f>((0.03043*E1465)+(0.02936*N1465))</f>
        <v>19.497683627251384</v>
      </c>
    </row>
    <row r="1466" spans="1:15" x14ac:dyDescent="0.25">
      <c r="A1466" s="2">
        <v>40745</v>
      </c>
      <c r="B1466" t="s">
        <v>48</v>
      </c>
      <c r="C1466">
        <v>5</v>
      </c>
      <c r="D1466" s="6" t="s">
        <v>16</v>
      </c>
      <c r="E1466">
        <v>285</v>
      </c>
      <c r="F1466">
        <v>1.26</v>
      </c>
      <c r="G1466">
        <v>0</v>
      </c>
      <c r="N1466">
        <f t="shared" si="77"/>
        <v>118.455221745</v>
      </c>
      <c r="O1466">
        <f>((0.03043*E1466)+(0.02936*N1466))</f>
        <v>12.150395310433201</v>
      </c>
    </row>
    <row r="1467" spans="1:15" x14ac:dyDescent="0.25">
      <c r="A1467" s="2">
        <v>40745</v>
      </c>
      <c r="B1467" t="s">
        <v>48</v>
      </c>
      <c r="C1467">
        <v>5</v>
      </c>
      <c r="D1467" s="6" t="s">
        <v>16</v>
      </c>
      <c r="E1467">
        <v>286</v>
      </c>
      <c r="F1467">
        <v>1.5</v>
      </c>
      <c r="G1467">
        <v>14</v>
      </c>
      <c r="N1467">
        <f t="shared" si="77"/>
        <v>168.46776374999999</v>
      </c>
      <c r="O1467">
        <f>((0.03851*E1467)+(0.0322*N1467))</f>
        <v>16.438521992750001</v>
      </c>
    </row>
    <row r="1468" spans="1:15" x14ac:dyDescent="0.25">
      <c r="A1468" s="2">
        <v>40745</v>
      </c>
      <c r="B1468" t="s">
        <v>48</v>
      </c>
      <c r="C1468">
        <v>5</v>
      </c>
      <c r="D1468" s="6" t="s">
        <v>16</v>
      </c>
      <c r="E1468">
        <v>288</v>
      </c>
      <c r="F1468">
        <v>1.8</v>
      </c>
      <c r="G1468">
        <v>26</v>
      </c>
      <c r="N1468">
        <f t="shared" si="77"/>
        <v>244.29003839999999</v>
      </c>
      <c r="O1468">
        <f>((0.03851*E1468)+(0.0322*N1468))</f>
        <v>18.957019236480001</v>
      </c>
    </row>
    <row r="1469" spans="1:15" x14ac:dyDescent="0.25">
      <c r="A1469" s="2">
        <v>40745</v>
      </c>
      <c r="B1469" t="s">
        <v>48</v>
      </c>
      <c r="C1469">
        <v>5</v>
      </c>
      <c r="D1469" s="6" t="s">
        <v>16</v>
      </c>
      <c r="E1469">
        <v>289</v>
      </c>
      <c r="F1469">
        <v>1.36</v>
      </c>
      <c r="G1469">
        <v>9</v>
      </c>
      <c r="N1469">
        <f t="shared" si="77"/>
        <v>139.94066047466666</v>
      </c>
      <c r="O1469">
        <f>((0.03851*E1469)+(0.0322*N1469))</f>
        <v>15.635479267284268</v>
      </c>
    </row>
    <row r="1470" spans="1:15" x14ac:dyDescent="0.25">
      <c r="A1470" s="2">
        <v>40745</v>
      </c>
      <c r="B1470" t="s">
        <v>48</v>
      </c>
      <c r="C1470">
        <v>5</v>
      </c>
      <c r="D1470" s="6" t="s">
        <v>16</v>
      </c>
      <c r="E1470">
        <v>295</v>
      </c>
      <c r="F1470">
        <v>1.64</v>
      </c>
      <c r="G1470">
        <v>3</v>
      </c>
      <c r="N1470">
        <f t="shared" si="77"/>
        <v>207.71983640666662</v>
      </c>
      <c r="O1470">
        <f>((0.03851*E1470)+(0.0322*N1470))</f>
        <v>18.049028732294666</v>
      </c>
    </row>
    <row r="1471" spans="1:15" x14ac:dyDescent="0.25">
      <c r="A1471" s="2">
        <v>40745</v>
      </c>
      <c r="B1471" t="s">
        <v>48</v>
      </c>
      <c r="C1471">
        <v>5</v>
      </c>
      <c r="D1471" s="6" t="s">
        <v>16</v>
      </c>
      <c r="E1471">
        <v>296</v>
      </c>
      <c r="F1471">
        <v>1.76</v>
      </c>
      <c r="G1471">
        <v>0</v>
      </c>
      <c r="N1471">
        <f t="shared" si="77"/>
        <v>240.04093320533329</v>
      </c>
      <c r="O1471">
        <f>((0.03043*E1471)+(0.02936*N1471))</f>
        <v>16.054881798908585</v>
      </c>
    </row>
    <row r="1472" spans="1:15" x14ac:dyDescent="0.25">
      <c r="A1472" s="2">
        <v>40745</v>
      </c>
      <c r="B1472" t="s">
        <v>48</v>
      </c>
      <c r="C1472">
        <v>5</v>
      </c>
      <c r="D1472" s="6" t="s">
        <v>16</v>
      </c>
      <c r="E1472">
        <v>298</v>
      </c>
      <c r="F1472">
        <v>2</v>
      </c>
      <c r="G1472">
        <v>0</v>
      </c>
      <c r="N1472">
        <f t="shared" si="77"/>
        <v>312.06460666666663</v>
      </c>
      <c r="O1472">
        <f>((0.03043*E1472)+(0.02936*N1472))</f>
        <v>18.230356851733333</v>
      </c>
    </row>
    <row r="1473" spans="1:15" x14ac:dyDescent="0.25">
      <c r="A1473" s="2">
        <v>40745</v>
      </c>
      <c r="B1473" t="s">
        <v>48</v>
      </c>
      <c r="C1473">
        <v>5</v>
      </c>
      <c r="D1473" s="6" t="s">
        <v>16</v>
      </c>
      <c r="E1473">
        <v>298</v>
      </c>
      <c r="F1473">
        <v>2.2999999999999998</v>
      </c>
      <c r="G1473">
        <v>0</v>
      </c>
      <c r="N1473">
        <f t="shared" si="77"/>
        <v>412.70544231666656</v>
      </c>
      <c r="O1473">
        <f>((0.03043*E1473)+(0.02936*N1473))</f>
        <v>21.185171786417328</v>
      </c>
    </row>
    <row r="1474" spans="1:15" x14ac:dyDescent="0.25">
      <c r="A1474" s="2">
        <v>40745</v>
      </c>
      <c r="B1474" t="s">
        <v>48</v>
      </c>
      <c r="C1474">
        <v>5</v>
      </c>
      <c r="D1474" s="6" t="s">
        <v>16</v>
      </c>
      <c r="E1474">
        <v>307</v>
      </c>
      <c r="F1474">
        <v>1.55</v>
      </c>
      <c r="G1474">
        <v>14</v>
      </c>
      <c r="N1474">
        <f t="shared" si="77"/>
        <v>193.09455686041667</v>
      </c>
      <c r="O1474">
        <f>((0.03851*E1474)+(0.0322*N1474))</f>
        <v>18.040214730905419</v>
      </c>
    </row>
    <row r="1475" spans="1:15" x14ac:dyDescent="0.25">
      <c r="A1475" s="2">
        <v>40745</v>
      </c>
      <c r="B1475" t="s">
        <v>48</v>
      </c>
      <c r="C1475">
        <v>5</v>
      </c>
      <c r="D1475" s="6" t="s">
        <v>16</v>
      </c>
      <c r="E1475">
        <v>307</v>
      </c>
      <c r="F1475">
        <v>2.2999999999999998</v>
      </c>
      <c r="G1475">
        <v>10</v>
      </c>
      <c r="N1475">
        <f t="shared" si="77"/>
        <v>425.16970064166657</v>
      </c>
      <c r="O1475">
        <f>((0.03851*E1475)+(0.0322*N1475))</f>
        <v>25.513034360661663</v>
      </c>
    </row>
    <row r="1476" spans="1:15" x14ac:dyDescent="0.25">
      <c r="A1476" s="2">
        <v>40745</v>
      </c>
      <c r="B1476" t="s">
        <v>48</v>
      </c>
      <c r="C1476">
        <v>5</v>
      </c>
      <c r="D1476" s="6" t="s">
        <v>16</v>
      </c>
      <c r="E1476">
        <v>308</v>
      </c>
      <c r="F1476">
        <v>1.38</v>
      </c>
      <c r="G1476">
        <v>0</v>
      </c>
      <c r="N1476">
        <f t="shared" si="77"/>
        <v>153.55966256399995</v>
      </c>
      <c r="O1476">
        <f>((0.03043*E1476)+(0.02936*N1476))</f>
        <v>13.880951692879037</v>
      </c>
    </row>
    <row r="1477" spans="1:15" x14ac:dyDescent="0.25">
      <c r="A1477" s="2">
        <v>40745</v>
      </c>
      <c r="B1477" t="s">
        <v>48</v>
      </c>
      <c r="C1477">
        <v>5</v>
      </c>
      <c r="D1477" s="6" t="s">
        <v>16</v>
      </c>
      <c r="E1477">
        <v>309</v>
      </c>
      <c r="F1477">
        <v>2.1</v>
      </c>
      <c r="G1477">
        <v>27</v>
      </c>
      <c r="N1477">
        <f t="shared" si="77"/>
        <v>356.75110642499999</v>
      </c>
      <c r="O1477">
        <f>((0.03851*E1477)+(0.0322*N1477))</f>
        <v>23.386975626885</v>
      </c>
    </row>
    <row r="1478" spans="1:15" x14ac:dyDescent="0.25">
      <c r="A1478" s="2">
        <v>40745</v>
      </c>
      <c r="B1478" t="s">
        <v>48</v>
      </c>
      <c r="C1478">
        <v>5</v>
      </c>
      <c r="D1478" s="6" t="s">
        <v>16</v>
      </c>
      <c r="E1478">
        <v>311</v>
      </c>
      <c r="F1478">
        <v>1.66</v>
      </c>
      <c r="G1478">
        <v>13</v>
      </c>
      <c r="N1478">
        <f t="shared" si="77"/>
        <v>224.35968672033329</v>
      </c>
      <c r="O1478">
        <f>((0.03851*E1478)+(0.0322*N1478))</f>
        <v>19.200991912394734</v>
      </c>
    </row>
    <row r="1479" spans="1:15" x14ac:dyDescent="0.25">
      <c r="A1479" s="2">
        <v>40745</v>
      </c>
      <c r="B1479" t="s">
        <v>48</v>
      </c>
      <c r="C1479">
        <v>5</v>
      </c>
      <c r="D1479" s="6" t="s">
        <v>16</v>
      </c>
      <c r="E1479">
        <v>315</v>
      </c>
      <c r="F1479">
        <v>2.0499999999999998</v>
      </c>
      <c r="G1479">
        <v>0</v>
      </c>
      <c r="N1479">
        <f t="shared" si="77"/>
        <v>346.56646434374994</v>
      </c>
      <c r="O1479">
        <f>((0.03043*E1479)+(0.02936*N1479))</f>
        <v>19.760641393132499</v>
      </c>
    </row>
    <row r="1480" spans="1:15" x14ac:dyDescent="0.25">
      <c r="A1480" s="2">
        <v>40745</v>
      </c>
      <c r="B1480" t="s">
        <v>48</v>
      </c>
      <c r="C1480">
        <v>5</v>
      </c>
      <c r="D1480" s="6" t="s">
        <v>16</v>
      </c>
      <c r="E1480">
        <v>318</v>
      </c>
      <c r="F1480">
        <v>2.76</v>
      </c>
      <c r="G1480">
        <v>0</v>
      </c>
      <c r="N1480">
        <f t="shared" si="77"/>
        <v>634.18146357599983</v>
      </c>
      <c r="O1480">
        <f>((0.03043*E1480)+(0.02936*N1480))</f>
        <v>28.296307770591355</v>
      </c>
    </row>
    <row r="1481" spans="1:15" x14ac:dyDescent="0.25">
      <c r="A1481" s="2">
        <v>40745</v>
      </c>
      <c r="B1481" t="s">
        <v>48</v>
      </c>
      <c r="C1481">
        <v>5</v>
      </c>
      <c r="D1481" s="6" t="s">
        <v>16</v>
      </c>
      <c r="E1481">
        <v>324</v>
      </c>
      <c r="F1481">
        <v>1.65</v>
      </c>
      <c r="G1481">
        <v>0</v>
      </c>
      <c r="N1481">
        <f t="shared" si="77"/>
        <v>230.93042692499995</v>
      </c>
      <c r="O1481">
        <f>((0.03043*E1481)+(0.02936*N1481))</f>
        <v>16.639437334518</v>
      </c>
    </row>
    <row r="1482" spans="1:15" x14ac:dyDescent="0.25">
      <c r="A1482" s="2">
        <v>40745</v>
      </c>
      <c r="B1482" t="s">
        <v>48</v>
      </c>
      <c r="C1482">
        <v>5</v>
      </c>
      <c r="D1482" s="6" t="s">
        <v>16</v>
      </c>
      <c r="E1482">
        <v>328</v>
      </c>
      <c r="F1482">
        <v>3.5</v>
      </c>
      <c r="G1482">
        <v>6</v>
      </c>
      <c r="N1482">
        <f t="shared" si="77"/>
        <v>1051.9090516666665</v>
      </c>
      <c r="O1482">
        <f>((0.03851*E1482)+(0.0322*N1482))</f>
        <v>46.502751463666655</v>
      </c>
    </row>
    <row r="1483" spans="1:15" x14ac:dyDescent="0.25">
      <c r="A1483" s="2">
        <v>40745</v>
      </c>
      <c r="B1483" t="s">
        <v>48</v>
      </c>
      <c r="C1483">
        <v>5</v>
      </c>
      <c r="D1483" s="6" t="s">
        <v>16</v>
      </c>
      <c r="E1483">
        <v>330</v>
      </c>
      <c r="F1483">
        <v>1.84</v>
      </c>
      <c r="G1483">
        <v>0</v>
      </c>
      <c r="N1483">
        <f t="shared" si="77"/>
        <v>292.49459536000001</v>
      </c>
      <c r="O1483">
        <f>((0.03043*E1483)+(0.02936*N1483))</f>
        <v>18.629541319769601</v>
      </c>
    </row>
    <row r="1484" spans="1:15" x14ac:dyDescent="0.25">
      <c r="A1484" s="2">
        <v>40745</v>
      </c>
      <c r="B1484" t="s">
        <v>48</v>
      </c>
      <c r="C1484">
        <v>5</v>
      </c>
      <c r="D1484" s="6" t="s">
        <v>16</v>
      </c>
      <c r="E1484">
        <v>331</v>
      </c>
      <c r="F1484">
        <v>1.93</v>
      </c>
      <c r="G1484">
        <v>15</v>
      </c>
      <c r="N1484">
        <f t="shared" si="77"/>
        <v>322.78316196841661</v>
      </c>
      <c r="O1484">
        <f>((0.03851*E1484)+(0.0322*N1484))</f>
        <v>23.140427815383013</v>
      </c>
    </row>
    <row r="1485" spans="1:15" x14ac:dyDescent="0.25">
      <c r="A1485" s="2">
        <v>40745</v>
      </c>
      <c r="B1485" t="s">
        <v>48</v>
      </c>
      <c r="C1485">
        <v>5</v>
      </c>
      <c r="D1485" s="6" t="s">
        <v>16</v>
      </c>
      <c r="E1485">
        <v>337</v>
      </c>
      <c r="F1485">
        <v>2.25</v>
      </c>
      <c r="G1485">
        <v>30</v>
      </c>
      <c r="N1485">
        <f t="shared" si="77"/>
        <v>446.64574078124991</v>
      </c>
      <c r="O1485">
        <f>((0.03851*E1485)+(0.0322*N1485))</f>
        <v>27.359862853156248</v>
      </c>
    </row>
    <row r="1486" spans="1:15" x14ac:dyDescent="0.25">
      <c r="A1486" s="2">
        <v>40745</v>
      </c>
      <c r="B1486" t="s">
        <v>48</v>
      </c>
      <c r="C1486">
        <v>5</v>
      </c>
      <c r="D1486" s="6" t="s">
        <v>16</v>
      </c>
      <c r="E1486">
        <v>339</v>
      </c>
      <c r="F1486">
        <v>1.65</v>
      </c>
      <c r="G1486">
        <v>0</v>
      </c>
      <c r="N1486">
        <f t="shared" si="77"/>
        <v>241.62165039374995</v>
      </c>
      <c r="O1486">
        <f>((0.03043*E1486)+(0.02936*N1486))</f>
        <v>17.409781655560497</v>
      </c>
    </row>
    <row r="1487" spans="1:15" x14ac:dyDescent="0.25">
      <c r="A1487" s="2">
        <v>40745</v>
      </c>
      <c r="B1487" t="s">
        <v>48</v>
      </c>
      <c r="C1487">
        <v>5</v>
      </c>
      <c r="D1487" s="6" t="s">
        <v>16</v>
      </c>
      <c r="E1487">
        <v>342</v>
      </c>
      <c r="F1487">
        <v>2.0299999999999998</v>
      </c>
      <c r="G1487">
        <v>12</v>
      </c>
      <c r="N1487">
        <f t="shared" si="77"/>
        <v>368.96607958349989</v>
      </c>
      <c r="O1487">
        <f>((0.03851*E1487)+(0.0322*N1487))</f>
        <v>25.051127762588695</v>
      </c>
    </row>
    <row r="1488" spans="1:15" x14ac:dyDescent="0.25">
      <c r="A1488" s="2">
        <v>40745</v>
      </c>
      <c r="B1488" t="s">
        <v>48</v>
      </c>
      <c r="C1488">
        <v>5</v>
      </c>
      <c r="D1488" s="6" t="s">
        <v>16</v>
      </c>
      <c r="E1488">
        <v>345</v>
      </c>
      <c r="F1488">
        <v>1.94</v>
      </c>
      <c r="G1488">
        <v>18</v>
      </c>
      <c r="N1488">
        <f t="shared" si="77"/>
        <v>339.93103356499995</v>
      </c>
      <c r="O1488">
        <f>((0.03851*E1488)+(0.0322*N1488))</f>
        <v>24.231729280792997</v>
      </c>
    </row>
    <row r="1489" spans="1:15" x14ac:dyDescent="0.25">
      <c r="A1489" s="2">
        <v>40745</v>
      </c>
      <c r="B1489" t="s">
        <v>48</v>
      </c>
      <c r="C1489">
        <v>5</v>
      </c>
      <c r="D1489" s="6" t="s">
        <v>13</v>
      </c>
      <c r="E1489">
        <v>297</v>
      </c>
      <c r="F1489">
        <v>1.72</v>
      </c>
      <c r="H1489">
        <v>25</v>
      </c>
      <c r="I1489">
        <v>1.7</v>
      </c>
      <c r="O1489">
        <f>(0.66164*E1489)+(16.34893*F1489)+(1.11091*H1489)+(-8.40694*I1489)-154.2499</f>
        <v>83.858291600000001</v>
      </c>
    </row>
    <row r="1490" spans="1:15" x14ac:dyDescent="0.25">
      <c r="A1490" s="2">
        <v>40745</v>
      </c>
      <c r="B1490" t="s">
        <v>48</v>
      </c>
      <c r="C1490">
        <v>19</v>
      </c>
      <c r="D1490" s="6" t="s">
        <v>29</v>
      </c>
      <c r="E1490">
        <v>31</v>
      </c>
      <c r="F1490">
        <v>0.75</v>
      </c>
      <c r="G1490">
        <v>0</v>
      </c>
      <c r="O1490">
        <f t="shared" ref="O1490:O1516" si="78">((3.55251*F1490)+(0.01568*E1490)-2.29794)</f>
        <v>0.85252249999999963</v>
      </c>
    </row>
    <row r="1491" spans="1:15" x14ac:dyDescent="0.25">
      <c r="A1491" s="2">
        <v>40745</v>
      </c>
      <c r="B1491" t="s">
        <v>48</v>
      </c>
      <c r="C1491">
        <v>19</v>
      </c>
      <c r="D1491" s="6" t="s">
        <v>29</v>
      </c>
      <c r="E1491">
        <v>36</v>
      </c>
      <c r="F1491">
        <v>0.9</v>
      </c>
      <c r="G1491">
        <v>0</v>
      </c>
      <c r="O1491">
        <f t="shared" si="78"/>
        <v>1.4637989999999999</v>
      </c>
    </row>
    <row r="1492" spans="1:15" x14ac:dyDescent="0.25">
      <c r="A1492" s="2">
        <v>40745</v>
      </c>
      <c r="B1492" t="s">
        <v>48</v>
      </c>
      <c r="C1492">
        <v>19</v>
      </c>
      <c r="D1492" s="6" t="s">
        <v>29</v>
      </c>
      <c r="E1492">
        <v>45</v>
      </c>
      <c r="F1492">
        <v>1</v>
      </c>
      <c r="G1492">
        <v>0</v>
      </c>
      <c r="O1492">
        <f t="shared" si="78"/>
        <v>1.9601700000000002</v>
      </c>
    </row>
    <row r="1493" spans="1:15" x14ac:dyDescent="0.25">
      <c r="A1493" s="2">
        <v>40745</v>
      </c>
      <c r="B1493" t="s">
        <v>48</v>
      </c>
      <c r="C1493">
        <v>19</v>
      </c>
      <c r="D1493" s="6" t="s">
        <v>29</v>
      </c>
      <c r="E1493">
        <v>52</v>
      </c>
      <c r="F1493">
        <v>1.06</v>
      </c>
      <c r="G1493">
        <v>0</v>
      </c>
      <c r="O1493">
        <f t="shared" si="78"/>
        <v>2.2830805999999995</v>
      </c>
    </row>
    <row r="1494" spans="1:15" x14ac:dyDescent="0.25">
      <c r="A1494" s="2">
        <v>40745</v>
      </c>
      <c r="B1494" t="s">
        <v>48</v>
      </c>
      <c r="C1494">
        <v>19</v>
      </c>
      <c r="D1494" s="6" t="s">
        <v>29</v>
      </c>
      <c r="E1494">
        <v>63</v>
      </c>
      <c r="F1494">
        <v>0.64</v>
      </c>
      <c r="G1494">
        <v>0</v>
      </c>
      <c r="O1494">
        <f t="shared" si="78"/>
        <v>0.96350639999999954</v>
      </c>
    </row>
    <row r="1495" spans="1:15" x14ac:dyDescent="0.25">
      <c r="A1495" s="2">
        <v>40745</v>
      </c>
      <c r="B1495" t="s">
        <v>48</v>
      </c>
      <c r="C1495">
        <v>19</v>
      </c>
      <c r="D1495" s="6" t="s">
        <v>29</v>
      </c>
      <c r="E1495">
        <v>132</v>
      </c>
      <c r="F1495">
        <v>1.35</v>
      </c>
      <c r="G1495">
        <v>0</v>
      </c>
      <c r="O1495">
        <f t="shared" si="78"/>
        <v>4.5677085000000002</v>
      </c>
    </row>
    <row r="1496" spans="1:15" x14ac:dyDescent="0.25">
      <c r="A1496" s="2">
        <v>40745</v>
      </c>
      <c r="B1496" t="s">
        <v>48</v>
      </c>
      <c r="C1496">
        <v>19</v>
      </c>
      <c r="D1496" s="6" t="s">
        <v>29</v>
      </c>
      <c r="E1496">
        <v>137</v>
      </c>
      <c r="F1496">
        <v>0.4</v>
      </c>
      <c r="G1496">
        <v>1</v>
      </c>
      <c r="O1496">
        <f t="shared" si="78"/>
        <v>1.2712239999999997</v>
      </c>
    </row>
    <row r="1497" spans="1:15" x14ac:dyDescent="0.25">
      <c r="A1497" s="2">
        <v>40745</v>
      </c>
      <c r="B1497" t="s">
        <v>48</v>
      </c>
      <c r="C1497">
        <v>19</v>
      </c>
      <c r="D1497" s="6" t="s">
        <v>29</v>
      </c>
      <c r="E1497">
        <v>137</v>
      </c>
      <c r="F1497">
        <v>0.76</v>
      </c>
      <c r="G1497">
        <v>0</v>
      </c>
      <c r="O1497">
        <f t="shared" si="78"/>
        <v>2.5501276000000002</v>
      </c>
    </row>
    <row r="1498" spans="1:15" x14ac:dyDescent="0.25">
      <c r="A1498" s="2">
        <v>40745</v>
      </c>
      <c r="B1498" t="s">
        <v>48</v>
      </c>
      <c r="C1498">
        <v>19</v>
      </c>
      <c r="D1498" s="6" t="s">
        <v>29</v>
      </c>
      <c r="E1498">
        <v>138</v>
      </c>
      <c r="F1498">
        <v>1.25</v>
      </c>
      <c r="G1498">
        <v>0</v>
      </c>
      <c r="O1498">
        <f t="shared" si="78"/>
        <v>4.3065374999999992</v>
      </c>
    </row>
    <row r="1499" spans="1:15" x14ac:dyDescent="0.25">
      <c r="A1499" s="2">
        <v>40745</v>
      </c>
      <c r="B1499" t="s">
        <v>48</v>
      </c>
      <c r="C1499">
        <v>19</v>
      </c>
      <c r="D1499" s="6" t="s">
        <v>29</v>
      </c>
      <c r="E1499">
        <v>151</v>
      </c>
      <c r="F1499">
        <v>0.5</v>
      </c>
      <c r="G1499">
        <v>2</v>
      </c>
      <c r="O1499">
        <f t="shared" si="78"/>
        <v>1.8459949999999998</v>
      </c>
    </row>
    <row r="1500" spans="1:15" x14ac:dyDescent="0.25">
      <c r="A1500" s="2">
        <v>40745</v>
      </c>
      <c r="B1500" t="s">
        <v>48</v>
      </c>
      <c r="C1500">
        <v>19</v>
      </c>
      <c r="D1500" s="6" t="s">
        <v>29</v>
      </c>
      <c r="E1500">
        <v>165</v>
      </c>
      <c r="F1500">
        <v>1.1000000000000001</v>
      </c>
      <c r="G1500">
        <v>0</v>
      </c>
      <c r="O1500">
        <f t="shared" si="78"/>
        <v>4.1970209999999994</v>
      </c>
    </row>
    <row r="1501" spans="1:15" x14ac:dyDescent="0.25">
      <c r="A1501" s="2">
        <v>40745</v>
      </c>
      <c r="B1501" t="s">
        <v>48</v>
      </c>
      <c r="C1501">
        <v>19</v>
      </c>
      <c r="D1501" s="6" t="s">
        <v>29</v>
      </c>
      <c r="E1501">
        <v>168</v>
      </c>
      <c r="F1501">
        <v>1.02</v>
      </c>
      <c r="G1501">
        <v>5</v>
      </c>
      <c r="O1501">
        <f t="shared" si="78"/>
        <v>3.9598602000000001</v>
      </c>
    </row>
    <row r="1502" spans="1:15" x14ac:dyDescent="0.25">
      <c r="A1502" s="2">
        <v>40745</v>
      </c>
      <c r="B1502" t="s">
        <v>48</v>
      </c>
      <c r="C1502">
        <v>19</v>
      </c>
      <c r="D1502" s="6" t="s">
        <v>29</v>
      </c>
      <c r="E1502">
        <v>190</v>
      </c>
      <c r="F1502">
        <v>1.3</v>
      </c>
      <c r="G1502">
        <v>0</v>
      </c>
      <c r="O1502">
        <f t="shared" si="78"/>
        <v>5.2995229999999989</v>
      </c>
    </row>
    <row r="1503" spans="1:15" x14ac:dyDescent="0.25">
      <c r="A1503" s="2">
        <v>40745</v>
      </c>
      <c r="B1503" t="s">
        <v>48</v>
      </c>
      <c r="C1503">
        <v>19</v>
      </c>
      <c r="D1503" s="6" t="s">
        <v>29</v>
      </c>
      <c r="E1503">
        <v>205</v>
      </c>
      <c r="F1503">
        <v>1.3</v>
      </c>
      <c r="G1503">
        <v>0</v>
      </c>
      <c r="O1503">
        <f t="shared" si="78"/>
        <v>5.5347229999999996</v>
      </c>
    </row>
    <row r="1504" spans="1:15" x14ac:dyDescent="0.25">
      <c r="A1504" s="2">
        <v>40745</v>
      </c>
      <c r="B1504" t="s">
        <v>48</v>
      </c>
      <c r="C1504">
        <v>19</v>
      </c>
      <c r="D1504" s="6" t="s">
        <v>29</v>
      </c>
      <c r="E1504">
        <v>209</v>
      </c>
      <c r="F1504">
        <v>0.54</v>
      </c>
      <c r="G1504">
        <v>2</v>
      </c>
      <c r="O1504">
        <f t="shared" si="78"/>
        <v>2.8975354000000002</v>
      </c>
    </row>
    <row r="1505" spans="1:15" x14ac:dyDescent="0.25">
      <c r="A1505" s="2">
        <v>40745</v>
      </c>
      <c r="B1505" t="s">
        <v>48</v>
      </c>
      <c r="C1505">
        <v>19</v>
      </c>
      <c r="D1505" s="6" t="s">
        <v>29</v>
      </c>
      <c r="E1505">
        <v>210</v>
      </c>
      <c r="F1505">
        <v>0.55000000000000004</v>
      </c>
      <c r="G1505">
        <v>0</v>
      </c>
      <c r="O1505">
        <f t="shared" si="78"/>
        <v>2.9487405</v>
      </c>
    </row>
    <row r="1506" spans="1:15" x14ac:dyDescent="0.25">
      <c r="A1506" s="2">
        <v>40745</v>
      </c>
      <c r="B1506" t="s">
        <v>48</v>
      </c>
      <c r="C1506">
        <v>19</v>
      </c>
      <c r="D1506" s="6" t="s">
        <v>29</v>
      </c>
      <c r="E1506">
        <v>210</v>
      </c>
      <c r="F1506">
        <v>0.76</v>
      </c>
      <c r="G1506">
        <v>4</v>
      </c>
      <c r="O1506">
        <f t="shared" si="78"/>
        <v>3.6947675999999992</v>
      </c>
    </row>
    <row r="1507" spans="1:15" x14ac:dyDescent="0.25">
      <c r="A1507" s="2">
        <v>40745</v>
      </c>
      <c r="B1507" t="s">
        <v>48</v>
      </c>
      <c r="C1507">
        <v>19</v>
      </c>
      <c r="D1507" s="6" t="s">
        <v>29</v>
      </c>
      <c r="E1507">
        <v>214</v>
      </c>
      <c r="F1507">
        <v>0.46</v>
      </c>
      <c r="G1507">
        <v>1</v>
      </c>
      <c r="O1507">
        <f t="shared" si="78"/>
        <v>2.6917345999999998</v>
      </c>
    </row>
    <row r="1508" spans="1:15" x14ac:dyDescent="0.25">
      <c r="A1508" s="2">
        <v>40745</v>
      </c>
      <c r="B1508" t="s">
        <v>48</v>
      </c>
      <c r="C1508">
        <v>19</v>
      </c>
      <c r="D1508" s="6" t="s">
        <v>29</v>
      </c>
      <c r="E1508">
        <v>216</v>
      </c>
      <c r="F1508">
        <v>1</v>
      </c>
      <c r="G1508">
        <v>0</v>
      </c>
      <c r="O1508">
        <f t="shared" si="78"/>
        <v>4.641449999999999</v>
      </c>
    </row>
    <row r="1509" spans="1:15" x14ac:dyDescent="0.25">
      <c r="A1509" s="2">
        <v>40745</v>
      </c>
      <c r="B1509" t="s">
        <v>48</v>
      </c>
      <c r="C1509">
        <v>19</v>
      </c>
      <c r="D1509" s="6" t="s">
        <v>29</v>
      </c>
      <c r="E1509">
        <v>232</v>
      </c>
      <c r="F1509">
        <v>0.6</v>
      </c>
      <c r="G1509">
        <v>4</v>
      </c>
      <c r="O1509">
        <f t="shared" si="78"/>
        <v>3.4713259999999999</v>
      </c>
    </row>
    <row r="1510" spans="1:15" x14ac:dyDescent="0.25">
      <c r="A1510" s="2">
        <v>40745</v>
      </c>
      <c r="B1510" t="s">
        <v>48</v>
      </c>
      <c r="C1510">
        <v>19</v>
      </c>
      <c r="D1510" s="6" t="s">
        <v>29</v>
      </c>
      <c r="E1510">
        <v>236</v>
      </c>
      <c r="F1510">
        <v>0.5</v>
      </c>
      <c r="G1510">
        <v>6</v>
      </c>
      <c r="O1510">
        <f t="shared" si="78"/>
        <v>3.1787949999999996</v>
      </c>
    </row>
    <row r="1511" spans="1:15" x14ac:dyDescent="0.25">
      <c r="A1511" s="2">
        <v>40745</v>
      </c>
      <c r="B1511" t="s">
        <v>48</v>
      </c>
      <c r="C1511">
        <v>19</v>
      </c>
      <c r="D1511" s="6" t="s">
        <v>29</v>
      </c>
      <c r="E1511">
        <v>247</v>
      </c>
      <c r="F1511">
        <v>0.54</v>
      </c>
      <c r="G1511">
        <v>6</v>
      </c>
      <c r="O1511">
        <f t="shared" si="78"/>
        <v>3.4933754000000001</v>
      </c>
    </row>
    <row r="1512" spans="1:15" x14ac:dyDescent="0.25">
      <c r="A1512" s="2">
        <v>40745</v>
      </c>
      <c r="B1512" t="s">
        <v>48</v>
      </c>
      <c r="C1512">
        <v>19</v>
      </c>
      <c r="D1512" s="6" t="s">
        <v>29</v>
      </c>
      <c r="E1512">
        <v>251</v>
      </c>
      <c r="F1512">
        <v>0.65</v>
      </c>
      <c r="G1512">
        <v>7</v>
      </c>
      <c r="O1512">
        <f t="shared" si="78"/>
        <v>3.9468714999999999</v>
      </c>
    </row>
    <row r="1513" spans="1:15" x14ac:dyDescent="0.25">
      <c r="A1513" s="2">
        <v>40745</v>
      </c>
      <c r="B1513" t="s">
        <v>48</v>
      </c>
      <c r="C1513">
        <v>19</v>
      </c>
      <c r="D1513" s="6" t="s">
        <v>29</v>
      </c>
      <c r="E1513">
        <v>267</v>
      </c>
      <c r="F1513">
        <v>0.73</v>
      </c>
      <c r="G1513">
        <v>4</v>
      </c>
      <c r="O1513">
        <f t="shared" si="78"/>
        <v>4.4819522999999997</v>
      </c>
    </row>
    <row r="1514" spans="1:15" x14ac:dyDescent="0.25">
      <c r="A1514" s="2">
        <v>40745</v>
      </c>
      <c r="B1514" t="s">
        <v>48</v>
      </c>
      <c r="C1514">
        <v>19</v>
      </c>
      <c r="D1514" s="6" t="s">
        <v>29</v>
      </c>
      <c r="E1514">
        <v>267</v>
      </c>
      <c r="F1514">
        <v>0.88</v>
      </c>
      <c r="G1514">
        <v>0</v>
      </c>
      <c r="O1514">
        <f t="shared" si="78"/>
        <v>5.0148288000000001</v>
      </c>
    </row>
    <row r="1515" spans="1:15" x14ac:dyDescent="0.25">
      <c r="A1515" s="2">
        <v>40745</v>
      </c>
      <c r="B1515" t="s">
        <v>48</v>
      </c>
      <c r="C1515">
        <v>19</v>
      </c>
      <c r="D1515" s="6" t="s">
        <v>29</v>
      </c>
      <c r="E1515">
        <v>277</v>
      </c>
      <c r="F1515">
        <v>1.1000000000000001</v>
      </c>
      <c r="G1515">
        <v>0</v>
      </c>
      <c r="O1515">
        <f t="shared" si="78"/>
        <v>5.9531809999999989</v>
      </c>
    </row>
    <row r="1516" spans="1:15" x14ac:dyDescent="0.25">
      <c r="A1516" s="2">
        <v>40745</v>
      </c>
      <c r="B1516" t="s">
        <v>48</v>
      </c>
      <c r="C1516">
        <v>19</v>
      </c>
      <c r="D1516" s="6" t="s">
        <v>29</v>
      </c>
      <c r="E1516">
        <v>282</v>
      </c>
      <c r="F1516">
        <v>1.1299999999999999</v>
      </c>
      <c r="G1516">
        <v>0</v>
      </c>
      <c r="O1516">
        <f t="shared" si="78"/>
        <v>6.1381562999999986</v>
      </c>
    </row>
    <row r="1517" spans="1:15" x14ac:dyDescent="0.25">
      <c r="A1517" s="2">
        <v>40745</v>
      </c>
      <c r="B1517" t="s">
        <v>48</v>
      </c>
      <c r="C1517">
        <v>19</v>
      </c>
      <c r="D1517" s="6" t="s">
        <v>13</v>
      </c>
      <c r="E1517">
        <v>281</v>
      </c>
      <c r="F1517">
        <v>3.95</v>
      </c>
      <c r="H1517">
        <v>32</v>
      </c>
      <c r="I1517">
        <v>2</v>
      </c>
      <c r="O1517">
        <f>(0.66164*E1517)+(16.34893*F1517)+(1.11091*H1517)+(-8.40694*I1517)-154.2499</f>
        <v>114.9844535</v>
      </c>
    </row>
    <row r="1518" spans="1:15" x14ac:dyDescent="0.25">
      <c r="A1518" s="2">
        <v>40745</v>
      </c>
      <c r="B1518" t="s">
        <v>48</v>
      </c>
      <c r="C1518">
        <v>19</v>
      </c>
      <c r="D1518" s="6" t="s">
        <v>13</v>
      </c>
      <c r="E1518">
        <v>295</v>
      </c>
      <c r="F1518">
        <v>2.9</v>
      </c>
      <c r="H1518">
        <v>25</v>
      </c>
      <c r="I1518">
        <v>2</v>
      </c>
      <c r="O1518">
        <f>(0.66164*E1518)+(16.34893*F1518)+(1.11091*H1518)+(-8.40694*I1518)-154.2499</f>
        <v>99.304666999999938</v>
      </c>
    </row>
    <row r="1519" spans="1:15" x14ac:dyDescent="0.25">
      <c r="A1519" s="2">
        <v>40745</v>
      </c>
      <c r="B1519" t="s">
        <v>48</v>
      </c>
      <c r="C1519">
        <v>19</v>
      </c>
      <c r="D1519" s="6" t="s">
        <v>13</v>
      </c>
      <c r="E1519">
        <v>308</v>
      </c>
      <c r="F1519">
        <v>1.83</v>
      </c>
      <c r="H1519">
        <v>28</v>
      </c>
      <c r="I1519">
        <v>2</v>
      </c>
      <c r="O1519">
        <f>(0.66164*E1519)+(16.34893*F1519)+(1.11091*H1519)+(-8.40694*I1519)-154.2499</f>
        <v>93.745361899999978</v>
      </c>
    </row>
    <row r="1520" spans="1:15" x14ac:dyDescent="0.25">
      <c r="A1520" s="2">
        <v>40745</v>
      </c>
      <c r="B1520" t="s">
        <v>48</v>
      </c>
      <c r="C1520">
        <v>19</v>
      </c>
      <c r="D1520" s="6" t="s">
        <v>13</v>
      </c>
      <c r="E1520">
        <v>313</v>
      </c>
      <c r="F1520">
        <v>2.9</v>
      </c>
      <c r="H1520">
        <v>29</v>
      </c>
      <c r="I1520">
        <v>2.2000000000000002</v>
      </c>
      <c r="O1520">
        <f>(0.66164*E1520)+(16.34893*F1520)+(1.11091*H1520)+(-8.40694*I1520)-154.2499</f>
        <v>113.976439</v>
      </c>
    </row>
    <row r="1521" spans="1:15" x14ac:dyDescent="0.25">
      <c r="A1521" s="2">
        <v>40745</v>
      </c>
      <c r="B1521" t="s">
        <v>48</v>
      </c>
      <c r="C1521">
        <v>19</v>
      </c>
      <c r="D1521" s="6" t="s">
        <v>13</v>
      </c>
      <c r="E1521">
        <v>330</v>
      </c>
      <c r="F1521">
        <v>2.84</v>
      </c>
      <c r="H1521">
        <v>34</v>
      </c>
      <c r="I1521">
        <v>2</v>
      </c>
      <c r="O1521">
        <f>(0.66164*E1521)+(16.34893*F1521)+(1.11091*H1521)+(-8.40694*I1521)-154.2499</f>
        <v>131.47932120000004</v>
      </c>
    </row>
    <row r="1522" spans="1:15" x14ac:dyDescent="0.25">
      <c r="A1522" s="2">
        <v>40745</v>
      </c>
      <c r="B1522" t="s">
        <v>48</v>
      </c>
      <c r="C1522">
        <v>19</v>
      </c>
      <c r="D1522" s="6" t="s">
        <v>13</v>
      </c>
      <c r="F1522">
        <v>1.83</v>
      </c>
      <c r="J1522">
        <f>195+247+253+300+307+318</f>
        <v>1620</v>
      </c>
      <c r="K1522">
        <v>6</v>
      </c>
      <c r="L1522">
        <v>318</v>
      </c>
      <c r="O1522">
        <f>((-7.02235*K1522)+(-0.30125*L1522)+(0.09376*J1522)+33.03698)</f>
        <v>46.996579999999994</v>
      </c>
    </row>
    <row r="1523" spans="1:15" x14ac:dyDescent="0.25">
      <c r="A1523" s="2">
        <v>40745</v>
      </c>
      <c r="B1523" t="s">
        <v>48</v>
      </c>
      <c r="C1523">
        <v>55</v>
      </c>
      <c r="D1523" s="6" t="s">
        <v>12</v>
      </c>
      <c r="E1523">
        <v>222</v>
      </c>
      <c r="F1523">
        <v>3.25</v>
      </c>
      <c r="G1523">
        <v>0</v>
      </c>
      <c r="N1523">
        <f>(1/3)*(3.14159)*((F1523/2)^2)*E1523</f>
        <v>613.88632093749993</v>
      </c>
      <c r="O1523">
        <f>((0.03043*E1523)+(0.02936*N1523))</f>
        <v>24.779162382724998</v>
      </c>
    </row>
    <row r="1524" spans="1:15" x14ac:dyDescent="0.25">
      <c r="A1524" s="2">
        <v>40745</v>
      </c>
      <c r="B1524" t="s">
        <v>48</v>
      </c>
      <c r="C1524">
        <v>55</v>
      </c>
      <c r="D1524" s="6" t="s">
        <v>12</v>
      </c>
      <c r="E1524">
        <v>288</v>
      </c>
      <c r="F1524">
        <v>1.35</v>
      </c>
      <c r="G1524">
        <v>0</v>
      </c>
      <c r="M1524" t="s">
        <v>49</v>
      </c>
      <c r="N1524">
        <f>(1/3)*(3.14159)*((F1524/2)^2)*E1524</f>
        <v>137.4131466</v>
      </c>
      <c r="O1524">
        <f>((0.03043*E1524)+(0.02936*N1524))</f>
        <v>12.798289984176002</v>
      </c>
    </row>
    <row r="1525" spans="1:15" x14ac:dyDescent="0.25">
      <c r="A1525" s="2">
        <v>40745</v>
      </c>
      <c r="B1525" t="s">
        <v>48</v>
      </c>
      <c r="C1525">
        <v>55</v>
      </c>
      <c r="D1525" s="6" t="s">
        <v>12</v>
      </c>
      <c r="E1525">
        <v>338</v>
      </c>
      <c r="F1525">
        <v>1.2</v>
      </c>
      <c r="G1525">
        <v>0</v>
      </c>
      <c r="N1525">
        <f>(1/3)*(3.14159)*((F1525/2)^2)*E1525</f>
        <v>127.42289039999999</v>
      </c>
      <c r="O1525">
        <f>((0.03043*E1525)+(0.02936*N1525))</f>
        <v>14.026476062143999</v>
      </c>
    </row>
    <row r="1526" spans="1:15" x14ac:dyDescent="0.25">
      <c r="A1526" s="2">
        <v>40745</v>
      </c>
      <c r="B1526" t="s">
        <v>48</v>
      </c>
      <c r="C1526">
        <v>55</v>
      </c>
      <c r="D1526" s="6" t="s">
        <v>16</v>
      </c>
      <c r="E1526">
        <v>157</v>
      </c>
      <c r="F1526">
        <v>1.2</v>
      </c>
      <c r="G1526">
        <v>6</v>
      </c>
      <c r="N1526">
        <f>((1/3)*(3.14159)*((F1526/2)^2)*E1526)</f>
        <v>59.187555599999996</v>
      </c>
      <c r="O1526">
        <f>((0.03851*E1526)+(0.0322*N1526))</f>
        <v>7.9519092903199997</v>
      </c>
    </row>
    <row r="1527" spans="1:15" x14ac:dyDescent="0.25">
      <c r="A1527" s="2">
        <v>40745</v>
      </c>
      <c r="B1527" t="s">
        <v>48</v>
      </c>
      <c r="C1527">
        <v>55</v>
      </c>
      <c r="D1527" s="6" t="s">
        <v>13</v>
      </c>
      <c r="F1527">
        <v>1.5</v>
      </c>
      <c r="J1527">
        <f>122+123+155+233+285</f>
        <v>918</v>
      </c>
      <c r="K1527">
        <v>5</v>
      </c>
      <c r="L1527">
        <v>285</v>
      </c>
      <c r="O1527">
        <f t="shared" ref="O1527:O1541" si="79">((-7.02235*K1527)+(-0.30125*L1527)+(0.09376*J1527)+33.03698)</f>
        <v>-1.8593400000000031</v>
      </c>
    </row>
    <row r="1528" spans="1:15" x14ac:dyDescent="0.25">
      <c r="A1528" s="2">
        <v>40745</v>
      </c>
      <c r="B1528" t="s">
        <v>48</v>
      </c>
      <c r="C1528">
        <v>55</v>
      </c>
      <c r="D1528" s="6" t="s">
        <v>13</v>
      </c>
      <c r="F1528">
        <v>2.4900000000000002</v>
      </c>
      <c r="J1528">
        <f>148+223+282+295+309</f>
        <v>1257</v>
      </c>
      <c r="K1528">
        <v>5</v>
      </c>
      <c r="L1528">
        <v>309</v>
      </c>
      <c r="O1528">
        <f t="shared" si="79"/>
        <v>22.695299999999989</v>
      </c>
    </row>
    <row r="1529" spans="1:15" x14ac:dyDescent="0.25">
      <c r="A1529" s="2">
        <v>40745</v>
      </c>
      <c r="B1529" t="s">
        <v>48</v>
      </c>
      <c r="C1529">
        <v>55</v>
      </c>
      <c r="D1529" s="6" t="s">
        <v>19</v>
      </c>
      <c r="F1529">
        <v>4.5999999999999996</v>
      </c>
      <c r="J1529">
        <f>151+235+307+339+322+347</f>
        <v>1701</v>
      </c>
      <c r="K1529">
        <v>6</v>
      </c>
      <c r="L1529">
        <v>347</v>
      </c>
      <c r="O1529">
        <f t="shared" si="79"/>
        <v>45.854889999999983</v>
      </c>
    </row>
    <row r="1530" spans="1:15" x14ac:dyDescent="0.25">
      <c r="A1530" s="2">
        <v>40745</v>
      </c>
      <c r="B1530" t="s">
        <v>48</v>
      </c>
      <c r="C1530">
        <v>55</v>
      </c>
      <c r="D1530" s="6" t="s">
        <v>19</v>
      </c>
      <c r="F1530">
        <v>7.1</v>
      </c>
      <c r="J1530">
        <f>160+256+256+320+349+360+335+354</f>
        <v>2390</v>
      </c>
      <c r="K1530">
        <v>8</v>
      </c>
      <c r="L1530">
        <v>360</v>
      </c>
      <c r="O1530">
        <f t="shared" si="79"/>
        <v>92.494579999999985</v>
      </c>
    </row>
    <row r="1531" spans="1:15" x14ac:dyDescent="0.25">
      <c r="A1531" s="2">
        <v>40745</v>
      </c>
      <c r="B1531" t="s">
        <v>48</v>
      </c>
      <c r="C1531">
        <v>58</v>
      </c>
      <c r="D1531" s="6" t="s">
        <v>19</v>
      </c>
      <c r="F1531">
        <v>0.85</v>
      </c>
      <c r="J1531">
        <f>109+117</f>
        <v>226</v>
      </c>
      <c r="K1531">
        <v>2</v>
      </c>
      <c r="L1531">
        <v>117</v>
      </c>
      <c r="O1531">
        <f t="shared" si="79"/>
        <v>4.9357899999999972</v>
      </c>
    </row>
    <row r="1532" spans="1:15" x14ac:dyDescent="0.25">
      <c r="A1532" s="2">
        <v>40745</v>
      </c>
      <c r="B1532" t="s">
        <v>48</v>
      </c>
      <c r="C1532">
        <v>58</v>
      </c>
      <c r="D1532" s="6" t="s">
        <v>19</v>
      </c>
      <c r="F1532">
        <v>2</v>
      </c>
      <c r="J1532">
        <f>134+160+182+198</f>
        <v>674</v>
      </c>
      <c r="K1532">
        <v>4</v>
      </c>
      <c r="L1532">
        <v>198</v>
      </c>
      <c r="O1532">
        <f t="shared" si="79"/>
        <v>8.4943199999999948</v>
      </c>
    </row>
    <row r="1533" spans="1:15" x14ac:dyDescent="0.25">
      <c r="A1533" s="2">
        <v>40745</v>
      </c>
      <c r="B1533" t="s">
        <v>48</v>
      </c>
      <c r="C1533">
        <v>58</v>
      </c>
      <c r="D1533" s="6" t="s">
        <v>19</v>
      </c>
      <c r="F1533">
        <v>2.1</v>
      </c>
      <c r="J1533">
        <f>111+130+152+183+194</f>
        <v>770</v>
      </c>
      <c r="K1533">
        <v>5</v>
      </c>
      <c r="L1533">
        <v>194</v>
      </c>
      <c r="O1533">
        <f t="shared" si="79"/>
        <v>11.677930000000003</v>
      </c>
    </row>
    <row r="1534" spans="1:15" x14ac:dyDescent="0.25">
      <c r="A1534" s="2">
        <v>40745</v>
      </c>
      <c r="B1534" t="s">
        <v>48</v>
      </c>
      <c r="C1534">
        <v>58</v>
      </c>
      <c r="D1534" s="6" t="s">
        <v>19</v>
      </c>
      <c r="F1534">
        <v>5.8</v>
      </c>
      <c r="J1534">
        <f>194+160+260+268+258+296+304</f>
        <v>1740</v>
      </c>
      <c r="K1534">
        <v>7</v>
      </c>
      <c r="L1534">
        <v>304</v>
      </c>
      <c r="O1534">
        <f t="shared" si="79"/>
        <v>55.442929999999961</v>
      </c>
    </row>
    <row r="1535" spans="1:15" x14ac:dyDescent="0.25">
      <c r="A1535" s="2">
        <v>40745</v>
      </c>
      <c r="B1535" t="s">
        <v>48</v>
      </c>
      <c r="C1535">
        <v>58</v>
      </c>
      <c r="D1535" s="6" t="s">
        <v>19</v>
      </c>
      <c r="F1535">
        <v>5.2</v>
      </c>
      <c r="J1535">
        <f>218+234+274+292+278+310+310+234</f>
        <v>2150</v>
      </c>
      <c r="K1535">
        <v>8</v>
      </c>
      <c r="L1535">
        <v>310</v>
      </c>
      <c r="O1535">
        <f t="shared" si="79"/>
        <v>85.054679999999991</v>
      </c>
    </row>
    <row r="1536" spans="1:15" x14ac:dyDescent="0.25">
      <c r="A1536" s="2">
        <v>40745</v>
      </c>
      <c r="B1536" t="s">
        <v>48</v>
      </c>
      <c r="C1536">
        <v>58</v>
      </c>
      <c r="D1536" s="6" t="s">
        <v>19</v>
      </c>
      <c r="F1536">
        <v>4.9000000000000004</v>
      </c>
      <c r="J1536">
        <f>160+224+282+300+336+338+343+344</f>
        <v>2327</v>
      </c>
      <c r="K1536">
        <v>8</v>
      </c>
      <c r="L1536">
        <v>344</v>
      </c>
      <c r="O1536">
        <f t="shared" si="79"/>
        <v>91.407699999999977</v>
      </c>
    </row>
    <row r="1537" spans="1:16" x14ac:dyDescent="0.25">
      <c r="A1537" s="2">
        <v>40745</v>
      </c>
      <c r="B1537" t="s">
        <v>48</v>
      </c>
      <c r="C1537">
        <v>58</v>
      </c>
      <c r="D1537" s="6" t="s">
        <v>19</v>
      </c>
      <c r="F1537">
        <v>7.4</v>
      </c>
      <c r="J1537">
        <f>170+251+284+330+365+344+362+368</f>
        <v>2474</v>
      </c>
      <c r="K1537">
        <v>8</v>
      </c>
      <c r="L1537">
        <v>368</v>
      </c>
      <c r="O1537">
        <f t="shared" si="79"/>
        <v>97.960419999999971</v>
      </c>
    </row>
    <row r="1538" spans="1:16" x14ac:dyDescent="0.25">
      <c r="A1538" s="2">
        <v>40745</v>
      </c>
      <c r="B1538" t="s">
        <v>48</v>
      </c>
      <c r="C1538">
        <v>58</v>
      </c>
      <c r="D1538" s="6" t="s">
        <v>19</v>
      </c>
      <c r="F1538">
        <v>9.1</v>
      </c>
      <c r="J1538">
        <f>180+238+252+311+364+363+364+356+354</f>
        <v>2782</v>
      </c>
      <c r="K1538">
        <v>9</v>
      </c>
      <c r="L1538">
        <v>364</v>
      </c>
      <c r="O1538">
        <f t="shared" si="79"/>
        <v>121.02114999999995</v>
      </c>
    </row>
    <row r="1539" spans="1:16" x14ac:dyDescent="0.25">
      <c r="A1539" s="2">
        <v>40745</v>
      </c>
      <c r="B1539" t="s">
        <v>48</v>
      </c>
      <c r="C1539">
        <v>58</v>
      </c>
      <c r="D1539" s="6" t="s">
        <v>19</v>
      </c>
      <c r="F1539">
        <v>13.5</v>
      </c>
      <c r="J1539">
        <f>172+234+246+236+297+328+341+346+308+319+343+348</f>
        <v>3518</v>
      </c>
      <c r="K1539">
        <v>12</v>
      </c>
      <c r="L1539">
        <v>348</v>
      </c>
      <c r="O1539">
        <f t="shared" si="79"/>
        <v>173.78145999999995</v>
      </c>
    </row>
    <row r="1540" spans="1:16" x14ac:dyDescent="0.25">
      <c r="A1540" s="2">
        <v>40745</v>
      </c>
      <c r="B1540" t="s">
        <v>48</v>
      </c>
      <c r="C1540">
        <v>58</v>
      </c>
      <c r="D1540" s="6" t="s">
        <v>19</v>
      </c>
      <c r="F1540">
        <v>10.9</v>
      </c>
      <c r="J1540">
        <f>160+214+266+261+320+311+351+356+333+337+361+348</f>
        <v>3618</v>
      </c>
      <c r="K1540">
        <v>12</v>
      </c>
      <c r="L1540">
        <v>361</v>
      </c>
      <c r="O1540">
        <f t="shared" si="79"/>
        <v>179.24121</v>
      </c>
    </row>
    <row r="1541" spans="1:16" x14ac:dyDescent="0.25">
      <c r="A1541" s="2">
        <v>40745</v>
      </c>
      <c r="B1541" t="s">
        <v>48</v>
      </c>
      <c r="C1541">
        <v>58</v>
      </c>
      <c r="D1541" s="6" t="s">
        <v>19</v>
      </c>
      <c r="F1541">
        <v>13.1</v>
      </c>
      <c r="J1541">
        <f>145+192+352+353+348+326+283+344+276+215+326+344+352+256+358</f>
        <v>4470</v>
      </c>
      <c r="K1541">
        <v>15</v>
      </c>
      <c r="L1541">
        <v>358</v>
      </c>
      <c r="O1541">
        <f t="shared" si="79"/>
        <v>238.96142999999998</v>
      </c>
    </row>
    <row r="1542" spans="1:16" x14ac:dyDescent="0.25">
      <c r="A1542" s="11">
        <v>40745</v>
      </c>
      <c r="B1542" s="9" t="s">
        <v>48</v>
      </c>
      <c r="C1542" s="9">
        <v>5</v>
      </c>
      <c r="D1542" s="12" t="s">
        <v>16</v>
      </c>
      <c r="E1542" s="9">
        <v>340</v>
      </c>
      <c r="F1542" s="9">
        <v>2.69</v>
      </c>
      <c r="G1542" s="9" t="s">
        <v>35</v>
      </c>
      <c r="H1542" s="9"/>
      <c r="I1542" s="9"/>
      <c r="J1542" s="9"/>
      <c r="K1542" s="9"/>
      <c r="L1542" s="9"/>
      <c r="M1542" s="9"/>
      <c r="N1542" s="9">
        <f>((1/3)*(3.14159)*((F1542/2)^2)*E1542)</f>
        <v>644.09768297166659</v>
      </c>
      <c r="O1542" s="9"/>
      <c r="P1542" s="9"/>
    </row>
    <row r="1543" spans="1:16" x14ac:dyDescent="0.25">
      <c r="A1543" s="11">
        <v>40732</v>
      </c>
      <c r="B1543" s="9" t="s">
        <v>33</v>
      </c>
      <c r="C1543" s="9">
        <v>35</v>
      </c>
      <c r="D1543" s="12" t="s">
        <v>19</v>
      </c>
      <c r="E1543" s="9">
        <v>136</v>
      </c>
      <c r="F1543" s="9">
        <v>2.59</v>
      </c>
      <c r="G1543" s="9"/>
      <c r="H1543" s="9">
        <v>6</v>
      </c>
      <c r="I1543" s="9">
        <v>0.6</v>
      </c>
      <c r="J1543" s="9"/>
      <c r="K1543" s="9"/>
      <c r="L1543" s="9"/>
      <c r="M1543" s="9"/>
      <c r="N1543" s="9"/>
      <c r="O1543" s="9"/>
      <c r="P1543" s="9"/>
    </row>
    <row r="1544" spans="1:16" x14ac:dyDescent="0.25">
      <c r="A1544" s="11">
        <v>40738</v>
      </c>
      <c r="B1544" s="9" t="s">
        <v>44</v>
      </c>
      <c r="C1544" s="9">
        <v>10</v>
      </c>
      <c r="D1544" s="12" t="s">
        <v>19</v>
      </c>
      <c r="E1544" s="12">
        <v>217</v>
      </c>
      <c r="F1544" s="9">
        <v>2.77</v>
      </c>
      <c r="G1544" s="9"/>
      <c r="H1544" s="9"/>
      <c r="I1544" s="9"/>
      <c r="J1544" s="9"/>
      <c r="K1544" s="9"/>
      <c r="L1544" s="9"/>
      <c r="M1544" s="9"/>
      <c r="N1544" s="9"/>
      <c r="O1544" s="9"/>
      <c r="P1544" s="9"/>
    </row>
  </sheetData>
  <sortState ref="A4:O1541">
    <sortCondition ref="A4:A1541"/>
    <sortCondition ref="B4:B1541"/>
    <sortCondition ref="C4:C1541"/>
    <sortCondition ref="D4:D1541"/>
    <sortCondition ref="E4:E1541"/>
  </sortState>
  <mergeCells count="2">
    <mergeCell ref="A1:O1"/>
    <mergeCell ref="A2:O2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 Measurements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Nicholas Weller</cp:lastModifiedBy>
  <cp:lastPrinted>2011-07-23T01:41:11Z</cp:lastPrinted>
  <dcterms:created xsi:type="dcterms:W3CDTF">2011-07-01T01:33:57Z</dcterms:created>
  <dcterms:modified xsi:type="dcterms:W3CDTF">2012-04-02T17:45:26Z</dcterms:modified>
</cp:coreProperties>
</file>