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020" yWindow="0" windowWidth="31780" windowHeight="26480" tabRatio="500"/>
  </bookViews>
  <sheets>
    <sheet name="Plant Measurements" sheetId="1" r:id="rId1"/>
  </sheets>
  <definedNames>
    <definedName name="_xlnm._FilterDatabase" localSheetId="0" hidden="1">'Plant Measurements'!$A$3:$O$689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4" i="1" l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4" i="1"/>
  <c r="J575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7" i="1"/>
  <c r="J546" i="1"/>
  <c r="J545" i="1"/>
  <c r="J541" i="1"/>
  <c r="J540" i="1"/>
  <c r="J538" i="1"/>
  <c r="J537" i="1"/>
  <c r="J535" i="1"/>
  <c r="J534" i="1"/>
  <c r="J533" i="1"/>
  <c r="J532" i="1"/>
  <c r="J530" i="1"/>
  <c r="J529" i="1"/>
  <c r="J528" i="1"/>
  <c r="J527" i="1"/>
  <c r="J525" i="1"/>
  <c r="J523" i="1"/>
  <c r="J522" i="1"/>
  <c r="J521" i="1"/>
  <c r="J520" i="1"/>
  <c r="J519" i="1"/>
  <c r="J518" i="1"/>
  <c r="J517" i="1"/>
  <c r="J516" i="1"/>
  <c r="J515" i="1"/>
  <c r="J514" i="1"/>
  <c r="J513" i="1"/>
  <c r="J511" i="1"/>
  <c r="J510" i="1"/>
  <c r="J509" i="1"/>
  <c r="J508" i="1"/>
  <c r="J507" i="1"/>
  <c r="J506" i="1"/>
  <c r="J505" i="1"/>
  <c r="J504" i="1"/>
  <c r="J503" i="1"/>
  <c r="J502" i="1"/>
  <c r="J501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5" i="1"/>
  <c r="J464" i="1"/>
  <c r="J461" i="1"/>
  <c r="J460" i="1"/>
  <c r="J458" i="1"/>
  <c r="J457" i="1"/>
  <c r="J453" i="1"/>
  <c r="J452" i="1"/>
  <c r="J444" i="1"/>
  <c r="J443" i="1"/>
  <c r="J442" i="1"/>
  <c r="J441" i="1"/>
  <c r="J440" i="1"/>
  <c r="J439" i="1"/>
  <c r="J438" i="1"/>
  <c r="J437" i="1"/>
  <c r="J436" i="1"/>
  <c r="J451" i="1"/>
  <c r="J450" i="1"/>
  <c r="J449" i="1"/>
  <c r="J448" i="1"/>
  <c r="J447" i="1"/>
  <c r="J446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7" i="1"/>
  <c r="J406" i="1"/>
  <c r="J405" i="1"/>
  <c r="J404" i="1"/>
  <c r="J403" i="1"/>
  <c r="J402" i="1"/>
  <c r="J401" i="1"/>
  <c r="J400" i="1"/>
  <c r="J399" i="1"/>
  <c r="J398" i="1"/>
  <c r="J397" i="1"/>
  <c r="J394" i="1"/>
  <c r="J393" i="1"/>
  <c r="J392" i="1"/>
  <c r="J390" i="1"/>
  <c r="J389" i="1"/>
  <c r="J388" i="1"/>
  <c r="J387" i="1"/>
  <c r="J386" i="1"/>
  <c r="J384" i="1"/>
  <c r="J383" i="1"/>
  <c r="J382" i="1"/>
  <c r="J381" i="1"/>
  <c r="J374" i="1"/>
  <c r="J372" i="1"/>
  <c r="J371" i="1"/>
  <c r="J370" i="1"/>
  <c r="J369" i="1"/>
  <c r="J368" i="1"/>
  <c r="J366" i="1"/>
  <c r="J365" i="1"/>
  <c r="J367" i="1"/>
  <c r="J363" i="1"/>
  <c r="J362" i="1"/>
  <c r="J361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4" i="1"/>
  <c r="J323" i="1"/>
  <c r="J321" i="1"/>
  <c r="J322" i="1"/>
  <c r="J320" i="1"/>
  <c r="J319" i="1"/>
  <c r="J318" i="1"/>
  <c r="J317" i="1"/>
  <c r="J316" i="1"/>
  <c r="J314" i="1"/>
  <c r="J313" i="1"/>
  <c r="J312" i="1"/>
  <c r="J304" i="1"/>
  <c r="J303" i="1"/>
  <c r="J292" i="1"/>
  <c r="J284" i="1"/>
  <c r="J281" i="1"/>
  <c r="J278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1" i="1"/>
  <c r="J259" i="1"/>
  <c r="J253" i="1"/>
  <c r="J252" i="1"/>
  <c r="J250" i="1"/>
  <c r="J249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7" i="1"/>
  <c r="J192" i="1"/>
  <c r="J191" i="1"/>
  <c r="J190" i="1"/>
  <c r="J176" i="1"/>
  <c r="J168" i="1"/>
  <c r="J156" i="1"/>
  <c r="J155" i="1"/>
  <c r="J154" i="1"/>
  <c r="J153" i="1"/>
  <c r="J152" i="1"/>
  <c r="J151" i="1"/>
  <c r="J150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3" i="1"/>
  <c r="J120" i="1"/>
  <c r="J101" i="1"/>
  <c r="J95" i="1"/>
  <c r="J94" i="1"/>
  <c r="J79" i="1"/>
  <c r="J78" i="1"/>
  <c r="J77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<sst xmlns="http://schemas.openxmlformats.org/spreadsheetml/2006/main" count="1193" uniqueCount="36">
  <si>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</si>
  <si>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</si>
  <si>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</si>
  <si>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</si>
  <si>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</si>
  <si>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</si>
  <si>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</si>
  <si>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</si>
  <si>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</si>
  <si>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</si>
  <si>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</si>
  <si>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</si>
  <si>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</si>
  <si>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</si>
  <si>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</si>
  <si>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Calculated Biomass (g)</t>
  </si>
  <si>
    <t xml:space="preserve">Calculated Volume (if necessary) cm^3 </t>
  </si>
  <si>
    <t>data book</t>
  </si>
  <si>
    <t>Data book entry order</t>
  </si>
  <si>
    <t>M-4-5</t>
  </si>
  <si>
    <t>T. latifolia</t>
  </si>
  <si>
    <t>S. californicus</t>
  </si>
  <si>
    <t>M-1-E</t>
  </si>
  <si>
    <t>T. domingensis</t>
  </si>
  <si>
    <t>S. acutus or S. tabernaemontani</t>
  </si>
  <si>
    <t>S. americanus</t>
  </si>
  <si>
    <t>M-5</t>
  </si>
  <si>
    <t>THATCHED</t>
  </si>
  <si>
    <t>M-4-N</t>
  </si>
  <si>
    <t>M-4-C</t>
  </si>
  <si>
    <t>M-3</t>
  </si>
  <si>
    <t>C-2</t>
  </si>
  <si>
    <t>M-1-W</t>
  </si>
  <si>
    <t>C-1</t>
  </si>
  <si>
    <t>Fatty</t>
  </si>
  <si>
    <t>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</si>
</sst>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9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0" fontId="6" fillId="2" borderId="0" xfId="395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961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4"/>
  <sheetViews>
    <sheetView tabSelected="1" workbookViewId="0">
      <pane ySplit="3" topLeftCell="A369" activePane="bottomLeft" state="frozen"/>
      <selection pane="bottomLeft" activeCell="D410" sqref="D410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9.83203125" style="5" bestFit="1" customWidth="1"/>
    <col min="5" max="5" width="15.1640625" customWidth="1"/>
    <col min="6" max="6" width="10.83203125" style="13" customWidth="1"/>
    <col min="7" max="9" width="10.83203125" customWidth="1"/>
    <col min="13" max="13" width="62.6640625" customWidth="1"/>
    <col min="14" max="14" width="29.6640625" hidden="1" customWidth="1"/>
    <col min="15" max="15" width="34.5" hidden="1" customWidth="1"/>
    <col min="16" max="16" width="9.33203125" bestFit="1" customWidth="1"/>
    <col min="17" max="17" width="12.83203125" customWidth="1"/>
  </cols>
  <sheetData>
    <row r="1" spans="1:17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5"/>
      <c r="Q1" s="11"/>
    </row>
    <row r="2" spans="1:17">
      <c r="A2" s="23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6"/>
      <c r="Q2" s="12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9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16</v>
      </c>
      <c r="O3" s="1" t="s">
        <v>15</v>
      </c>
      <c r="P3" s="1" t="s">
        <v>17</v>
      </c>
      <c r="Q3" s="1" t="s">
        <v>18</v>
      </c>
    </row>
    <row r="4" spans="1:17">
      <c r="A4" s="2">
        <v>41341</v>
      </c>
      <c r="B4" t="s">
        <v>19</v>
      </c>
      <c r="C4">
        <v>57</v>
      </c>
      <c r="D4" s="5" t="s">
        <v>20</v>
      </c>
      <c r="F4" s="13">
        <v>1.6</v>
      </c>
      <c r="J4">
        <f>66+80+114+154+160</f>
        <v>574</v>
      </c>
      <c r="K4">
        <v>5</v>
      </c>
      <c r="L4">
        <v>160</v>
      </c>
      <c r="Q4" s="17"/>
    </row>
    <row r="5" spans="1:17">
      <c r="A5" s="2">
        <v>41341</v>
      </c>
      <c r="B5" t="s">
        <v>19</v>
      </c>
      <c r="C5">
        <v>57</v>
      </c>
      <c r="D5" s="5" t="s">
        <v>20</v>
      </c>
      <c r="F5" s="13">
        <v>3.41</v>
      </c>
      <c r="J5">
        <f>82+68+130+148+184+220+232+245</f>
        <v>1309</v>
      </c>
      <c r="K5">
        <v>8</v>
      </c>
      <c r="L5">
        <v>245</v>
      </c>
      <c r="Q5" s="17"/>
    </row>
    <row r="6" spans="1:17">
      <c r="A6" s="2">
        <v>41341</v>
      </c>
      <c r="B6" t="s">
        <v>19</v>
      </c>
      <c r="C6">
        <v>57</v>
      </c>
      <c r="D6" s="5" t="s">
        <v>20</v>
      </c>
      <c r="F6" s="13">
        <v>1.27</v>
      </c>
      <c r="J6">
        <f>79+87+118+162</f>
        <v>446</v>
      </c>
      <c r="K6">
        <v>4</v>
      </c>
      <c r="L6">
        <v>162</v>
      </c>
      <c r="Q6" s="17"/>
    </row>
    <row r="7" spans="1:17">
      <c r="A7" s="2">
        <v>41341</v>
      </c>
      <c r="B7" t="s">
        <v>19</v>
      </c>
      <c r="C7">
        <v>57</v>
      </c>
      <c r="D7" s="5" t="s">
        <v>20</v>
      </c>
      <c r="F7" s="13">
        <v>2.2400000000000002</v>
      </c>
      <c r="J7">
        <f>73+145+156+178+202+209</f>
        <v>963</v>
      </c>
      <c r="K7">
        <v>6</v>
      </c>
      <c r="L7">
        <v>209</v>
      </c>
      <c r="Q7" s="17"/>
    </row>
    <row r="8" spans="1:17">
      <c r="A8" s="2">
        <v>41341</v>
      </c>
      <c r="B8" t="s">
        <v>19</v>
      </c>
      <c r="C8">
        <v>57</v>
      </c>
      <c r="D8" s="5" t="s">
        <v>20</v>
      </c>
      <c r="F8" s="13">
        <v>2.09</v>
      </c>
      <c r="J8">
        <f>72+135+130+200+231</f>
        <v>768</v>
      </c>
      <c r="K8">
        <v>5</v>
      </c>
      <c r="L8">
        <v>231</v>
      </c>
      <c r="Q8" s="17"/>
    </row>
    <row r="9" spans="1:17">
      <c r="A9" s="2">
        <v>41341</v>
      </c>
      <c r="B9" t="s">
        <v>19</v>
      </c>
      <c r="C9">
        <v>57</v>
      </c>
      <c r="D9" s="5" t="s">
        <v>20</v>
      </c>
      <c r="F9" s="13">
        <v>3.68</v>
      </c>
      <c r="J9">
        <f>105+150+172+181+190+241+244</f>
        <v>1283</v>
      </c>
      <c r="K9">
        <v>7</v>
      </c>
      <c r="L9">
        <v>244</v>
      </c>
      <c r="Q9" s="17"/>
    </row>
    <row r="10" spans="1:17">
      <c r="A10" s="2">
        <v>41341</v>
      </c>
      <c r="B10" t="s">
        <v>19</v>
      </c>
      <c r="C10">
        <v>57</v>
      </c>
      <c r="D10" s="5" t="s">
        <v>20</v>
      </c>
      <c r="F10" s="13">
        <v>3.97</v>
      </c>
      <c r="J10">
        <f>80+119+161+184+238+260</f>
        <v>1042</v>
      </c>
      <c r="K10">
        <v>6</v>
      </c>
      <c r="L10">
        <v>260</v>
      </c>
      <c r="Q10" s="17"/>
    </row>
    <row r="11" spans="1:17">
      <c r="A11" s="2">
        <v>41341</v>
      </c>
      <c r="B11" t="s">
        <v>19</v>
      </c>
      <c r="C11">
        <v>57</v>
      </c>
      <c r="D11" s="5" t="s">
        <v>20</v>
      </c>
      <c r="F11" s="13">
        <v>1.1100000000000001</v>
      </c>
      <c r="J11">
        <f>105+138+170+168</f>
        <v>581</v>
      </c>
      <c r="K11">
        <v>4</v>
      </c>
      <c r="L11">
        <v>170</v>
      </c>
      <c r="Q11" s="17"/>
    </row>
    <row r="12" spans="1:17">
      <c r="A12" s="2">
        <v>41341</v>
      </c>
      <c r="B12" t="s">
        <v>19</v>
      </c>
      <c r="C12">
        <v>57</v>
      </c>
      <c r="D12" s="5" t="s">
        <v>20</v>
      </c>
      <c r="F12" s="13">
        <v>3.58</v>
      </c>
      <c r="J12">
        <f>126+192+211+252+258+264</f>
        <v>1303</v>
      </c>
      <c r="K12">
        <v>6</v>
      </c>
      <c r="L12">
        <v>264</v>
      </c>
      <c r="Q12" s="17"/>
    </row>
    <row r="13" spans="1:17">
      <c r="A13" s="2">
        <v>41341</v>
      </c>
      <c r="B13" t="s">
        <v>19</v>
      </c>
      <c r="C13">
        <v>53</v>
      </c>
      <c r="D13" s="5" t="s">
        <v>20</v>
      </c>
      <c r="F13" s="13">
        <v>1.04</v>
      </c>
      <c r="J13">
        <f>55+121+112+151</f>
        <v>439</v>
      </c>
      <c r="K13">
        <v>4</v>
      </c>
      <c r="L13">
        <v>151</v>
      </c>
      <c r="Q13" s="17"/>
    </row>
    <row r="14" spans="1:17">
      <c r="A14" s="2">
        <v>41341</v>
      </c>
      <c r="B14" t="s">
        <v>19</v>
      </c>
      <c r="C14">
        <v>53</v>
      </c>
      <c r="D14" s="5" t="s">
        <v>20</v>
      </c>
      <c r="F14" s="13">
        <v>2.95</v>
      </c>
      <c r="J14">
        <f>95+112+123+119+111+111+114</f>
        <v>785</v>
      </c>
      <c r="K14">
        <v>7</v>
      </c>
      <c r="L14">
        <v>123</v>
      </c>
      <c r="Q14" s="17"/>
    </row>
    <row r="15" spans="1:17">
      <c r="A15" s="2">
        <v>41341</v>
      </c>
      <c r="B15" t="s">
        <v>19</v>
      </c>
      <c r="C15">
        <v>53</v>
      </c>
      <c r="D15" s="5" t="s">
        <v>20</v>
      </c>
      <c r="F15" s="13">
        <v>0.65</v>
      </c>
      <c r="J15">
        <f>79+94+115</f>
        <v>288</v>
      </c>
      <c r="K15">
        <v>3</v>
      </c>
      <c r="L15">
        <v>115</v>
      </c>
      <c r="Q15" s="17"/>
    </row>
    <row r="16" spans="1:17">
      <c r="A16" s="2">
        <v>41341</v>
      </c>
      <c r="B16" t="s">
        <v>19</v>
      </c>
      <c r="C16">
        <v>53</v>
      </c>
      <c r="D16" s="5" t="s">
        <v>20</v>
      </c>
      <c r="F16" s="13">
        <v>0.99</v>
      </c>
      <c r="J16">
        <f>86+143+148</f>
        <v>377</v>
      </c>
      <c r="K16">
        <v>3</v>
      </c>
      <c r="L16">
        <v>148</v>
      </c>
      <c r="Q16" s="17"/>
    </row>
    <row r="17" spans="1:17">
      <c r="A17" s="2">
        <v>41341</v>
      </c>
      <c r="B17" t="s">
        <v>19</v>
      </c>
      <c r="C17">
        <v>53</v>
      </c>
      <c r="D17" s="5" t="s">
        <v>20</v>
      </c>
      <c r="F17" s="13">
        <v>0.91</v>
      </c>
      <c r="J17">
        <f>71+97+157+178</f>
        <v>503</v>
      </c>
      <c r="K17">
        <v>4</v>
      </c>
      <c r="L17">
        <v>178</v>
      </c>
      <c r="Q17" s="17"/>
    </row>
    <row r="18" spans="1:17">
      <c r="A18" s="2">
        <v>41341</v>
      </c>
      <c r="B18" t="s">
        <v>19</v>
      </c>
      <c r="C18">
        <v>53</v>
      </c>
      <c r="D18" s="5" t="s">
        <v>20</v>
      </c>
      <c r="F18" s="13">
        <v>0.7</v>
      </c>
      <c r="J18">
        <f>61+101+110</f>
        <v>272</v>
      </c>
      <c r="K18">
        <v>3</v>
      </c>
      <c r="L18">
        <v>110</v>
      </c>
      <c r="Q18" s="17"/>
    </row>
    <row r="19" spans="1:17">
      <c r="A19" s="2">
        <v>41341</v>
      </c>
      <c r="B19" t="s">
        <v>19</v>
      </c>
      <c r="C19">
        <v>53</v>
      </c>
      <c r="D19" s="5" t="s">
        <v>20</v>
      </c>
      <c r="F19" s="13">
        <v>1.6</v>
      </c>
      <c r="J19">
        <f>94+104+155+145+194</f>
        <v>692</v>
      </c>
      <c r="K19">
        <v>5</v>
      </c>
      <c r="L19">
        <v>194</v>
      </c>
      <c r="Q19" s="17"/>
    </row>
    <row r="20" spans="1:17">
      <c r="A20" s="2">
        <v>41341</v>
      </c>
      <c r="B20" t="s">
        <v>19</v>
      </c>
      <c r="C20">
        <v>53</v>
      </c>
      <c r="D20" s="5" t="s">
        <v>20</v>
      </c>
      <c r="F20" s="13">
        <v>0.94</v>
      </c>
      <c r="J20">
        <f>78+93+119</f>
        <v>290</v>
      </c>
      <c r="K20">
        <v>3</v>
      </c>
      <c r="L20">
        <v>119</v>
      </c>
      <c r="Q20" s="17"/>
    </row>
    <row r="21" spans="1:17">
      <c r="A21" s="2">
        <v>41341</v>
      </c>
      <c r="B21" t="s">
        <v>19</v>
      </c>
      <c r="C21">
        <v>53</v>
      </c>
      <c r="D21" s="5" t="s">
        <v>20</v>
      </c>
      <c r="F21" s="13">
        <v>1.95</v>
      </c>
      <c r="J21">
        <f>75+142+138+173+190+192</f>
        <v>910</v>
      </c>
      <c r="K21">
        <v>6</v>
      </c>
      <c r="L21">
        <v>192</v>
      </c>
      <c r="Q21" s="17"/>
    </row>
    <row r="22" spans="1:17">
      <c r="A22" s="2">
        <v>41341</v>
      </c>
      <c r="B22" t="s">
        <v>19</v>
      </c>
      <c r="C22">
        <v>53</v>
      </c>
      <c r="D22" s="5" t="s">
        <v>20</v>
      </c>
      <c r="F22" s="13">
        <v>1.51</v>
      </c>
      <c r="J22">
        <f>107+108+134+169+170+202</f>
        <v>890</v>
      </c>
      <c r="K22">
        <v>6</v>
      </c>
      <c r="L22">
        <v>202</v>
      </c>
      <c r="Q22" s="17"/>
    </row>
    <row r="23" spans="1:17">
      <c r="A23" s="2">
        <v>41341</v>
      </c>
      <c r="B23" t="s">
        <v>19</v>
      </c>
      <c r="C23">
        <v>53</v>
      </c>
      <c r="D23" s="5" t="s">
        <v>20</v>
      </c>
      <c r="F23" s="13">
        <v>0.67</v>
      </c>
      <c r="J23">
        <f>54+77</f>
        <v>131</v>
      </c>
      <c r="K23">
        <v>2</v>
      </c>
      <c r="L23">
        <v>77</v>
      </c>
      <c r="Q23" s="17"/>
    </row>
    <row r="24" spans="1:17">
      <c r="A24" s="2">
        <v>41341</v>
      </c>
      <c r="B24" t="s">
        <v>19</v>
      </c>
      <c r="C24">
        <v>53</v>
      </c>
      <c r="D24" s="5" t="s">
        <v>20</v>
      </c>
      <c r="F24" s="13">
        <v>1.94</v>
      </c>
      <c r="J24">
        <f>113+162+182+204+209</f>
        <v>870</v>
      </c>
      <c r="K24">
        <v>5</v>
      </c>
      <c r="L24">
        <v>209</v>
      </c>
      <c r="Q24" s="17"/>
    </row>
    <row r="25" spans="1:17">
      <c r="A25" s="2">
        <v>41341</v>
      </c>
      <c r="B25" t="s">
        <v>19</v>
      </c>
      <c r="C25">
        <v>53</v>
      </c>
      <c r="D25" s="5" t="s">
        <v>20</v>
      </c>
      <c r="F25" s="13">
        <v>0.96</v>
      </c>
      <c r="J25">
        <f>55+93+120+136</f>
        <v>404</v>
      </c>
      <c r="K25">
        <v>4</v>
      </c>
      <c r="L25">
        <v>136</v>
      </c>
      <c r="Q25" s="17"/>
    </row>
    <row r="26" spans="1:17">
      <c r="A26" s="2">
        <v>41341</v>
      </c>
      <c r="B26" t="s">
        <v>19</v>
      </c>
      <c r="C26">
        <v>53</v>
      </c>
      <c r="D26" s="5" t="s">
        <v>20</v>
      </c>
      <c r="F26" s="13">
        <v>0.7</v>
      </c>
      <c r="J26">
        <f>75+127+139</f>
        <v>341</v>
      </c>
      <c r="K26">
        <v>3</v>
      </c>
      <c r="L26">
        <v>139</v>
      </c>
      <c r="Q26" s="17"/>
    </row>
    <row r="27" spans="1:17">
      <c r="A27" s="2">
        <v>41341</v>
      </c>
      <c r="B27" t="s">
        <v>19</v>
      </c>
      <c r="C27">
        <v>53</v>
      </c>
      <c r="D27" s="5" t="s">
        <v>20</v>
      </c>
      <c r="F27" s="13">
        <v>0.82</v>
      </c>
      <c r="J27">
        <f>77+93+121+131+159</f>
        <v>581</v>
      </c>
      <c r="K27">
        <v>5</v>
      </c>
      <c r="L27">
        <v>159</v>
      </c>
      <c r="Q27" s="17"/>
    </row>
    <row r="28" spans="1:17">
      <c r="A28" s="2">
        <v>41341</v>
      </c>
      <c r="B28" t="s">
        <v>19</v>
      </c>
      <c r="C28">
        <v>53</v>
      </c>
      <c r="D28" s="5" t="s">
        <v>20</v>
      </c>
      <c r="F28" s="13">
        <v>2.2000000000000002</v>
      </c>
      <c r="J28">
        <f>65+96+104+126+152+157+195</f>
        <v>895</v>
      </c>
      <c r="K28">
        <v>7</v>
      </c>
      <c r="L28">
        <v>195</v>
      </c>
      <c r="Q28" s="17"/>
    </row>
    <row r="29" spans="1:17">
      <c r="A29" s="2">
        <v>41341</v>
      </c>
      <c r="B29" t="s">
        <v>19</v>
      </c>
      <c r="C29">
        <v>53</v>
      </c>
      <c r="D29" s="5" t="s">
        <v>20</v>
      </c>
      <c r="F29" s="13">
        <v>1.84</v>
      </c>
      <c r="J29">
        <f>97+107+128+158+175+202</f>
        <v>867</v>
      </c>
      <c r="K29">
        <v>6</v>
      </c>
      <c r="L29">
        <v>202</v>
      </c>
      <c r="Q29" s="17"/>
    </row>
    <row r="30" spans="1:17">
      <c r="A30" s="2">
        <v>41341</v>
      </c>
      <c r="B30" t="s">
        <v>19</v>
      </c>
      <c r="C30">
        <v>53</v>
      </c>
      <c r="D30" s="5" t="s">
        <v>20</v>
      </c>
      <c r="F30" s="13">
        <v>1.38</v>
      </c>
      <c r="J30">
        <f>69+120+145+186+211</f>
        <v>731</v>
      </c>
      <c r="K30">
        <v>5</v>
      </c>
      <c r="L30">
        <v>211</v>
      </c>
      <c r="Q30" s="17"/>
    </row>
    <row r="31" spans="1:17">
      <c r="A31" s="2">
        <v>41341</v>
      </c>
      <c r="B31" t="s">
        <v>19</v>
      </c>
      <c r="C31">
        <v>53</v>
      </c>
      <c r="D31" s="5" t="s">
        <v>20</v>
      </c>
      <c r="F31" s="13">
        <v>0.82</v>
      </c>
      <c r="J31">
        <f>52+84+113+125</f>
        <v>374</v>
      </c>
      <c r="K31">
        <v>4</v>
      </c>
      <c r="L31">
        <v>125</v>
      </c>
      <c r="Q31" s="17"/>
    </row>
    <row r="32" spans="1:17">
      <c r="A32" s="2">
        <v>41341</v>
      </c>
      <c r="B32" t="s">
        <v>19</v>
      </c>
      <c r="C32">
        <v>53</v>
      </c>
      <c r="D32" s="5" t="s">
        <v>20</v>
      </c>
      <c r="F32" s="13">
        <v>0.76</v>
      </c>
      <c r="J32">
        <f>65+122+140+166</f>
        <v>493</v>
      </c>
      <c r="K32">
        <v>4</v>
      </c>
      <c r="L32">
        <v>166</v>
      </c>
      <c r="Q32" s="17"/>
    </row>
    <row r="33" spans="1:17">
      <c r="A33" s="2">
        <v>41341</v>
      </c>
      <c r="B33" t="s">
        <v>19</v>
      </c>
      <c r="C33">
        <v>53</v>
      </c>
      <c r="D33" s="5" t="s">
        <v>20</v>
      </c>
      <c r="F33" s="13">
        <v>1.83</v>
      </c>
      <c r="J33">
        <f>77+141+154+183+214+221</f>
        <v>990</v>
      </c>
      <c r="K33">
        <v>6</v>
      </c>
      <c r="L33">
        <v>221</v>
      </c>
      <c r="Q33" s="17"/>
    </row>
    <row r="34" spans="1:17">
      <c r="A34" s="2">
        <v>41341</v>
      </c>
      <c r="B34" t="s">
        <v>19</v>
      </c>
      <c r="C34">
        <v>53</v>
      </c>
      <c r="D34" s="5" t="s">
        <v>20</v>
      </c>
      <c r="F34" s="13">
        <v>0.93</v>
      </c>
      <c r="J34">
        <f>76+118+119</f>
        <v>313</v>
      </c>
      <c r="K34">
        <v>3</v>
      </c>
      <c r="L34">
        <v>119</v>
      </c>
      <c r="Q34" s="17"/>
    </row>
    <row r="35" spans="1:17">
      <c r="A35" s="2">
        <v>41341</v>
      </c>
      <c r="B35" t="s">
        <v>19</v>
      </c>
      <c r="C35">
        <v>53</v>
      </c>
      <c r="D35" s="5" t="s">
        <v>20</v>
      </c>
      <c r="F35" s="13">
        <v>1.77</v>
      </c>
      <c r="J35">
        <f>76+111+143+153+171+188</f>
        <v>842</v>
      </c>
      <c r="K35">
        <v>6</v>
      </c>
      <c r="L35">
        <v>188</v>
      </c>
      <c r="Q35" s="17"/>
    </row>
    <row r="36" spans="1:17">
      <c r="A36" s="2">
        <v>41341</v>
      </c>
      <c r="B36" t="s">
        <v>19</v>
      </c>
      <c r="C36">
        <v>53</v>
      </c>
      <c r="D36" s="5" t="s">
        <v>20</v>
      </c>
      <c r="F36" s="13">
        <v>1.38</v>
      </c>
      <c r="J36">
        <f>112+122+152+170</f>
        <v>556</v>
      </c>
      <c r="K36">
        <v>4</v>
      </c>
      <c r="L36">
        <v>170</v>
      </c>
      <c r="Q36" s="17"/>
    </row>
    <row r="37" spans="1:17">
      <c r="A37" s="2">
        <v>41341</v>
      </c>
      <c r="B37" t="s">
        <v>19</v>
      </c>
      <c r="C37">
        <v>53</v>
      </c>
      <c r="D37" s="5" t="s">
        <v>20</v>
      </c>
      <c r="F37" s="13">
        <v>1.56</v>
      </c>
      <c r="J37">
        <f>71+88+84+118+117</f>
        <v>478</v>
      </c>
      <c r="K37">
        <v>5</v>
      </c>
      <c r="L37">
        <v>118</v>
      </c>
      <c r="Q37" s="17"/>
    </row>
    <row r="38" spans="1:17">
      <c r="A38" s="2">
        <v>41341</v>
      </c>
      <c r="B38" t="s">
        <v>19</v>
      </c>
      <c r="C38">
        <v>53</v>
      </c>
      <c r="D38" s="5" t="s">
        <v>20</v>
      </c>
      <c r="F38" s="13">
        <v>0.71</v>
      </c>
      <c r="J38">
        <f>73+121+132+162</f>
        <v>488</v>
      </c>
      <c r="K38">
        <v>4</v>
      </c>
      <c r="L38">
        <v>162</v>
      </c>
      <c r="Q38" s="17"/>
    </row>
    <row r="39" spans="1:17">
      <c r="A39" s="2">
        <v>41341</v>
      </c>
      <c r="B39" t="s">
        <v>19</v>
      </c>
      <c r="C39">
        <v>53</v>
      </c>
      <c r="D39" s="5" t="s">
        <v>20</v>
      </c>
      <c r="F39" s="13">
        <v>1.95</v>
      </c>
      <c r="J39">
        <f>125+149+151+192+203+205</f>
        <v>1025</v>
      </c>
      <c r="K39">
        <v>6</v>
      </c>
      <c r="L39">
        <v>205</v>
      </c>
      <c r="Q39" s="17"/>
    </row>
    <row r="40" spans="1:17">
      <c r="A40" s="2">
        <v>41341</v>
      </c>
      <c r="B40" t="s">
        <v>19</v>
      </c>
      <c r="C40">
        <v>53</v>
      </c>
      <c r="D40" s="5" t="s">
        <v>20</v>
      </c>
      <c r="F40" s="13">
        <v>1.4</v>
      </c>
      <c r="J40">
        <f>76+122+126+187</f>
        <v>511</v>
      </c>
      <c r="K40">
        <v>4</v>
      </c>
      <c r="L40">
        <v>187</v>
      </c>
      <c r="Q40" s="17"/>
    </row>
    <row r="41" spans="1:17">
      <c r="A41" s="2">
        <v>41341</v>
      </c>
      <c r="B41" t="s">
        <v>19</v>
      </c>
      <c r="C41">
        <v>53</v>
      </c>
      <c r="D41" s="5" t="s">
        <v>20</v>
      </c>
      <c r="F41" s="13">
        <v>0.8</v>
      </c>
      <c r="J41">
        <f>114+121+135</f>
        <v>370</v>
      </c>
      <c r="K41">
        <v>3</v>
      </c>
      <c r="L41">
        <v>135</v>
      </c>
      <c r="Q41" s="17"/>
    </row>
    <row r="42" spans="1:17">
      <c r="A42" s="2">
        <v>41341</v>
      </c>
      <c r="B42" t="s">
        <v>19</v>
      </c>
      <c r="C42">
        <v>53</v>
      </c>
      <c r="D42" s="5" t="s">
        <v>20</v>
      </c>
      <c r="F42" s="13">
        <v>0.94</v>
      </c>
      <c r="J42">
        <f>62+102+157+165</f>
        <v>486</v>
      </c>
      <c r="K42">
        <v>4</v>
      </c>
      <c r="L42">
        <v>165</v>
      </c>
      <c r="Q42" s="17"/>
    </row>
    <row r="43" spans="1:17">
      <c r="A43" s="2">
        <v>41341</v>
      </c>
      <c r="B43" t="s">
        <v>19</v>
      </c>
      <c r="C43">
        <v>53</v>
      </c>
      <c r="D43" s="5" t="s">
        <v>20</v>
      </c>
      <c r="F43" s="13">
        <v>2.58</v>
      </c>
      <c r="J43">
        <f>78+128+149+149+201+199+220</f>
        <v>1124</v>
      </c>
      <c r="K43">
        <v>7</v>
      </c>
      <c r="L43">
        <v>220</v>
      </c>
      <c r="Q43" s="17"/>
    </row>
    <row r="44" spans="1:17">
      <c r="A44" s="2">
        <v>41341</v>
      </c>
      <c r="B44" t="s">
        <v>19</v>
      </c>
      <c r="C44">
        <v>53</v>
      </c>
      <c r="D44" s="5" t="s">
        <v>20</v>
      </c>
      <c r="F44" s="13">
        <v>0.91</v>
      </c>
      <c r="J44">
        <f>66+116+135+156</f>
        <v>473</v>
      </c>
      <c r="K44">
        <v>4</v>
      </c>
      <c r="L44">
        <v>156</v>
      </c>
      <c r="Q44" s="17"/>
    </row>
    <row r="45" spans="1:17">
      <c r="A45" s="2">
        <v>41341</v>
      </c>
      <c r="B45" t="s">
        <v>19</v>
      </c>
      <c r="C45">
        <v>53</v>
      </c>
      <c r="D45" s="5" t="s">
        <v>20</v>
      </c>
      <c r="F45" s="13">
        <v>2.4</v>
      </c>
      <c r="J45">
        <f>152+171+189+197+202+138</f>
        <v>1049</v>
      </c>
      <c r="K45">
        <v>6</v>
      </c>
      <c r="L45">
        <v>238</v>
      </c>
      <c r="Q45" s="17"/>
    </row>
    <row r="46" spans="1:17">
      <c r="A46" s="2">
        <v>41341</v>
      </c>
      <c r="B46" t="s">
        <v>19</v>
      </c>
      <c r="C46">
        <v>53</v>
      </c>
      <c r="D46" s="5" t="s">
        <v>20</v>
      </c>
      <c r="F46" s="13">
        <v>3.45</v>
      </c>
      <c r="J46">
        <f>134+174+230+236+239+267+280</f>
        <v>1560</v>
      </c>
      <c r="K46">
        <v>7</v>
      </c>
      <c r="L46">
        <v>280</v>
      </c>
      <c r="Q46" s="17"/>
    </row>
    <row r="47" spans="1:17">
      <c r="A47" s="2">
        <v>41341</v>
      </c>
      <c r="B47" t="s">
        <v>19</v>
      </c>
      <c r="C47">
        <v>53</v>
      </c>
      <c r="D47" s="5" t="s">
        <v>20</v>
      </c>
      <c r="F47" s="13">
        <v>2.1</v>
      </c>
      <c r="J47">
        <f>56+123+127+168+199</f>
        <v>673</v>
      </c>
      <c r="K47">
        <v>5</v>
      </c>
      <c r="L47">
        <v>199</v>
      </c>
      <c r="Q47" s="17"/>
    </row>
    <row r="48" spans="1:17">
      <c r="A48" s="2">
        <v>41341</v>
      </c>
      <c r="B48" t="s">
        <v>19</v>
      </c>
      <c r="C48">
        <v>51</v>
      </c>
      <c r="D48" s="5" t="s">
        <v>21</v>
      </c>
      <c r="E48">
        <v>312</v>
      </c>
      <c r="F48" s="13">
        <v>2.0099999999999998</v>
      </c>
      <c r="Q48" s="17"/>
    </row>
    <row r="49" spans="1:17">
      <c r="A49" s="2">
        <v>41341</v>
      </c>
      <c r="B49" t="s">
        <v>19</v>
      </c>
      <c r="C49">
        <v>51</v>
      </c>
      <c r="D49" s="5" t="s">
        <v>20</v>
      </c>
      <c r="F49" s="13">
        <v>2.33</v>
      </c>
      <c r="J49">
        <f>102+111+150+161+192+191</f>
        <v>907</v>
      </c>
      <c r="K49">
        <v>6</v>
      </c>
      <c r="L49">
        <v>192</v>
      </c>
      <c r="Q49" s="17"/>
    </row>
    <row r="50" spans="1:17">
      <c r="A50" s="2">
        <v>41341</v>
      </c>
      <c r="B50" t="s">
        <v>19</v>
      </c>
      <c r="C50">
        <v>51</v>
      </c>
      <c r="D50" s="5" t="s">
        <v>20</v>
      </c>
      <c r="F50" s="13">
        <v>4.8499999999999996</v>
      </c>
      <c r="J50">
        <f>102+158+214+293+259+280+284+292</f>
        <v>1882</v>
      </c>
      <c r="K50">
        <v>8</v>
      </c>
      <c r="L50">
        <v>292</v>
      </c>
      <c r="Q50" s="17"/>
    </row>
    <row r="51" spans="1:17">
      <c r="A51" s="2">
        <v>41341</v>
      </c>
      <c r="B51" t="s">
        <v>19</v>
      </c>
      <c r="C51">
        <v>51</v>
      </c>
      <c r="D51" s="5" t="s">
        <v>20</v>
      </c>
      <c r="F51" s="13">
        <v>4.32</v>
      </c>
      <c r="J51">
        <f>191+135+142+147+168</f>
        <v>783</v>
      </c>
      <c r="K51">
        <v>5</v>
      </c>
      <c r="L51">
        <v>169</v>
      </c>
      <c r="Q51" s="17"/>
    </row>
    <row r="52" spans="1:17">
      <c r="A52" s="2">
        <v>41341</v>
      </c>
      <c r="B52" t="s">
        <v>19</v>
      </c>
      <c r="C52">
        <v>51</v>
      </c>
      <c r="D52" s="5" t="s">
        <v>20</v>
      </c>
      <c r="F52" s="13">
        <v>2.62</v>
      </c>
      <c r="J52">
        <f>119+139+159+190+187+209+209+227</f>
        <v>1439</v>
      </c>
      <c r="K52">
        <v>8</v>
      </c>
      <c r="L52">
        <v>227</v>
      </c>
      <c r="Q52" s="17"/>
    </row>
    <row r="53" spans="1:17">
      <c r="A53" s="2">
        <v>41341</v>
      </c>
      <c r="B53" t="s">
        <v>19</v>
      </c>
      <c r="C53">
        <v>51</v>
      </c>
      <c r="D53" s="5" t="s">
        <v>21</v>
      </c>
      <c r="E53">
        <v>196</v>
      </c>
      <c r="F53" s="13">
        <v>1.79</v>
      </c>
      <c r="Q53" s="17"/>
    </row>
    <row r="54" spans="1:17">
      <c r="A54" s="2">
        <v>41341</v>
      </c>
      <c r="B54" t="s">
        <v>19</v>
      </c>
      <c r="C54">
        <v>51</v>
      </c>
      <c r="D54" s="5" t="s">
        <v>21</v>
      </c>
      <c r="E54">
        <v>127</v>
      </c>
      <c r="F54" s="13">
        <v>1.3</v>
      </c>
      <c r="Q54" s="17"/>
    </row>
    <row r="55" spans="1:17">
      <c r="A55" s="2">
        <v>41341</v>
      </c>
      <c r="B55" t="s">
        <v>19</v>
      </c>
      <c r="C55">
        <v>51</v>
      </c>
      <c r="D55" s="5" t="s">
        <v>20</v>
      </c>
      <c r="F55" s="13">
        <v>1.05</v>
      </c>
      <c r="J55">
        <f>80+109+112+138</f>
        <v>439</v>
      </c>
      <c r="K55">
        <v>4</v>
      </c>
      <c r="L55">
        <v>138</v>
      </c>
      <c r="Q55" s="17"/>
    </row>
    <row r="56" spans="1:17">
      <c r="A56" s="2">
        <v>41341</v>
      </c>
      <c r="B56" t="s">
        <v>19</v>
      </c>
      <c r="C56">
        <v>51</v>
      </c>
      <c r="D56" s="5" t="s">
        <v>20</v>
      </c>
      <c r="F56" s="13">
        <v>1.7</v>
      </c>
      <c r="J56">
        <f>69+136+158+197+197</f>
        <v>757</v>
      </c>
      <c r="K56">
        <v>5</v>
      </c>
      <c r="L56">
        <v>197</v>
      </c>
      <c r="Q56" s="17"/>
    </row>
    <row r="57" spans="1:17">
      <c r="A57" s="2">
        <v>41341</v>
      </c>
      <c r="B57" t="s">
        <v>19</v>
      </c>
      <c r="C57">
        <v>51</v>
      </c>
      <c r="D57" s="5" t="s">
        <v>20</v>
      </c>
      <c r="F57" s="13">
        <v>1.57</v>
      </c>
      <c r="J57">
        <f>88+96+120+148+155+178</f>
        <v>785</v>
      </c>
      <c r="K57">
        <v>6</v>
      </c>
      <c r="L57">
        <v>178</v>
      </c>
      <c r="Q57" s="17"/>
    </row>
    <row r="58" spans="1:17">
      <c r="A58" s="2">
        <v>41341</v>
      </c>
      <c r="B58" t="s">
        <v>19</v>
      </c>
      <c r="C58">
        <v>51</v>
      </c>
      <c r="D58" s="5" t="s">
        <v>20</v>
      </c>
      <c r="F58" s="13">
        <v>1.29</v>
      </c>
      <c r="J58">
        <f>56+90+101+125</f>
        <v>372</v>
      </c>
      <c r="K58">
        <v>4</v>
      </c>
      <c r="L58">
        <v>125</v>
      </c>
      <c r="Q58" s="17"/>
    </row>
    <row r="59" spans="1:17">
      <c r="A59" s="2">
        <v>41341</v>
      </c>
      <c r="B59" t="s">
        <v>19</v>
      </c>
      <c r="C59">
        <v>44</v>
      </c>
      <c r="D59" s="5" t="s">
        <v>20</v>
      </c>
      <c r="F59" s="13">
        <v>1.25</v>
      </c>
      <c r="J59">
        <f>60+91+122+121+85</f>
        <v>479</v>
      </c>
      <c r="K59">
        <v>5</v>
      </c>
      <c r="L59">
        <v>122</v>
      </c>
      <c r="Q59" s="17"/>
    </row>
    <row r="60" spans="1:17">
      <c r="A60" s="2">
        <v>41341</v>
      </c>
      <c r="B60" t="s">
        <v>19</v>
      </c>
      <c r="C60">
        <v>44</v>
      </c>
      <c r="D60" s="5" t="s">
        <v>20</v>
      </c>
      <c r="F60" s="13">
        <v>1.33</v>
      </c>
      <c r="J60">
        <f>63+87+94</f>
        <v>244</v>
      </c>
      <c r="K60">
        <v>3</v>
      </c>
      <c r="L60">
        <v>94</v>
      </c>
      <c r="Q60" s="17"/>
    </row>
    <row r="61" spans="1:17">
      <c r="A61" s="2">
        <v>41341</v>
      </c>
      <c r="B61" t="s">
        <v>19</v>
      </c>
      <c r="C61">
        <v>44</v>
      </c>
      <c r="D61" s="5" t="s">
        <v>20</v>
      </c>
      <c r="F61" s="13">
        <v>1.65</v>
      </c>
      <c r="J61">
        <f>48+56+63+63</f>
        <v>230</v>
      </c>
      <c r="K61">
        <v>4</v>
      </c>
      <c r="L61">
        <v>63</v>
      </c>
      <c r="Q61" s="17"/>
    </row>
    <row r="62" spans="1:17">
      <c r="A62" s="2">
        <v>41341</v>
      </c>
      <c r="B62" t="s">
        <v>19</v>
      </c>
      <c r="C62">
        <v>44</v>
      </c>
      <c r="D62" s="5" t="s">
        <v>20</v>
      </c>
      <c r="F62" s="13">
        <v>2.84</v>
      </c>
      <c r="J62">
        <f>96+108+135+172+201</f>
        <v>712</v>
      </c>
      <c r="K62">
        <v>5</v>
      </c>
      <c r="L62">
        <v>201</v>
      </c>
      <c r="Q62" s="17"/>
    </row>
    <row r="63" spans="1:17">
      <c r="A63" s="2">
        <v>41341</v>
      </c>
      <c r="B63" t="s">
        <v>19</v>
      </c>
      <c r="C63">
        <v>44</v>
      </c>
      <c r="D63" s="5" t="s">
        <v>20</v>
      </c>
      <c r="F63" s="13">
        <v>0.96</v>
      </c>
      <c r="J63">
        <f>54+55+66</f>
        <v>175</v>
      </c>
      <c r="K63">
        <v>3</v>
      </c>
      <c r="L63">
        <v>66</v>
      </c>
      <c r="Q63" s="17"/>
    </row>
    <row r="64" spans="1:17">
      <c r="A64" s="2">
        <v>41341</v>
      </c>
      <c r="B64" t="s">
        <v>19</v>
      </c>
      <c r="C64">
        <v>44</v>
      </c>
      <c r="D64" s="5" t="s">
        <v>20</v>
      </c>
      <c r="F64" s="13">
        <v>1.7</v>
      </c>
      <c r="J64">
        <f>53+85+82+103</f>
        <v>323</v>
      </c>
      <c r="K64">
        <v>4</v>
      </c>
      <c r="L64">
        <v>103</v>
      </c>
      <c r="Q64" s="17"/>
    </row>
    <row r="65" spans="1:17">
      <c r="A65" s="2">
        <v>41341</v>
      </c>
      <c r="B65" t="s">
        <v>19</v>
      </c>
      <c r="C65">
        <v>44</v>
      </c>
      <c r="D65" s="5" t="s">
        <v>20</v>
      </c>
      <c r="F65" s="13">
        <v>1.42</v>
      </c>
      <c r="J65">
        <f>60+57+71+70</f>
        <v>258</v>
      </c>
      <c r="K65">
        <v>4</v>
      </c>
      <c r="L65">
        <v>70</v>
      </c>
      <c r="Q65" s="17"/>
    </row>
    <row r="66" spans="1:17">
      <c r="A66" s="2">
        <v>41341</v>
      </c>
      <c r="B66" t="s">
        <v>19</v>
      </c>
      <c r="C66">
        <v>44</v>
      </c>
      <c r="D66" s="5" t="s">
        <v>20</v>
      </c>
      <c r="F66" s="13">
        <v>0.7</v>
      </c>
      <c r="J66">
        <f>48+80+108+122</f>
        <v>358</v>
      </c>
      <c r="K66">
        <v>4</v>
      </c>
      <c r="L66">
        <v>122</v>
      </c>
      <c r="Q66" s="17"/>
    </row>
    <row r="67" spans="1:17">
      <c r="A67" s="2">
        <v>41341</v>
      </c>
      <c r="B67" t="s">
        <v>19</v>
      </c>
      <c r="C67">
        <v>20</v>
      </c>
      <c r="D67" s="5" t="s">
        <v>20</v>
      </c>
      <c r="F67" s="13">
        <v>1.47</v>
      </c>
      <c r="J67">
        <f>96+117+126+146</f>
        <v>485</v>
      </c>
      <c r="K67">
        <v>4</v>
      </c>
      <c r="L67">
        <v>146</v>
      </c>
      <c r="Q67" s="17"/>
    </row>
    <row r="68" spans="1:17">
      <c r="A68" s="2">
        <v>41341</v>
      </c>
      <c r="B68" t="s">
        <v>19</v>
      </c>
      <c r="C68">
        <v>20</v>
      </c>
      <c r="D68" s="5" t="s">
        <v>20</v>
      </c>
      <c r="F68" s="13">
        <v>5.56</v>
      </c>
      <c r="J68">
        <f>134+184+250+255+290+350</f>
        <v>1463</v>
      </c>
      <c r="K68">
        <v>6</v>
      </c>
      <c r="L68">
        <v>350</v>
      </c>
      <c r="Q68" s="17"/>
    </row>
    <row r="69" spans="1:17">
      <c r="A69" s="2">
        <v>41341</v>
      </c>
      <c r="B69" t="s">
        <v>22</v>
      </c>
      <c r="C69">
        <v>43</v>
      </c>
      <c r="D69" s="5" t="s">
        <v>23</v>
      </c>
      <c r="F69" s="13">
        <v>2.58</v>
      </c>
      <c r="J69">
        <f>94+124+200+176+212+210</f>
        <v>1016</v>
      </c>
      <c r="K69">
        <v>6</v>
      </c>
      <c r="L69">
        <v>212</v>
      </c>
      <c r="Q69" s="17"/>
    </row>
    <row r="70" spans="1:17">
      <c r="A70" s="2">
        <v>41341</v>
      </c>
      <c r="B70" t="s">
        <v>22</v>
      </c>
      <c r="C70">
        <v>43</v>
      </c>
      <c r="D70" s="5" t="s">
        <v>23</v>
      </c>
      <c r="F70" s="13">
        <v>0.25</v>
      </c>
      <c r="J70">
        <f>37+42</f>
        <v>79</v>
      </c>
      <c r="K70">
        <v>2</v>
      </c>
      <c r="L70">
        <v>42</v>
      </c>
      <c r="Q70" s="17"/>
    </row>
    <row r="71" spans="1:17">
      <c r="A71" s="2">
        <v>41341</v>
      </c>
      <c r="B71" t="s">
        <v>22</v>
      </c>
      <c r="C71">
        <v>43</v>
      </c>
      <c r="D71" s="5" t="s">
        <v>23</v>
      </c>
      <c r="F71" s="13">
        <v>2.2200000000000002</v>
      </c>
      <c r="J71">
        <f>88+125+139+169+174+189</f>
        <v>884</v>
      </c>
      <c r="K71">
        <v>6</v>
      </c>
      <c r="L71">
        <v>189</v>
      </c>
      <c r="Q71" s="17"/>
    </row>
    <row r="72" spans="1:17">
      <c r="A72" s="2">
        <v>41341</v>
      </c>
      <c r="B72" t="s">
        <v>22</v>
      </c>
      <c r="C72">
        <v>43</v>
      </c>
      <c r="D72" s="5" t="s">
        <v>20</v>
      </c>
      <c r="F72" s="13">
        <v>0.56999999999999995</v>
      </c>
      <c r="J72">
        <f>70+93+105</f>
        <v>268</v>
      </c>
      <c r="K72">
        <v>3</v>
      </c>
      <c r="L72">
        <v>105</v>
      </c>
      <c r="Q72" s="17"/>
    </row>
    <row r="73" spans="1:17">
      <c r="A73" s="2">
        <v>41341</v>
      </c>
      <c r="B73" t="s">
        <v>22</v>
      </c>
      <c r="C73">
        <v>43</v>
      </c>
      <c r="D73" s="5" t="s">
        <v>20</v>
      </c>
      <c r="F73" s="13">
        <v>2.46</v>
      </c>
      <c r="J73">
        <f>108+135+162+184+207+227</f>
        <v>1023</v>
      </c>
      <c r="K73">
        <v>6</v>
      </c>
      <c r="L73">
        <v>227</v>
      </c>
      <c r="Q73" s="17"/>
    </row>
    <row r="74" spans="1:17">
      <c r="A74" s="2">
        <v>41341</v>
      </c>
      <c r="B74" t="s">
        <v>22</v>
      </c>
      <c r="C74">
        <v>43</v>
      </c>
      <c r="D74" s="5" t="s">
        <v>20</v>
      </c>
      <c r="F74" s="13">
        <v>0.62</v>
      </c>
      <c r="J74">
        <f>76+91+110</f>
        <v>277</v>
      </c>
      <c r="K74">
        <v>3</v>
      </c>
      <c r="L74">
        <v>110</v>
      </c>
      <c r="Q74" s="17"/>
    </row>
    <row r="75" spans="1:17">
      <c r="A75" s="2">
        <v>41341</v>
      </c>
      <c r="B75" t="s">
        <v>22</v>
      </c>
      <c r="C75">
        <v>43</v>
      </c>
      <c r="D75" s="5" t="s">
        <v>20</v>
      </c>
      <c r="F75" s="13">
        <v>1.75</v>
      </c>
      <c r="J75">
        <f>114+177+185+219</f>
        <v>695</v>
      </c>
      <c r="K75">
        <v>4</v>
      </c>
      <c r="L75">
        <v>219</v>
      </c>
      <c r="Q75" s="17"/>
    </row>
    <row r="76" spans="1:17">
      <c r="A76" s="2">
        <v>41341</v>
      </c>
      <c r="B76" t="s">
        <v>22</v>
      </c>
      <c r="C76">
        <v>43</v>
      </c>
      <c r="D76" s="5" t="s">
        <v>24</v>
      </c>
      <c r="E76">
        <v>107</v>
      </c>
      <c r="F76" s="13">
        <v>0.85</v>
      </c>
      <c r="Q76" s="17"/>
    </row>
    <row r="77" spans="1:17">
      <c r="A77" s="2">
        <v>41341</v>
      </c>
      <c r="B77" t="s">
        <v>22</v>
      </c>
      <c r="C77">
        <v>43</v>
      </c>
      <c r="D77" s="5" t="s">
        <v>20</v>
      </c>
      <c r="F77" s="13">
        <v>2.39</v>
      </c>
      <c r="J77">
        <f>96+137+175+220+223+247</f>
        <v>1098</v>
      </c>
      <c r="K77">
        <v>6</v>
      </c>
      <c r="L77">
        <v>247</v>
      </c>
      <c r="Q77" s="17"/>
    </row>
    <row r="78" spans="1:17">
      <c r="A78" s="2">
        <v>41341</v>
      </c>
      <c r="B78" t="s">
        <v>22</v>
      </c>
      <c r="C78">
        <v>43</v>
      </c>
      <c r="D78" s="5" t="s">
        <v>20</v>
      </c>
      <c r="F78" s="13">
        <v>0.44</v>
      </c>
      <c r="J78">
        <f>48+60+66</f>
        <v>174</v>
      </c>
      <c r="K78">
        <v>3</v>
      </c>
      <c r="L78">
        <v>66</v>
      </c>
      <c r="Q78" s="17"/>
    </row>
    <row r="79" spans="1:17">
      <c r="A79" s="2">
        <v>41341</v>
      </c>
      <c r="B79" t="s">
        <v>22</v>
      </c>
      <c r="C79">
        <v>43</v>
      </c>
      <c r="D79" s="5" t="s">
        <v>20</v>
      </c>
      <c r="F79" s="13">
        <v>3.45</v>
      </c>
      <c r="J79">
        <f>134+201+247+291+292+303</f>
        <v>1468</v>
      </c>
      <c r="K79">
        <v>6</v>
      </c>
      <c r="L79">
        <v>303</v>
      </c>
      <c r="Q79" s="17"/>
    </row>
    <row r="80" spans="1:17">
      <c r="A80" s="2">
        <v>41341</v>
      </c>
      <c r="B80" t="s">
        <v>19</v>
      </c>
      <c r="C80">
        <v>28</v>
      </c>
      <c r="D80" s="5" t="s">
        <v>24</v>
      </c>
      <c r="E80">
        <v>145</v>
      </c>
      <c r="F80" s="13">
        <v>0.8</v>
      </c>
      <c r="Q80" s="17"/>
    </row>
    <row r="81" spans="1:17">
      <c r="A81" s="2">
        <v>41341</v>
      </c>
      <c r="B81" t="s">
        <v>19</v>
      </c>
      <c r="C81">
        <v>28</v>
      </c>
      <c r="D81" s="5" t="s">
        <v>24</v>
      </c>
      <c r="E81">
        <v>75</v>
      </c>
      <c r="F81" s="13">
        <v>0.8</v>
      </c>
      <c r="Q81" s="17"/>
    </row>
    <row r="82" spans="1:17">
      <c r="A82" s="2">
        <v>41341</v>
      </c>
      <c r="B82" t="s">
        <v>19</v>
      </c>
      <c r="C82">
        <v>28</v>
      </c>
      <c r="D82" s="5" t="s">
        <v>24</v>
      </c>
      <c r="E82">
        <v>113</v>
      </c>
      <c r="F82" s="13">
        <v>1.1499999999999999</v>
      </c>
      <c r="Q82" s="17"/>
    </row>
    <row r="83" spans="1:17">
      <c r="A83" s="2">
        <v>41341</v>
      </c>
      <c r="B83" t="s">
        <v>19</v>
      </c>
      <c r="C83">
        <v>28</v>
      </c>
      <c r="D83" s="5" t="s">
        <v>24</v>
      </c>
      <c r="E83">
        <v>61</v>
      </c>
      <c r="F83" s="13">
        <v>0.68</v>
      </c>
      <c r="Q83" s="17"/>
    </row>
    <row r="84" spans="1:17">
      <c r="A84" s="2">
        <v>41341</v>
      </c>
      <c r="B84" t="s">
        <v>19</v>
      </c>
      <c r="C84">
        <v>28</v>
      </c>
      <c r="D84" s="5" t="s">
        <v>24</v>
      </c>
      <c r="E84">
        <v>175</v>
      </c>
      <c r="F84" s="13">
        <v>0.9</v>
      </c>
      <c r="Q84" s="17"/>
    </row>
    <row r="85" spans="1:17">
      <c r="A85" s="2">
        <v>41341</v>
      </c>
      <c r="B85" t="s">
        <v>19</v>
      </c>
      <c r="C85">
        <v>28</v>
      </c>
      <c r="D85" s="5" t="s">
        <v>24</v>
      </c>
      <c r="E85">
        <v>36</v>
      </c>
      <c r="F85" s="13">
        <v>0.7</v>
      </c>
      <c r="Q85" s="17"/>
    </row>
    <row r="86" spans="1:17">
      <c r="A86" s="2">
        <v>41341</v>
      </c>
      <c r="B86" t="s">
        <v>22</v>
      </c>
      <c r="C86">
        <v>28</v>
      </c>
      <c r="D86" s="5" t="s">
        <v>24</v>
      </c>
      <c r="E86">
        <v>221</v>
      </c>
      <c r="F86" s="13">
        <v>1.26</v>
      </c>
      <c r="Q86" s="17"/>
    </row>
    <row r="87" spans="1:17">
      <c r="A87" s="2">
        <v>41341</v>
      </c>
      <c r="B87" t="s">
        <v>22</v>
      </c>
      <c r="C87">
        <v>28</v>
      </c>
      <c r="D87" s="5" t="s">
        <v>24</v>
      </c>
      <c r="E87">
        <v>103</v>
      </c>
      <c r="F87" s="13">
        <v>1.1499999999999999</v>
      </c>
      <c r="Q87" s="17"/>
    </row>
    <row r="88" spans="1:17">
      <c r="A88" s="2">
        <v>41341</v>
      </c>
      <c r="B88" t="s">
        <v>22</v>
      </c>
      <c r="C88">
        <v>28</v>
      </c>
      <c r="D88" s="5" t="s">
        <v>24</v>
      </c>
      <c r="E88">
        <v>111</v>
      </c>
      <c r="F88" s="13">
        <v>1.18</v>
      </c>
      <c r="Q88" s="17"/>
    </row>
    <row r="89" spans="1:17">
      <c r="A89" s="2">
        <v>41341</v>
      </c>
      <c r="B89" t="s">
        <v>22</v>
      </c>
      <c r="C89">
        <v>28</v>
      </c>
      <c r="D89" s="5" t="s">
        <v>24</v>
      </c>
      <c r="E89">
        <v>29</v>
      </c>
      <c r="F89" s="13">
        <v>0.31</v>
      </c>
      <c r="Q89" s="17"/>
    </row>
    <row r="90" spans="1:17">
      <c r="A90" s="2">
        <v>41341</v>
      </c>
      <c r="B90" t="s">
        <v>22</v>
      </c>
      <c r="C90">
        <v>28</v>
      </c>
      <c r="D90" s="5" t="s">
        <v>24</v>
      </c>
      <c r="E90">
        <v>201</v>
      </c>
      <c r="F90" s="13">
        <v>1.63</v>
      </c>
      <c r="Q90" s="17"/>
    </row>
    <row r="91" spans="1:17">
      <c r="A91" s="2">
        <v>41341</v>
      </c>
      <c r="B91" t="s">
        <v>22</v>
      </c>
      <c r="C91">
        <v>28</v>
      </c>
      <c r="D91" s="5" t="s">
        <v>24</v>
      </c>
      <c r="E91">
        <v>66</v>
      </c>
      <c r="F91" s="13">
        <v>0.6</v>
      </c>
      <c r="Q91" s="17"/>
    </row>
    <row r="92" spans="1:17">
      <c r="A92" s="2">
        <v>41341</v>
      </c>
      <c r="B92" t="s">
        <v>22</v>
      </c>
      <c r="C92">
        <v>28</v>
      </c>
      <c r="D92" s="5" t="s">
        <v>24</v>
      </c>
      <c r="E92">
        <v>95</v>
      </c>
      <c r="F92" s="13">
        <v>0.67</v>
      </c>
      <c r="Q92" s="17"/>
    </row>
    <row r="93" spans="1:17">
      <c r="A93" s="2">
        <v>41341</v>
      </c>
      <c r="B93" t="s">
        <v>22</v>
      </c>
      <c r="C93">
        <v>28</v>
      </c>
      <c r="D93" s="5" t="s">
        <v>24</v>
      </c>
      <c r="E93">
        <v>41</v>
      </c>
      <c r="F93" s="13">
        <v>0.48</v>
      </c>
      <c r="Q93" s="17"/>
    </row>
    <row r="94" spans="1:17">
      <c r="A94" s="2">
        <v>41341</v>
      </c>
      <c r="B94" t="s">
        <v>22</v>
      </c>
      <c r="C94">
        <v>28</v>
      </c>
      <c r="D94" s="5" t="s">
        <v>20</v>
      </c>
      <c r="F94" s="13">
        <v>0.9</v>
      </c>
      <c r="J94">
        <f>66+50</f>
        <v>116</v>
      </c>
      <c r="K94">
        <v>2</v>
      </c>
      <c r="L94">
        <v>66</v>
      </c>
      <c r="Q94" s="17"/>
    </row>
    <row r="95" spans="1:17">
      <c r="A95" s="2">
        <v>41341</v>
      </c>
      <c r="B95" t="s">
        <v>22</v>
      </c>
      <c r="C95">
        <v>28</v>
      </c>
      <c r="D95" s="5" t="s">
        <v>20</v>
      </c>
      <c r="F95" s="13">
        <v>0.96</v>
      </c>
      <c r="J95">
        <f>54+80+100</f>
        <v>234</v>
      </c>
      <c r="K95">
        <v>3</v>
      </c>
      <c r="L95">
        <v>100</v>
      </c>
      <c r="Q95" s="17"/>
    </row>
    <row r="96" spans="1:17">
      <c r="A96" s="2">
        <v>41341</v>
      </c>
      <c r="B96" t="s">
        <v>22</v>
      </c>
      <c r="C96">
        <v>28</v>
      </c>
      <c r="D96" s="5" t="s">
        <v>24</v>
      </c>
      <c r="E96">
        <v>84</v>
      </c>
      <c r="F96" s="13">
        <v>0.55000000000000004</v>
      </c>
      <c r="Q96" s="17"/>
    </row>
    <row r="97" spans="1:17">
      <c r="A97" s="2">
        <v>41341</v>
      </c>
      <c r="B97" t="s">
        <v>22</v>
      </c>
      <c r="C97">
        <v>28</v>
      </c>
      <c r="D97" s="5" t="s">
        <v>24</v>
      </c>
      <c r="E97">
        <v>306</v>
      </c>
      <c r="F97" s="13">
        <v>1.1200000000000001</v>
      </c>
      <c r="Q97" s="17"/>
    </row>
    <row r="98" spans="1:17">
      <c r="A98" s="2">
        <v>41341</v>
      </c>
      <c r="B98" t="s">
        <v>22</v>
      </c>
      <c r="C98">
        <v>28</v>
      </c>
      <c r="D98" s="5" t="s">
        <v>24</v>
      </c>
      <c r="E98">
        <v>95</v>
      </c>
      <c r="F98" s="13">
        <v>0.7</v>
      </c>
      <c r="Q98" s="17"/>
    </row>
    <row r="99" spans="1:17">
      <c r="A99" s="2">
        <v>41341</v>
      </c>
      <c r="B99" t="s">
        <v>22</v>
      </c>
      <c r="C99">
        <v>28</v>
      </c>
      <c r="D99" s="5" t="s">
        <v>24</v>
      </c>
      <c r="E99">
        <v>149</v>
      </c>
      <c r="F99" s="13">
        <v>0.82</v>
      </c>
      <c r="Q99" s="17"/>
    </row>
    <row r="100" spans="1:17">
      <c r="A100" s="2">
        <v>41341</v>
      </c>
      <c r="B100" t="s">
        <v>22</v>
      </c>
      <c r="C100">
        <v>28</v>
      </c>
      <c r="D100" s="5" t="s">
        <v>24</v>
      </c>
      <c r="E100">
        <v>275</v>
      </c>
      <c r="F100" s="13">
        <v>1.18</v>
      </c>
      <c r="Q100" s="17"/>
    </row>
    <row r="101" spans="1:17">
      <c r="A101" s="2">
        <v>41341</v>
      </c>
      <c r="B101" t="s">
        <v>22</v>
      </c>
      <c r="C101">
        <v>28</v>
      </c>
      <c r="D101" s="5" t="s">
        <v>20</v>
      </c>
      <c r="F101" s="13">
        <v>1.45</v>
      </c>
      <c r="J101">
        <f>65+93+93+109+121</f>
        <v>481</v>
      </c>
      <c r="K101">
        <v>5</v>
      </c>
      <c r="L101">
        <v>121</v>
      </c>
      <c r="Q101" s="17"/>
    </row>
    <row r="102" spans="1:17">
      <c r="A102" s="2">
        <v>41341</v>
      </c>
      <c r="B102" t="s">
        <v>22</v>
      </c>
      <c r="C102">
        <v>26</v>
      </c>
      <c r="D102" s="5" t="s">
        <v>24</v>
      </c>
      <c r="E102">
        <v>98</v>
      </c>
      <c r="F102" s="13">
        <v>0.83</v>
      </c>
      <c r="Q102" s="17"/>
    </row>
    <row r="103" spans="1:17">
      <c r="A103" s="2">
        <v>41341</v>
      </c>
      <c r="B103" t="s">
        <v>22</v>
      </c>
      <c r="C103">
        <v>26</v>
      </c>
      <c r="D103" s="5" t="s">
        <v>25</v>
      </c>
      <c r="E103">
        <v>53</v>
      </c>
      <c r="F103" s="13">
        <v>0.47</v>
      </c>
      <c r="Q103" s="17"/>
    </row>
    <row r="104" spans="1:17">
      <c r="A104" s="2">
        <v>41341</v>
      </c>
      <c r="B104" t="s">
        <v>22</v>
      </c>
      <c r="C104">
        <v>26</v>
      </c>
      <c r="D104" s="5" t="s">
        <v>25</v>
      </c>
      <c r="E104">
        <v>116</v>
      </c>
      <c r="F104" s="13">
        <v>0.67</v>
      </c>
      <c r="Q104" s="17"/>
    </row>
    <row r="105" spans="1:17">
      <c r="A105" s="2">
        <v>41341</v>
      </c>
      <c r="B105" t="s">
        <v>22</v>
      </c>
      <c r="C105">
        <v>26</v>
      </c>
      <c r="D105" s="5" t="s">
        <v>24</v>
      </c>
      <c r="E105">
        <v>80</v>
      </c>
      <c r="F105" s="13">
        <v>0.84</v>
      </c>
      <c r="Q105" s="17"/>
    </row>
    <row r="106" spans="1:17">
      <c r="A106" s="2">
        <v>41341</v>
      </c>
      <c r="B106" t="s">
        <v>22</v>
      </c>
      <c r="C106">
        <v>26</v>
      </c>
      <c r="D106" s="5" t="s">
        <v>24</v>
      </c>
      <c r="E106">
        <v>141</v>
      </c>
      <c r="F106" s="13">
        <v>1.0900000000000001</v>
      </c>
      <c r="Q106" s="17"/>
    </row>
    <row r="107" spans="1:17">
      <c r="A107" s="2">
        <v>41341</v>
      </c>
      <c r="B107" t="s">
        <v>22</v>
      </c>
      <c r="C107">
        <v>26</v>
      </c>
      <c r="D107" s="5" t="s">
        <v>24</v>
      </c>
      <c r="E107">
        <v>35</v>
      </c>
      <c r="F107" s="13">
        <v>0.73</v>
      </c>
      <c r="Q107" s="17"/>
    </row>
    <row r="108" spans="1:17">
      <c r="A108" s="2">
        <v>41341</v>
      </c>
      <c r="B108" t="s">
        <v>22</v>
      </c>
      <c r="C108">
        <v>26</v>
      </c>
      <c r="D108" s="5" t="s">
        <v>24</v>
      </c>
      <c r="E108">
        <v>78</v>
      </c>
      <c r="F108" s="13">
        <v>0.92</v>
      </c>
      <c r="Q108" s="17"/>
    </row>
    <row r="109" spans="1:17">
      <c r="A109" s="2">
        <v>41341</v>
      </c>
      <c r="B109" t="s">
        <v>22</v>
      </c>
      <c r="C109">
        <v>26</v>
      </c>
      <c r="D109" s="5" t="s">
        <v>24</v>
      </c>
      <c r="E109">
        <v>123</v>
      </c>
      <c r="F109" s="13">
        <v>1.36</v>
      </c>
      <c r="Q109" s="17"/>
    </row>
    <row r="110" spans="1:17">
      <c r="A110" s="2">
        <v>41341</v>
      </c>
      <c r="B110" t="s">
        <v>22</v>
      </c>
      <c r="C110">
        <v>26</v>
      </c>
      <c r="D110" s="5" t="s">
        <v>24</v>
      </c>
      <c r="E110">
        <v>227</v>
      </c>
      <c r="F110" s="13">
        <v>1.25</v>
      </c>
      <c r="Q110" s="17"/>
    </row>
    <row r="111" spans="1:17">
      <c r="A111" s="2">
        <v>41341</v>
      </c>
      <c r="B111" t="s">
        <v>22</v>
      </c>
      <c r="C111">
        <v>26</v>
      </c>
      <c r="D111" s="5" t="s">
        <v>24</v>
      </c>
      <c r="E111">
        <v>131</v>
      </c>
      <c r="F111" s="13">
        <v>1.1599999999999999</v>
      </c>
      <c r="G111">
        <v>2</v>
      </c>
      <c r="Q111" s="17"/>
    </row>
    <row r="112" spans="1:17">
      <c r="A112" s="2">
        <v>41341</v>
      </c>
      <c r="B112" t="s">
        <v>22</v>
      </c>
      <c r="C112">
        <v>26</v>
      </c>
      <c r="D112" s="5" t="s">
        <v>24</v>
      </c>
      <c r="E112">
        <v>76</v>
      </c>
      <c r="F112" s="13">
        <v>0.75</v>
      </c>
      <c r="Q112" s="17"/>
    </row>
    <row r="113" spans="1:17">
      <c r="A113" s="2">
        <v>41341</v>
      </c>
      <c r="B113" t="s">
        <v>22</v>
      </c>
      <c r="C113">
        <v>26</v>
      </c>
      <c r="D113" s="5" t="s">
        <v>24</v>
      </c>
      <c r="E113">
        <v>103</v>
      </c>
      <c r="F113" s="13">
        <v>0.63</v>
      </c>
      <c r="Q113" s="17"/>
    </row>
    <row r="114" spans="1:17">
      <c r="A114" s="2">
        <v>41341</v>
      </c>
      <c r="B114" t="s">
        <v>22</v>
      </c>
      <c r="C114">
        <v>26</v>
      </c>
      <c r="D114" s="5" t="s">
        <v>25</v>
      </c>
      <c r="E114">
        <v>164</v>
      </c>
      <c r="F114" s="13">
        <v>0.5</v>
      </c>
      <c r="Q114" s="17"/>
    </row>
    <row r="115" spans="1:17">
      <c r="A115" s="2">
        <v>41341</v>
      </c>
      <c r="B115" t="s">
        <v>22</v>
      </c>
      <c r="C115">
        <v>26</v>
      </c>
      <c r="D115" s="5" t="s">
        <v>24</v>
      </c>
      <c r="E115">
        <v>174</v>
      </c>
      <c r="F115" s="13">
        <v>0.7</v>
      </c>
      <c r="Q115" s="17"/>
    </row>
    <row r="116" spans="1:17">
      <c r="A116" s="2">
        <v>41341</v>
      </c>
      <c r="B116" t="s">
        <v>22</v>
      </c>
      <c r="C116">
        <v>26</v>
      </c>
      <c r="D116" s="5" t="s">
        <v>24</v>
      </c>
      <c r="E116">
        <v>44</v>
      </c>
      <c r="F116" s="13">
        <v>0.53</v>
      </c>
      <c r="Q116" s="17"/>
    </row>
    <row r="117" spans="1:17">
      <c r="A117" s="2">
        <v>41341</v>
      </c>
      <c r="B117" t="s">
        <v>22</v>
      </c>
      <c r="C117">
        <v>26</v>
      </c>
      <c r="D117" s="5" t="s">
        <v>25</v>
      </c>
      <c r="E117">
        <v>24</v>
      </c>
      <c r="F117" s="13">
        <v>0.5</v>
      </c>
      <c r="Q117" s="17"/>
    </row>
    <row r="118" spans="1:17">
      <c r="A118" s="2">
        <v>41341</v>
      </c>
      <c r="B118" t="s">
        <v>22</v>
      </c>
      <c r="C118">
        <v>26</v>
      </c>
      <c r="D118" s="5" t="s">
        <v>24</v>
      </c>
      <c r="E118">
        <v>19</v>
      </c>
      <c r="F118" s="13">
        <v>0.22</v>
      </c>
      <c r="Q118" s="17"/>
    </row>
    <row r="119" spans="1:17">
      <c r="A119" s="2">
        <v>41341</v>
      </c>
      <c r="B119" t="s">
        <v>22</v>
      </c>
      <c r="C119">
        <v>26</v>
      </c>
      <c r="D119" s="5" t="s">
        <v>24</v>
      </c>
      <c r="E119">
        <v>16</v>
      </c>
      <c r="F119" s="13">
        <v>0.15</v>
      </c>
      <c r="Q119" s="17"/>
    </row>
    <row r="120" spans="1:17">
      <c r="A120" s="2">
        <v>41341</v>
      </c>
      <c r="B120" t="s">
        <v>22</v>
      </c>
      <c r="C120">
        <v>19</v>
      </c>
      <c r="D120" s="5" t="s">
        <v>20</v>
      </c>
      <c r="F120" s="13">
        <v>0.62</v>
      </c>
      <c r="J120">
        <f>51+68+46+75</f>
        <v>240</v>
      </c>
      <c r="K120">
        <v>4</v>
      </c>
      <c r="L120">
        <v>75</v>
      </c>
      <c r="Q120" s="17"/>
    </row>
    <row r="121" spans="1:17">
      <c r="A121" s="2">
        <v>41341</v>
      </c>
      <c r="B121" t="s">
        <v>22</v>
      </c>
      <c r="C121">
        <v>19</v>
      </c>
      <c r="D121" s="5" t="s">
        <v>24</v>
      </c>
      <c r="E121">
        <v>92</v>
      </c>
      <c r="F121" s="13">
        <v>0.87</v>
      </c>
      <c r="Q121" s="17"/>
    </row>
    <row r="122" spans="1:17">
      <c r="A122" s="2">
        <v>41341</v>
      </c>
      <c r="B122" t="s">
        <v>22</v>
      </c>
      <c r="C122">
        <v>19</v>
      </c>
      <c r="D122" s="5" t="s">
        <v>24</v>
      </c>
      <c r="E122">
        <v>31</v>
      </c>
      <c r="F122" s="13">
        <v>0.44</v>
      </c>
      <c r="Q122" s="17"/>
    </row>
    <row r="123" spans="1:17">
      <c r="A123" s="2">
        <v>41341</v>
      </c>
      <c r="B123" t="s">
        <v>22</v>
      </c>
      <c r="C123">
        <v>19</v>
      </c>
      <c r="D123" s="5" t="s">
        <v>20</v>
      </c>
      <c r="F123" s="13">
        <v>1.71</v>
      </c>
      <c r="J123">
        <f>24+83+111+133+146+164</f>
        <v>661</v>
      </c>
      <c r="K123">
        <v>6</v>
      </c>
      <c r="L123">
        <v>164</v>
      </c>
      <c r="Q123" s="17"/>
    </row>
    <row r="124" spans="1:17">
      <c r="A124" s="2">
        <v>41341</v>
      </c>
      <c r="B124" t="s">
        <v>22</v>
      </c>
      <c r="C124">
        <v>19</v>
      </c>
      <c r="D124" s="5" t="s">
        <v>24</v>
      </c>
      <c r="E124">
        <v>38</v>
      </c>
      <c r="F124" s="13">
        <v>0.42</v>
      </c>
      <c r="Q124" s="17"/>
    </row>
    <row r="125" spans="1:17">
      <c r="A125" s="2">
        <v>41341</v>
      </c>
      <c r="B125" t="s">
        <v>22</v>
      </c>
      <c r="C125">
        <v>19</v>
      </c>
      <c r="D125" s="5" t="s">
        <v>24</v>
      </c>
      <c r="E125">
        <v>146</v>
      </c>
      <c r="F125" s="13">
        <v>1</v>
      </c>
      <c r="Q125" s="17"/>
    </row>
    <row r="126" spans="1:17">
      <c r="A126" s="2">
        <v>41341</v>
      </c>
      <c r="B126" t="s">
        <v>22</v>
      </c>
      <c r="C126">
        <v>19</v>
      </c>
      <c r="D126" s="5" t="s">
        <v>24</v>
      </c>
      <c r="E126">
        <v>216</v>
      </c>
      <c r="F126" s="13">
        <v>1.3</v>
      </c>
      <c r="Q126" s="17"/>
    </row>
    <row r="127" spans="1:17">
      <c r="A127" s="2">
        <v>41341</v>
      </c>
      <c r="B127" t="s">
        <v>22</v>
      </c>
      <c r="C127">
        <v>19</v>
      </c>
      <c r="D127" s="5" t="s">
        <v>24</v>
      </c>
      <c r="E127">
        <v>46</v>
      </c>
      <c r="F127" s="13">
        <v>0.44</v>
      </c>
      <c r="Q127" s="17"/>
    </row>
    <row r="128" spans="1:17">
      <c r="A128" s="2">
        <v>41341</v>
      </c>
      <c r="B128" t="s">
        <v>22</v>
      </c>
      <c r="C128">
        <v>19</v>
      </c>
      <c r="D128" s="5" t="s">
        <v>24</v>
      </c>
      <c r="E128">
        <v>135</v>
      </c>
      <c r="F128" s="13">
        <v>0.89</v>
      </c>
      <c r="Q128" s="17"/>
    </row>
    <row r="129" spans="1:17">
      <c r="A129" s="2">
        <v>41341</v>
      </c>
      <c r="B129" t="s">
        <v>22</v>
      </c>
      <c r="C129">
        <v>19</v>
      </c>
      <c r="D129" s="5" t="s">
        <v>20</v>
      </c>
      <c r="F129" s="13">
        <v>3.08</v>
      </c>
      <c r="J129">
        <f>80+119+156+157+182+208+216</f>
        <v>1118</v>
      </c>
      <c r="K129">
        <v>7</v>
      </c>
      <c r="L129">
        <v>216</v>
      </c>
      <c r="Q129" s="17"/>
    </row>
    <row r="130" spans="1:17">
      <c r="A130" s="2">
        <v>41341</v>
      </c>
      <c r="B130" t="s">
        <v>22</v>
      </c>
      <c r="C130">
        <v>19</v>
      </c>
      <c r="D130" s="5" t="s">
        <v>20</v>
      </c>
      <c r="F130" s="13">
        <v>1.57</v>
      </c>
      <c r="J130">
        <f>75+103+118+139+152</f>
        <v>587</v>
      </c>
      <c r="K130">
        <v>5</v>
      </c>
      <c r="L130">
        <v>152</v>
      </c>
      <c r="Q130" s="17"/>
    </row>
    <row r="131" spans="1:17">
      <c r="A131" s="2">
        <v>41341</v>
      </c>
      <c r="B131" t="s">
        <v>22</v>
      </c>
      <c r="C131">
        <v>19</v>
      </c>
      <c r="D131" s="5" t="s">
        <v>20</v>
      </c>
      <c r="F131" s="13">
        <v>1.05</v>
      </c>
      <c r="J131">
        <f>60+85+86+113+117</f>
        <v>461</v>
      </c>
      <c r="K131">
        <v>5</v>
      </c>
      <c r="L131">
        <v>117</v>
      </c>
      <c r="Q131" s="17"/>
    </row>
    <row r="132" spans="1:17">
      <c r="A132" s="2">
        <v>41341</v>
      </c>
      <c r="B132" t="s">
        <v>22</v>
      </c>
      <c r="C132">
        <v>19</v>
      </c>
      <c r="D132" s="5" t="s">
        <v>20</v>
      </c>
      <c r="F132" s="13">
        <v>0.68</v>
      </c>
      <c r="J132">
        <f>35+39+43+43</f>
        <v>160</v>
      </c>
      <c r="K132">
        <v>4</v>
      </c>
      <c r="L132">
        <v>43</v>
      </c>
      <c r="Q132" s="17"/>
    </row>
    <row r="133" spans="1:17">
      <c r="A133" s="2">
        <v>41341</v>
      </c>
      <c r="B133" t="s">
        <v>22</v>
      </c>
      <c r="C133">
        <v>18</v>
      </c>
      <c r="D133" s="5" t="s">
        <v>23</v>
      </c>
      <c r="F133" s="13">
        <v>1.37</v>
      </c>
      <c r="J133">
        <f>34+75+82+108+136+128</f>
        <v>563</v>
      </c>
      <c r="K133">
        <v>6</v>
      </c>
      <c r="L133">
        <v>136</v>
      </c>
      <c r="Q133" s="17"/>
    </row>
    <row r="134" spans="1:17">
      <c r="A134" s="2">
        <v>41341</v>
      </c>
      <c r="B134" t="s">
        <v>22</v>
      </c>
      <c r="C134">
        <v>18</v>
      </c>
      <c r="D134" s="5" t="s">
        <v>23</v>
      </c>
      <c r="F134" s="13">
        <v>1.64</v>
      </c>
      <c r="J134">
        <f>69+76+101+105</f>
        <v>351</v>
      </c>
      <c r="K134">
        <v>4</v>
      </c>
      <c r="L134">
        <v>105</v>
      </c>
      <c r="Q134" s="17"/>
    </row>
    <row r="135" spans="1:17">
      <c r="A135" s="2">
        <v>41341</v>
      </c>
      <c r="B135" t="s">
        <v>22</v>
      </c>
      <c r="C135">
        <v>18</v>
      </c>
      <c r="D135" s="5" t="s">
        <v>23</v>
      </c>
      <c r="F135" s="13">
        <v>1.7</v>
      </c>
      <c r="J135">
        <f>43+95+94+120+123</f>
        <v>475</v>
      </c>
      <c r="K135">
        <v>5</v>
      </c>
      <c r="L135">
        <v>123</v>
      </c>
      <c r="Q135" s="17"/>
    </row>
    <row r="136" spans="1:17">
      <c r="A136" s="2">
        <v>41341</v>
      </c>
      <c r="B136" t="s">
        <v>22</v>
      </c>
      <c r="C136">
        <v>18</v>
      </c>
      <c r="D136" s="5" t="s">
        <v>23</v>
      </c>
      <c r="F136" s="13">
        <v>2.16</v>
      </c>
      <c r="J136">
        <f>84+131+177+189+186</f>
        <v>767</v>
      </c>
      <c r="K136">
        <v>5</v>
      </c>
      <c r="L136">
        <v>189</v>
      </c>
      <c r="Q136" s="17"/>
    </row>
    <row r="137" spans="1:17">
      <c r="A137" s="2">
        <v>41341</v>
      </c>
      <c r="B137" t="s">
        <v>22</v>
      </c>
      <c r="C137">
        <v>18</v>
      </c>
      <c r="D137" s="5" t="s">
        <v>23</v>
      </c>
      <c r="F137" s="13">
        <v>0.42</v>
      </c>
      <c r="J137">
        <f>36+36</f>
        <v>72</v>
      </c>
      <c r="K137">
        <v>2</v>
      </c>
      <c r="L137">
        <v>36</v>
      </c>
      <c r="Q137" s="17"/>
    </row>
    <row r="138" spans="1:17">
      <c r="A138" s="2">
        <v>41341</v>
      </c>
      <c r="B138" t="s">
        <v>22</v>
      </c>
      <c r="C138">
        <v>18</v>
      </c>
      <c r="D138" s="5" t="s">
        <v>23</v>
      </c>
      <c r="F138" s="13">
        <v>2.08</v>
      </c>
      <c r="J138">
        <f>89+125+137+156+170+187</f>
        <v>864</v>
      </c>
      <c r="K138">
        <v>6</v>
      </c>
      <c r="L138">
        <v>187</v>
      </c>
      <c r="Q138" s="17"/>
    </row>
    <row r="139" spans="1:17">
      <c r="A139" s="2">
        <v>41341</v>
      </c>
      <c r="B139" t="s">
        <v>22</v>
      </c>
      <c r="C139">
        <v>18</v>
      </c>
      <c r="D139" s="5" t="s">
        <v>23</v>
      </c>
      <c r="F139" s="13">
        <v>1.37</v>
      </c>
      <c r="J139">
        <f>31+40+40+40</f>
        <v>151</v>
      </c>
      <c r="K139">
        <v>4</v>
      </c>
      <c r="L139">
        <v>40</v>
      </c>
      <c r="Q139" s="17"/>
    </row>
    <row r="140" spans="1:17">
      <c r="A140" s="2">
        <v>41341</v>
      </c>
      <c r="B140" t="s">
        <v>22</v>
      </c>
      <c r="C140">
        <v>18</v>
      </c>
      <c r="D140" s="5" t="s">
        <v>23</v>
      </c>
      <c r="F140" s="13">
        <v>0.92</v>
      </c>
      <c r="J140">
        <f>48+72+92+94</f>
        <v>306</v>
      </c>
      <c r="K140">
        <v>4</v>
      </c>
      <c r="L140">
        <v>94</v>
      </c>
      <c r="Q140" s="17"/>
    </row>
    <row r="141" spans="1:17">
      <c r="A141" s="2">
        <v>41341</v>
      </c>
      <c r="B141" t="s">
        <v>22</v>
      </c>
      <c r="C141">
        <v>18</v>
      </c>
      <c r="D141" s="5" t="s">
        <v>23</v>
      </c>
      <c r="F141" s="13">
        <v>0.36</v>
      </c>
      <c r="J141">
        <f>19</f>
        <v>19</v>
      </c>
      <c r="K141">
        <v>1</v>
      </c>
      <c r="L141">
        <v>19</v>
      </c>
      <c r="Q141" s="17"/>
    </row>
    <row r="142" spans="1:17">
      <c r="A142" s="2">
        <v>41341</v>
      </c>
      <c r="B142" t="s">
        <v>22</v>
      </c>
      <c r="C142">
        <v>18</v>
      </c>
      <c r="D142" s="5" t="s">
        <v>23</v>
      </c>
      <c r="F142" s="13">
        <v>1.44</v>
      </c>
      <c r="J142">
        <f>50+81+100+113+150+150</f>
        <v>644</v>
      </c>
      <c r="K142">
        <v>6</v>
      </c>
      <c r="L142">
        <v>150</v>
      </c>
      <c r="Q142" s="17"/>
    </row>
    <row r="143" spans="1:17">
      <c r="A143" s="2">
        <v>41341</v>
      </c>
      <c r="B143" t="s">
        <v>22</v>
      </c>
      <c r="C143">
        <v>18</v>
      </c>
      <c r="D143" s="5" t="s">
        <v>23</v>
      </c>
      <c r="F143" s="13">
        <v>0.83</v>
      </c>
      <c r="J143">
        <f>26+34+34</f>
        <v>94</v>
      </c>
      <c r="K143">
        <v>3</v>
      </c>
      <c r="L143">
        <v>34</v>
      </c>
      <c r="Q143" s="17"/>
    </row>
    <row r="144" spans="1:17">
      <c r="A144" s="2">
        <v>41341</v>
      </c>
      <c r="B144" t="s">
        <v>22</v>
      </c>
      <c r="C144">
        <v>18</v>
      </c>
      <c r="D144" s="5" t="s">
        <v>23</v>
      </c>
      <c r="F144" s="13">
        <v>0.55000000000000004</v>
      </c>
      <c r="J144">
        <f>48+52+69</f>
        <v>169</v>
      </c>
      <c r="K144">
        <v>3</v>
      </c>
      <c r="L144">
        <v>69</v>
      </c>
      <c r="Q144" s="17"/>
    </row>
    <row r="145" spans="1:17">
      <c r="A145" s="2">
        <v>41341</v>
      </c>
      <c r="B145" t="s">
        <v>22</v>
      </c>
      <c r="C145">
        <v>18</v>
      </c>
      <c r="D145" s="5" t="s">
        <v>24</v>
      </c>
      <c r="E145">
        <v>230</v>
      </c>
      <c r="F145" s="13">
        <v>1</v>
      </c>
      <c r="Q145" s="17"/>
    </row>
    <row r="146" spans="1:17">
      <c r="A146" s="2">
        <v>41341</v>
      </c>
      <c r="B146" t="s">
        <v>22</v>
      </c>
      <c r="C146">
        <v>18</v>
      </c>
      <c r="D146" s="5" t="s">
        <v>24</v>
      </c>
      <c r="E146">
        <v>224</v>
      </c>
      <c r="F146" s="13">
        <v>1.06</v>
      </c>
      <c r="Q146" s="17"/>
    </row>
    <row r="147" spans="1:17">
      <c r="A147" s="2">
        <v>41341</v>
      </c>
      <c r="B147" t="s">
        <v>22</v>
      </c>
      <c r="C147">
        <v>18</v>
      </c>
      <c r="D147" s="5" t="s">
        <v>23</v>
      </c>
      <c r="F147" s="13">
        <v>1.75</v>
      </c>
      <c r="J147">
        <f>69+96+133+136+148</f>
        <v>582</v>
      </c>
      <c r="K147">
        <v>5</v>
      </c>
      <c r="L147">
        <v>148</v>
      </c>
      <c r="Q147" s="17"/>
    </row>
    <row r="148" spans="1:17">
      <c r="A148" s="2">
        <v>41341</v>
      </c>
      <c r="B148" t="s">
        <v>22</v>
      </c>
      <c r="C148">
        <v>18</v>
      </c>
      <c r="D148" s="5" t="s">
        <v>23</v>
      </c>
      <c r="F148" s="13">
        <v>0.88</v>
      </c>
      <c r="J148">
        <f>40+40+41</f>
        <v>121</v>
      </c>
      <c r="K148">
        <v>3</v>
      </c>
      <c r="L148">
        <v>41</v>
      </c>
      <c r="Q148" s="17"/>
    </row>
    <row r="149" spans="1:17">
      <c r="A149" s="2">
        <v>41341</v>
      </c>
      <c r="B149" t="s">
        <v>22</v>
      </c>
      <c r="C149">
        <v>18</v>
      </c>
      <c r="D149" s="5" t="s">
        <v>24</v>
      </c>
      <c r="E149">
        <v>36</v>
      </c>
      <c r="F149" s="13">
        <v>0.72</v>
      </c>
      <c r="Q149" s="17"/>
    </row>
    <row r="150" spans="1:17">
      <c r="A150" s="2">
        <v>41341</v>
      </c>
      <c r="B150" t="s">
        <v>22</v>
      </c>
      <c r="C150">
        <v>18</v>
      </c>
      <c r="D150" s="5" t="s">
        <v>23</v>
      </c>
      <c r="F150" s="13">
        <v>1.38</v>
      </c>
      <c r="J150">
        <f>97+111+140+147+176+184</f>
        <v>855</v>
      </c>
      <c r="K150">
        <v>6</v>
      </c>
      <c r="L150">
        <v>184</v>
      </c>
      <c r="Q150" s="17"/>
    </row>
    <row r="151" spans="1:17">
      <c r="A151" s="2">
        <v>41341</v>
      </c>
      <c r="B151" s="2" t="s">
        <v>26</v>
      </c>
      <c r="C151">
        <v>50</v>
      </c>
      <c r="D151" s="5" t="s">
        <v>20</v>
      </c>
      <c r="F151" s="13">
        <v>0.75</v>
      </c>
      <c r="J151">
        <f>23+66+77+91</f>
        <v>257</v>
      </c>
      <c r="K151">
        <v>4</v>
      </c>
      <c r="L151">
        <v>91</v>
      </c>
      <c r="Q151" s="17"/>
    </row>
    <row r="152" spans="1:17">
      <c r="A152" s="2">
        <v>41341</v>
      </c>
      <c r="B152" s="2" t="s">
        <v>26</v>
      </c>
      <c r="C152">
        <v>50</v>
      </c>
      <c r="D152" s="5" t="s">
        <v>20</v>
      </c>
      <c r="F152" s="13">
        <v>1.75</v>
      </c>
      <c r="J152">
        <f>33+47+47+48</f>
        <v>175</v>
      </c>
      <c r="K152">
        <v>4</v>
      </c>
      <c r="L152">
        <v>48</v>
      </c>
      <c r="Q152" s="17"/>
    </row>
    <row r="153" spans="1:17">
      <c r="A153" s="2">
        <v>41341</v>
      </c>
      <c r="B153" s="2" t="s">
        <v>26</v>
      </c>
      <c r="C153">
        <v>50</v>
      </c>
      <c r="D153" s="5" t="s">
        <v>20</v>
      </c>
      <c r="F153" s="13">
        <v>3.2</v>
      </c>
      <c r="J153">
        <f>82+76+103+120+170+175+210</f>
        <v>936</v>
      </c>
      <c r="K153">
        <v>7</v>
      </c>
      <c r="L153">
        <v>210</v>
      </c>
      <c r="Q153" s="17"/>
    </row>
    <row r="154" spans="1:17">
      <c r="A154" s="2">
        <v>41341</v>
      </c>
      <c r="B154" s="2" t="s">
        <v>26</v>
      </c>
      <c r="C154">
        <v>50</v>
      </c>
      <c r="D154" s="5" t="s">
        <v>20</v>
      </c>
      <c r="F154" s="13">
        <v>3.7</v>
      </c>
      <c r="J154">
        <f>133+129+207+176+200+165</f>
        <v>1010</v>
      </c>
      <c r="K154">
        <v>6</v>
      </c>
      <c r="L154">
        <v>207</v>
      </c>
      <c r="Q154" s="17"/>
    </row>
    <row r="155" spans="1:17">
      <c r="A155" s="2">
        <v>41341</v>
      </c>
      <c r="B155" s="2" t="s">
        <v>26</v>
      </c>
      <c r="C155">
        <v>50</v>
      </c>
      <c r="D155" s="5" t="s">
        <v>20</v>
      </c>
      <c r="F155" s="13">
        <v>1.37</v>
      </c>
      <c r="J155">
        <f>67+83+98+101</f>
        <v>349</v>
      </c>
      <c r="K155">
        <v>4</v>
      </c>
      <c r="L155">
        <v>101</v>
      </c>
      <c r="Q155" s="17"/>
    </row>
    <row r="156" spans="1:17">
      <c r="A156" s="2">
        <v>41341</v>
      </c>
      <c r="B156" s="2" t="s">
        <v>26</v>
      </c>
      <c r="C156">
        <v>50</v>
      </c>
      <c r="D156" s="5" t="s">
        <v>20</v>
      </c>
      <c r="F156" s="13">
        <v>1.25</v>
      </c>
      <c r="J156">
        <f>55+80+81+100</f>
        <v>316</v>
      </c>
      <c r="K156">
        <v>4</v>
      </c>
      <c r="L156">
        <v>100</v>
      </c>
      <c r="Q156" s="17"/>
    </row>
    <row r="157" spans="1:17">
      <c r="A157" s="2">
        <v>41341</v>
      </c>
      <c r="B157" s="2" t="s">
        <v>26</v>
      </c>
      <c r="C157">
        <v>48</v>
      </c>
      <c r="M157" t="s">
        <v>27</v>
      </c>
      <c r="Q157" s="17"/>
    </row>
    <row r="158" spans="1:17">
      <c r="A158" s="2">
        <v>41341</v>
      </c>
      <c r="B158" s="2" t="s">
        <v>26</v>
      </c>
      <c r="C158">
        <v>31</v>
      </c>
      <c r="D158" s="5" t="s">
        <v>25</v>
      </c>
      <c r="E158">
        <v>58</v>
      </c>
      <c r="F158" s="13">
        <v>0.4</v>
      </c>
      <c r="Q158" s="17"/>
    </row>
    <row r="159" spans="1:17">
      <c r="A159" s="2">
        <v>41341</v>
      </c>
      <c r="B159" s="2" t="s">
        <v>26</v>
      </c>
      <c r="C159">
        <v>31</v>
      </c>
      <c r="D159" s="5" t="s">
        <v>25</v>
      </c>
      <c r="E159">
        <v>18</v>
      </c>
      <c r="F159" s="13">
        <v>0.45</v>
      </c>
      <c r="Q159" s="17"/>
    </row>
    <row r="160" spans="1:17">
      <c r="A160" s="2">
        <v>41341</v>
      </c>
      <c r="B160" s="2" t="s">
        <v>26</v>
      </c>
      <c r="C160">
        <v>31</v>
      </c>
      <c r="D160" s="5" t="s">
        <v>25</v>
      </c>
      <c r="E160">
        <v>18</v>
      </c>
      <c r="F160" s="13">
        <v>0.3</v>
      </c>
      <c r="Q160" s="17"/>
    </row>
    <row r="161" spans="1:17">
      <c r="A161" s="2">
        <v>41341</v>
      </c>
      <c r="B161" s="2" t="s">
        <v>26</v>
      </c>
      <c r="C161">
        <v>31</v>
      </c>
      <c r="D161" s="5" t="s">
        <v>25</v>
      </c>
      <c r="E161">
        <v>29</v>
      </c>
      <c r="F161" s="13">
        <v>0.2</v>
      </c>
      <c r="Q161" s="17"/>
    </row>
    <row r="162" spans="1:17">
      <c r="A162" s="2">
        <v>41341</v>
      </c>
      <c r="B162" s="2" t="s">
        <v>26</v>
      </c>
      <c r="C162">
        <v>31</v>
      </c>
      <c r="D162" s="5" t="s">
        <v>25</v>
      </c>
      <c r="E162">
        <v>31</v>
      </c>
      <c r="F162" s="13">
        <v>0.21</v>
      </c>
      <c r="Q162" s="17"/>
    </row>
    <row r="163" spans="1:17">
      <c r="A163" s="2">
        <v>41341</v>
      </c>
      <c r="B163" s="2" t="s">
        <v>26</v>
      </c>
      <c r="C163">
        <v>31</v>
      </c>
      <c r="D163" s="5" t="s">
        <v>25</v>
      </c>
      <c r="E163">
        <v>65</v>
      </c>
      <c r="F163" s="13">
        <v>0.41</v>
      </c>
      <c r="Q163" s="17"/>
    </row>
    <row r="164" spans="1:17">
      <c r="A164" s="2">
        <v>41341</v>
      </c>
      <c r="B164" s="2" t="s">
        <v>26</v>
      </c>
      <c r="C164">
        <v>31</v>
      </c>
      <c r="D164" s="5" t="s">
        <v>25</v>
      </c>
      <c r="E164">
        <v>12</v>
      </c>
      <c r="F164" s="13">
        <v>0.14000000000000001</v>
      </c>
      <c r="Q164" s="17"/>
    </row>
    <row r="165" spans="1:17">
      <c r="A165" s="2">
        <v>41341</v>
      </c>
      <c r="B165" s="2" t="s">
        <v>26</v>
      </c>
      <c r="C165">
        <v>31</v>
      </c>
      <c r="D165" s="5" t="s">
        <v>25</v>
      </c>
      <c r="E165">
        <v>19</v>
      </c>
      <c r="F165" s="13">
        <v>0.35</v>
      </c>
      <c r="Q165" s="17"/>
    </row>
    <row r="166" spans="1:17">
      <c r="A166" s="2">
        <v>41341</v>
      </c>
      <c r="B166" s="2" t="s">
        <v>26</v>
      </c>
      <c r="C166">
        <v>31</v>
      </c>
      <c r="D166" s="5" t="s">
        <v>25</v>
      </c>
      <c r="E166">
        <v>21</v>
      </c>
      <c r="F166" s="13">
        <v>0.55000000000000004</v>
      </c>
      <c r="Q166" s="17"/>
    </row>
    <row r="167" spans="1:17">
      <c r="A167" s="2">
        <v>41341</v>
      </c>
      <c r="B167" s="2" t="s">
        <v>26</v>
      </c>
      <c r="C167">
        <v>31</v>
      </c>
      <c r="D167" s="5" t="s">
        <v>25</v>
      </c>
      <c r="E167">
        <v>52</v>
      </c>
      <c r="F167" s="13">
        <v>0.71</v>
      </c>
      <c r="Q167" s="17"/>
    </row>
    <row r="168" spans="1:17">
      <c r="A168" s="2">
        <v>41341</v>
      </c>
      <c r="B168" s="2" t="s">
        <v>26</v>
      </c>
      <c r="C168">
        <v>31</v>
      </c>
      <c r="D168" s="5" t="s">
        <v>20</v>
      </c>
      <c r="F168" s="13">
        <v>0.4</v>
      </c>
      <c r="J168">
        <f>25+26</f>
        <v>51</v>
      </c>
      <c r="K168">
        <v>2</v>
      </c>
      <c r="L168">
        <v>26</v>
      </c>
      <c r="Q168" s="17"/>
    </row>
    <row r="169" spans="1:17">
      <c r="A169" s="2">
        <v>41341</v>
      </c>
      <c r="B169" s="2" t="s">
        <v>26</v>
      </c>
      <c r="C169">
        <v>31</v>
      </c>
      <c r="D169" s="5" t="s">
        <v>25</v>
      </c>
      <c r="E169">
        <v>20</v>
      </c>
      <c r="F169" s="13">
        <v>0.42</v>
      </c>
      <c r="Q169" s="17"/>
    </row>
    <row r="170" spans="1:17">
      <c r="A170" s="2">
        <v>41341</v>
      </c>
      <c r="B170" s="2" t="s">
        <v>26</v>
      </c>
      <c r="C170">
        <v>31</v>
      </c>
      <c r="D170" s="5" t="s">
        <v>25</v>
      </c>
      <c r="E170">
        <v>11</v>
      </c>
      <c r="F170" s="13">
        <v>0.2</v>
      </c>
      <c r="Q170" s="17"/>
    </row>
    <row r="171" spans="1:17">
      <c r="A171" s="2">
        <v>41341</v>
      </c>
      <c r="B171" s="2" t="s">
        <v>26</v>
      </c>
      <c r="C171">
        <v>31</v>
      </c>
      <c r="D171" s="5" t="s">
        <v>25</v>
      </c>
      <c r="E171">
        <v>22</v>
      </c>
      <c r="F171" s="13">
        <v>0.52</v>
      </c>
      <c r="Q171" s="17"/>
    </row>
    <row r="172" spans="1:17">
      <c r="A172" s="2">
        <v>41341</v>
      </c>
      <c r="B172" s="2" t="s">
        <v>26</v>
      </c>
      <c r="C172">
        <v>31</v>
      </c>
      <c r="D172" s="5" t="s">
        <v>25</v>
      </c>
      <c r="E172">
        <v>17</v>
      </c>
      <c r="F172" s="13">
        <v>0.45</v>
      </c>
      <c r="Q172" s="17"/>
    </row>
    <row r="173" spans="1:17">
      <c r="A173" s="2">
        <v>41341</v>
      </c>
      <c r="B173" s="2" t="s">
        <v>26</v>
      </c>
      <c r="C173">
        <v>31</v>
      </c>
      <c r="D173" s="5" t="s">
        <v>25</v>
      </c>
      <c r="E173">
        <v>16</v>
      </c>
      <c r="F173" s="13">
        <v>0.25</v>
      </c>
      <c r="Q173" s="17"/>
    </row>
    <row r="174" spans="1:17">
      <c r="A174" s="2">
        <v>41341</v>
      </c>
      <c r="B174" s="2" t="s">
        <v>26</v>
      </c>
      <c r="C174">
        <v>31</v>
      </c>
      <c r="D174" s="5" t="s">
        <v>25</v>
      </c>
      <c r="E174">
        <v>49</v>
      </c>
      <c r="F174" s="13">
        <v>0.49</v>
      </c>
      <c r="Q174" s="17"/>
    </row>
    <row r="175" spans="1:17">
      <c r="A175" s="2">
        <v>41341</v>
      </c>
      <c r="B175" s="2" t="s">
        <v>26</v>
      </c>
      <c r="C175">
        <v>31</v>
      </c>
      <c r="D175" s="5" t="s">
        <v>25</v>
      </c>
      <c r="E175">
        <v>22</v>
      </c>
      <c r="F175" s="13">
        <v>0.49</v>
      </c>
      <c r="Q175" s="17"/>
    </row>
    <row r="176" spans="1:17">
      <c r="A176" s="2">
        <v>41341</v>
      </c>
      <c r="B176" s="2" t="s">
        <v>26</v>
      </c>
      <c r="C176">
        <v>31</v>
      </c>
      <c r="D176" s="5" t="s">
        <v>20</v>
      </c>
      <c r="F176" s="13">
        <v>2.4900000000000002</v>
      </c>
      <c r="J176">
        <f>85+79+206</f>
        <v>370</v>
      </c>
      <c r="K176">
        <v>3</v>
      </c>
      <c r="L176">
        <v>206</v>
      </c>
      <c r="Q176" s="17"/>
    </row>
    <row r="177" spans="1:17">
      <c r="A177" s="2">
        <v>41341</v>
      </c>
      <c r="B177" s="2" t="s">
        <v>26</v>
      </c>
      <c r="C177">
        <v>31</v>
      </c>
      <c r="D177" s="5" t="s">
        <v>25</v>
      </c>
      <c r="E177">
        <v>20</v>
      </c>
      <c r="F177" s="13">
        <v>0.52</v>
      </c>
      <c r="Q177" s="17"/>
    </row>
    <row r="178" spans="1:17">
      <c r="A178" s="2">
        <v>41341</v>
      </c>
      <c r="B178" s="2" t="s">
        <v>26</v>
      </c>
      <c r="C178">
        <v>31</v>
      </c>
      <c r="D178" s="5" t="s">
        <v>25</v>
      </c>
      <c r="E178">
        <v>19</v>
      </c>
      <c r="F178" s="13">
        <v>0.51</v>
      </c>
      <c r="Q178" s="17"/>
    </row>
    <row r="179" spans="1:17">
      <c r="A179" s="2">
        <v>41341</v>
      </c>
      <c r="B179" s="2" t="s">
        <v>26</v>
      </c>
      <c r="C179">
        <v>31</v>
      </c>
      <c r="D179" s="5" t="s">
        <v>25</v>
      </c>
      <c r="E179">
        <v>10</v>
      </c>
      <c r="F179" s="13">
        <v>0.5</v>
      </c>
      <c r="Q179" s="17"/>
    </row>
    <row r="180" spans="1:17">
      <c r="A180" s="2">
        <v>41341</v>
      </c>
      <c r="B180" s="2" t="s">
        <v>26</v>
      </c>
      <c r="C180">
        <v>31</v>
      </c>
      <c r="D180" s="5" t="s">
        <v>25</v>
      </c>
      <c r="E180">
        <v>22</v>
      </c>
      <c r="F180" s="13">
        <v>0.42</v>
      </c>
      <c r="Q180" s="17"/>
    </row>
    <row r="181" spans="1:17">
      <c r="A181" s="2">
        <v>41341</v>
      </c>
      <c r="B181" s="2" t="s">
        <v>26</v>
      </c>
      <c r="C181">
        <v>31</v>
      </c>
      <c r="D181" s="5" t="s">
        <v>25</v>
      </c>
      <c r="E181">
        <v>23</v>
      </c>
      <c r="F181" s="13">
        <v>0.33</v>
      </c>
      <c r="Q181" s="17"/>
    </row>
    <row r="182" spans="1:17">
      <c r="A182" s="2">
        <v>41341</v>
      </c>
      <c r="B182" s="2" t="s">
        <v>26</v>
      </c>
      <c r="C182">
        <v>31</v>
      </c>
      <c r="D182" s="5" t="s">
        <v>25</v>
      </c>
      <c r="E182">
        <v>13</v>
      </c>
      <c r="F182" s="13">
        <v>0.44</v>
      </c>
      <c r="Q182" s="17"/>
    </row>
    <row r="183" spans="1:17">
      <c r="A183" s="2">
        <v>41341</v>
      </c>
      <c r="B183" s="2" t="s">
        <v>26</v>
      </c>
      <c r="C183">
        <v>31</v>
      </c>
      <c r="D183" s="5" t="s">
        <v>25</v>
      </c>
      <c r="E183">
        <v>14</v>
      </c>
      <c r="F183" s="13">
        <v>0.25</v>
      </c>
      <c r="Q183" s="17"/>
    </row>
    <row r="184" spans="1:17">
      <c r="A184" s="2">
        <v>41341</v>
      </c>
      <c r="B184" s="2" t="s">
        <v>26</v>
      </c>
      <c r="C184">
        <v>31</v>
      </c>
      <c r="D184" s="5" t="s">
        <v>25</v>
      </c>
      <c r="E184">
        <v>64</v>
      </c>
      <c r="F184" s="13">
        <v>0.46</v>
      </c>
      <c r="Q184" s="17"/>
    </row>
    <row r="185" spans="1:17">
      <c r="A185" s="2">
        <v>41341</v>
      </c>
      <c r="B185" s="2" t="s">
        <v>26</v>
      </c>
      <c r="C185">
        <v>31</v>
      </c>
      <c r="D185" s="5" t="s">
        <v>25</v>
      </c>
      <c r="E185">
        <v>38</v>
      </c>
      <c r="F185" s="13">
        <v>0.56999999999999995</v>
      </c>
      <c r="Q185" s="17"/>
    </row>
    <row r="186" spans="1:17">
      <c r="A186" s="2">
        <v>41341</v>
      </c>
      <c r="B186" s="2" t="s">
        <v>26</v>
      </c>
      <c r="C186">
        <v>22</v>
      </c>
      <c r="D186" s="5" t="s">
        <v>25</v>
      </c>
      <c r="E186">
        <v>37</v>
      </c>
      <c r="F186" s="13">
        <v>0.6</v>
      </c>
      <c r="Q186" s="17"/>
    </row>
    <row r="187" spans="1:17">
      <c r="A187" s="2">
        <v>41341</v>
      </c>
      <c r="B187" s="2" t="s">
        <v>26</v>
      </c>
      <c r="C187">
        <v>22</v>
      </c>
      <c r="D187" s="5" t="s">
        <v>25</v>
      </c>
      <c r="E187">
        <v>49</v>
      </c>
      <c r="F187" s="13">
        <v>0.52</v>
      </c>
      <c r="Q187" s="17"/>
    </row>
    <row r="188" spans="1:17">
      <c r="A188" s="2">
        <v>41341</v>
      </c>
      <c r="B188" s="2" t="s">
        <v>26</v>
      </c>
      <c r="C188">
        <v>22</v>
      </c>
      <c r="D188" s="5" t="s">
        <v>25</v>
      </c>
      <c r="E188">
        <v>31</v>
      </c>
      <c r="F188" s="13">
        <v>0.28000000000000003</v>
      </c>
      <c r="Q188" s="17"/>
    </row>
    <row r="189" spans="1:17">
      <c r="A189" s="2">
        <v>41341</v>
      </c>
      <c r="B189" s="2" t="s">
        <v>26</v>
      </c>
      <c r="C189">
        <v>22</v>
      </c>
      <c r="D189" s="5" t="s">
        <v>25</v>
      </c>
      <c r="E189">
        <v>41</v>
      </c>
      <c r="F189" s="13">
        <v>0.35</v>
      </c>
      <c r="Q189" s="17"/>
    </row>
    <row r="190" spans="1:17">
      <c r="A190" s="2">
        <v>41341</v>
      </c>
      <c r="B190" s="2" t="s">
        <v>26</v>
      </c>
      <c r="C190">
        <v>22</v>
      </c>
      <c r="D190" s="5" t="s">
        <v>20</v>
      </c>
      <c r="F190" s="13">
        <v>0.76</v>
      </c>
      <c r="J190">
        <f>21+37+37+46</f>
        <v>141</v>
      </c>
      <c r="K190">
        <v>4</v>
      </c>
      <c r="L190">
        <v>46</v>
      </c>
      <c r="Q190" s="17"/>
    </row>
    <row r="191" spans="1:17">
      <c r="A191" s="2">
        <v>41341</v>
      </c>
      <c r="B191" s="2" t="s">
        <v>26</v>
      </c>
      <c r="C191">
        <v>22</v>
      </c>
      <c r="D191" s="5" t="s">
        <v>20</v>
      </c>
      <c r="F191" s="13">
        <v>1.36</v>
      </c>
      <c r="J191">
        <f>43+64+68+61+72</f>
        <v>308</v>
      </c>
      <c r="K191">
        <v>5</v>
      </c>
      <c r="L191">
        <v>72</v>
      </c>
      <c r="Q191" s="17"/>
    </row>
    <row r="192" spans="1:17">
      <c r="A192" s="2">
        <v>41341</v>
      </c>
      <c r="B192" s="2" t="s">
        <v>26</v>
      </c>
      <c r="C192">
        <v>22</v>
      </c>
      <c r="D192" s="5" t="s">
        <v>20</v>
      </c>
      <c r="F192" s="13">
        <v>0.86</v>
      </c>
      <c r="J192">
        <f>29+41+45+50</f>
        <v>165</v>
      </c>
      <c r="K192">
        <v>4</v>
      </c>
      <c r="L192">
        <v>50</v>
      </c>
      <c r="Q192" s="17"/>
    </row>
    <row r="193" spans="1:17">
      <c r="A193" s="2">
        <v>41341</v>
      </c>
      <c r="B193" s="2" t="s">
        <v>26</v>
      </c>
      <c r="C193">
        <v>13</v>
      </c>
      <c r="D193" s="5" t="s">
        <v>21</v>
      </c>
      <c r="E193">
        <v>240</v>
      </c>
      <c r="F193" s="13">
        <v>1.2</v>
      </c>
      <c r="G193">
        <v>1</v>
      </c>
      <c r="Q193" s="17"/>
    </row>
    <row r="194" spans="1:17">
      <c r="A194" s="2">
        <v>41341</v>
      </c>
      <c r="B194" s="2" t="s">
        <v>26</v>
      </c>
      <c r="C194">
        <v>13</v>
      </c>
      <c r="D194" s="5" t="s">
        <v>21</v>
      </c>
      <c r="E194">
        <v>124</v>
      </c>
      <c r="F194" s="13">
        <v>0.85</v>
      </c>
      <c r="Q194" s="17"/>
    </row>
    <row r="195" spans="1:17">
      <c r="A195" s="2">
        <v>41341</v>
      </c>
      <c r="B195" s="2" t="s">
        <v>26</v>
      </c>
      <c r="C195">
        <v>13</v>
      </c>
      <c r="D195" s="5" t="s">
        <v>21</v>
      </c>
      <c r="E195">
        <v>304</v>
      </c>
      <c r="F195" s="13">
        <v>1.23</v>
      </c>
      <c r="G195">
        <v>22</v>
      </c>
      <c r="Q195" s="17"/>
    </row>
    <row r="196" spans="1:17">
      <c r="A196" s="2">
        <v>41341</v>
      </c>
      <c r="B196" s="2" t="s">
        <v>26</v>
      </c>
      <c r="C196">
        <v>13</v>
      </c>
      <c r="D196" s="5" t="s">
        <v>21</v>
      </c>
      <c r="E196">
        <v>260</v>
      </c>
      <c r="F196" s="13">
        <v>0.82</v>
      </c>
      <c r="G196">
        <v>16</v>
      </c>
      <c r="Q196" s="17"/>
    </row>
    <row r="197" spans="1:17">
      <c r="A197" s="2">
        <v>41341</v>
      </c>
      <c r="B197" s="2" t="s">
        <v>26</v>
      </c>
      <c r="C197">
        <v>13</v>
      </c>
      <c r="D197" s="5" t="s">
        <v>20</v>
      </c>
      <c r="F197" s="13">
        <v>0.4</v>
      </c>
      <c r="J197">
        <f>66+69</f>
        <v>135</v>
      </c>
      <c r="K197">
        <v>2</v>
      </c>
      <c r="L197">
        <v>69</v>
      </c>
      <c r="Q197" s="17"/>
    </row>
    <row r="198" spans="1:17">
      <c r="A198" s="2">
        <v>41341</v>
      </c>
      <c r="B198" s="2" t="s">
        <v>26</v>
      </c>
      <c r="C198">
        <v>13</v>
      </c>
      <c r="D198" s="5" t="s">
        <v>21</v>
      </c>
      <c r="E198">
        <v>301</v>
      </c>
      <c r="F198" s="13">
        <v>0.93</v>
      </c>
      <c r="Q198" s="17"/>
    </row>
    <row r="199" spans="1:17">
      <c r="A199" s="2">
        <v>41341</v>
      </c>
      <c r="B199" s="2" t="s">
        <v>26</v>
      </c>
      <c r="C199">
        <v>13</v>
      </c>
      <c r="D199" s="5" t="s">
        <v>20</v>
      </c>
      <c r="F199" s="13">
        <v>0.52</v>
      </c>
      <c r="J199">
        <f>53+58+58</f>
        <v>169</v>
      </c>
      <c r="K199">
        <v>3</v>
      </c>
      <c r="L199">
        <v>58</v>
      </c>
      <c r="Q199" s="17"/>
    </row>
    <row r="200" spans="1:17">
      <c r="A200" s="2">
        <v>41341</v>
      </c>
      <c r="B200" s="2" t="s">
        <v>26</v>
      </c>
      <c r="C200">
        <v>13</v>
      </c>
      <c r="D200" s="5" t="s">
        <v>20</v>
      </c>
      <c r="F200" s="13">
        <v>0.48</v>
      </c>
      <c r="J200">
        <f>58+85+84</f>
        <v>227</v>
      </c>
      <c r="K200">
        <v>3</v>
      </c>
      <c r="L200">
        <v>85</v>
      </c>
      <c r="Q200" s="17"/>
    </row>
    <row r="201" spans="1:17">
      <c r="A201" s="2">
        <v>41341</v>
      </c>
      <c r="B201" s="2" t="s">
        <v>26</v>
      </c>
      <c r="C201">
        <v>13</v>
      </c>
      <c r="D201" s="5" t="s">
        <v>20</v>
      </c>
      <c r="F201" s="13">
        <v>1.05</v>
      </c>
      <c r="J201">
        <f>78+107+122+139</f>
        <v>446</v>
      </c>
      <c r="K201">
        <v>4</v>
      </c>
      <c r="L201">
        <v>139</v>
      </c>
      <c r="Q201" s="17"/>
    </row>
    <row r="202" spans="1:17">
      <c r="A202" s="2">
        <v>41354</v>
      </c>
      <c r="B202" s="2" t="s">
        <v>28</v>
      </c>
      <c r="C202">
        <v>46</v>
      </c>
      <c r="D202" s="5" t="s">
        <v>23</v>
      </c>
      <c r="F202" s="13">
        <v>1.38</v>
      </c>
      <c r="J202">
        <f>58+93+100+124+125</f>
        <v>500</v>
      </c>
      <c r="K202">
        <v>5</v>
      </c>
      <c r="L202">
        <v>125</v>
      </c>
      <c r="Q202" s="17"/>
    </row>
    <row r="203" spans="1:17">
      <c r="A203" s="2">
        <v>41354</v>
      </c>
      <c r="B203" s="2" t="s">
        <v>28</v>
      </c>
      <c r="C203">
        <v>46</v>
      </c>
      <c r="D203" s="5" t="s">
        <v>23</v>
      </c>
      <c r="F203" s="13">
        <v>1.27</v>
      </c>
      <c r="J203">
        <f>99+95+130+143</f>
        <v>467</v>
      </c>
      <c r="K203">
        <v>4</v>
      </c>
      <c r="L203">
        <v>143</v>
      </c>
      <c r="Q203" s="17"/>
    </row>
    <row r="204" spans="1:17">
      <c r="A204" s="2">
        <v>41354</v>
      </c>
      <c r="B204" s="2" t="s">
        <v>28</v>
      </c>
      <c r="C204">
        <v>46</v>
      </c>
      <c r="D204" s="5" t="s">
        <v>23</v>
      </c>
      <c r="F204" s="13">
        <v>1.1299999999999999</v>
      </c>
      <c r="J204">
        <f>66+52+82+112+123</f>
        <v>435</v>
      </c>
      <c r="K204">
        <v>5</v>
      </c>
      <c r="L204">
        <v>123</v>
      </c>
      <c r="Q204" s="17"/>
    </row>
    <row r="205" spans="1:17">
      <c r="A205" s="2">
        <v>41354</v>
      </c>
      <c r="B205" s="2" t="s">
        <v>28</v>
      </c>
      <c r="C205">
        <v>46</v>
      </c>
      <c r="D205" s="5" t="s">
        <v>23</v>
      </c>
      <c r="F205" s="13">
        <v>0.78</v>
      </c>
      <c r="J205">
        <f>30+38+36</f>
        <v>104</v>
      </c>
      <c r="K205">
        <v>3</v>
      </c>
      <c r="L205">
        <v>36</v>
      </c>
      <c r="Q205" s="17"/>
    </row>
    <row r="206" spans="1:17">
      <c r="A206" s="2">
        <v>41354</v>
      </c>
      <c r="B206" s="2" t="s">
        <v>28</v>
      </c>
      <c r="C206">
        <v>46</v>
      </c>
      <c r="D206" s="5" t="s">
        <v>23</v>
      </c>
      <c r="F206" s="13">
        <v>1.37</v>
      </c>
      <c r="J206">
        <f>34+32+32</f>
        <v>98</v>
      </c>
      <c r="K206">
        <v>3</v>
      </c>
      <c r="L206">
        <v>34</v>
      </c>
      <c r="Q206" s="17"/>
    </row>
    <row r="207" spans="1:17">
      <c r="A207" s="2">
        <v>41354</v>
      </c>
      <c r="B207" s="2" t="s">
        <v>28</v>
      </c>
      <c r="C207">
        <v>46</v>
      </c>
      <c r="D207" s="5" t="s">
        <v>23</v>
      </c>
      <c r="F207" s="13">
        <v>1.64</v>
      </c>
      <c r="J207">
        <f>32+32+75+125+139+151</f>
        <v>554</v>
      </c>
      <c r="K207">
        <v>6</v>
      </c>
      <c r="L207">
        <v>151</v>
      </c>
      <c r="Q207" s="17"/>
    </row>
    <row r="208" spans="1:17">
      <c r="A208" s="2">
        <v>41354</v>
      </c>
      <c r="B208" s="2" t="s">
        <v>28</v>
      </c>
      <c r="C208">
        <v>46</v>
      </c>
      <c r="D208" s="5" t="s">
        <v>23</v>
      </c>
      <c r="F208" s="13">
        <v>1.78</v>
      </c>
      <c r="J208">
        <f>74+103+122+128+154</f>
        <v>581</v>
      </c>
      <c r="K208">
        <v>5</v>
      </c>
      <c r="L208">
        <v>154</v>
      </c>
      <c r="Q208" s="17"/>
    </row>
    <row r="209" spans="1:17">
      <c r="A209" s="2">
        <v>41354</v>
      </c>
      <c r="B209" s="2" t="s">
        <v>28</v>
      </c>
      <c r="C209">
        <v>46</v>
      </c>
      <c r="D209" s="5" t="s">
        <v>23</v>
      </c>
      <c r="F209" s="13">
        <v>1.28</v>
      </c>
      <c r="J209">
        <f>69+71+113+126</f>
        <v>379</v>
      </c>
      <c r="K209">
        <v>4</v>
      </c>
      <c r="L209">
        <v>126</v>
      </c>
      <c r="Q209" s="17"/>
    </row>
    <row r="210" spans="1:17">
      <c r="A210" s="2">
        <v>41354</v>
      </c>
      <c r="B210" s="2" t="s">
        <v>28</v>
      </c>
      <c r="C210">
        <v>46</v>
      </c>
      <c r="D210" s="5" t="s">
        <v>23</v>
      </c>
      <c r="F210" s="13">
        <v>1.33</v>
      </c>
      <c r="J210">
        <f>67+80+110+117+132</f>
        <v>506</v>
      </c>
      <c r="K210">
        <v>5</v>
      </c>
      <c r="L210">
        <v>132</v>
      </c>
      <c r="Q210" s="17"/>
    </row>
    <row r="211" spans="1:17">
      <c r="A211" s="2">
        <v>41354</v>
      </c>
      <c r="B211" s="2" t="s">
        <v>28</v>
      </c>
      <c r="C211">
        <v>46</v>
      </c>
      <c r="D211" s="5" t="s">
        <v>23</v>
      </c>
      <c r="F211" s="13">
        <v>0.86</v>
      </c>
      <c r="J211">
        <f>75</f>
        <v>75</v>
      </c>
      <c r="K211">
        <v>1</v>
      </c>
      <c r="L211">
        <v>75</v>
      </c>
      <c r="Q211" s="17"/>
    </row>
    <row r="212" spans="1:17">
      <c r="A212" s="2">
        <v>41354</v>
      </c>
      <c r="B212" s="2" t="s">
        <v>28</v>
      </c>
      <c r="C212">
        <v>46</v>
      </c>
      <c r="D212" s="5" t="s">
        <v>23</v>
      </c>
      <c r="F212" s="13">
        <v>0.88</v>
      </c>
      <c r="J212">
        <f>63+87+91+107</f>
        <v>348</v>
      </c>
      <c r="K212">
        <v>4</v>
      </c>
      <c r="L212">
        <v>107</v>
      </c>
      <c r="Q212" s="17"/>
    </row>
    <row r="213" spans="1:17">
      <c r="A213" s="2">
        <v>41354</v>
      </c>
      <c r="B213" s="2" t="s">
        <v>28</v>
      </c>
      <c r="C213">
        <v>46</v>
      </c>
      <c r="D213" s="5" t="s">
        <v>23</v>
      </c>
      <c r="F213" s="13">
        <v>0.65</v>
      </c>
      <c r="J213">
        <f>41+47+48</f>
        <v>136</v>
      </c>
      <c r="K213">
        <v>3</v>
      </c>
      <c r="L213">
        <v>48</v>
      </c>
      <c r="Q213" s="17"/>
    </row>
    <row r="214" spans="1:17">
      <c r="A214" s="2">
        <v>41354</v>
      </c>
      <c r="B214" s="2" t="s">
        <v>28</v>
      </c>
      <c r="C214">
        <v>46</v>
      </c>
      <c r="D214" s="5" t="s">
        <v>23</v>
      </c>
      <c r="F214" s="13">
        <v>0.33</v>
      </c>
      <c r="J214">
        <f>46+47</f>
        <v>93</v>
      </c>
      <c r="K214">
        <v>2</v>
      </c>
      <c r="L214">
        <v>47</v>
      </c>
      <c r="Q214" s="17"/>
    </row>
    <row r="215" spans="1:17">
      <c r="A215" s="2">
        <v>41354</v>
      </c>
      <c r="B215" s="2" t="s">
        <v>28</v>
      </c>
      <c r="C215">
        <v>46</v>
      </c>
      <c r="D215" s="5" t="s">
        <v>23</v>
      </c>
      <c r="F215" s="13">
        <v>0.9</v>
      </c>
      <c r="J215">
        <f>53+51+89+113+125</f>
        <v>431</v>
      </c>
      <c r="K215">
        <v>5</v>
      </c>
      <c r="L215">
        <v>125</v>
      </c>
      <c r="Q215" s="17"/>
    </row>
    <row r="216" spans="1:17">
      <c r="A216" s="2">
        <v>41354</v>
      </c>
      <c r="B216" s="2" t="s">
        <v>28</v>
      </c>
      <c r="C216">
        <v>46</v>
      </c>
      <c r="D216" s="5" t="s">
        <v>23</v>
      </c>
      <c r="F216" s="13">
        <v>4.2</v>
      </c>
      <c r="J216">
        <f>65+65+65+57+141</f>
        <v>393</v>
      </c>
      <c r="K216">
        <v>5</v>
      </c>
      <c r="L216">
        <v>141</v>
      </c>
      <c r="Q216" s="17"/>
    </row>
    <row r="217" spans="1:17">
      <c r="A217" s="2">
        <v>41354</v>
      </c>
      <c r="B217" s="2" t="s">
        <v>28</v>
      </c>
      <c r="C217">
        <v>46</v>
      </c>
      <c r="D217" s="5" t="s">
        <v>23</v>
      </c>
      <c r="F217" s="13">
        <v>1.1100000000000001</v>
      </c>
      <c r="J217">
        <f>49+61+80+78</f>
        <v>268</v>
      </c>
      <c r="K217">
        <v>4</v>
      </c>
      <c r="L217">
        <v>80</v>
      </c>
      <c r="Q217" s="17"/>
    </row>
    <row r="218" spans="1:17">
      <c r="A218" s="2">
        <v>41354</v>
      </c>
      <c r="B218" s="2" t="s">
        <v>28</v>
      </c>
      <c r="C218">
        <v>46</v>
      </c>
      <c r="D218" s="5" t="s">
        <v>23</v>
      </c>
      <c r="F218" s="13">
        <v>1.46</v>
      </c>
      <c r="J218">
        <f>51+79+82</f>
        <v>212</v>
      </c>
      <c r="K218">
        <v>3</v>
      </c>
      <c r="L218">
        <v>82</v>
      </c>
      <c r="Q218" s="17"/>
    </row>
    <row r="219" spans="1:17">
      <c r="A219" s="2">
        <v>41354</v>
      </c>
      <c r="B219" s="2" t="s">
        <v>28</v>
      </c>
      <c r="C219">
        <v>46</v>
      </c>
      <c r="D219" s="5" t="s">
        <v>23</v>
      </c>
      <c r="F219" s="13">
        <v>1.53</v>
      </c>
      <c r="J219">
        <f>28+48+50+58+51</f>
        <v>235</v>
      </c>
      <c r="K219">
        <v>5</v>
      </c>
      <c r="L219">
        <v>58</v>
      </c>
      <c r="Q219" s="17"/>
    </row>
    <row r="220" spans="1:17">
      <c r="A220" s="2">
        <v>41354</v>
      </c>
      <c r="B220" s="2" t="s">
        <v>28</v>
      </c>
      <c r="C220">
        <v>46</v>
      </c>
      <c r="D220" s="5" t="s">
        <v>23</v>
      </c>
      <c r="F220" s="13">
        <v>0.82</v>
      </c>
      <c r="J220">
        <f>28+37+37</f>
        <v>102</v>
      </c>
      <c r="K220">
        <v>3</v>
      </c>
      <c r="L220">
        <v>37</v>
      </c>
      <c r="Q220" s="17"/>
    </row>
    <row r="221" spans="1:17">
      <c r="A221" s="2">
        <v>41354</v>
      </c>
      <c r="B221" s="2" t="s">
        <v>28</v>
      </c>
      <c r="C221">
        <v>46</v>
      </c>
      <c r="D221" s="5" t="s">
        <v>23</v>
      </c>
      <c r="F221" s="13">
        <v>1.65</v>
      </c>
      <c r="J221">
        <f>37+47+65+62</f>
        <v>211</v>
      </c>
      <c r="K221">
        <v>4</v>
      </c>
      <c r="L221">
        <v>65</v>
      </c>
      <c r="Q221" s="17"/>
    </row>
    <row r="222" spans="1:17">
      <c r="A222" s="2">
        <v>41354</v>
      </c>
      <c r="B222" s="2" t="s">
        <v>28</v>
      </c>
      <c r="C222">
        <v>46</v>
      </c>
      <c r="D222" s="5" t="s">
        <v>23</v>
      </c>
      <c r="F222" s="13">
        <v>0.94</v>
      </c>
      <c r="J222">
        <f>42+48+49</f>
        <v>139</v>
      </c>
      <c r="K222">
        <v>3</v>
      </c>
      <c r="L222">
        <v>49</v>
      </c>
      <c r="Q222" s="17"/>
    </row>
    <row r="223" spans="1:17">
      <c r="A223" s="2">
        <v>41354</v>
      </c>
      <c r="B223" s="2" t="s">
        <v>28</v>
      </c>
      <c r="C223">
        <v>46</v>
      </c>
      <c r="D223" s="5" t="s">
        <v>23</v>
      </c>
      <c r="F223" s="13">
        <v>1.19</v>
      </c>
      <c r="J223">
        <f>55+57+69+70</f>
        <v>251</v>
      </c>
      <c r="K223">
        <v>4</v>
      </c>
      <c r="L223">
        <v>70</v>
      </c>
      <c r="Q223" s="17"/>
    </row>
    <row r="224" spans="1:17">
      <c r="A224" s="2">
        <v>41354</v>
      </c>
      <c r="B224" s="2" t="s">
        <v>29</v>
      </c>
      <c r="C224">
        <v>39</v>
      </c>
      <c r="D224" s="5" t="s">
        <v>23</v>
      </c>
      <c r="F224" s="13">
        <v>1.01</v>
      </c>
      <c r="J224">
        <f>44+59+72+72</f>
        <v>247</v>
      </c>
      <c r="K224">
        <v>4</v>
      </c>
      <c r="L224">
        <v>72</v>
      </c>
      <c r="Q224" s="17"/>
    </row>
    <row r="225" spans="1:17">
      <c r="A225" s="2">
        <v>41354</v>
      </c>
      <c r="B225" s="2" t="s">
        <v>29</v>
      </c>
      <c r="C225">
        <v>39</v>
      </c>
      <c r="D225" s="5" t="s">
        <v>23</v>
      </c>
      <c r="F225" s="13">
        <v>1.7</v>
      </c>
      <c r="J225">
        <f>70+102+163+155</f>
        <v>490</v>
      </c>
      <c r="K225">
        <v>4</v>
      </c>
      <c r="L225">
        <v>163</v>
      </c>
      <c r="Q225" s="17"/>
    </row>
    <row r="226" spans="1:17">
      <c r="A226" s="2">
        <v>41354</v>
      </c>
      <c r="B226" s="2" t="s">
        <v>29</v>
      </c>
      <c r="C226">
        <v>39</v>
      </c>
      <c r="D226" s="5" t="s">
        <v>23</v>
      </c>
      <c r="F226" s="13">
        <v>1.65</v>
      </c>
      <c r="J226">
        <f>95+98+122</f>
        <v>315</v>
      </c>
      <c r="K226">
        <v>3</v>
      </c>
      <c r="L226">
        <v>122</v>
      </c>
      <c r="Q226" s="17"/>
    </row>
    <row r="227" spans="1:17">
      <c r="A227" s="2">
        <v>41354</v>
      </c>
      <c r="B227" s="2" t="s">
        <v>29</v>
      </c>
      <c r="C227">
        <v>39</v>
      </c>
      <c r="D227" s="5" t="s">
        <v>23</v>
      </c>
      <c r="F227" s="13">
        <v>1.7</v>
      </c>
      <c r="J227">
        <f>88+92+122+139</f>
        <v>441</v>
      </c>
      <c r="K227">
        <v>4</v>
      </c>
      <c r="L227">
        <v>139</v>
      </c>
      <c r="Q227" s="17"/>
    </row>
    <row r="228" spans="1:17">
      <c r="A228" s="2">
        <v>41354</v>
      </c>
      <c r="B228" s="2" t="s">
        <v>29</v>
      </c>
      <c r="C228">
        <v>39</v>
      </c>
      <c r="D228" s="5" t="s">
        <v>23</v>
      </c>
      <c r="F228" s="13">
        <v>1.42</v>
      </c>
      <c r="J228">
        <f>80+100+103+118</f>
        <v>401</v>
      </c>
      <c r="K228">
        <v>4</v>
      </c>
      <c r="L228">
        <v>118</v>
      </c>
      <c r="Q228" s="17"/>
    </row>
    <row r="229" spans="1:17">
      <c r="A229" s="2">
        <v>41354</v>
      </c>
      <c r="B229" s="2" t="s">
        <v>29</v>
      </c>
      <c r="C229">
        <v>31</v>
      </c>
      <c r="D229" s="5" t="s">
        <v>23</v>
      </c>
      <c r="F229" s="13">
        <v>1.05</v>
      </c>
      <c r="J229">
        <f>53+49+66</f>
        <v>168</v>
      </c>
      <c r="K229">
        <v>3</v>
      </c>
      <c r="L229">
        <v>66</v>
      </c>
      <c r="Q229" s="17"/>
    </row>
    <row r="230" spans="1:17">
      <c r="A230" s="2">
        <v>41354</v>
      </c>
      <c r="B230" s="2" t="s">
        <v>29</v>
      </c>
      <c r="C230">
        <v>31</v>
      </c>
      <c r="D230" s="5" t="s">
        <v>23</v>
      </c>
      <c r="F230" s="13">
        <v>1.98</v>
      </c>
      <c r="J230">
        <f>99+123+153+171</f>
        <v>546</v>
      </c>
      <c r="K230">
        <v>4</v>
      </c>
      <c r="L230">
        <v>171</v>
      </c>
      <c r="Q230" s="17"/>
    </row>
    <row r="231" spans="1:17">
      <c r="A231" s="2">
        <v>41354</v>
      </c>
      <c r="B231" s="2" t="s">
        <v>29</v>
      </c>
      <c r="C231">
        <v>31</v>
      </c>
      <c r="D231" s="5" t="s">
        <v>23</v>
      </c>
      <c r="F231" s="13">
        <v>1.1000000000000001</v>
      </c>
      <c r="J231">
        <f>40+59+71+74</f>
        <v>244</v>
      </c>
      <c r="K231">
        <v>4</v>
      </c>
      <c r="L231">
        <v>74</v>
      </c>
      <c r="Q231" s="17"/>
    </row>
    <row r="232" spans="1:17">
      <c r="A232" s="2">
        <v>41354</v>
      </c>
      <c r="B232" s="2" t="s">
        <v>29</v>
      </c>
      <c r="C232">
        <v>31</v>
      </c>
      <c r="D232" s="5" t="s">
        <v>23</v>
      </c>
      <c r="F232" s="13">
        <v>0.88</v>
      </c>
      <c r="J232">
        <f>59+79+80</f>
        <v>218</v>
      </c>
      <c r="K232">
        <v>3</v>
      </c>
      <c r="L232">
        <v>80</v>
      </c>
      <c r="Q232" s="17"/>
    </row>
    <row r="233" spans="1:17">
      <c r="A233" s="2">
        <v>41354</v>
      </c>
      <c r="B233" s="2" t="s">
        <v>29</v>
      </c>
      <c r="C233">
        <v>31</v>
      </c>
      <c r="D233" s="5" t="s">
        <v>23</v>
      </c>
      <c r="F233" s="13">
        <v>1.27</v>
      </c>
      <c r="J233">
        <f>51+81+94+91</f>
        <v>317</v>
      </c>
      <c r="K233">
        <v>4</v>
      </c>
      <c r="L233">
        <v>91</v>
      </c>
      <c r="Q233" s="17"/>
    </row>
    <row r="234" spans="1:17">
      <c r="A234" s="2">
        <v>41354</v>
      </c>
      <c r="B234" s="2" t="s">
        <v>29</v>
      </c>
      <c r="C234">
        <v>31</v>
      </c>
      <c r="D234" s="5" t="s">
        <v>23</v>
      </c>
      <c r="F234" s="13">
        <v>4.59</v>
      </c>
      <c r="J234">
        <f>103+138+136+159+164</f>
        <v>700</v>
      </c>
      <c r="K234">
        <v>5</v>
      </c>
      <c r="L234">
        <v>164</v>
      </c>
      <c r="Q234" s="17"/>
    </row>
    <row r="235" spans="1:17">
      <c r="A235" s="2">
        <v>41354</v>
      </c>
      <c r="B235" s="2" t="s">
        <v>29</v>
      </c>
      <c r="C235">
        <v>31</v>
      </c>
      <c r="D235" s="5" t="s">
        <v>23</v>
      </c>
      <c r="F235" s="13">
        <v>0.68</v>
      </c>
      <c r="J235">
        <f>36+52+65+68</f>
        <v>221</v>
      </c>
      <c r="K235">
        <v>4</v>
      </c>
      <c r="L235">
        <v>68</v>
      </c>
      <c r="Q235" s="17"/>
    </row>
    <row r="236" spans="1:17">
      <c r="A236" s="2">
        <v>41354</v>
      </c>
      <c r="B236" s="2" t="s">
        <v>29</v>
      </c>
      <c r="C236">
        <v>31</v>
      </c>
      <c r="D236" s="5" t="s">
        <v>23</v>
      </c>
      <c r="F236" s="13">
        <v>0.95</v>
      </c>
      <c r="J236">
        <f>38+57+68+53</f>
        <v>216</v>
      </c>
      <c r="K236">
        <v>4</v>
      </c>
      <c r="L236">
        <v>68</v>
      </c>
      <c r="Q236" s="17"/>
    </row>
    <row r="237" spans="1:17">
      <c r="A237" s="2">
        <v>41354</v>
      </c>
      <c r="B237" s="2" t="s">
        <v>29</v>
      </c>
      <c r="C237">
        <v>14</v>
      </c>
      <c r="D237" s="5" t="s">
        <v>24</v>
      </c>
      <c r="E237">
        <v>170</v>
      </c>
      <c r="F237" s="13">
        <v>1.87</v>
      </c>
      <c r="Q237" s="17"/>
    </row>
    <row r="238" spans="1:17">
      <c r="A238" s="2">
        <v>41354</v>
      </c>
      <c r="B238" s="2" t="s">
        <v>29</v>
      </c>
      <c r="C238">
        <v>14</v>
      </c>
      <c r="D238" s="5" t="s">
        <v>24</v>
      </c>
      <c r="E238">
        <v>140</v>
      </c>
      <c r="F238" s="13">
        <v>1.58</v>
      </c>
      <c r="Q238" s="17"/>
    </row>
    <row r="239" spans="1:17">
      <c r="A239" s="2">
        <v>41354</v>
      </c>
      <c r="B239" s="2" t="s">
        <v>30</v>
      </c>
      <c r="C239">
        <v>52</v>
      </c>
      <c r="D239" s="5" t="s">
        <v>21</v>
      </c>
      <c r="E239">
        <v>203</v>
      </c>
      <c r="F239" s="13">
        <v>1.77</v>
      </c>
      <c r="Q239" s="17"/>
    </row>
    <row r="240" spans="1:17">
      <c r="A240" s="2">
        <v>41354</v>
      </c>
      <c r="B240" s="2" t="s">
        <v>30</v>
      </c>
      <c r="C240">
        <v>52</v>
      </c>
      <c r="D240" s="5" t="s">
        <v>21</v>
      </c>
      <c r="E240">
        <v>96</v>
      </c>
      <c r="F240" s="13">
        <v>0.67</v>
      </c>
      <c r="Q240" s="17"/>
    </row>
    <row r="241" spans="1:17">
      <c r="A241" s="2">
        <v>41354</v>
      </c>
      <c r="B241" s="2" t="s">
        <v>30</v>
      </c>
      <c r="C241">
        <v>52</v>
      </c>
      <c r="D241" s="5" t="s">
        <v>21</v>
      </c>
      <c r="E241">
        <v>102</v>
      </c>
      <c r="F241" s="13">
        <v>0.82</v>
      </c>
      <c r="Q241" s="17"/>
    </row>
    <row r="242" spans="1:17">
      <c r="A242" s="2">
        <v>41354</v>
      </c>
      <c r="B242" s="2" t="s">
        <v>30</v>
      </c>
      <c r="C242">
        <v>52</v>
      </c>
      <c r="D242" s="5" t="s">
        <v>21</v>
      </c>
      <c r="E242">
        <v>73</v>
      </c>
      <c r="F242" s="13">
        <v>0.92</v>
      </c>
      <c r="Q242" s="17"/>
    </row>
    <row r="243" spans="1:17">
      <c r="A243" s="2">
        <v>41354</v>
      </c>
      <c r="B243" s="2" t="s">
        <v>30</v>
      </c>
      <c r="C243">
        <v>52</v>
      </c>
      <c r="D243" s="5" t="s">
        <v>21</v>
      </c>
      <c r="E243">
        <v>121</v>
      </c>
      <c r="F243" s="13">
        <v>0.67</v>
      </c>
      <c r="Q243" s="17"/>
    </row>
    <row r="244" spans="1:17">
      <c r="A244" s="2">
        <v>41354</v>
      </c>
      <c r="B244" s="2" t="s">
        <v>30</v>
      </c>
      <c r="C244">
        <v>52</v>
      </c>
      <c r="D244" s="5" t="s">
        <v>21</v>
      </c>
      <c r="E244">
        <v>134</v>
      </c>
      <c r="F244" s="13">
        <v>0.97</v>
      </c>
      <c r="Q244" s="17"/>
    </row>
    <row r="245" spans="1:17">
      <c r="A245" s="2">
        <v>41354</v>
      </c>
      <c r="B245" s="2" t="s">
        <v>30</v>
      </c>
      <c r="C245">
        <v>49</v>
      </c>
      <c r="D245" s="5" t="s">
        <v>21</v>
      </c>
      <c r="E245">
        <v>333</v>
      </c>
      <c r="F245" s="13">
        <v>1.97</v>
      </c>
      <c r="Q245" s="17"/>
    </row>
    <row r="246" spans="1:17">
      <c r="A246" s="2">
        <v>41354</v>
      </c>
      <c r="B246" s="2" t="s">
        <v>30</v>
      </c>
      <c r="C246">
        <v>49</v>
      </c>
      <c r="D246" s="5" t="s">
        <v>21</v>
      </c>
      <c r="E246">
        <v>170</v>
      </c>
      <c r="F246" s="13">
        <v>0.75</v>
      </c>
      <c r="Q246" s="17"/>
    </row>
    <row r="247" spans="1:17">
      <c r="A247" s="2">
        <v>41354</v>
      </c>
      <c r="B247" s="2" t="s">
        <v>30</v>
      </c>
      <c r="C247">
        <v>49</v>
      </c>
      <c r="D247" s="5" t="s">
        <v>21</v>
      </c>
      <c r="E247">
        <v>334</v>
      </c>
      <c r="F247" s="13">
        <v>2.4900000000000002</v>
      </c>
      <c r="Q247" s="17"/>
    </row>
    <row r="248" spans="1:17">
      <c r="A248" s="2">
        <v>41354</v>
      </c>
      <c r="B248" s="2" t="s">
        <v>30</v>
      </c>
      <c r="C248">
        <v>49</v>
      </c>
      <c r="D248" s="5" t="s">
        <v>21</v>
      </c>
      <c r="E248">
        <v>305</v>
      </c>
      <c r="F248" s="13">
        <v>2.61</v>
      </c>
      <c r="Q248" s="17"/>
    </row>
    <row r="249" spans="1:17">
      <c r="A249" s="2">
        <v>41354</v>
      </c>
      <c r="B249" s="2" t="s">
        <v>31</v>
      </c>
      <c r="C249">
        <v>29</v>
      </c>
      <c r="D249" s="5" t="s">
        <v>23</v>
      </c>
      <c r="F249" s="13">
        <v>0.95</v>
      </c>
      <c r="J249">
        <f>46+67+61</f>
        <v>174</v>
      </c>
      <c r="K249">
        <v>3</v>
      </c>
      <c r="L249">
        <v>61</v>
      </c>
      <c r="Q249" s="17"/>
    </row>
    <row r="250" spans="1:17">
      <c r="A250" s="2">
        <v>41354</v>
      </c>
      <c r="B250" s="2" t="s">
        <v>31</v>
      </c>
      <c r="C250">
        <v>29</v>
      </c>
      <c r="D250" s="5" t="s">
        <v>23</v>
      </c>
      <c r="F250" s="13">
        <v>1.08</v>
      </c>
      <c r="J250">
        <f>42+59+59</f>
        <v>160</v>
      </c>
      <c r="K250">
        <v>3</v>
      </c>
      <c r="L250">
        <v>59</v>
      </c>
      <c r="Q250" s="17"/>
    </row>
    <row r="251" spans="1:17">
      <c r="A251" s="2">
        <v>41354</v>
      </c>
      <c r="B251" s="2" t="s">
        <v>31</v>
      </c>
      <c r="C251">
        <v>9</v>
      </c>
      <c r="D251" s="5" t="s">
        <v>21</v>
      </c>
      <c r="E251">
        <v>56</v>
      </c>
      <c r="F251" s="13">
        <v>0.97</v>
      </c>
      <c r="G251">
        <v>5</v>
      </c>
      <c r="Q251" s="17"/>
    </row>
    <row r="252" spans="1:17">
      <c r="A252" s="2">
        <v>41354</v>
      </c>
      <c r="B252" s="2" t="s">
        <v>31</v>
      </c>
      <c r="C252">
        <v>9</v>
      </c>
      <c r="D252" s="5" t="s">
        <v>23</v>
      </c>
      <c r="F252" s="13">
        <v>1.34</v>
      </c>
      <c r="J252">
        <f>50+73+75</f>
        <v>198</v>
      </c>
      <c r="K252">
        <v>3</v>
      </c>
      <c r="L252">
        <v>75</v>
      </c>
      <c r="Q252" s="17"/>
    </row>
    <row r="253" spans="1:17">
      <c r="A253" s="2">
        <v>41354</v>
      </c>
      <c r="B253" s="2" t="s">
        <v>31</v>
      </c>
      <c r="C253">
        <v>9</v>
      </c>
      <c r="D253" s="5" t="s">
        <v>23</v>
      </c>
      <c r="F253" s="13">
        <v>1.34</v>
      </c>
      <c r="J253">
        <f>62+79+80+33</f>
        <v>254</v>
      </c>
      <c r="K253">
        <v>4</v>
      </c>
      <c r="L253">
        <v>80</v>
      </c>
      <c r="Q253" s="17"/>
    </row>
    <row r="254" spans="1:17">
      <c r="A254" s="2">
        <v>41354</v>
      </c>
      <c r="B254" s="2" t="s">
        <v>31</v>
      </c>
      <c r="C254">
        <v>9</v>
      </c>
      <c r="D254" s="5" t="s">
        <v>24</v>
      </c>
      <c r="E254">
        <v>78</v>
      </c>
      <c r="F254" s="13">
        <v>1.01</v>
      </c>
      <c r="G254">
        <v>1</v>
      </c>
      <c r="Q254" s="17"/>
    </row>
    <row r="255" spans="1:17">
      <c r="A255" s="2">
        <v>41354</v>
      </c>
      <c r="B255" s="2" t="s">
        <v>31</v>
      </c>
      <c r="C255">
        <v>9</v>
      </c>
      <c r="D255" s="5" t="s">
        <v>24</v>
      </c>
      <c r="E255">
        <v>23</v>
      </c>
      <c r="F255" s="13">
        <v>0.6</v>
      </c>
      <c r="Q255" s="17"/>
    </row>
    <row r="256" spans="1:17">
      <c r="A256" s="2">
        <v>41354</v>
      </c>
      <c r="B256" s="2" t="s">
        <v>31</v>
      </c>
      <c r="C256">
        <v>9</v>
      </c>
      <c r="D256" s="5" t="s">
        <v>24</v>
      </c>
      <c r="E256">
        <v>42</v>
      </c>
      <c r="F256" s="13">
        <v>0.91</v>
      </c>
      <c r="Q256" s="17"/>
    </row>
    <row r="257" spans="1:17">
      <c r="A257" s="2">
        <v>41354</v>
      </c>
      <c r="B257" s="2" t="s">
        <v>31</v>
      </c>
      <c r="C257">
        <v>9</v>
      </c>
      <c r="D257" s="5" t="s">
        <v>24</v>
      </c>
      <c r="E257">
        <v>31</v>
      </c>
      <c r="F257" s="13">
        <v>0.56000000000000005</v>
      </c>
      <c r="Q257" s="17"/>
    </row>
    <row r="258" spans="1:17">
      <c r="A258" s="2">
        <v>41354</v>
      </c>
      <c r="B258" s="2" t="s">
        <v>31</v>
      </c>
      <c r="C258">
        <v>9</v>
      </c>
      <c r="D258" s="5" t="s">
        <v>24</v>
      </c>
      <c r="E258">
        <v>90</v>
      </c>
      <c r="F258" s="13">
        <v>1.22</v>
      </c>
      <c r="Q258" s="17"/>
    </row>
    <row r="259" spans="1:17">
      <c r="A259" s="2">
        <v>41354</v>
      </c>
      <c r="B259" s="2" t="s">
        <v>31</v>
      </c>
      <c r="C259">
        <v>9</v>
      </c>
      <c r="D259" s="5" t="s">
        <v>23</v>
      </c>
      <c r="F259" s="13">
        <v>1.76</v>
      </c>
      <c r="J259">
        <f>54+77+90+94</f>
        <v>315</v>
      </c>
      <c r="K259">
        <v>4</v>
      </c>
      <c r="L259">
        <v>94</v>
      </c>
      <c r="Q259" s="17"/>
    </row>
    <row r="260" spans="1:17">
      <c r="A260" s="2">
        <v>41354</v>
      </c>
      <c r="B260" s="2" t="s">
        <v>31</v>
      </c>
      <c r="C260">
        <v>9</v>
      </c>
      <c r="D260" s="5" t="s">
        <v>24</v>
      </c>
      <c r="E260">
        <v>33</v>
      </c>
      <c r="F260" s="13">
        <v>0.54</v>
      </c>
      <c r="Q260" s="17"/>
    </row>
    <row r="261" spans="1:17">
      <c r="A261" s="2">
        <v>41354</v>
      </c>
      <c r="B261" s="2" t="s">
        <v>31</v>
      </c>
      <c r="C261">
        <v>9</v>
      </c>
      <c r="D261" s="5" t="s">
        <v>23</v>
      </c>
      <c r="F261" s="13">
        <v>0.84</v>
      </c>
      <c r="J261">
        <f>34+56+62</f>
        <v>152</v>
      </c>
      <c r="K261">
        <v>3</v>
      </c>
      <c r="L261">
        <v>62</v>
      </c>
      <c r="Q261" s="17"/>
    </row>
    <row r="262" spans="1:17">
      <c r="A262" s="2">
        <v>41354</v>
      </c>
      <c r="B262" s="2" t="s">
        <v>31</v>
      </c>
      <c r="C262">
        <v>6</v>
      </c>
      <c r="D262" s="5" t="s">
        <v>24</v>
      </c>
      <c r="E262">
        <v>97</v>
      </c>
      <c r="F262" s="13">
        <v>0.77</v>
      </c>
      <c r="G262">
        <v>1</v>
      </c>
      <c r="Q262" s="17"/>
    </row>
    <row r="263" spans="1:17">
      <c r="A263" s="2">
        <v>41355</v>
      </c>
      <c r="B263" s="2" t="s">
        <v>32</v>
      </c>
      <c r="C263">
        <v>38</v>
      </c>
      <c r="M263" t="s">
        <v>27</v>
      </c>
      <c r="Q263" s="17"/>
    </row>
    <row r="264" spans="1:17">
      <c r="A264" s="2">
        <v>41355</v>
      </c>
      <c r="B264" s="2" t="s">
        <v>32</v>
      </c>
      <c r="C264">
        <v>29</v>
      </c>
      <c r="D264" s="5" t="s">
        <v>23</v>
      </c>
      <c r="F264" s="13">
        <v>2.1</v>
      </c>
      <c r="J264">
        <f>69+95+65+86+39+98+32</f>
        <v>484</v>
      </c>
      <c r="K264">
        <v>7</v>
      </c>
      <c r="L264">
        <v>98</v>
      </c>
      <c r="Q264" s="17"/>
    </row>
    <row r="265" spans="1:17">
      <c r="A265" s="2">
        <v>41355</v>
      </c>
      <c r="B265" s="2" t="s">
        <v>32</v>
      </c>
      <c r="C265">
        <v>29</v>
      </c>
      <c r="D265" s="5" t="s">
        <v>23</v>
      </c>
      <c r="F265" s="13">
        <v>1.52</v>
      </c>
      <c r="J265">
        <f>34+34+35+55+68+96</f>
        <v>322</v>
      </c>
      <c r="K265">
        <v>6</v>
      </c>
      <c r="L265">
        <v>96</v>
      </c>
      <c r="Q265" s="17"/>
    </row>
    <row r="266" spans="1:17">
      <c r="A266" s="2">
        <v>41355</v>
      </c>
      <c r="B266" s="2" t="s">
        <v>32</v>
      </c>
      <c r="C266">
        <v>29</v>
      </c>
      <c r="D266" s="5" t="s">
        <v>23</v>
      </c>
      <c r="F266" s="13">
        <v>0.78</v>
      </c>
      <c r="J266">
        <f>20+20+38+41</f>
        <v>119</v>
      </c>
      <c r="K266">
        <v>4</v>
      </c>
      <c r="L266">
        <v>41</v>
      </c>
      <c r="Q266" s="17"/>
    </row>
    <row r="267" spans="1:17">
      <c r="A267" s="2">
        <v>41355</v>
      </c>
      <c r="B267" s="2" t="s">
        <v>32</v>
      </c>
      <c r="C267" s="3">
        <v>29</v>
      </c>
      <c r="D267" s="5" t="s">
        <v>23</v>
      </c>
      <c r="F267" s="13">
        <v>0.97</v>
      </c>
      <c r="J267">
        <f>52+57+71</f>
        <v>180</v>
      </c>
      <c r="K267">
        <v>3</v>
      </c>
      <c r="L267">
        <v>71</v>
      </c>
      <c r="Q267" s="17"/>
    </row>
    <row r="268" spans="1:17">
      <c r="A268" s="2">
        <v>41355</v>
      </c>
      <c r="B268" s="2" t="s">
        <v>32</v>
      </c>
      <c r="C268" s="3">
        <v>29</v>
      </c>
      <c r="D268" s="5" t="s">
        <v>20</v>
      </c>
      <c r="F268" s="13">
        <v>8.25</v>
      </c>
      <c r="J268">
        <f>105+158+160+162</f>
        <v>585</v>
      </c>
      <c r="K268">
        <v>4</v>
      </c>
      <c r="L268">
        <v>162</v>
      </c>
      <c r="Q268" s="17"/>
    </row>
    <row r="269" spans="1:17">
      <c r="A269" s="2">
        <v>41355</v>
      </c>
      <c r="B269" s="2" t="s">
        <v>32</v>
      </c>
      <c r="C269" s="3">
        <v>29</v>
      </c>
      <c r="D269" s="5" t="s">
        <v>24</v>
      </c>
      <c r="F269" s="13">
        <v>0.8</v>
      </c>
      <c r="J269">
        <f>45</f>
        <v>45</v>
      </c>
      <c r="K269">
        <v>1</v>
      </c>
      <c r="L269">
        <v>45</v>
      </c>
      <c r="Q269" s="17"/>
    </row>
    <row r="270" spans="1:17">
      <c r="A270" s="2">
        <v>41355</v>
      </c>
      <c r="B270" s="2" t="s">
        <v>32</v>
      </c>
      <c r="C270" s="3">
        <v>29</v>
      </c>
      <c r="D270" s="5" t="s">
        <v>23</v>
      </c>
      <c r="F270" s="13">
        <v>1.33</v>
      </c>
      <c r="J270">
        <f>36+44+61+61</f>
        <v>202</v>
      </c>
      <c r="K270">
        <v>4</v>
      </c>
      <c r="L270">
        <v>61</v>
      </c>
      <c r="Q270" s="17"/>
    </row>
    <row r="271" spans="1:17">
      <c r="A271" s="2">
        <v>41355</v>
      </c>
      <c r="B271" s="2" t="s">
        <v>32</v>
      </c>
      <c r="C271" s="3">
        <v>29</v>
      </c>
      <c r="D271" s="5" t="s">
        <v>23</v>
      </c>
      <c r="F271" s="13">
        <v>1.01</v>
      </c>
      <c r="J271">
        <f>36+35+35</f>
        <v>106</v>
      </c>
      <c r="K271">
        <v>3</v>
      </c>
      <c r="L271">
        <v>36</v>
      </c>
      <c r="Q271" s="17"/>
    </row>
    <row r="272" spans="1:17">
      <c r="A272" s="2">
        <v>41355</v>
      </c>
      <c r="B272" s="2" t="s">
        <v>32</v>
      </c>
      <c r="C272" s="3">
        <v>29</v>
      </c>
      <c r="D272" s="5" t="s">
        <v>23</v>
      </c>
      <c r="F272" s="13">
        <v>1.28</v>
      </c>
      <c r="J272">
        <f>54+104+72+93</f>
        <v>323</v>
      </c>
      <c r="K272">
        <v>4</v>
      </c>
      <c r="L272">
        <v>104</v>
      </c>
      <c r="Q272" s="17"/>
    </row>
    <row r="273" spans="1:17">
      <c r="A273" s="2">
        <v>41355</v>
      </c>
      <c r="B273" s="2" t="s">
        <v>32</v>
      </c>
      <c r="C273" s="3">
        <v>29</v>
      </c>
      <c r="D273" s="5" t="s">
        <v>23</v>
      </c>
      <c r="F273" s="13">
        <v>0.85</v>
      </c>
      <c r="J273">
        <f>66+88+87</f>
        <v>241</v>
      </c>
      <c r="K273">
        <v>3</v>
      </c>
      <c r="L273">
        <v>88</v>
      </c>
      <c r="Q273" s="17"/>
    </row>
    <row r="274" spans="1:17">
      <c r="A274" s="2">
        <v>41355</v>
      </c>
      <c r="B274" s="2" t="s">
        <v>32</v>
      </c>
      <c r="C274" s="3">
        <v>9</v>
      </c>
      <c r="D274" s="5" t="s">
        <v>20</v>
      </c>
      <c r="F274" s="13">
        <v>15.3</v>
      </c>
      <c r="J274">
        <f>110+140+81+123</f>
        <v>454</v>
      </c>
      <c r="K274">
        <v>4</v>
      </c>
      <c r="L274">
        <v>123</v>
      </c>
      <c r="Q274" s="17"/>
    </row>
    <row r="275" spans="1:17">
      <c r="A275" s="2">
        <v>41355</v>
      </c>
      <c r="B275" s="2" t="s">
        <v>32</v>
      </c>
      <c r="C275" s="3">
        <v>9</v>
      </c>
      <c r="D275" s="5" t="s">
        <v>20</v>
      </c>
      <c r="F275" s="13">
        <v>1.18</v>
      </c>
      <c r="J275">
        <f>21+21+19</f>
        <v>61</v>
      </c>
      <c r="K275">
        <v>3</v>
      </c>
      <c r="L275">
        <v>21</v>
      </c>
      <c r="Q275" s="17"/>
    </row>
    <row r="276" spans="1:17">
      <c r="A276" s="2">
        <v>41355</v>
      </c>
      <c r="B276" s="2" t="s">
        <v>32</v>
      </c>
      <c r="C276" s="3">
        <v>9</v>
      </c>
      <c r="D276" s="5" t="s">
        <v>20</v>
      </c>
      <c r="F276" s="13">
        <v>0.9</v>
      </c>
      <c r="J276">
        <f>36</f>
        <v>36</v>
      </c>
      <c r="K276">
        <v>1</v>
      </c>
      <c r="L276">
        <v>36</v>
      </c>
      <c r="Q276" s="17"/>
    </row>
    <row r="277" spans="1:17">
      <c r="A277" s="2">
        <v>41355</v>
      </c>
      <c r="B277" s="2" t="s">
        <v>32</v>
      </c>
      <c r="C277" s="3">
        <v>9</v>
      </c>
      <c r="D277" s="5" t="s">
        <v>24</v>
      </c>
      <c r="E277">
        <v>59</v>
      </c>
      <c r="F277" s="13">
        <v>0.86</v>
      </c>
      <c r="Q277" s="17"/>
    </row>
    <row r="278" spans="1:17">
      <c r="A278" s="2">
        <v>41355</v>
      </c>
      <c r="B278" s="2" t="s">
        <v>32</v>
      </c>
      <c r="C278" s="3">
        <v>9</v>
      </c>
      <c r="D278" s="5" t="s">
        <v>20</v>
      </c>
      <c r="F278" s="13">
        <v>2.35</v>
      </c>
      <c r="J278">
        <f>72+73+67+50</f>
        <v>262</v>
      </c>
      <c r="K278">
        <v>4</v>
      </c>
      <c r="L278">
        <v>73</v>
      </c>
      <c r="Q278" s="17"/>
    </row>
    <row r="279" spans="1:17">
      <c r="A279" s="2">
        <v>41355</v>
      </c>
      <c r="B279" s="2" t="s">
        <v>32</v>
      </c>
      <c r="C279" s="3">
        <v>9</v>
      </c>
      <c r="D279" s="5" t="s">
        <v>21</v>
      </c>
      <c r="E279">
        <v>200</v>
      </c>
      <c r="F279" s="13">
        <v>0.98</v>
      </c>
      <c r="Q279" s="17"/>
    </row>
    <row r="280" spans="1:17">
      <c r="A280" s="2">
        <v>41355</v>
      </c>
      <c r="B280" s="2" t="s">
        <v>32</v>
      </c>
      <c r="C280" s="3">
        <v>9</v>
      </c>
      <c r="D280" s="5" t="s">
        <v>21</v>
      </c>
      <c r="E280">
        <v>40</v>
      </c>
      <c r="F280" s="13">
        <v>1.1399999999999999</v>
      </c>
      <c r="Q280" s="17"/>
    </row>
    <row r="281" spans="1:17">
      <c r="A281" s="2">
        <v>41355</v>
      </c>
      <c r="B281" s="2" t="s">
        <v>32</v>
      </c>
      <c r="C281" s="3">
        <v>9</v>
      </c>
      <c r="D281" s="5" t="s">
        <v>20</v>
      </c>
      <c r="F281" s="13">
        <v>0.48</v>
      </c>
      <c r="J281">
        <f>34+33</f>
        <v>67</v>
      </c>
      <c r="K281">
        <v>2</v>
      </c>
      <c r="L281">
        <v>34</v>
      </c>
      <c r="Q281" s="17"/>
    </row>
    <row r="282" spans="1:17">
      <c r="A282" s="2">
        <v>41355</v>
      </c>
      <c r="B282" s="2" t="s">
        <v>32</v>
      </c>
      <c r="C282" s="3">
        <v>9</v>
      </c>
      <c r="D282" s="5" t="s">
        <v>21</v>
      </c>
      <c r="E282">
        <v>36</v>
      </c>
      <c r="F282" s="13">
        <v>0.52</v>
      </c>
      <c r="Q282" s="17"/>
    </row>
    <row r="283" spans="1:17">
      <c r="A283" s="2">
        <v>41355</v>
      </c>
      <c r="B283" s="2" t="s">
        <v>32</v>
      </c>
      <c r="C283" s="3">
        <v>9</v>
      </c>
      <c r="D283" s="5" t="s">
        <v>21</v>
      </c>
      <c r="E283">
        <v>36</v>
      </c>
      <c r="F283" s="13">
        <v>0.8</v>
      </c>
      <c r="Q283" s="17"/>
    </row>
    <row r="284" spans="1:17">
      <c r="A284" s="2">
        <v>41355</v>
      </c>
      <c r="B284" s="2" t="s">
        <v>32</v>
      </c>
      <c r="C284" s="3">
        <v>9</v>
      </c>
      <c r="D284" s="5" t="s">
        <v>20</v>
      </c>
      <c r="F284" s="13">
        <v>0.96</v>
      </c>
      <c r="J284">
        <f>79+30+59</f>
        <v>168</v>
      </c>
      <c r="K284">
        <v>3</v>
      </c>
      <c r="L284">
        <v>79</v>
      </c>
      <c r="Q284" s="17"/>
    </row>
    <row r="285" spans="1:17">
      <c r="A285" s="2">
        <v>41355</v>
      </c>
      <c r="B285" s="2" t="s">
        <v>32</v>
      </c>
      <c r="C285" s="3">
        <v>8</v>
      </c>
      <c r="D285" s="5" t="s">
        <v>24</v>
      </c>
      <c r="E285">
        <v>60</v>
      </c>
      <c r="F285" s="13">
        <v>0.78</v>
      </c>
      <c r="Q285" s="17"/>
    </row>
    <row r="286" spans="1:17">
      <c r="A286" s="2">
        <v>41355</v>
      </c>
      <c r="B286" s="2" t="s">
        <v>32</v>
      </c>
      <c r="C286" s="3">
        <v>8</v>
      </c>
      <c r="D286" s="5" t="s">
        <v>24</v>
      </c>
      <c r="E286">
        <v>56</v>
      </c>
      <c r="F286" s="13">
        <v>0.73</v>
      </c>
      <c r="Q286" s="17"/>
    </row>
    <row r="287" spans="1:17">
      <c r="A287" s="2">
        <v>41355</v>
      </c>
      <c r="B287" s="2" t="s">
        <v>32</v>
      </c>
      <c r="C287" s="3">
        <v>8</v>
      </c>
      <c r="D287" s="5" t="s">
        <v>24</v>
      </c>
      <c r="E287">
        <v>30</v>
      </c>
      <c r="F287" s="13">
        <v>0.54</v>
      </c>
      <c r="Q287" s="17"/>
    </row>
    <row r="288" spans="1:17">
      <c r="A288" s="2">
        <v>41355</v>
      </c>
      <c r="B288" s="2" t="s">
        <v>32</v>
      </c>
      <c r="C288" s="3">
        <v>8</v>
      </c>
      <c r="D288" s="5" t="s">
        <v>24</v>
      </c>
      <c r="E288">
        <v>42</v>
      </c>
      <c r="F288" s="13">
        <v>0.68</v>
      </c>
      <c r="Q288" s="17"/>
    </row>
    <row r="289" spans="1:17">
      <c r="A289" s="2">
        <v>41355</v>
      </c>
      <c r="B289" s="2" t="s">
        <v>32</v>
      </c>
      <c r="C289" s="3">
        <v>8</v>
      </c>
      <c r="D289" s="5" t="s">
        <v>24</v>
      </c>
      <c r="E289">
        <v>73</v>
      </c>
      <c r="F289" s="13">
        <v>1.0900000000000001</v>
      </c>
      <c r="Q289" s="17"/>
    </row>
    <row r="290" spans="1:17">
      <c r="A290" s="2">
        <v>41355</v>
      </c>
      <c r="B290" s="2" t="s">
        <v>32</v>
      </c>
      <c r="C290" s="3">
        <v>8</v>
      </c>
      <c r="D290" s="5" t="s">
        <v>24</v>
      </c>
      <c r="E290">
        <v>103</v>
      </c>
      <c r="F290" s="13">
        <v>0.84</v>
      </c>
      <c r="Q290" s="17"/>
    </row>
    <row r="291" spans="1:17">
      <c r="A291" s="2">
        <v>41355</v>
      </c>
      <c r="B291" s="2" t="s">
        <v>32</v>
      </c>
      <c r="C291" s="3">
        <v>8</v>
      </c>
      <c r="D291" s="5" t="s">
        <v>24</v>
      </c>
      <c r="E291">
        <v>82</v>
      </c>
      <c r="F291" s="13">
        <v>0.57999999999999996</v>
      </c>
      <c r="Q291" s="17"/>
    </row>
    <row r="292" spans="1:17">
      <c r="A292" s="2">
        <v>41355</v>
      </c>
      <c r="B292" s="2" t="s">
        <v>32</v>
      </c>
      <c r="C292" s="3">
        <v>8</v>
      </c>
      <c r="D292" s="5" t="s">
        <v>23</v>
      </c>
      <c r="F292" s="13">
        <v>0.68</v>
      </c>
      <c r="J292">
        <f>46+48</f>
        <v>94</v>
      </c>
      <c r="K292">
        <v>2</v>
      </c>
      <c r="L292">
        <v>48</v>
      </c>
      <c r="Q292" s="17"/>
    </row>
    <row r="293" spans="1:17">
      <c r="A293" s="2">
        <v>41355</v>
      </c>
      <c r="B293" s="2" t="s">
        <v>32</v>
      </c>
      <c r="C293" s="3">
        <v>8</v>
      </c>
      <c r="D293" s="5" t="s">
        <v>24</v>
      </c>
      <c r="E293">
        <v>70</v>
      </c>
      <c r="F293" s="13">
        <v>0.52</v>
      </c>
      <c r="Q293" s="17"/>
    </row>
    <row r="294" spans="1:17">
      <c r="A294" s="2">
        <v>41355</v>
      </c>
      <c r="B294" s="2" t="s">
        <v>32</v>
      </c>
      <c r="C294" s="3">
        <v>8</v>
      </c>
      <c r="D294" s="5" t="s">
        <v>24</v>
      </c>
      <c r="E294">
        <v>51</v>
      </c>
      <c r="F294" s="13">
        <v>0.48</v>
      </c>
      <c r="Q294" s="17"/>
    </row>
    <row r="295" spans="1:17">
      <c r="A295" s="2">
        <v>41355</v>
      </c>
      <c r="B295" s="2" t="s">
        <v>32</v>
      </c>
      <c r="C295" s="3">
        <v>8</v>
      </c>
      <c r="D295" s="5" t="s">
        <v>24</v>
      </c>
      <c r="E295">
        <v>81</v>
      </c>
      <c r="F295" s="13">
        <v>0.78</v>
      </c>
      <c r="Q295" s="17"/>
    </row>
    <row r="296" spans="1:17">
      <c r="A296" s="2">
        <v>41355</v>
      </c>
      <c r="B296" s="2" t="s">
        <v>32</v>
      </c>
      <c r="C296" s="3">
        <v>8</v>
      </c>
      <c r="D296" s="5" t="s">
        <v>24</v>
      </c>
      <c r="E296">
        <v>36</v>
      </c>
      <c r="F296" s="13">
        <v>0.3</v>
      </c>
      <c r="Q296" s="17"/>
    </row>
    <row r="297" spans="1:17">
      <c r="A297" s="2">
        <v>41355</v>
      </c>
      <c r="B297" s="2" t="s">
        <v>32</v>
      </c>
      <c r="C297" s="3">
        <v>8</v>
      </c>
      <c r="D297" s="5" t="s">
        <v>24</v>
      </c>
      <c r="E297">
        <v>75</v>
      </c>
      <c r="F297" s="13">
        <v>0.78</v>
      </c>
      <c r="Q297" s="17"/>
    </row>
    <row r="298" spans="1:17">
      <c r="A298" s="2">
        <v>41355</v>
      </c>
      <c r="B298" s="2" t="s">
        <v>32</v>
      </c>
      <c r="C298" s="3">
        <v>8</v>
      </c>
      <c r="D298" s="5" t="s">
        <v>24</v>
      </c>
      <c r="E298">
        <v>65</v>
      </c>
      <c r="F298" s="13">
        <v>0.81</v>
      </c>
      <c r="Q298" s="17"/>
    </row>
    <row r="299" spans="1:17">
      <c r="A299" s="2">
        <v>41355</v>
      </c>
      <c r="B299" s="2" t="s">
        <v>32</v>
      </c>
      <c r="C299" s="3">
        <v>8</v>
      </c>
      <c r="D299" s="5" t="s">
        <v>24</v>
      </c>
      <c r="E299">
        <v>106</v>
      </c>
      <c r="F299" s="13">
        <v>1.34</v>
      </c>
      <c r="Q299" s="17"/>
    </row>
    <row r="300" spans="1:17">
      <c r="A300" s="2">
        <v>41355</v>
      </c>
      <c r="B300" s="2" t="s">
        <v>32</v>
      </c>
      <c r="C300" s="3">
        <v>8</v>
      </c>
      <c r="D300" s="5" t="s">
        <v>24</v>
      </c>
      <c r="E300">
        <v>45</v>
      </c>
      <c r="F300" s="13">
        <v>0.61</v>
      </c>
      <c r="Q300" s="17"/>
    </row>
    <row r="301" spans="1:17">
      <c r="A301" s="2">
        <v>41355</v>
      </c>
      <c r="B301" s="2" t="s">
        <v>32</v>
      </c>
      <c r="C301" s="3">
        <v>8</v>
      </c>
      <c r="D301" s="5" t="s">
        <v>24</v>
      </c>
      <c r="E301">
        <v>97</v>
      </c>
      <c r="F301" s="13">
        <v>0.92</v>
      </c>
      <c r="Q301" s="17"/>
    </row>
    <row r="302" spans="1:17">
      <c r="A302" s="2">
        <v>41355</v>
      </c>
      <c r="B302" s="2" t="s">
        <v>32</v>
      </c>
      <c r="C302" s="3">
        <v>8</v>
      </c>
      <c r="D302" s="5" t="s">
        <v>24</v>
      </c>
      <c r="E302">
        <v>34</v>
      </c>
      <c r="F302" s="13">
        <v>0.88</v>
      </c>
      <c r="Q302" s="17"/>
    </row>
    <row r="303" spans="1:17">
      <c r="A303" s="2">
        <v>41355</v>
      </c>
      <c r="B303" s="2" t="s">
        <v>32</v>
      </c>
      <c r="C303" s="3">
        <v>8</v>
      </c>
      <c r="D303" s="5" t="s">
        <v>20</v>
      </c>
      <c r="F303" s="13">
        <v>3.43</v>
      </c>
      <c r="J303">
        <f>45+38+38+38+31</f>
        <v>190</v>
      </c>
      <c r="K303">
        <v>5</v>
      </c>
      <c r="L303">
        <v>45</v>
      </c>
      <c r="Q303" s="17"/>
    </row>
    <row r="304" spans="1:17">
      <c r="A304" s="2">
        <v>41355</v>
      </c>
      <c r="B304" s="2" t="s">
        <v>32</v>
      </c>
      <c r="C304" s="3">
        <v>8</v>
      </c>
      <c r="D304" s="5" t="s">
        <v>20</v>
      </c>
      <c r="F304" s="13">
        <v>0.97</v>
      </c>
      <c r="J304">
        <f>53+47+46</f>
        <v>146</v>
      </c>
      <c r="K304">
        <v>3</v>
      </c>
      <c r="L304">
        <v>53</v>
      </c>
      <c r="Q304" s="17"/>
    </row>
    <row r="305" spans="1:17">
      <c r="A305" s="2">
        <v>41355</v>
      </c>
      <c r="B305" s="2" t="s">
        <v>32</v>
      </c>
      <c r="C305" s="3">
        <v>6</v>
      </c>
      <c r="D305" s="5" t="s">
        <v>21</v>
      </c>
      <c r="E305">
        <v>38</v>
      </c>
      <c r="F305" s="13">
        <v>1.1399999999999999</v>
      </c>
      <c r="Q305" s="17"/>
    </row>
    <row r="306" spans="1:17">
      <c r="A306" s="2">
        <v>41355</v>
      </c>
      <c r="B306" s="2" t="s">
        <v>32</v>
      </c>
      <c r="C306" s="3">
        <v>6</v>
      </c>
      <c r="D306" s="5" t="s">
        <v>21</v>
      </c>
      <c r="E306">
        <v>190</v>
      </c>
      <c r="F306" s="13">
        <v>1.38</v>
      </c>
      <c r="Q306" s="17"/>
    </row>
    <row r="307" spans="1:17">
      <c r="A307" s="2">
        <v>41355</v>
      </c>
      <c r="B307" s="2" t="s">
        <v>32</v>
      </c>
      <c r="C307" s="3">
        <v>6</v>
      </c>
      <c r="D307" s="5" t="s">
        <v>21</v>
      </c>
      <c r="E307">
        <v>75</v>
      </c>
      <c r="F307" s="13">
        <v>0.8</v>
      </c>
      <c r="Q307" s="17"/>
    </row>
    <row r="308" spans="1:17">
      <c r="A308" s="2">
        <v>41355</v>
      </c>
      <c r="B308" s="2" t="s">
        <v>32</v>
      </c>
      <c r="C308" s="3">
        <v>6</v>
      </c>
      <c r="D308" s="5" t="s">
        <v>21</v>
      </c>
      <c r="E308">
        <v>38</v>
      </c>
      <c r="F308" s="13">
        <v>0.61</v>
      </c>
      <c r="Q308" s="17"/>
    </row>
    <row r="309" spans="1:17">
      <c r="A309" s="2">
        <v>41355</v>
      </c>
      <c r="B309" s="2" t="s">
        <v>32</v>
      </c>
      <c r="C309" s="3">
        <v>6</v>
      </c>
      <c r="D309" s="5" t="s">
        <v>21</v>
      </c>
      <c r="E309">
        <v>94</v>
      </c>
      <c r="F309" s="13">
        <v>1.52</v>
      </c>
      <c r="Q309" s="17"/>
    </row>
    <row r="310" spans="1:17">
      <c r="A310" s="2">
        <v>41355</v>
      </c>
      <c r="B310" s="2" t="s">
        <v>32</v>
      </c>
      <c r="C310" s="3">
        <v>6</v>
      </c>
      <c r="D310" s="5" t="s">
        <v>21</v>
      </c>
      <c r="E310">
        <v>75</v>
      </c>
      <c r="F310" s="13">
        <v>1.06</v>
      </c>
      <c r="Q310" s="17"/>
    </row>
    <row r="311" spans="1:17">
      <c r="A311" s="2">
        <v>41355</v>
      </c>
      <c r="B311" s="2" t="s">
        <v>32</v>
      </c>
      <c r="C311" s="3">
        <v>6</v>
      </c>
      <c r="D311" s="5" t="s">
        <v>21</v>
      </c>
      <c r="E311">
        <v>54</v>
      </c>
      <c r="F311" s="13">
        <v>1.04</v>
      </c>
      <c r="Q311" s="17"/>
    </row>
    <row r="312" spans="1:17">
      <c r="A312" s="2">
        <v>41355</v>
      </c>
      <c r="B312" s="2" t="s">
        <v>32</v>
      </c>
      <c r="C312" s="3">
        <v>6</v>
      </c>
      <c r="D312" s="5" t="s">
        <v>20</v>
      </c>
      <c r="F312" s="13">
        <v>0.95</v>
      </c>
      <c r="J312">
        <f>53+59+68</f>
        <v>180</v>
      </c>
      <c r="K312">
        <v>3</v>
      </c>
      <c r="L312">
        <v>68</v>
      </c>
      <c r="Q312" s="17"/>
    </row>
    <row r="313" spans="1:17">
      <c r="A313" s="2">
        <v>41355</v>
      </c>
      <c r="B313" s="2" t="s">
        <v>32</v>
      </c>
      <c r="C313" s="3">
        <v>6</v>
      </c>
      <c r="D313" s="5" t="s">
        <v>20</v>
      </c>
      <c r="F313" s="13">
        <v>1.45</v>
      </c>
      <c r="J313">
        <f>59+79+95+93</f>
        <v>326</v>
      </c>
      <c r="K313">
        <v>4</v>
      </c>
      <c r="L313">
        <v>95</v>
      </c>
      <c r="Q313" s="17"/>
    </row>
    <row r="314" spans="1:17">
      <c r="A314" s="2">
        <v>41355</v>
      </c>
      <c r="B314" s="2" t="s">
        <v>32</v>
      </c>
      <c r="C314" s="3">
        <v>6</v>
      </c>
      <c r="D314" s="5" t="s">
        <v>20</v>
      </c>
      <c r="F314" s="13">
        <v>0.28000000000000003</v>
      </c>
      <c r="J314">
        <f>54+72+70+80</f>
        <v>276</v>
      </c>
      <c r="K314">
        <v>4</v>
      </c>
      <c r="L314">
        <v>80</v>
      </c>
      <c r="Q314" s="17"/>
    </row>
    <row r="315" spans="1:17">
      <c r="A315" s="2">
        <v>41355</v>
      </c>
      <c r="B315" s="2" t="s">
        <v>32</v>
      </c>
      <c r="C315" s="3">
        <v>6</v>
      </c>
      <c r="D315" s="5" t="s">
        <v>21</v>
      </c>
      <c r="E315">
        <v>170</v>
      </c>
      <c r="F315" s="13">
        <v>1.55</v>
      </c>
      <c r="Q315" s="17"/>
    </row>
    <row r="316" spans="1:17">
      <c r="A316" s="2">
        <v>41355</v>
      </c>
      <c r="B316" s="2" t="s">
        <v>32</v>
      </c>
      <c r="C316" s="3">
        <v>6</v>
      </c>
      <c r="D316" s="5" t="s">
        <v>20</v>
      </c>
      <c r="F316" s="13">
        <v>0.98</v>
      </c>
      <c r="J316">
        <f>48+69+62</f>
        <v>179</v>
      </c>
      <c r="K316">
        <v>3</v>
      </c>
      <c r="L316">
        <v>69</v>
      </c>
      <c r="Q316" s="17"/>
    </row>
    <row r="317" spans="1:17">
      <c r="A317" s="2">
        <v>41355</v>
      </c>
      <c r="B317" s="2" t="s">
        <v>32</v>
      </c>
      <c r="C317" s="3">
        <v>6</v>
      </c>
      <c r="D317" s="5" t="s">
        <v>20</v>
      </c>
      <c r="F317" s="13">
        <v>0.8</v>
      </c>
      <c r="J317">
        <f>46+59+65</f>
        <v>170</v>
      </c>
      <c r="K317">
        <v>3</v>
      </c>
      <c r="L317">
        <v>65</v>
      </c>
      <c r="Q317" s="17"/>
    </row>
    <row r="318" spans="1:17">
      <c r="A318" s="2">
        <v>41355</v>
      </c>
      <c r="B318" s="2" t="s">
        <v>32</v>
      </c>
      <c r="C318" s="3">
        <v>6</v>
      </c>
      <c r="D318" s="5" t="s">
        <v>20</v>
      </c>
      <c r="F318" s="13">
        <v>0.82</v>
      </c>
      <c r="J318">
        <f>41+56+68+71</f>
        <v>236</v>
      </c>
      <c r="K318">
        <v>4</v>
      </c>
      <c r="L318">
        <v>71</v>
      </c>
      <c r="Q318" s="17"/>
    </row>
    <row r="319" spans="1:17">
      <c r="A319" s="2">
        <v>41355</v>
      </c>
      <c r="B319" s="2" t="s">
        <v>32</v>
      </c>
      <c r="C319" s="3">
        <v>6</v>
      </c>
      <c r="D319" s="5" t="s">
        <v>20</v>
      </c>
      <c r="F319" s="13">
        <v>0.9</v>
      </c>
      <c r="J319">
        <f>34+43+50+63</f>
        <v>190</v>
      </c>
      <c r="K319">
        <v>4</v>
      </c>
      <c r="L319">
        <v>63</v>
      </c>
      <c r="Q319" s="17"/>
    </row>
    <row r="320" spans="1:17">
      <c r="A320" s="2">
        <v>41355</v>
      </c>
      <c r="B320" s="2" t="s">
        <v>32</v>
      </c>
      <c r="C320" s="3">
        <v>6</v>
      </c>
      <c r="D320" s="5" t="s">
        <v>20</v>
      </c>
      <c r="F320" s="13">
        <v>2.57</v>
      </c>
      <c r="J320">
        <f>81+84+65+71</f>
        <v>301</v>
      </c>
      <c r="K320">
        <v>4</v>
      </c>
      <c r="L320">
        <v>84</v>
      </c>
      <c r="Q320" s="17"/>
    </row>
    <row r="321" spans="1:17">
      <c r="A321" s="2">
        <v>41355</v>
      </c>
      <c r="B321" s="2" t="s">
        <v>32</v>
      </c>
      <c r="C321" s="3">
        <v>6</v>
      </c>
      <c r="D321" s="5" t="s">
        <v>20</v>
      </c>
      <c r="F321" s="13">
        <v>1.33</v>
      </c>
      <c r="J321">
        <f>53+58+74+75</f>
        <v>260</v>
      </c>
      <c r="K321">
        <v>4</v>
      </c>
      <c r="L321">
        <v>75</v>
      </c>
      <c r="Q321" s="17"/>
    </row>
    <row r="322" spans="1:17">
      <c r="A322" s="2">
        <v>41355</v>
      </c>
      <c r="B322" s="2" t="s">
        <v>32</v>
      </c>
      <c r="C322" s="3">
        <v>6</v>
      </c>
      <c r="D322" s="5" t="s">
        <v>20</v>
      </c>
      <c r="F322" s="13">
        <v>0.5</v>
      </c>
      <c r="J322">
        <f>53+43+54</f>
        <v>150</v>
      </c>
      <c r="K322">
        <v>3</v>
      </c>
      <c r="L322">
        <v>54</v>
      </c>
      <c r="Q322" s="17"/>
    </row>
    <row r="323" spans="1:17">
      <c r="A323" s="2">
        <v>41355</v>
      </c>
      <c r="B323" s="2" t="s">
        <v>32</v>
      </c>
      <c r="C323" s="3">
        <v>6</v>
      </c>
      <c r="D323" s="5" t="s">
        <v>20</v>
      </c>
      <c r="F323" s="13">
        <v>2.4700000000000002</v>
      </c>
      <c r="J323">
        <f>63+59+67</f>
        <v>189</v>
      </c>
      <c r="K323">
        <v>3</v>
      </c>
      <c r="L323">
        <v>67</v>
      </c>
      <c r="Q323" s="17"/>
    </row>
    <row r="324" spans="1:17">
      <c r="A324" s="2">
        <v>41355</v>
      </c>
      <c r="B324" s="2" t="s">
        <v>32</v>
      </c>
      <c r="C324" s="3">
        <v>6</v>
      </c>
      <c r="D324" s="5" t="s">
        <v>20</v>
      </c>
      <c r="F324" s="13">
        <v>4.42</v>
      </c>
      <c r="J324">
        <f>75+84+103</f>
        <v>262</v>
      </c>
      <c r="K324">
        <v>3</v>
      </c>
      <c r="L324">
        <v>103</v>
      </c>
      <c r="Q324" s="17"/>
    </row>
    <row r="325" spans="1:17">
      <c r="A325" s="2">
        <v>41355</v>
      </c>
      <c r="B325" s="2" t="s">
        <v>32</v>
      </c>
      <c r="C325" s="3">
        <v>6</v>
      </c>
      <c r="D325" s="5" t="s">
        <v>21</v>
      </c>
      <c r="E325">
        <v>41</v>
      </c>
      <c r="F325" s="13">
        <v>1.1399999999999999</v>
      </c>
      <c r="Q325" s="17"/>
    </row>
    <row r="326" spans="1:17">
      <c r="A326" s="2">
        <v>41355</v>
      </c>
      <c r="B326" s="2" t="s">
        <v>33</v>
      </c>
      <c r="C326" s="3">
        <v>57</v>
      </c>
      <c r="D326" s="5" t="s">
        <v>20</v>
      </c>
      <c r="F326" s="13">
        <v>11.79</v>
      </c>
      <c r="J326">
        <f>449+262+394+497+386+211+254+432+366+427+291+156+230+360+447</f>
        <v>5162</v>
      </c>
      <c r="K326">
        <v>15</v>
      </c>
      <c r="L326">
        <v>497</v>
      </c>
      <c r="M326" t="s">
        <v>34</v>
      </c>
      <c r="Q326" s="17"/>
    </row>
    <row r="327" spans="1:17">
      <c r="A327" s="2">
        <v>41355</v>
      </c>
      <c r="B327" s="2" t="s">
        <v>33</v>
      </c>
      <c r="C327" s="3">
        <v>37</v>
      </c>
      <c r="D327" s="5" t="s">
        <v>23</v>
      </c>
      <c r="F327" s="13">
        <v>1.19</v>
      </c>
      <c r="J327">
        <f>74+42+66+42</f>
        <v>224</v>
      </c>
      <c r="K327">
        <v>4</v>
      </c>
      <c r="L327">
        <v>74</v>
      </c>
      <c r="Q327" s="17"/>
    </row>
    <row r="328" spans="1:17">
      <c r="A328" s="2">
        <v>41355</v>
      </c>
      <c r="B328" s="2" t="s">
        <v>33</v>
      </c>
      <c r="C328" s="3">
        <v>37</v>
      </c>
      <c r="D328" s="5" t="s">
        <v>23</v>
      </c>
      <c r="F328" s="13">
        <v>1</v>
      </c>
      <c r="J328">
        <f>21+19</f>
        <v>40</v>
      </c>
      <c r="K328">
        <v>2</v>
      </c>
      <c r="L328">
        <v>21</v>
      </c>
      <c r="Q328" s="17"/>
    </row>
    <row r="329" spans="1:17">
      <c r="A329" s="2">
        <v>41355</v>
      </c>
      <c r="B329" s="2" t="s">
        <v>33</v>
      </c>
      <c r="C329" s="3">
        <v>37</v>
      </c>
      <c r="D329" s="5" t="s">
        <v>23</v>
      </c>
      <c r="F329" s="13">
        <v>1.99</v>
      </c>
      <c r="J329">
        <f>55+123+91+107+103</f>
        <v>479</v>
      </c>
      <c r="K329">
        <v>5</v>
      </c>
      <c r="L329">
        <v>123</v>
      </c>
      <c r="Q329" s="17"/>
    </row>
    <row r="330" spans="1:17">
      <c r="A330" s="2">
        <v>41355</v>
      </c>
      <c r="B330" s="2" t="s">
        <v>33</v>
      </c>
      <c r="C330" s="3">
        <v>37</v>
      </c>
      <c r="D330" s="5" t="s">
        <v>23</v>
      </c>
      <c r="F330" s="13">
        <v>0.95</v>
      </c>
      <c r="J330">
        <f>46+34+48</f>
        <v>128</v>
      </c>
      <c r="K330">
        <v>3</v>
      </c>
      <c r="L330">
        <v>48</v>
      </c>
      <c r="Q330" s="17"/>
    </row>
    <row r="331" spans="1:17">
      <c r="A331" s="2">
        <v>41355</v>
      </c>
      <c r="B331" s="2" t="s">
        <v>33</v>
      </c>
      <c r="C331" s="3">
        <v>37</v>
      </c>
      <c r="D331" s="5" t="s">
        <v>23</v>
      </c>
      <c r="F331" s="13">
        <v>1</v>
      </c>
      <c r="J331">
        <f>68+50+49</f>
        <v>167</v>
      </c>
      <c r="K331">
        <v>3</v>
      </c>
      <c r="L331">
        <v>68</v>
      </c>
      <c r="Q331" s="17"/>
    </row>
    <row r="332" spans="1:17">
      <c r="A332" s="2">
        <v>41355</v>
      </c>
      <c r="B332" s="2" t="s">
        <v>33</v>
      </c>
      <c r="C332" s="3">
        <v>37</v>
      </c>
      <c r="D332" s="5" t="s">
        <v>23</v>
      </c>
      <c r="F332" s="13">
        <v>0.6</v>
      </c>
      <c r="J332">
        <f>17</f>
        <v>17</v>
      </c>
      <c r="K332">
        <v>1</v>
      </c>
      <c r="L332">
        <v>17</v>
      </c>
      <c r="Q332" s="17"/>
    </row>
    <row r="333" spans="1:17">
      <c r="A333" s="2">
        <v>41355</v>
      </c>
      <c r="B333" s="2" t="s">
        <v>33</v>
      </c>
      <c r="C333" s="3">
        <v>37</v>
      </c>
      <c r="D333" s="5" t="s">
        <v>23</v>
      </c>
      <c r="F333" s="13">
        <v>0.76</v>
      </c>
      <c r="J333">
        <f>46+37+25</f>
        <v>108</v>
      </c>
      <c r="K333">
        <v>3</v>
      </c>
      <c r="L333">
        <v>46</v>
      </c>
      <c r="Q333" s="17"/>
    </row>
    <row r="334" spans="1:17">
      <c r="A334" s="2">
        <v>41355</v>
      </c>
      <c r="B334" s="2" t="s">
        <v>33</v>
      </c>
      <c r="C334" s="3">
        <v>37</v>
      </c>
      <c r="D334" s="5" t="s">
        <v>23</v>
      </c>
      <c r="F334" s="13">
        <v>1.1000000000000001</v>
      </c>
      <c r="J334">
        <f>50+51+33</f>
        <v>134</v>
      </c>
      <c r="K334">
        <v>3</v>
      </c>
      <c r="L334">
        <v>51</v>
      </c>
      <c r="Q334" s="17"/>
    </row>
    <row r="335" spans="1:17">
      <c r="A335" s="2">
        <v>41355</v>
      </c>
      <c r="B335" s="2" t="s">
        <v>33</v>
      </c>
      <c r="C335" s="3">
        <v>37</v>
      </c>
      <c r="D335" s="5" t="s">
        <v>23</v>
      </c>
      <c r="F335" s="13">
        <v>0.67</v>
      </c>
      <c r="J335">
        <f>35+47+57</f>
        <v>139</v>
      </c>
      <c r="K335">
        <v>3</v>
      </c>
      <c r="L335">
        <v>57</v>
      </c>
      <c r="Q335" s="17"/>
    </row>
    <row r="336" spans="1:17">
      <c r="A336" s="2">
        <v>41355</v>
      </c>
      <c r="B336" s="2" t="s">
        <v>33</v>
      </c>
      <c r="C336" s="3">
        <v>37</v>
      </c>
      <c r="D336" s="5" t="s">
        <v>23</v>
      </c>
      <c r="F336" s="13">
        <v>1.55</v>
      </c>
      <c r="J336">
        <f>57+90</f>
        <v>147</v>
      </c>
      <c r="K336">
        <v>2</v>
      </c>
      <c r="L336">
        <v>90</v>
      </c>
      <c r="Q336" s="17"/>
    </row>
    <row r="337" spans="1:17">
      <c r="A337" s="2">
        <v>41355</v>
      </c>
      <c r="B337" s="2" t="s">
        <v>33</v>
      </c>
      <c r="C337" s="3">
        <v>37</v>
      </c>
      <c r="D337" s="5" t="s">
        <v>23</v>
      </c>
      <c r="F337" s="13">
        <v>1.45</v>
      </c>
      <c r="J337">
        <f>74+58+59+69+107</f>
        <v>367</v>
      </c>
      <c r="K337">
        <v>5</v>
      </c>
      <c r="L337">
        <v>107</v>
      </c>
      <c r="Q337" s="17"/>
    </row>
    <row r="338" spans="1:17">
      <c r="A338" s="2">
        <v>41355</v>
      </c>
      <c r="B338" s="2" t="s">
        <v>33</v>
      </c>
      <c r="C338" s="3">
        <v>37</v>
      </c>
      <c r="D338" s="5" t="s">
        <v>23</v>
      </c>
      <c r="F338" s="13">
        <v>1.35</v>
      </c>
      <c r="J338">
        <f>53+54+57+63</f>
        <v>227</v>
      </c>
      <c r="K338">
        <v>4</v>
      </c>
      <c r="L338">
        <v>63</v>
      </c>
      <c r="Q338" s="17"/>
    </row>
    <row r="339" spans="1:17">
      <c r="A339" s="2">
        <v>41355</v>
      </c>
      <c r="B339" s="2" t="s">
        <v>33</v>
      </c>
      <c r="C339" s="3">
        <v>37</v>
      </c>
      <c r="D339" s="5" t="s">
        <v>23</v>
      </c>
      <c r="F339" s="13">
        <v>1.18</v>
      </c>
      <c r="J339">
        <f>55+59+74</f>
        <v>188</v>
      </c>
      <c r="K339">
        <v>3</v>
      </c>
      <c r="L339">
        <v>74</v>
      </c>
      <c r="Q339" s="17"/>
    </row>
    <row r="340" spans="1:17">
      <c r="A340" s="2">
        <v>41355</v>
      </c>
      <c r="B340" s="2" t="s">
        <v>33</v>
      </c>
      <c r="C340" s="3">
        <v>37</v>
      </c>
      <c r="D340" s="5" t="s">
        <v>23</v>
      </c>
      <c r="F340" s="13">
        <v>1.5</v>
      </c>
      <c r="J340">
        <f>62+62+37+57</f>
        <v>218</v>
      </c>
      <c r="K340">
        <v>4</v>
      </c>
      <c r="L340">
        <v>62</v>
      </c>
      <c r="Q340" s="17"/>
    </row>
    <row r="341" spans="1:17">
      <c r="A341" s="2">
        <v>41355</v>
      </c>
      <c r="B341" s="2" t="s">
        <v>33</v>
      </c>
      <c r="C341" s="3">
        <v>37</v>
      </c>
      <c r="D341" s="5" t="s">
        <v>23</v>
      </c>
      <c r="F341" s="13">
        <v>1.07</v>
      </c>
      <c r="J341">
        <f>64+64+77</f>
        <v>205</v>
      </c>
      <c r="K341">
        <v>3</v>
      </c>
      <c r="L341">
        <v>77</v>
      </c>
      <c r="Q341" s="17"/>
    </row>
    <row r="342" spans="1:17">
      <c r="A342" s="2">
        <v>41355</v>
      </c>
      <c r="B342" s="2" t="s">
        <v>33</v>
      </c>
      <c r="C342" s="3">
        <v>37</v>
      </c>
      <c r="D342" s="5" t="s">
        <v>23</v>
      </c>
      <c r="F342" s="13">
        <v>0.73</v>
      </c>
      <c r="J342">
        <f>39+48+57</f>
        <v>144</v>
      </c>
      <c r="K342">
        <v>3</v>
      </c>
      <c r="L342">
        <v>57</v>
      </c>
      <c r="Q342" s="17"/>
    </row>
    <row r="343" spans="1:17">
      <c r="A343" s="2">
        <v>41355</v>
      </c>
      <c r="B343" s="2" t="s">
        <v>33</v>
      </c>
      <c r="C343" s="3">
        <v>37</v>
      </c>
      <c r="D343" s="5" t="s">
        <v>23</v>
      </c>
      <c r="F343" s="13">
        <v>0.64</v>
      </c>
      <c r="J343">
        <f>44+40+52</f>
        <v>136</v>
      </c>
      <c r="K343">
        <v>3</v>
      </c>
      <c r="L343">
        <v>52</v>
      </c>
      <c r="Q343" s="17"/>
    </row>
    <row r="344" spans="1:17">
      <c r="A344" s="2">
        <v>41355</v>
      </c>
      <c r="B344" s="2" t="s">
        <v>33</v>
      </c>
      <c r="C344" s="3">
        <v>37</v>
      </c>
      <c r="D344" s="5" t="s">
        <v>23</v>
      </c>
      <c r="F344" s="13">
        <v>1.3</v>
      </c>
      <c r="J344">
        <f>33+34+35+49+73</f>
        <v>224</v>
      </c>
      <c r="K344">
        <v>5</v>
      </c>
      <c r="L344">
        <v>73</v>
      </c>
      <c r="Q344" s="17"/>
    </row>
    <row r="345" spans="1:17">
      <c r="A345" s="2">
        <v>41355</v>
      </c>
      <c r="B345" s="2" t="s">
        <v>33</v>
      </c>
      <c r="C345" s="3">
        <v>37</v>
      </c>
      <c r="D345" s="5" t="s">
        <v>23</v>
      </c>
      <c r="F345" s="13">
        <v>1.29</v>
      </c>
      <c r="J345">
        <f>77+84+69+44+42</f>
        <v>316</v>
      </c>
      <c r="K345">
        <v>5</v>
      </c>
      <c r="L345">
        <v>84</v>
      </c>
      <c r="Q345" s="17"/>
    </row>
    <row r="346" spans="1:17">
      <c r="A346" s="2">
        <v>41355</v>
      </c>
      <c r="B346" s="2" t="s">
        <v>33</v>
      </c>
      <c r="C346" s="3">
        <v>37</v>
      </c>
      <c r="D346" s="5" t="s">
        <v>23</v>
      </c>
      <c r="F346" s="13">
        <v>1</v>
      </c>
      <c r="J346">
        <f>17+19+23+23+53</f>
        <v>135</v>
      </c>
      <c r="K346">
        <v>5</v>
      </c>
      <c r="L346">
        <v>53</v>
      </c>
      <c r="Q346" s="17"/>
    </row>
    <row r="347" spans="1:17">
      <c r="A347" s="2">
        <v>41355</v>
      </c>
      <c r="B347" s="2" t="s">
        <v>33</v>
      </c>
      <c r="C347" s="3">
        <v>37</v>
      </c>
      <c r="D347" s="5" t="s">
        <v>23</v>
      </c>
      <c r="F347" s="13">
        <v>1.28</v>
      </c>
      <c r="J347">
        <f>99+73+87+62</f>
        <v>321</v>
      </c>
      <c r="K347">
        <v>4</v>
      </c>
      <c r="L347">
        <v>99</v>
      </c>
      <c r="Q347" s="17"/>
    </row>
    <row r="348" spans="1:17">
      <c r="A348" s="2">
        <v>41355</v>
      </c>
      <c r="B348" s="2" t="s">
        <v>33</v>
      </c>
      <c r="C348" s="3">
        <v>37</v>
      </c>
      <c r="D348" s="5" t="s">
        <v>23</v>
      </c>
      <c r="F348" s="13">
        <v>1.28</v>
      </c>
      <c r="J348">
        <f>46+62+61</f>
        <v>169</v>
      </c>
      <c r="K348">
        <v>3</v>
      </c>
      <c r="L348">
        <v>62</v>
      </c>
      <c r="Q348" s="17"/>
    </row>
    <row r="349" spans="1:17">
      <c r="A349" s="2">
        <v>41355</v>
      </c>
      <c r="B349" s="2" t="s">
        <v>33</v>
      </c>
      <c r="C349" s="3">
        <v>37</v>
      </c>
      <c r="D349" s="5" t="s">
        <v>23</v>
      </c>
      <c r="F349" s="13">
        <v>1.1200000000000001</v>
      </c>
      <c r="J349">
        <f>37+43+60+66</f>
        <v>206</v>
      </c>
      <c r="K349">
        <v>4</v>
      </c>
      <c r="L349">
        <v>66</v>
      </c>
      <c r="Q349" s="17"/>
    </row>
    <row r="350" spans="1:17">
      <c r="A350" s="2">
        <v>41355</v>
      </c>
      <c r="B350" s="2" t="s">
        <v>33</v>
      </c>
      <c r="C350" s="3">
        <v>37</v>
      </c>
      <c r="D350" s="5" t="s">
        <v>23</v>
      </c>
      <c r="F350" s="13">
        <v>0.85</v>
      </c>
      <c r="J350">
        <f>30+29</f>
        <v>59</v>
      </c>
      <c r="K350">
        <v>2</v>
      </c>
      <c r="L350">
        <v>30</v>
      </c>
      <c r="Q350" s="17"/>
    </row>
    <row r="351" spans="1:17">
      <c r="A351" s="2">
        <v>41355</v>
      </c>
      <c r="B351" s="2" t="s">
        <v>33</v>
      </c>
      <c r="C351" s="3">
        <v>37</v>
      </c>
      <c r="D351" s="5" t="s">
        <v>23</v>
      </c>
      <c r="F351" s="13">
        <v>1.41</v>
      </c>
      <c r="J351">
        <f>34+59+52+73+83</f>
        <v>301</v>
      </c>
      <c r="K351">
        <v>5</v>
      </c>
      <c r="L351">
        <v>83</v>
      </c>
      <c r="Q351" s="17"/>
    </row>
    <row r="352" spans="1:17">
      <c r="A352" s="2">
        <v>41355</v>
      </c>
      <c r="B352" s="2" t="s">
        <v>33</v>
      </c>
      <c r="C352" s="3">
        <v>37</v>
      </c>
      <c r="D352" s="5" t="s">
        <v>23</v>
      </c>
      <c r="F352" s="13">
        <v>1.68</v>
      </c>
      <c r="J352">
        <f>37+72+85+99</f>
        <v>293</v>
      </c>
      <c r="K352">
        <v>4</v>
      </c>
      <c r="L352">
        <v>99</v>
      </c>
      <c r="Q352" s="17"/>
    </row>
    <row r="353" spans="1:17">
      <c r="A353" s="2">
        <v>41355</v>
      </c>
      <c r="B353" s="2" t="s">
        <v>33</v>
      </c>
      <c r="C353" s="3">
        <v>15</v>
      </c>
      <c r="D353" s="5" t="s">
        <v>23</v>
      </c>
      <c r="F353" s="13">
        <v>1.1599999999999999</v>
      </c>
      <c r="J353">
        <f>35+57+69+27+75</f>
        <v>263</v>
      </c>
      <c r="K353">
        <v>5</v>
      </c>
      <c r="L353">
        <v>75</v>
      </c>
      <c r="Q353" s="17"/>
    </row>
    <row r="354" spans="1:17">
      <c r="A354" s="2">
        <v>41355</v>
      </c>
      <c r="B354" s="2" t="s">
        <v>33</v>
      </c>
      <c r="C354" s="3">
        <v>15</v>
      </c>
      <c r="D354" s="5" t="s">
        <v>23</v>
      </c>
      <c r="F354" s="13">
        <v>1.42</v>
      </c>
      <c r="J354">
        <f>50+67+71+80</f>
        <v>268</v>
      </c>
      <c r="K354">
        <v>4</v>
      </c>
      <c r="L354">
        <v>80</v>
      </c>
      <c r="Q354" s="17"/>
    </row>
    <row r="355" spans="1:17">
      <c r="A355" s="2">
        <v>41355</v>
      </c>
      <c r="B355" s="2" t="s">
        <v>33</v>
      </c>
      <c r="C355" s="3">
        <v>15</v>
      </c>
      <c r="D355" s="18" t="s">
        <v>23</v>
      </c>
      <c r="F355" s="13">
        <v>0.52</v>
      </c>
      <c r="J355">
        <f>23+33+31</f>
        <v>87</v>
      </c>
      <c r="K355">
        <v>3</v>
      </c>
      <c r="L355">
        <v>33</v>
      </c>
      <c r="Q355" s="17"/>
    </row>
    <row r="356" spans="1:17">
      <c r="A356" s="2">
        <v>41355</v>
      </c>
      <c r="B356" s="2" t="s">
        <v>33</v>
      </c>
      <c r="C356" s="3">
        <v>15</v>
      </c>
      <c r="D356" s="5" t="s">
        <v>23</v>
      </c>
      <c r="F356" s="13">
        <v>0.62</v>
      </c>
      <c r="J356">
        <f>46+47</f>
        <v>93</v>
      </c>
      <c r="K356">
        <v>2</v>
      </c>
      <c r="L356">
        <v>47</v>
      </c>
      <c r="Q356" s="17"/>
    </row>
    <row r="357" spans="1:17">
      <c r="A357" s="2">
        <v>41355</v>
      </c>
      <c r="B357" s="2" t="s">
        <v>33</v>
      </c>
      <c r="C357" s="3">
        <v>15</v>
      </c>
      <c r="D357" s="5" t="s">
        <v>24</v>
      </c>
      <c r="E357">
        <v>34</v>
      </c>
      <c r="F357" s="13">
        <v>0.6</v>
      </c>
      <c r="Q357" s="17"/>
    </row>
    <row r="358" spans="1:17">
      <c r="A358" s="2">
        <v>41355</v>
      </c>
      <c r="B358" s="2" t="s">
        <v>33</v>
      </c>
      <c r="C358" s="3">
        <v>15</v>
      </c>
      <c r="D358" s="6" t="s">
        <v>24</v>
      </c>
      <c r="E358">
        <v>26</v>
      </c>
      <c r="F358" s="13">
        <v>0.45</v>
      </c>
      <c r="Q358" s="17"/>
    </row>
    <row r="359" spans="1:17">
      <c r="A359" s="2">
        <v>41355</v>
      </c>
      <c r="B359" s="2" t="s">
        <v>33</v>
      </c>
      <c r="C359" s="3">
        <v>15</v>
      </c>
      <c r="D359" s="6" t="s">
        <v>24</v>
      </c>
      <c r="E359">
        <v>35</v>
      </c>
      <c r="F359" s="13">
        <v>0.64</v>
      </c>
      <c r="Q359" s="17"/>
    </row>
    <row r="360" spans="1:17">
      <c r="A360" s="2">
        <v>41355</v>
      </c>
      <c r="B360" s="2" t="s">
        <v>33</v>
      </c>
      <c r="C360" s="3">
        <v>15</v>
      </c>
      <c r="D360" s="6" t="s">
        <v>24</v>
      </c>
      <c r="E360">
        <v>58</v>
      </c>
      <c r="F360" s="13">
        <v>0.6</v>
      </c>
      <c r="Q360" s="17"/>
    </row>
    <row r="361" spans="1:17">
      <c r="A361" s="2">
        <v>41355</v>
      </c>
      <c r="B361" s="2" t="s">
        <v>33</v>
      </c>
      <c r="C361" s="3">
        <v>15</v>
      </c>
      <c r="D361" s="6" t="s">
        <v>23</v>
      </c>
      <c r="F361" s="13">
        <v>1.6</v>
      </c>
      <c r="J361">
        <f>49+66+77+90</f>
        <v>282</v>
      </c>
      <c r="K361">
        <v>4</v>
      </c>
      <c r="L361">
        <v>90</v>
      </c>
      <c r="Q361" s="17"/>
    </row>
    <row r="362" spans="1:17">
      <c r="A362" s="2">
        <v>41355</v>
      </c>
      <c r="B362" s="2" t="s">
        <v>33</v>
      </c>
      <c r="C362" s="3">
        <v>15</v>
      </c>
      <c r="D362" s="6" t="s">
        <v>23</v>
      </c>
      <c r="F362" s="13">
        <v>1.45</v>
      </c>
      <c r="J362">
        <f>47+57+68</f>
        <v>172</v>
      </c>
      <c r="K362">
        <v>3</v>
      </c>
      <c r="L362">
        <v>68</v>
      </c>
      <c r="Q362" s="17"/>
    </row>
    <row r="363" spans="1:17">
      <c r="A363" s="2">
        <v>41355</v>
      </c>
      <c r="B363" s="2" t="s">
        <v>33</v>
      </c>
      <c r="C363" s="3">
        <v>15</v>
      </c>
      <c r="D363" s="6" t="s">
        <v>23</v>
      </c>
      <c r="F363" s="13">
        <v>1.38</v>
      </c>
      <c r="J363">
        <f>43+62+70+87+92</f>
        <v>354</v>
      </c>
      <c r="K363">
        <v>5</v>
      </c>
      <c r="L363">
        <v>92</v>
      </c>
      <c r="Q363" s="17"/>
    </row>
    <row r="364" spans="1:17">
      <c r="A364" s="2">
        <v>41355</v>
      </c>
      <c r="B364" s="2" t="s">
        <v>33</v>
      </c>
      <c r="C364" s="3">
        <v>15</v>
      </c>
      <c r="D364" s="6" t="s">
        <v>24</v>
      </c>
      <c r="E364">
        <v>95</v>
      </c>
      <c r="F364" s="13">
        <v>1.1000000000000001</v>
      </c>
      <c r="Q364" s="17"/>
    </row>
    <row r="365" spans="1:17">
      <c r="A365" s="2">
        <v>41355</v>
      </c>
      <c r="B365" s="2" t="s">
        <v>33</v>
      </c>
      <c r="C365" s="3">
        <v>15</v>
      </c>
      <c r="D365" s="6" t="s">
        <v>23</v>
      </c>
      <c r="F365" s="13">
        <v>1.34</v>
      </c>
      <c r="J365">
        <f>33+45+59+62</f>
        <v>199</v>
      </c>
      <c r="K365">
        <v>4</v>
      </c>
      <c r="L365">
        <v>62</v>
      </c>
      <c r="Q365" s="17"/>
    </row>
    <row r="366" spans="1:17">
      <c r="A366" s="2">
        <v>41355</v>
      </c>
      <c r="B366" s="2" t="s">
        <v>33</v>
      </c>
      <c r="C366" s="3">
        <v>15</v>
      </c>
      <c r="D366" s="6" t="s">
        <v>23</v>
      </c>
      <c r="F366" s="13">
        <v>0.82</v>
      </c>
      <c r="J366">
        <f>44+35+33+44</f>
        <v>156</v>
      </c>
      <c r="K366">
        <v>4</v>
      </c>
      <c r="L366">
        <v>44</v>
      </c>
      <c r="Q366" s="17"/>
    </row>
    <row r="367" spans="1:17">
      <c r="A367" s="2">
        <v>41355</v>
      </c>
      <c r="B367" s="2" t="s">
        <v>33</v>
      </c>
      <c r="C367" s="3">
        <v>15</v>
      </c>
      <c r="D367" s="6" t="s">
        <v>23</v>
      </c>
      <c r="F367" s="13">
        <v>0.45</v>
      </c>
      <c r="J367">
        <f>26+36+22</f>
        <v>84</v>
      </c>
      <c r="K367">
        <v>3</v>
      </c>
      <c r="L367">
        <v>36</v>
      </c>
      <c r="Q367" s="17"/>
    </row>
    <row r="368" spans="1:17">
      <c r="A368" s="2">
        <v>41355</v>
      </c>
      <c r="B368" s="2" t="s">
        <v>33</v>
      </c>
      <c r="C368" s="3">
        <v>9</v>
      </c>
      <c r="D368" s="6" t="s">
        <v>23</v>
      </c>
      <c r="F368" s="13">
        <v>0.68</v>
      </c>
      <c r="J368">
        <f>33+47</f>
        <v>80</v>
      </c>
      <c r="K368">
        <v>2</v>
      </c>
      <c r="L368">
        <v>47</v>
      </c>
      <c r="Q368" s="17"/>
    </row>
    <row r="369" spans="1:17">
      <c r="A369" s="2">
        <v>41355</v>
      </c>
      <c r="B369" s="2" t="s">
        <v>33</v>
      </c>
      <c r="C369" s="3">
        <v>9</v>
      </c>
      <c r="D369" s="6" t="s">
        <v>23</v>
      </c>
      <c r="F369" s="13">
        <v>0.7</v>
      </c>
      <c r="J369">
        <f>46</f>
        <v>46</v>
      </c>
      <c r="K369">
        <v>1</v>
      </c>
      <c r="L369">
        <v>46</v>
      </c>
      <c r="Q369" s="17"/>
    </row>
    <row r="370" spans="1:17">
      <c r="A370" s="2">
        <v>41355</v>
      </c>
      <c r="B370" s="2" t="s">
        <v>33</v>
      </c>
      <c r="C370" s="3">
        <v>9</v>
      </c>
      <c r="D370" s="6" t="s">
        <v>23</v>
      </c>
      <c r="F370" s="13">
        <v>1.05</v>
      </c>
      <c r="J370">
        <f>45+49+67+72</f>
        <v>233</v>
      </c>
      <c r="K370">
        <v>4</v>
      </c>
      <c r="L370">
        <v>72</v>
      </c>
      <c r="Q370" s="17"/>
    </row>
    <row r="371" spans="1:17">
      <c r="A371" s="2">
        <v>41355</v>
      </c>
      <c r="B371" s="2" t="s">
        <v>33</v>
      </c>
      <c r="C371" s="3">
        <v>9</v>
      </c>
      <c r="D371" s="6" t="s">
        <v>23</v>
      </c>
      <c r="F371" s="13">
        <v>0.38</v>
      </c>
      <c r="J371">
        <f>31</f>
        <v>31</v>
      </c>
      <c r="K371">
        <v>1</v>
      </c>
      <c r="L371">
        <v>31</v>
      </c>
      <c r="Q371" s="17"/>
    </row>
    <row r="372" spans="1:17">
      <c r="A372" s="2">
        <v>41355</v>
      </c>
      <c r="B372" s="2" t="s">
        <v>33</v>
      </c>
      <c r="C372" s="3">
        <v>9</v>
      </c>
      <c r="D372" s="6" t="s">
        <v>23</v>
      </c>
      <c r="F372" s="13">
        <v>0.69</v>
      </c>
      <c r="J372">
        <f>51+47</f>
        <v>98</v>
      </c>
      <c r="K372">
        <v>2</v>
      </c>
      <c r="L372">
        <v>51</v>
      </c>
      <c r="Q372" s="17"/>
    </row>
    <row r="373" spans="1:17">
      <c r="A373" s="2">
        <v>41355</v>
      </c>
      <c r="B373" s="2" t="s">
        <v>33</v>
      </c>
      <c r="C373" s="3">
        <v>9</v>
      </c>
      <c r="D373" s="6" t="s">
        <v>24</v>
      </c>
      <c r="E373">
        <v>54</v>
      </c>
      <c r="F373" s="13">
        <v>0.48</v>
      </c>
      <c r="Q373" s="17"/>
    </row>
    <row r="374" spans="1:17">
      <c r="A374" s="2">
        <v>41355</v>
      </c>
      <c r="B374" s="2" t="s">
        <v>33</v>
      </c>
      <c r="C374" s="3">
        <v>9</v>
      </c>
      <c r="D374" s="6" t="s">
        <v>23</v>
      </c>
      <c r="F374" s="13">
        <v>0.59</v>
      </c>
      <c r="J374">
        <f>48+37</f>
        <v>85</v>
      </c>
      <c r="K374">
        <v>2</v>
      </c>
      <c r="L374">
        <v>48</v>
      </c>
      <c r="Q374" s="17"/>
    </row>
    <row r="375" spans="1:17">
      <c r="A375" s="2">
        <v>41355</v>
      </c>
      <c r="B375" s="2" t="s">
        <v>33</v>
      </c>
      <c r="C375" s="3">
        <v>9</v>
      </c>
      <c r="D375" s="6" t="s">
        <v>24</v>
      </c>
      <c r="E375">
        <v>50</v>
      </c>
      <c r="F375" s="13">
        <v>0.48</v>
      </c>
      <c r="Q375" s="17"/>
    </row>
    <row r="376" spans="1:17">
      <c r="A376" s="2">
        <v>41355</v>
      </c>
      <c r="B376" s="2" t="s">
        <v>33</v>
      </c>
      <c r="C376" s="3">
        <v>9</v>
      </c>
      <c r="D376" s="6" t="s">
        <v>24</v>
      </c>
      <c r="E376">
        <v>51</v>
      </c>
      <c r="F376" s="13">
        <v>0.48</v>
      </c>
      <c r="Q376" s="17"/>
    </row>
    <row r="377" spans="1:17">
      <c r="A377" s="2">
        <v>41355</v>
      </c>
      <c r="B377" s="2" t="s">
        <v>33</v>
      </c>
      <c r="C377" s="3">
        <v>9</v>
      </c>
      <c r="D377" s="6" t="s">
        <v>24</v>
      </c>
      <c r="E377">
        <v>23</v>
      </c>
      <c r="F377" s="13">
        <v>0.35</v>
      </c>
      <c r="Q377" s="17"/>
    </row>
    <row r="378" spans="1:17">
      <c r="A378" s="2">
        <v>41355</v>
      </c>
      <c r="B378" s="2" t="s">
        <v>33</v>
      </c>
      <c r="C378" s="3">
        <v>9</v>
      </c>
      <c r="D378" s="6" t="s">
        <v>24</v>
      </c>
      <c r="E378">
        <v>58</v>
      </c>
      <c r="F378" s="13">
        <v>0.32</v>
      </c>
      <c r="Q378" s="17"/>
    </row>
    <row r="379" spans="1:17">
      <c r="A379" s="2">
        <v>41355</v>
      </c>
      <c r="B379" s="2" t="s">
        <v>33</v>
      </c>
      <c r="C379" s="3">
        <v>9</v>
      </c>
      <c r="D379" s="6" t="s">
        <v>24</v>
      </c>
      <c r="E379">
        <v>42</v>
      </c>
      <c r="F379" s="13">
        <v>0.55000000000000004</v>
      </c>
      <c r="Q379" s="17"/>
    </row>
    <row r="380" spans="1:17">
      <c r="A380" s="2">
        <v>41355</v>
      </c>
      <c r="B380" s="2" t="s">
        <v>33</v>
      </c>
      <c r="C380" s="3">
        <v>9</v>
      </c>
      <c r="D380" s="6" t="s">
        <v>24</v>
      </c>
      <c r="E380">
        <v>31</v>
      </c>
      <c r="F380" s="13">
        <v>0.21</v>
      </c>
      <c r="Q380" s="17"/>
    </row>
    <row r="381" spans="1:17">
      <c r="A381" s="18">
        <v>41354</v>
      </c>
      <c r="B381" s="3" t="s">
        <v>28</v>
      </c>
      <c r="C381" s="3">
        <v>29</v>
      </c>
      <c r="D381" s="6" t="s">
        <v>20</v>
      </c>
      <c r="F381" s="13">
        <v>1.18</v>
      </c>
      <c r="J381">
        <f>47+52+65+70</f>
        <v>234</v>
      </c>
      <c r="K381">
        <v>4</v>
      </c>
      <c r="L381">
        <v>70</v>
      </c>
      <c r="Q381" s="17"/>
    </row>
    <row r="382" spans="1:17">
      <c r="A382" s="18">
        <v>41354</v>
      </c>
      <c r="B382" s="3" t="s">
        <v>28</v>
      </c>
      <c r="C382" s="3">
        <v>29</v>
      </c>
      <c r="D382" s="6" t="s">
        <v>20</v>
      </c>
      <c r="F382" s="13">
        <v>0.99</v>
      </c>
      <c r="J382">
        <f>46+66+67</f>
        <v>179</v>
      </c>
      <c r="K382">
        <v>3</v>
      </c>
      <c r="L382">
        <v>67</v>
      </c>
      <c r="Q382" s="17"/>
    </row>
    <row r="383" spans="1:17">
      <c r="A383" s="18">
        <v>41354</v>
      </c>
      <c r="B383" s="3" t="s">
        <v>28</v>
      </c>
      <c r="C383" s="3">
        <v>29</v>
      </c>
      <c r="D383" s="6" t="s">
        <v>20</v>
      </c>
      <c r="F383" s="13">
        <v>1.44</v>
      </c>
      <c r="J383">
        <f>49+96+109+140</f>
        <v>394</v>
      </c>
      <c r="K383">
        <v>4</v>
      </c>
      <c r="L383">
        <v>140</v>
      </c>
      <c r="Q383" s="17"/>
    </row>
    <row r="384" spans="1:17">
      <c r="A384" s="18">
        <v>41354</v>
      </c>
      <c r="B384" s="3" t="s">
        <v>28</v>
      </c>
      <c r="C384" s="3">
        <v>29</v>
      </c>
      <c r="D384" s="6" t="s">
        <v>20</v>
      </c>
      <c r="F384" s="13">
        <v>1.1499999999999999</v>
      </c>
      <c r="J384">
        <f>58+69+91+98</f>
        <v>316</v>
      </c>
      <c r="K384">
        <v>4</v>
      </c>
      <c r="L384">
        <v>98</v>
      </c>
      <c r="Q384" s="17"/>
    </row>
    <row r="385" spans="1:17">
      <c r="A385" s="18">
        <v>41354</v>
      </c>
      <c r="B385" s="3" t="s">
        <v>28</v>
      </c>
      <c r="C385" s="3">
        <v>29</v>
      </c>
      <c r="D385" s="6" t="s">
        <v>24</v>
      </c>
      <c r="E385">
        <v>62</v>
      </c>
      <c r="F385" s="13">
        <v>0.99</v>
      </c>
      <c r="Q385" s="17"/>
    </row>
    <row r="386" spans="1:17">
      <c r="A386" s="18">
        <v>41354</v>
      </c>
      <c r="B386" s="3" t="s">
        <v>28</v>
      </c>
      <c r="C386" s="3">
        <v>29</v>
      </c>
      <c r="D386" s="6" t="s">
        <v>20</v>
      </c>
      <c r="F386" s="13">
        <v>1.28</v>
      </c>
      <c r="J386">
        <f>51+69+75+88+101</f>
        <v>384</v>
      </c>
      <c r="K386">
        <v>5</v>
      </c>
      <c r="L386">
        <v>101</v>
      </c>
      <c r="Q386" s="17"/>
    </row>
    <row r="387" spans="1:17">
      <c r="A387" s="18">
        <v>41354</v>
      </c>
      <c r="B387" s="3" t="s">
        <v>28</v>
      </c>
      <c r="C387" s="3">
        <v>29</v>
      </c>
      <c r="D387" s="6" t="s">
        <v>20</v>
      </c>
      <c r="F387" s="13">
        <v>0.71</v>
      </c>
      <c r="J387">
        <f>49+44+57</f>
        <v>150</v>
      </c>
      <c r="K387">
        <v>3</v>
      </c>
      <c r="L387">
        <v>57</v>
      </c>
      <c r="Q387" s="17"/>
    </row>
    <row r="388" spans="1:17">
      <c r="A388" s="18">
        <v>41354</v>
      </c>
      <c r="B388" s="3" t="s">
        <v>28</v>
      </c>
      <c r="C388" s="3">
        <v>29</v>
      </c>
      <c r="D388" s="6" t="s">
        <v>20</v>
      </c>
      <c r="F388" s="13">
        <v>2.34</v>
      </c>
      <c r="J388">
        <f>73+85+122+127+152</f>
        <v>559</v>
      </c>
      <c r="K388">
        <v>5</v>
      </c>
      <c r="L388">
        <v>152</v>
      </c>
      <c r="Q388" s="17"/>
    </row>
    <row r="389" spans="1:17">
      <c r="A389" s="18">
        <v>41354</v>
      </c>
      <c r="B389" s="3" t="s">
        <v>28</v>
      </c>
      <c r="C389" s="3">
        <v>29</v>
      </c>
      <c r="D389" s="6" t="s">
        <v>20</v>
      </c>
      <c r="F389" s="13">
        <v>1.29</v>
      </c>
      <c r="J389">
        <f>35+60+69+85+114+116</f>
        <v>479</v>
      </c>
      <c r="K389">
        <v>6</v>
      </c>
      <c r="L389">
        <v>116</v>
      </c>
      <c r="Q389" s="17"/>
    </row>
    <row r="390" spans="1:17">
      <c r="A390" s="18">
        <v>41354</v>
      </c>
      <c r="B390" s="3" t="s">
        <v>28</v>
      </c>
      <c r="C390" s="3">
        <v>29</v>
      </c>
      <c r="D390" s="6" t="s">
        <v>20</v>
      </c>
      <c r="F390" s="13">
        <v>1.45</v>
      </c>
      <c r="J390">
        <f>24+51+70+76+86</f>
        <v>307</v>
      </c>
      <c r="K390">
        <v>5</v>
      </c>
      <c r="L390">
        <v>86</v>
      </c>
      <c r="Q390" s="17"/>
    </row>
    <row r="391" spans="1:17">
      <c r="A391" s="18">
        <v>41354</v>
      </c>
      <c r="B391" s="3" t="s">
        <v>28</v>
      </c>
      <c r="C391" s="3">
        <v>29</v>
      </c>
      <c r="D391" s="6" t="s">
        <v>24</v>
      </c>
      <c r="E391" s="13">
        <v>73</v>
      </c>
      <c r="F391" s="13">
        <v>0.89</v>
      </c>
      <c r="Q391" s="17"/>
    </row>
    <row r="392" spans="1:17">
      <c r="A392" s="18">
        <v>41354</v>
      </c>
      <c r="B392" s="3" t="s">
        <v>28</v>
      </c>
      <c r="C392" s="3">
        <v>29</v>
      </c>
      <c r="D392" s="6" t="s">
        <v>20</v>
      </c>
      <c r="F392" s="13">
        <v>1.3</v>
      </c>
      <c r="J392">
        <f>53+75+80+94+108</f>
        <v>410</v>
      </c>
      <c r="K392">
        <v>5</v>
      </c>
      <c r="L392">
        <v>108</v>
      </c>
      <c r="Q392" s="17"/>
    </row>
    <row r="393" spans="1:17">
      <c r="A393" s="18">
        <v>41354</v>
      </c>
      <c r="B393" s="3" t="s">
        <v>28</v>
      </c>
      <c r="C393" s="3">
        <v>29</v>
      </c>
      <c r="D393" s="6" t="s">
        <v>20</v>
      </c>
      <c r="F393" s="13">
        <v>1.1000000000000001</v>
      </c>
      <c r="J393">
        <f>74+89+111</f>
        <v>274</v>
      </c>
      <c r="K393">
        <v>3</v>
      </c>
      <c r="L393">
        <v>111</v>
      </c>
      <c r="Q393" s="17"/>
    </row>
    <row r="394" spans="1:17">
      <c r="A394" s="18">
        <v>41354</v>
      </c>
      <c r="B394" s="3" t="s">
        <v>28</v>
      </c>
      <c r="C394" s="3">
        <v>29</v>
      </c>
      <c r="D394" s="6" t="s">
        <v>20</v>
      </c>
      <c r="F394" s="13">
        <v>1.38</v>
      </c>
      <c r="J394">
        <f>63+75+100+99+112</f>
        <v>449</v>
      </c>
      <c r="K394">
        <v>5</v>
      </c>
      <c r="L394">
        <v>112</v>
      </c>
      <c r="Q394" s="17"/>
    </row>
    <row r="395" spans="1:17">
      <c r="A395" s="18">
        <v>41354</v>
      </c>
      <c r="B395" s="3" t="s">
        <v>28</v>
      </c>
      <c r="C395" s="3">
        <v>29</v>
      </c>
      <c r="D395" s="6" t="s">
        <v>24</v>
      </c>
      <c r="E395">
        <v>49</v>
      </c>
      <c r="F395" s="13">
        <v>0.81</v>
      </c>
      <c r="Q395" s="17"/>
    </row>
    <row r="396" spans="1:17">
      <c r="A396" s="18">
        <v>41354</v>
      </c>
      <c r="B396" s="3" t="s">
        <v>28</v>
      </c>
      <c r="C396" s="3">
        <v>29</v>
      </c>
      <c r="D396" s="6" t="s">
        <v>24</v>
      </c>
      <c r="E396">
        <v>101</v>
      </c>
      <c r="F396" s="13">
        <v>1</v>
      </c>
      <c r="Q396" s="17"/>
    </row>
    <row r="397" spans="1:17">
      <c r="A397" s="18">
        <v>41354</v>
      </c>
      <c r="B397" s="3" t="s">
        <v>28</v>
      </c>
      <c r="C397" s="3">
        <v>29</v>
      </c>
      <c r="D397" s="6" t="s">
        <v>20</v>
      </c>
      <c r="F397" s="13">
        <v>0.84</v>
      </c>
      <c r="J397">
        <f>58+72+76</f>
        <v>206</v>
      </c>
      <c r="K397">
        <v>3</v>
      </c>
      <c r="L397">
        <v>76</v>
      </c>
      <c r="Q397" s="17"/>
    </row>
    <row r="398" spans="1:17">
      <c r="A398" s="18">
        <v>41354</v>
      </c>
      <c r="B398" s="3" t="s">
        <v>28</v>
      </c>
      <c r="C398" s="3">
        <v>29</v>
      </c>
      <c r="D398" s="6" t="s">
        <v>20</v>
      </c>
      <c r="F398" s="13">
        <v>0.95</v>
      </c>
      <c r="J398">
        <f>49+68+74+93+107</f>
        <v>391</v>
      </c>
      <c r="K398">
        <v>5</v>
      </c>
      <c r="L398">
        <v>107</v>
      </c>
      <c r="Q398" s="17"/>
    </row>
    <row r="399" spans="1:17" ht="15.75" customHeight="1">
      <c r="A399" s="18">
        <v>41354</v>
      </c>
      <c r="B399" s="3" t="s">
        <v>28</v>
      </c>
      <c r="C399" s="3">
        <v>29</v>
      </c>
      <c r="D399" s="6" t="s">
        <v>20</v>
      </c>
      <c r="F399" s="13">
        <v>0.68</v>
      </c>
      <c r="J399">
        <f>59+58+74</f>
        <v>191</v>
      </c>
      <c r="K399">
        <v>3</v>
      </c>
      <c r="L399">
        <v>74</v>
      </c>
      <c r="Q399" s="17"/>
    </row>
    <row r="400" spans="1:17">
      <c r="A400" s="18">
        <v>41354</v>
      </c>
      <c r="B400" s="3" t="s">
        <v>28</v>
      </c>
      <c r="C400" s="3">
        <v>29</v>
      </c>
      <c r="D400" s="6" t="s">
        <v>20</v>
      </c>
      <c r="F400" s="13">
        <v>1.29</v>
      </c>
      <c r="J400">
        <f>50+59+76+76</f>
        <v>261</v>
      </c>
      <c r="K400">
        <v>4</v>
      </c>
      <c r="L400">
        <v>76</v>
      </c>
      <c r="Q400" s="17"/>
    </row>
    <row r="401" spans="1:17">
      <c r="A401" s="18">
        <v>41354</v>
      </c>
      <c r="B401" s="3" t="s">
        <v>28</v>
      </c>
      <c r="C401" s="3">
        <v>29</v>
      </c>
      <c r="D401" s="6" t="s">
        <v>20</v>
      </c>
      <c r="F401" s="13">
        <v>0.89</v>
      </c>
      <c r="J401">
        <f>46+56+62</f>
        <v>164</v>
      </c>
      <c r="K401">
        <v>3</v>
      </c>
      <c r="L401">
        <v>62</v>
      </c>
      <c r="Q401" s="17"/>
    </row>
    <row r="402" spans="1:17">
      <c r="A402" s="18">
        <v>41354</v>
      </c>
      <c r="B402" s="3" t="s">
        <v>28</v>
      </c>
      <c r="C402" s="3">
        <v>29</v>
      </c>
      <c r="D402" s="6" t="s">
        <v>20</v>
      </c>
      <c r="F402" s="13">
        <v>0.87</v>
      </c>
      <c r="J402">
        <f>43+53+59</f>
        <v>155</v>
      </c>
      <c r="K402">
        <v>3</v>
      </c>
      <c r="L402">
        <v>59</v>
      </c>
      <c r="Q402" s="17"/>
    </row>
    <row r="403" spans="1:17">
      <c r="A403" s="18">
        <v>41354</v>
      </c>
      <c r="B403" s="3" t="s">
        <v>28</v>
      </c>
      <c r="C403" s="3">
        <v>29</v>
      </c>
      <c r="D403" s="6" t="s">
        <v>20</v>
      </c>
      <c r="F403" s="13">
        <v>2.35</v>
      </c>
      <c r="J403">
        <f>116+152+153+215+220</f>
        <v>856</v>
      </c>
      <c r="K403">
        <v>5</v>
      </c>
      <c r="L403">
        <v>220</v>
      </c>
      <c r="Q403" s="17"/>
    </row>
    <row r="404" spans="1:17">
      <c r="A404" s="18">
        <v>41354</v>
      </c>
      <c r="B404" s="3" t="s">
        <v>28</v>
      </c>
      <c r="C404" s="3">
        <v>29</v>
      </c>
      <c r="D404" s="6" t="s">
        <v>20</v>
      </c>
      <c r="F404" s="13">
        <v>2.1</v>
      </c>
      <c r="J404">
        <f>56+49+69+79</f>
        <v>253</v>
      </c>
      <c r="K404">
        <v>4</v>
      </c>
      <c r="L404">
        <v>79</v>
      </c>
      <c r="Q404" s="17"/>
    </row>
    <row r="405" spans="1:17">
      <c r="A405" s="18">
        <v>41354</v>
      </c>
      <c r="B405" s="3" t="s">
        <v>28</v>
      </c>
      <c r="C405" s="3">
        <v>29</v>
      </c>
      <c r="D405" s="6" t="s">
        <v>20</v>
      </c>
      <c r="F405" s="13">
        <v>3.04</v>
      </c>
      <c r="J405">
        <f>78+104+116+152+161</f>
        <v>611</v>
      </c>
      <c r="K405">
        <v>5</v>
      </c>
      <c r="L405">
        <v>152</v>
      </c>
      <c r="Q405" s="17"/>
    </row>
    <row r="406" spans="1:17">
      <c r="A406" s="18">
        <v>41354</v>
      </c>
      <c r="B406" s="3" t="s">
        <v>28</v>
      </c>
      <c r="C406" s="3">
        <v>29</v>
      </c>
      <c r="D406" s="6" t="s">
        <v>20</v>
      </c>
      <c r="F406" s="13">
        <v>1.06</v>
      </c>
      <c r="J406">
        <f>69+70+83</f>
        <v>222</v>
      </c>
      <c r="K406">
        <v>3</v>
      </c>
      <c r="L406">
        <v>83</v>
      </c>
      <c r="Q406" s="17"/>
    </row>
    <row r="407" spans="1:17">
      <c r="A407" s="18">
        <v>41354</v>
      </c>
      <c r="B407" s="3" t="s">
        <v>28</v>
      </c>
      <c r="C407" s="3">
        <v>29</v>
      </c>
      <c r="D407" s="6" t="s">
        <v>20</v>
      </c>
      <c r="F407" s="13">
        <v>1.47</v>
      </c>
      <c r="J407">
        <f>66+77+81</f>
        <v>224</v>
      </c>
      <c r="K407">
        <v>3</v>
      </c>
      <c r="L407">
        <v>81</v>
      </c>
      <c r="Q407" s="17"/>
    </row>
    <row r="408" spans="1:17">
      <c r="A408" s="18">
        <v>41354</v>
      </c>
      <c r="B408" s="3" t="s">
        <v>28</v>
      </c>
      <c r="C408" s="3">
        <v>20</v>
      </c>
      <c r="M408" t="s">
        <v>27</v>
      </c>
      <c r="Q408" s="17"/>
    </row>
    <row r="409" spans="1:17">
      <c r="A409" s="18">
        <v>41354</v>
      </c>
      <c r="B409" s="3" t="s">
        <v>28</v>
      </c>
      <c r="C409" s="3">
        <v>11</v>
      </c>
      <c r="M409" t="s">
        <v>27</v>
      </c>
      <c r="Q409" s="17"/>
    </row>
    <row r="410" spans="1:17">
      <c r="A410" s="18">
        <v>41354</v>
      </c>
      <c r="B410" s="3" t="s">
        <v>28</v>
      </c>
      <c r="C410" s="3">
        <v>2</v>
      </c>
      <c r="F410" s="13">
        <v>0.75</v>
      </c>
      <c r="J410">
        <f>28+32</f>
        <v>60</v>
      </c>
      <c r="K410">
        <v>2</v>
      </c>
      <c r="L410">
        <v>32</v>
      </c>
      <c r="Q410" s="17"/>
    </row>
    <row r="411" spans="1:17">
      <c r="A411" s="18">
        <v>41354</v>
      </c>
      <c r="B411" s="3" t="s">
        <v>28</v>
      </c>
      <c r="C411" s="3">
        <v>2</v>
      </c>
      <c r="F411" s="13">
        <v>0.96</v>
      </c>
      <c r="J411">
        <f>27+44+45</f>
        <v>116</v>
      </c>
      <c r="K411">
        <v>3</v>
      </c>
      <c r="L411">
        <v>45</v>
      </c>
      <c r="Q411" s="17"/>
    </row>
    <row r="412" spans="1:17">
      <c r="A412" s="18">
        <v>41354</v>
      </c>
      <c r="B412" s="3" t="s">
        <v>28</v>
      </c>
      <c r="C412" s="3">
        <v>2</v>
      </c>
      <c r="F412" s="13">
        <v>0.56999999999999995</v>
      </c>
      <c r="J412">
        <f>22+25</f>
        <v>47</v>
      </c>
      <c r="K412">
        <v>2</v>
      </c>
      <c r="L412">
        <v>25</v>
      </c>
      <c r="Q412" s="17"/>
    </row>
    <row r="413" spans="1:17">
      <c r="A413" s="18">
        <v>41354</v>
      </c>
      <c r="B413" s="3" t="s">
        <v>28</v>
      </c>
      <c r="C413" s="3">
        <v>2</v>
      </c>
      <c r="F413" s="13">
        <v>0.89</v>
      </c>
      <c r="J413">
        <f>33+36+44</f>
        <v>113</v>
      </c>
      <c r="K413">
        <v>3</v>
      </c>
      <c r="L413">
        <v>44</v>
      </c>
      <c r="Q413" s="17"/>
    </row>
    <row r="414" spans="1:17">
      <c r="A414" s="18">
        <v>41354</v>
      </c>
      <c r="B414" s="3" t="s">
        <v>28</v>
      </c>
      <c r="C414" s="3">
        <v>2</v>
      </c>
      <c r="F414" s="13">
        <v>1.29</v>
      </c>
      <c r="J414">
        <f>46+60+66</f>
        <v>172</v>
      </c>
      <c r="K414">
        <v>3</v>
      </c>
      <c r="L414">
        <v>66</v>
      </c>
      <c r="Q414" s="17"/>
    </row>
    <row r="415" spans="1:17">
      <c r="A415" s="18">
        <v>41354</v>
      </c>
      <c r="B415" s="3" t="s">
        <v>28</v>
      </c>
      <c r="C415" s="3">
        <v>2</v>
      </c>
      <c r="F415" s="13">
        <v>0.82</v>
      </c>
      <c r="J415">
        <f>51+42</f>
        <v>93</v>
      </c>
      <c r="K415">
        <v>2</v>
      </c>
      <c r="L415">
        <v>51</v>
      </c>
      <c r="Q415" s="17"/>
    </row>
    <row r="416" spans="1:17">
      <c r="A416" s="18">
        <v>41354</v>
      </c>
      <c r="B416" s="3" t="s">
        <v>28</v>
      </c>
      <c r="C416" s="3">
        <v>2</v>
      </c>
      <c r="F416" s="13">
        <v>1.81</v>
      </c>
      <c r="J416">
        <f>64+77+82</f>
        <v>223</v>
      </c>
      <c r="K416">
        <v>3</v>
      </c>
      <c r="L416">
        <v>82</v>
      </c>
      <c r="Q416" s="17"/>
    </row>
    <row r="417" spans="1:17">
      <c r="A417" s="18">
        <v>41354</v>
      </c>
      <c r="B417" s="3" t="s">
        <v>28</v>
      </c>
      <c r="C417" s="3">
        <v>2</v>
      </c>
      <c r="F417" s="13">
        <v>1.58</v>
      </c>
      <c r="J417">
        <f>47+69+94</f>
        <v>210</v>
      </c>
      <c r="K417">
        <v>3</v>
      </c>
      <c r="L417">
        <v>94</v>
      </c>
      <c r="Q417" s="17"/>
    </row>
    <row r="418" spans="1:17">
      <c r="A418" s="18">
        <v>41354</v>
      </c>
      <c r="B418" s="3" t="s">
        <v>29</v>
      </c>
      <c r="C418" s="3">
        <v>48</v>
      </c>
      <c r="D418" s="5" t="s">
        <v>20</v>
      </c>
      <c r="F418" s="13">
        <v>3.15</v>
      </c>
      <c r="J418">
        <f>103+133+173+211+224</f>
        <v>844</v>
      </c>
      <c r="K418">
        <v>5</v>
      </c>
      <c r="L418">
        <v>224</v>
      </c>
      <c r="Q418" s="17"/>
    </row>
    <row r="419" spans="1:17">
      <c r="A419" s="18">
        <v>41354</v>
      </c>
      <c r="B419" s="3" t="s">
        <v>29</v>
      </c>
      <c r="C419" s="3">
        <v>48</v>
      </c>
      <c r="D419" s="5" t="s">
        <v>20</v>
      </c>
      <c r="F419" s="13">
        <v>1.79</v>
      </c>
      <c r="J419">
        <f>79+93+117</f>
        <v>289</v>
      </c>
      <c r="K419">
        <v>3</v>
      </c>
      <c r="L419">
        <v>117</v>
      </c>
      <c r="Q419" s="17"/>
    </row>
    <row r="420" spans="1:17">
      <c r="A420" s="18">
        <v>41354</v>
      </c>
      <c r="B420" s="3" t="s">
        <v>29</v>
      </c>
      <c r="C420" s="3">
        <v>48</v>
      </c>
      <c r="D420" s="5" t="s">
        <v>20</v>
      </c>
      <c r="F420" s="13">
        <v>1.66</v>
      </c>
      <c r="J420">
        <f>53+96+106+118+140</f>
        <v>513</v>
      </c>
      <c r="K420">
        <v>5</v>
      </c>
      <c r="L420">
        <v>140</v>
      </c>
      <c r="Q420" s="17"/>
    </row>
    <row r="421" spans="1:17">
      <c r="A421" s="18">
        <v>41354</v>
      </c>
      <c r="B421" s="3" t="s">
        <v>29</v>
      </c>
      <c r="C421" s="3">
        <v>48</v>
      </c>
      <c r="D421" s="5" t="s">
        <v>20</v>
      </c>
      <c r="F421" s="13">
        <v>2.02</v>
      </c>
      <c r="J421">
        <f>73+106+110+141+167</f>
        <v>597</v>
      </c>
      <c r="K421">
        <v>5</v>
      </c>
      <c r="L421">
        <v>167</v>
      </c>
      <c r="Q421" s="17"/>
    </row>
    <row r="422" spans="1:17">
      <c r="A422" s="18">
        <v>41354</v>
      </c>
      <c r="B422" s="3" t="s">
        <v>29</v>
      </c>
      <c r="C422" s="3">
        <v>48</v>
      </c>
      <c r="D422" s="5" t="s">
        <v>20</v>
      </c>
      <c r="F422" s="13">
        <v>4.79</v>
      </c>
      <c r="J422">
        <f>78+179+216+258+285+125+179</f>
        <v>1320</v>
      </c>
      <c r="K422">
        <v>7</v>
      </c>
      <c r="L422">
        <v>285</v>
      </c>
      <c r="Q422" s="17"/>
    </row>
    <row r="423" spans="1:17">
      <c r="A423" s="18">
        <v>41354</v>
      </c>
      <c r="B423" s="3" t="s">
        <v>29</v>
      </c>
      <c r="C423" s="3">
        <v>48</v>
      </c>
      <c r="D423" s="5" t="s">
        <v>20</v>
      </c>
      <c r="F423" s="13">
        <v>1.38</v>
      </c>
      <c r="J423">
        <f>61+76+106+109</f>
        <v>352</v>
      </c>
      <c r="K423">
        <v>4</v>
      </c>
      <c r="L423">
        <v>109</v>
      </c>
      <c r="Q423" s="17"/>
    </row>
    <row r="424" spans="1:17">
      <c r="A424" s="18">
        <v>41354</v>
      </c>
      <c r="B424" s="3" t="s">
        <v>29</v>
      </c>
      <c r="C424" s="3">
        <v>48</v>
      </c>
      <c r="D424" s="5" t="s">
        <v>20</v>
      </c>
      <c r="F424" s="13">
        <v>0.88</v>
      </c>
      <c r="J424">
        <f>82+85</f>
        <v>167</v>
      </c>
      <c r="K424">
        <v>2</v>
      </c>
      <c r="L424">
        <v>85</v>
      </c>
      <c r="Q424" s="17"/>
    </row>
    <row r="425" spans="1:17">
      <c r="A425" s="18">
        <v>41354</v>
      </c>
      <c r="B425" s="3" t="s">
        <v>29</v>
      </c>
      <c r="C425" s="3">
        <v>48</v>
      </c>
      <c r="D425" s="5" t="s">
        <v>20</v>
      </c>
      <c r="F425" s="13">
        <v>2.09</v>
      </c>
      <c r="J425">
        <f>75+105+134+152</f>
        <v>466</v>
      </c>
      <c r="K425">
        <v>5</v>
      </c>
      <c r="L425">
        <v>152</v>
      </c>
      <c r="Q425" s="17"/>
    </row>
    <row r="426" spans="1:17">
      <c r="A426" s="18">
        <v>41354</v>
      </c>
      <c r="B426" s="3" t="s">
        <v>29</v>
      </c>
      <c r="C426" s="3">
        <v>48</v>
      </c>
      <c r="D426" s="5" t="s">
        <v>20</v>
      </c>
      <c r="F426" s="13">
        <v>1.76</v>
      </c>
      <c r="J426">
        <f>79+122+132+147+164</f>
        <v>644</v>
      </c>
      <c r="K426">
        <v>5</v>
      </c>
      <c r="L426">
        <v>164</v>
      </c>
      <c r="Q426" s="17"/>
    </row>
    <row r="427" spans="1:17">
      <c r="A427" s="18">
        <v>41354</v>
      </c>
      <c r="B427" s="3" t="s">
        <v>29</v>
      </c>
      <c r="C427" s="3">
        <v>19</v>
      </c>
      <c r="D427" s="5" t="s">
        <v>20</v>
      </c>
      <c r="F427" s="13">
        <v>0.97</v>
      </c>
      <c r="J427">
        <f>41+45</f>
        <v>86</v>
      </c>
      <c r="K427">
        <v>2</v>
      </c>
      <c r="L427">
        <v>45</v>
      </c>
      <c r="Q427" s="17"/>
    </row>
    <row r="428" spans="1:17">
      <c r="A428" s="18">
        <v>41354</v>
      </c>
      <c r="B428" s="3" t="s">
        <v>29</v>
      </c>
      <c r="C428" s="3">
        <v>19</v>
      </c>
      <c r="D428" s="5" t="s">
        <v>20</v>
      </c>
      <c r="F428" s="13">
        <v>3.94</v>
      </c>
      <c r="J428">
        <f>76+101+123+132+146</f>
        <v>578</v>
      </c>
      <c r="K428">
        <v>5</v>
      </c>
      <c r="L428">
        <v>146</v>
      </c>
      <c r="Q428" s="17"/>
    </row>
    <row r="429" spans="1:17">
      <c r="A429" s="18">
        <v>41354</v>
      </c>
      <c r="B429" s="3" t="s">
        <v>29</v>
      </c>
      <c r="C429" s="3">
        <v>19</v>
      </c>
      <c r="D429" s="5" t="s">
        <v>20</v>
      </c>
      <c r="F429" s="13">
        <v>0.7</v>
      </c>
      <c r="J429">
        <f>44+44</f>
        <v>88</v>
      </c>
      <c r="K429">
        <v>2</v>
      </c>
      <c r="L429">
        <v>44</v>
      </c>
      <c r="Q429" s="17"/>
    </row>
    <row r="430" spans="1:17">
      <c r="A430" s="18">
        <v>41354</v>
      </c>
      <c r="B430" s="3" t="s">
        <v>29</v>
      </c>
      <c r="C430" s="3">
        <v>19</v>
      </c>
      <c r="D430" s="5" t="s">
        <v>20</v>
      </c>
      <c r="F430" s="13">
        <v>0.51</v>
      </c>
      <c r="J430">
        <f>38+43</f>
        <v>81</v>
      </c>
      <c r="K430">
        <v>2</v>
      </c>
      <c r="L430">
        <v>43</v>
      </c>
      <c r="Q430" s="17"/>
    </row>
    <row r="431" spans="1:17">
      <c r="A431" s="18">
        <v>41354</v>
      </c>
      <c r="B431" s="3" t="s">
        <v>29</v>
      </c>
      <c r="C431" s="3">
        <v>19</v>
      </c>
      <c r="D431" s="5" t="s">
        <v>20</v>
      </c>
      <c r="F431" s="13">
        <v>0.68</v>
      </c>
      <c r="J431">
        <f>39+40</f>
        <v>79</v>
      </c>
      <c r="K431">
        <v>2</v>
      </c>
      <c r="L431">
        <v>40</v>
      </c>
      <c r="Q431" s="17"/>
    </row>
    <row r="432" spans="1:17">
      <c r="A432" s="18">
        <v>41354</v>
      </c>
      <c r="B432" s="3" t="s">
        <v>29</v>
      </c>
      <c r="C432" s="3">
        <v>19</v>
      </c>
      <c r="D432" s="5" t="s">
        <v>20</v>
      </c>
      <c r="F432" s="13">
        <v>0.62</v>
      </c>
      <c r="J432">
        <f>34</f>
        <v>34</v>
      </c>
      <c r="K432">
        <v>1</v>
      </c>
      <c r="L432">
        <v>34</v>
      </c>
      <c r="Q432" s="17"/>
    </row>
    <row r="433" spans="1:17">
      <c r="A433" s="18">
        <v>41354</v>
      </c>
      <c r="B433" s="3" t="s">
        <v>29</v>
      </c>
      <c r="C433" s="3">
        <v>19</v>
      </c>
      <c r="D433" s="5" t="s">
        <v>20</v>
      </c>
      <c r="F433" s="13">
        <v>0.75</v>
      </c>
      <c r="J433">
        <f>38+42+47</f>
        <v>127</v>
      </c>
      <c r="K433">
        <v>3</v>
      </c>
      <c r="L433">
        <v>47</v>
      </c>
      <c r="Q433" s="17"/>
    </row>
    <row r="434" spans="1:17">
      <c r="A434" s="18">
        <v>41354</v>
      </c>
      <c r="B434" s="3" t="s">
        <v>29</v>
      </c>
      <c r="C434" s="3">
        <v>19</v>
      </c>
      <c r="D434" s="5" t="s">
        <v>20</v>
      </c>
      <c r="F434" s="13">
        <v>1.04</v>
      </c>
      <c r="J434">
        <f>49+49+63</f>
        <v>161</v>
      </c>
      <c r="K434">
        <v>3</v>
      </c>
      <c r="L434">
        <v>63</v>
      </c>
      <c r="Q434" s="17"/>
    </row>
    <row r="435" spans="1:17">
      <c r="A435" s="18">
        <v>41354</v>
      </c>
      <c r="B435" s="3" t="s">
        <v>30</v>
      </c>
      <c r="C435" s="3">
        <v>45</v>
      </c>
      <c r="M435" t="s">
        <v>27</v>
      </c>
      <c r="Q435" s="17"/>
    </row>
    <row r="436" spans="1:17">
      <c r="A436" s="18">
        <v>41354</v>
      </c>
      <c r="B436" s="3" t="s">
        <v>30</v>
      </c>
      <c r="C436" s="3">
        <v>40</v>
      </c>
      <c r="D436" s="5" t="s">
        <v>20</v>
      </c>
      <c r="F436" s="13">
        <v>0.87</v>
      </c>
      <c r="J436">
        <f>26+27</f>
        <v>53</v>
      </c>
      <c r="K436">
        <v>2</v>
      </c>
      <c r="L436">
        <v>27</v>
      </c>
      <c r="Q436" s="17"/>
    </row>
    <row r="437" spans="1:17">
      <c r="A437" s="18">
        <v>41354</v>
      </c>
      <c r="B437" s="3" t="s">
        <v>30</v>
      </c>
      <c r="C437" s="3">
        <v>40</v>
      </c>
      <c r="D437" s="5" t="s">
        <v>20</v>
      </c>
      <c r="F437" s="13">
        <v>0.99</v>
      </c>
      <c r="J437">
        <f>28+30</f>
        <v>58</v>
      </c>
      <c r="K437">
        <v>2</v>
      </c>
      <c r="L437">
        <v>30</v>
      </c>
      <c r="Q437" s="17"/>
    </row>
    <row r="438" spans="1:17">
      <c r="A438" s="18">
        <v>41354</v>
      </c>
      <c r="B438" s="3" t="s">
        <v>30</v>
      </c>
      <c r="C438" s="3">
        <v>40</v>
      </c>
      <c r="D438" s="5" t="s">
        <v>20</v>
      </c>
      <c r="F438" s="13">
        <v>0.72</v>
      </c>
      <c r="J438">
        <f>20</f>
        <v>20</v>
      </c>
      <c r="K438">
        <v>1</v>
      </c>
      <c r="L438">
        <v>20</v>
      </c>
      <c r="Q438" s="17"/>
    </row>
    <row r="439" spans="1:17">
      <c r="A439" s="18">
        <v>41354</v>
      </c>
      <c r="B439" s="3" t="s">
        <v>30</v>
      </c>
      <c r="C439" s="3">
        <v>40</v>
      </c>
      <c r="D439" s="5" t="s">
        <v>20</v>
      </c>
      <c r="F439" s="13">
        <v>0.87</v>
      </c>
      <c r="J439">
        <f>35+49+58</f>
        <v>142</v>
      </c>
      <c r="K439">
        <v>3</v>
      </c>
      <c r="L439">
        <v>58</v>
      </c>
      <c r="Q439" s="17"/>
    </row>
    <row r="440" spans="1:17">
      <c r="A440" s="18">
        <v>41354</v>
      </c>
      <c r="B440" s="3" t="s">
        <v>30</v>
      </c>
      <c r="C440" s="3">
        <v>40</v>
      </c>
      <c r="D440" s="5" t="s">
        <v>20</v>
      </c>
      <c r="F440" s="13">
        <v>1.48</v>
      </c>
      <c r="J440">
        <f>43+71+82+88+99</f>
        <v>383</v>
      </c>
      <c r="K440">
        <v>5</v>
      </c>
      <c r="L440">
        <v>99</v>
      </c>
      <c r="Q440" s="17"/>
    </row>
    <row r="441" spans="1:17">
      <c r="A441" s="18">
        <v>41354</v>
      </c>
      <c r="B441" s="3" t="s">
        <v>30</v>
      </c>
      <c r="C441" s="3">
        <v>40</v>
      </c>
      <c r="D441" s="5" t="s">
        <v>20</v>
      </c>
      <c r="F441" s="13">
        <v>1.06</v>
      </c>
      <c r="J441">
        <f>44+55</f>
        <v>99</v>
      </c>
      <c r="K441">
        <v>2</v>
      </c>
      <c r="L441">
        <v>55</v>
      </c>
      <c r="Q441" s="17"/>
    </row>
    <row r="442" spans="1:17">
      <c r="A442" s="18">
        <v>41354</v>
      </c>
      <c r="B442" s="3" t="s">
        <v>30</v>
      </c>
      <c r="C442" s="3">
        <v>40</v>
      </c>
      <c r="D442" s="5" t="s">
        <v>20</v>
      </c>
      <c r="F442" s="13">
        <v>0.98</v>
      </c>
      <c r="J442">
        <f>28+38+57+61+78</f>
        <v>262</v>
      </c>
      <c r="K442">
        <v>5</v>
      </c>
      <c r="L442">
        <v>78</v>
      </c>
      <c r="Q442" s="17"/>
    </row>
    <row r="443" spans="1:17">
      <c r="A443" s="18">
        <v>41354</v>
      </c>
      <c r="B443" s="3" t="s">
        <v>30</v>
      </c>
      <c r="C443" s="3">
        <v>40</v>
      </c>
      <c r="D443" s="5" t="s">
        <v>20</v>
      </c>
      <c r="F443" s="13">
        <v>3.07</v>
      </c>
      <c r="J443">
        <f>71+99+118+123+160</f>
        <v>571</v>
      </c>
      <c r="K443">
        <v>5</v>
      </c>
      <c r="L443">
        <v>160</v>
      </c>
      <c r="Q443" s="17"/>
    </row>
    <row r="444" spans="1:17">
      <c r="A444" s="18">
        <v>41354</v>
      </c>
      <c r="B444" s="3" t="s">
        <v>30</v>
      </c>
      <c r="C444" s="3">
        <v>40</v>
      </c>
      <c r="D444" s="5" t="s">
        <v>20</v>
      </c>
      <c r="F444" s="13">
        <v>1.48</v>
      </c>
      <c r="J444">
        <f>56+56+70+81</f>
        <v>263</v>
      </c>
      <c r="K444">
        <v>4</v>
      </c>
      <c r="L444">
        <v>81</v>
      </c>
      <c r="Q444" s="17"/>
    </row>
    <row r="445" spans="1:17">
      <c r="A445" s="18">
        <v>41354</v>
      </c>
      <c r="B445" s="3"/>
      <c r="C445" s="3">
        <v>5</v>
      </c>
      <c r="M445" t="s">
        <v>27</v>
      </c>
      <c r="Q445" s="17"/>
    </row>
    <row r="446" spans="1:17">
      <c r="A446" s="18">
        <v>41354</v>
      </c>
      <c r="B446" s="3" t="s">
        <v>31</v>
      </c>
      <c r="C446" s="3">
        <v>38</v>
      </c>
      <c r="D446" s="5" t="s">
        <v>20</v>
      </c>
      <c r="F446" s="13">
        <v>1.43</v>
      </c>
      <c r="J446">
        <f>53+74+80+96</f>
        <v>303</v>
      </c>
      <c r="K446">
        <v>4</v>
      </c>
      <c r="L446">
        <v>96</v>
      </c>
      <c r="Q446" s="17"/>
    </row>
    <row r="447" spans="1:17">
      <c r="A447" s="18">
        <v>41354</v>
      </c>
      <c r="B447" s="3" t="s">
        <v>31</v>
      </c>
      <c r="C447" s="3">
        <v>38</v>
      </c>
      <c r="D447" s="5" t="s">
        <v>20</v>
      </c>
      <c r="F447" s="13">
        <v>1.5</v>
      </c>
      <c r="J447">
        <f>64+83+82+110+112</f>
        <v>451</v>
      </c>
      <c r="K447">
        <v>5</v>
      </c>
      <c r="L447">
        <v>112</v>
      </c>
      <c r="Q447" s="17"/>
    </row>
    <row r="448" spans="1:17">
      <c r="A448" s="18">
        <v>41354</v>
      </c>
      <c r="B448" s="3" t="s">
        <v>31</v>
      </c>
      <c r="C448" s="3">
        <v>38</v>
      </c>
      <c r="D448" s="5" t="s">
        <v>20</v>
      </c>
      <c r="F448" s="13">
        <v>1.55</v>
      </c>
      <c r="J448">
        <f>57+82+92+100</f>
        <v>331</v>
      </c>
      <c r="K448">
        <v>4</v>
      </c>
      <c r="L448">
        <v>100</v>
      </c>
      <c r="Q448" s="17"/>
    </row>
    <row r="449" spans="1:17">
      <c r="A449" s="18">
        <v>41354</v>
      </c>
      <c r="B449" s="3" t="s">
        <v>31</v>
      </c>
      <c r="C449" s="3">
        <v>38</v>
      </c>
      <c r="D449" s="5" t="s">
        <v>20</v>
      </c>
      <c r="F449" s="13">
        <v>1.72</v>
      </c>
      <c r="J449">
        <f>42+47+49+73+81+87</f>
        <v>379</v>
      </c>
      <c r="K449">
        <v>6</v>
      </c>
      <c r="L449">
        <v>87</v>
      </c>
      <c r="Q449" s="17"/>
    </row>
    <row r="450" spans="1:17">
      <c r="A450" s="18">
        <v>41354</v>
      </c>
      <c r="B450" s="3" t="s">
        <v>31</v>
      </c>
      <c r="C450" s="3">
        <v>38</v>
      </c>
      <c r="D450" s="5" t="s">
        <v>20</v>
      </c>
      <c r="F450" s="13">
        <v>1.28</v>
      </c>
      <c r="J450">
        <f>66+70+84</f>
        <v>220</v>
      </c>
      <c r="K450">
        <v>3</v>
      </c>
      <c r="L450">
        <v>84</v>
      </c>
      <c r="Q450" s="17"/>
    </row>
    <row r="451" spans="1:17">
      <c r="A451" s="18">
        <v>41354</v>
      </c>
      <c r="B451" s="3" t="s">
        <v>31</v>
      </c>
      <c r="C451" s="3">
        <v>38</v>
      </c>
      <c r="D451" s="5" t="s">
        <v>20</v>
      </c>
      <c r="F451" s="13">
        <v>1.73</v>
      </c>
      <c r="J451">
        <f>67+77+82</f>
        <v>226</v>
      </c>
      <c r="K451">
        <v>3</v>
      </c>
      <c r="L451">
        <v>82</v>
      </c>
      <c r="Q451" s="17"/>
    </row>
    <row r="452" spans="1:17">
      <c r="A452" s="18">
        <v>41354</v>
      </c>
      <c r="B452" s="3" t="s">
        <v>31</v>
      </c>
      <c r="C452" s="3">
        <v>9</v>
      </c>
      <c r="D452" s="5" t="s">
        <v>20</v>
      </c>
      <c r="F452" s="13">
        <v>1.44</v>
      </c>
      <c r="J452">
        <f>75+87</f>
        <v>162</v>
      </c>
      <c r="K452">
        <v>2</v>
      </c>
      <c r="L452">
        <v>87</v>
      </c>
      <c r="Q452" s="17"/>
    </row>
    <row r="453" spans="1:17">
      <c r="A453" s="18">
        <v>41354</v>
      </c>
      <c r="B453" s="3" t="s">
        <v>31</v>
      </c>
      <c r="C453" s="3">
        <v>9</v>
      </c>
      <c r="D453" s="5" t="s">
        <v>20</v>
      </c>
      <c r="F453" s="13">
        <v>1.78</v>
      </c>
      <c r="J453">
        <f>61+81+87+106</f>
        <v>335</v>
      </c>
      <c r="K453">
        <v>4</v>
      </c>
      <c r="L453">
        <v>106</v>
      </c>
      <c r="Q453" s="17"/>
    </row>
    <row r="454" spans="1:17">
      <c r="A454" s="18">
        <v>41354</v>
      </c>
      <c r="B454" s="3" t="s">
        <v>31</v>
      </c>
      <c r="C454" s="3">
        <v>9</v>
      </c>
      <c r="D454" s="5" t="s">
        <v>24</v>
      </c>
      <c r="E454">
        <v>96</v>
      </c>
      <c r="F454" s="13">
        <v>1</v>
      </c>
      <c r="G454">
        <v>3</v>
      </c>
      <c r="Q454" s="17"/>
    </row>
    <row r="455" spans="1:17">
      <c r="A455" s="18">
        <v>41354</v>
      </c>
      <c r="B455" s="3" t="s">
        <v>31</v>
      </c>
      <c r="C455" s="3">
        <v>9</v>
      </c>
      <c r="D455" s="5" t="s">
        <v>24</v>
      </c>
      <c r="E455">
        <v>122</v>
      </c>
      <c r="F455" s="13">
        <v>1.25</v>
      </c>
      <c r="G455">
        <v>1</v>
      </c>
      <c r="Q455" s="17"/>
    </row>
    <row r="456" spans="1:17">
      <c r="A456" s="18">
        <v>41354</v>
      </c>
      <c r="B456" s="3" t="s">
        <v>31</v>
      </c>
      <c r="C456" s="3">
        <v>9</v>
      </c>
      <c r="D456" s="5" t="s">
        <v>24</v>
      </c>
      <c r="E456">
        <v>40</v>
      </c>
      <c r="F456" s="13">
        <v>1.1399999999999999</v>
      </c>
      <c r="Q456" s="17"/>
    </row>
    <row r="457" spans="1:17">
      <c r="A457" s="18">
        <v>41354</v>
      </c>
      <c r="B457" s="3" t="s">
        <v>31</v>
      </c>
      <c r="C457" s="3">
        <v>9</v>
      </c>
      <c r="D457" s="5" t="s">
        <v>20</v>
      </c>
      <c r="F457" s="13">
        <v>0.57999999999999996</v>
      </c>
      <c r="J457">
        <f>43+48+51</f>
        <v>142</v>
      </c>
      <c r="K457">
        <v>3</v>
      </c>
      <c r="L457">
        <v>51</v>
      </c>
      <c r="Q457" s="17"/>
    </row>
    <row r="458" spans="1:17">
      <c r="A458" s="18">
        <v>41354</v>
      </c>
      <c r="B458" s="3" t="s">
        <v>31</v>
      </c>
      <c r="C458" s="3">
        <v>9</v>
      </c>
      <c r="D458" s="5" t="s">
        <v>20</v>
      </c>
      <c r="F458" s="13">
        <v>1.8</v>
      </c>
      <c r="J458">
        <f>79+79+91</f>
        <v>249</v>
      </c>
      <c r="K458">
        <v>3</v>
      </c>
      <c r="L458">
        <v>91</v>
      </c>
      <c r="Q458" s="17"/>
    </row>
    <row r="459" spans="1:17">
      <c r="A459" s="18">
        <v>41354</v>
      </c>
      <c r="B459" s="3" t="s">
        <v>31</v>
      </c>
      <c r="C459" s="3">
        <v>9</v>
      </c>
      <c r="D459" s="5" t="s">
        <v>24</v>
      </c>
      <c r="E459">
        <v>150</v>
      </c>
      <c r="F459" s="13">
        <v>1.28</v>
      </c>
      <c r="G459">
        <v>5</v>
      </c>
      <c r="Q459" s="17"/>
    </row>
    <row r="460" spans="1:17">
      <c r="A460" s="18">
        <v>41354</v>
      </c>
      <c r="B460" s="3" t="s">
        <v>31</v>
      </c>
      <c r="C460" s="3">
        <v>9</v>
      </c>
      <c r="D460" s="5" t="s">
        <v>20</v>
      </c>
      <c r="F460" s="13">
        <v>0.88</v>
      </c>
      <c r="J460">
        <f>45</f>
        <v>45</v>
      </c>
      <c r="K460">
        <v>1</v>
      </c>
      <c r="L460">
        <v>45</v>
      </c>
      <c r="Q460" s="17"/>
    </row>
    <row r="461" spans="1:17">
      <c r="A461" s="18">
        <v>41354</v>
      </c>
      <c r="B461" s="3" t="s">
        <v>31</v>
      </c>
      <c r="C461" s="3">
        <v>9</v>
      </c>
      <c r="D461" s="5" t="s">
        <v>20</v>
      </c>
      <c r="F461" s="13">
        <v>1.1100000000000001</v>
      </c>
      <c r="J461">
        <f>58+81+70</f>
        <v>209</v>
      </c>
      <c r="K461">
        <v>3</v>
      </c>
      <c r="L461">
        <v>81</v>
      </c>
      <c r="Q461" s="17"/>
    </row>
    <row r="462" spans="1:17">
      <c r="A462" s="18">
        <v>41354</v>
      </c>
      <c r="B462" s="3" t="s">
        <v>31</v>
      </c>
      <c r="C462" s="3">
        <v>9</v>
      </c>
      <c r="D462" s="5" t="s">
        <v>24</v>
      </c>
      <c r="E462">
        <v>82</v>
      </c>
      <c r="F462" s="13">
        <v>1.17</v>
      </c>
      <c r="Q462" s="17"/>
    </row>
    <row r="463" spans="1:17">
      <c r="A463" s="18">
        <v>41354</v>
      </c>
      <c r="B463" s="3" t="s">
        <v>31</v>
      </c>
      <c r="C463" s="3">
        <v>9</v>
      </c>
      <c r="D463" s="5" t="s">
        <v>24</v>
      </c>
      <c r="E463">
        <v>207</v>
      </c>
      <c r="F463" s="13">
        <v>0.8</v>
      </c>
      <c r="Q463" s="17"/>
    </row>
    <row r="464" spans="1:17">
      <c r="A464" s="18">
        <v>41354</v>
      </c>
      <c r="B464" s="3" t="s">
        <v>31</v>
      </c>
      <c r="C464" s="3">
        <v>9</v>
      </c>
      <c r="D464" s="5" t="s">
        <v>20</v>
      </c>
      <c r="F464" s="13">
        <v>1.03</v>
      </c>
      <c r="J464">
        <f>50+64+68</f>
        <v>182</v>
      </c>
      <c r="K464">
        <v>3</v>
      </c>
      <c r="L464">
        <v>68</v>
      </c>
      <c r="Q464" s="17"/>
    </row>
    <row r="465" spans="1:17">
      <c r="A465" s="18">
        <v>41354</v>
      </c>
      <c r="B465" s="3" t="s">
        <v>31</v>
      </c>
      <c r="C465" s="3">
        <v>9</v>
      </c>
      <c r="D465" s="5" t="s">
        <v>20</v>
      </c>
      <c r="F465" s="13">
        <v>0.57999999999999996</v>
      </c>
      <c r="J465">
        <f>34+33</f>
        <v>67</v>
      </c>
      <c r="K465">
        <v>2</v>
      </c>
      <c r="L465">
        <v>34</v>
      </c>
      <c r="Q465" s="17"/>
    </row>
    <row r="466" spans="1:17">
      <c r="A466" s="18">
        <v>41354</v>
      </c>
      <c r="B466" s="3" t="s">
        <v>31</v>
      </c>
      <c r="C466" s="3">
        <v>9</v>
      </c>
      <c r="D466" s="5" t="s">
        <v>24</v>
      </c>
      <c r="E466">
        <v>105</v>
      </c>
      <c r="F466" s="13">
        <v>1.39</v>
      </c>
      <c r="Q466" s="17"/>
    </row>
    <row r="467" spans="1:17">
      <c r="A467" s="18">
        <v>41354</v>
      </c>
      <c r="B467" s="3" t="s">
        <v>31</v>
      </c>
      <c r="C467" s="3">
        <v>9</v>
      </c>
      <c r="D467" s="5" t="s">
        <v>24</v>
      </c>
      <c r="E467">
        <v>76</v>
      </c>
      <c r="F467" s="13">
        <v>0.9</v>
      </c>
      <c r="Q467" s="17"/>
    </row>
    <row r="468" spans="1:17">
      <c r="A468" s="2">
        <v>41355</v>
      </c>
      <c r="B468" s="3" t="s">
        <v>33</v>
      </c>
      <c r="C468" s="3">
        <v>1</v>
      </c>
      <c r="D468" s="5" t="s">
        <v>23</v>
      </c>
      <c r="F468" s="13">
        <v>0.92</v>
      </c>
      <c r="J468">
        <f>24+27+35+53+60</f>
        <v>199</v>
      </c>
      <c r="K468">
        <v>5</v>
      </c>
      <c r="L468">
        <v>60</v>
      </c>
      <c r="Q468" s="17"/>
    </row>
    <row r="469" spans="1:17">
      <c r="A469" s="2">
        <v>41355</v>
      </c>
      <c r="B469" s="3" t="s">
        <v>33</v>
      </c>
      <c r="C469" s="3">
        <v>1</v>
      </c>
      <c r="D469" s="5" t="s">
        <v>23</v>
      </c>
      <c r="F469" s="13">
        <v>1</v>
      </c>
      <c r="J469">
        <f>38+19+26</f>
        <v>83</v>
      </c>
      <c r="K469">
        <v>3</v>
      </c>
      <c r="L469">
        <v>38</v>
      </c>
      <c r="Q469" s="17"/>
    </row>
    <row r="470" spans="1:17">
      <c r="A470" s="2">
        <v>41355</v>
      </c>
      <c r="B470" s="3" t="s">
        <v>33</v>
      </c>
      <c r="C470" s="3">
        <v>1</v>
      </c>
      <c r="D470" s="5" t="s">
        <v>23</v>
      </c>
      <c r="F470" s="13">
        <v>1.1200000000000001</v>
      </c>
      <c r="J470">
        <f>27+52+64+47</f>
        <v>190</v>
      </c>
      <c r="K470">
        <v>4</v>
      </c>
      <c r="L470">
        <v>64</v>
      </c>
      <c r="Q470" s="17"/>
    </row>
    <row r="471" spans="1:17">
      <c r="A471" s="2">
        <v>41355</v>
      </c>
      <c r="B471" s="3" t="s">
        <v>33</v>
      </c>
      <c r="C471" s="3">
        <v>1</v>
      </c>
      <c r="D471" s="5" t="s">
        <v>23</v>
      </c>
      <c r="F471" s="13">
        <v>1</v>
      </c>
      <c r="J471">
        <f>20+49+47+54</f>
        <v>170</v>
      </c>
      <c r="K471">
        <v>4</v>
      </c>
      <c r="L471">
        <v>54</v>
      </c>
      <c r="Q471" s="17"/>
    </row>
    <row r="472" spans="1:17">
      <c r="A472" s="2">
        <v>41355</v>
      </c>
      <c r="B472" s="3" t="s">
        <v>33</v>
      </c>
      <c r="C472" s="3">
        <v>1</v>
      </c>
      <c r="D472" s="5" t="s">
        <v>23</v>
      </c>
      <c r="F472" s="13">
        <v>1.69</v>
      </c>
      <c r="J472">
        <f>37+56+70+85+83</f>
        <v>331</v>
      </c>
      <c r="K472">
        <v>5</v>
      </c>
      <c r="L472">
        <v>85</v>
      </c>
      <c r="Q472" s="17"/>
    </row>
    <row r="473" spans="1:17">
      <c r="A473" s="2">
        <v>41355</v>
      </c>
      <c r="B473" s="3" t="s">
        <v>33</v>
      </c>
      <c r="C473" s="3">
        <v>1</v>
      </c>
      <c r="D473" s="5" t="s">
        <v>23</v>
      </c>
      <c r="F473" s="13">
        <v>1.43</v>
      </c>
      <c r="J473">
        <f>48+57+66+80+87</f>
        <v>338</v>
      </c>
      <c r="K473">
        <v>5</v>
      </c>
      <c r="L473">
        <v>87</v>
      </c>
      <c r="Q473" s="17"/>
    </row>
    <row r="474" spans="1:17">
      <c r="A474" s="2">
        <v>41355</v>
      </c>
      <c r="B474" s="3" t="s">
        <v>33</v>
      </c>
      <c r="C474" s="3">
        <v>1</v>
      </c>
      <c r="D474" s="5" t="s">
        <v>23</v>
      </c>
      <c r="F474" s="13">
        <v>1.25</v>
      </c>
      <c r="J474">
        <f>30+47+56</f>
        <v>133</v>
      </c>
      <c r="K474">
        <v>3</v>
      </c>
      <c r="L474">
        <v>56</v>
      </c>
      <c r="Q474" s="17"/>
    </row>
    <row r="475" spans="1:17">
      <c r="A475" s="2">
        <v>41355</v>
      </c>
      <c r="B475" s="3" t="s">
        <v>33</v>
      </c>
      <c r="C475" s="3">
        <v>1</v>
      </c>
      <c r="D475" s="5" t="s">
        <v>23</v>
      </c>
      <c r="F475" s="13">
        <v>1.33</v>
      </c>
      <c r="J475">
        <f>20+39+78+26+26+22</f>
        <v>211</v>
      </c>
      <c r="K475">
        <v>6</v>
      </c>
      <c r="L475">
        <v>78</v>
      </c>
      <c r="Q475" s="17"/>
    </row>
    <row r="476" spans="1:17">
      <c r="A476" s="2">
        <v>41355</v>
      </c>
      <c r="B476" s="3" t="s">
        <v>33</v>
      </c>
      <c r="C476" s="3">
        <v>1</v>
      </c>
      <c r="D476" s="5" t="s">
        <v>23</v>
      </c>
      <c r="F476" s="13">
        <v>1.05</v>
      </c>
      <c r="J476">
        <f>40+60+68+75</f>
        <v>243</v>
      </c>
      <c r="K476">
        <v>4</v>
      </c>
      <c r="L476">
        <v>75</v>
      </c>
      <c r="Q476" s="17"/>
    </row>
    <row r="477" spans="1:17">
      <c r="A477" s="2">
        <v>41355</v>
      </c>
      <c r="B477" s="3" t="s">
        <v>33</v>
      </c>
      <c r="C477" s="3">
        <v>1</v>
      </c>
      <c r="D477" s="5" t="s">
        <v>23</v>
      </c>
      <c r="F477" s="13">
        <v>0.71</v>
      </c>
      <c r="J477">
        <f>17+21+22</f>
        <v>60</v>
      </c>
      <c r="K477">
        <v>3</v>
      </c>
      <c r="L477">
        <v>22</v>
      </c>
      <c r="Q477" s="17"/>
    </row>
    <row r="478" spans="1:17">
      <c r="A478" s="2">
        <v>41355</v>
      </c>
      <c r="B478" s="3" t="s">
        <v>33</v>
      </c>
      <c r="C478" s="3">
        <v>1</v>
      </c>
      <c r="D478" s="5" t="s">
        <v>23</v>
      </c>
      <c r="F478" s="13">
        <v>0.66</v>
      </c>
      <c r="J478">
        <f>9+14+18+18</f>
        <v>59</v>
      </c>
      <c r="K478">
        <v>4</v>
      </c>
      <c r="L478">
        <v>18</v>
      </c>
      <c r="Q478" s="17"/>
    </row>
    <row r="479" spans="1:17">
      <c r="A479" s="2">
        <v>41355</v>
      </c>
      <c r="B479" s="3" t="s">
        <v>33</v>
      </c>
      <c r="C479" s="3">
        <v>1</v>
      </c>
      <c r="D479" s="5" t="s">
        <v>23</v>
      </c>
      <c r="F479" s="13">
        <v>0.89</v>
      </c>
      <c r="J479">
        <f>23+51+47</f>
        <v>121</v>
      </c>
      <c r="K479">
        <v>3</v>
      </c>
      <c r="L479">
        <v>51</v>
      </c>
      <c r="Q479" s="17"/>
    </row>
    <row r="480" spans="1:17">
      <c r="A480" s="2">
        <v>41355</v>
      </c>
      <c r="B480" s="3" t="s">
        <v>33</v>
      </c>
      <c r="C480" s="3">
        <v>1</v>
      </c>
      <c r="D480" s="5" t="s">
        <v>23</v>
      </c>
      <c r="F480" s="13">
        <v>1.07</v>
      </c>
      <c r="J480">
        <f>15+28+28+28</f>
        <v>99</v>
      </c>
      <c r="K480">
        <v>4</v>
      </c>
      <c r="L480">
        <v>28</v>
      </c>
      <c r="Q480" s="17"/>
    </row>
    <row r="481" spans="1:17">
      <c r="A481" s="2">
        <v>41355</v>
      </c>
      <c r="B481" s="3" t="s">
        <v>33</v>
      </c>
      <c r="C481" s="3">
        <v>1</v>
      </c>
      <c r="D481" s="5" t="s">
        <v>23</v>
      </c>
      <c r="F481" s="13">
        <v>1.06</v>
      </c>
      <c r="J481">
        <f>19+35+57+55</f>
        <v>166</v>
      </c>
      <c r="K481">
        <v>4</v>
      </c>
      <c r="L481">
        <v>57</v>
      </c>
      <c r="Q481" s="17"/>
    </row>
    <row r="482" spans="1:17">
      <c r="A482" s="2">
        <v>41355</v>
      </c>
      <c r="B482" s="3" t="s">
        <v>33</v>
      </c>
      <c r="C482" s="3">
        <v>1</v>
      </c>
      <c r="D482" s="5" t="s">
        <v>23</v>
      </c>
      <c r="F482" s="13">
        <v>1.24</v>
      </c>
      <c r="J482">
        <f>19+15+37+32+32</f>
        <v>135</v>
      </c>
      <c r="K482">
        <v>5</v>
      </c>
      <c r="L482">
        <v>37</v>
      </c>
      <c r="Q482" s="17"/>
    </row>
    <row r="483" spans="1:17">
      <c r="A483" s="2">
        <v>41355</v>
      </c>
      <c r="B483" s="3" t="s">
        <v>33</v>
      </c>
      <c r="C483" s="3">
        <v>1</v>
      </c>
      <c r="D483" s="5" t="s">
        <v>23</v>
      </c>
      <c r="F483" s="13">
        <v>1.37</v>
      </c>
      <c r="J483">
        <f>23+26+25+25</f>
        <v>99</v>
      </c>
      <c r="K483">
        <v>4</v>
      </c>
      <c r="L483">
        <v>26</v>
      </c>
      <c r="Q483" s="17"/>
    </row>
    <row r="484" spans="1:17">
      <c r="A484" s="2">
        <v>41355</v>
      </c>
      <c r="B484" s="3" t="s">
        <v>33</v>
      </c>
      <c r="C484" s="3">
        <v>1</v>
      </c>
      <c r="D484" s="5" t="s">
        <v>23</v>
      </c>
      <c r="F484" s="13">
        <v>0.84</v>
      </c>
      <c r="J484">
        <f>16+23+30+30</f>
        <v>99</v>
      </c>
      <c r="K484">
        <v>4</v>
      </c>
      <c r="L484">
        <v>30</v>
      </c>
      <c r="Q484" s="17"/>
    </row>
    <row r="485" spans="1:17">
      <c r="A485" s="2">
        <v>41355</v>
      </c>
      <c r="B485" s="3" t="s">
        <v>33</v>
      </c>
      <c r="C485" s="3">
        <v>1</v>
      </c>
      <c r="D485" s="5" t="s">
        <v>23</v>
      </c>
      <c r="F485" s="13">
        <v>1</v>
      </c>
      <c r="J485">
        <f>17+29+17+26</f>
        <v>89</v>
      </c>
      <c r="K485">
        <v>4</v>
      </c>
      <c r="L485">
        <v>29</v>
      </c>
      <c r="Q485" s="17"/>
    </row>
    <row r="486" spans="1:17">
      <c r="A486" s="2">
        <v>41355</v>
      </c>
      <c r="B486" s="3" t="s">
        <v>33</v>
      </c>
      <c r="C486" s="3">
        <v>1</v>
      </c>
      <c r="D486" s="5" t="s">
        <v>23</v>
      </c>
      <c r="F486" s="13">
        <v>1.1399999999999999</v>
      </c>
      <c r="J486">
        <f>19+30+32+35</f>
        <v>116</v>
      </c>
      <c r="K486">
        <v>4</v>
      </c>
      <c r="L486">
        <v>35</v>
      </c>
      <c r="Q486" s="17"/>
    </row>
    <row r="487" spans="1:17">
      <c r="A487" s="2">
        <v>41355</v>
      </c>
      <c r="B487" s="3" t="s">
        <v>33</v>
      </c>
      <c r="C487" s="3">
        <v>1</v>
      </c>
      <c r="D487" s="5" t="s">
        <v>23</v>
      </c>
      <c r="F487" s="13">
        <v>0.9</v>
      </c>
      <c r="J487">
        <f>24+45+44+20</f>
        <v>133</v>
      </c>
      <c r="K487">
        <v>4</v>
      </c>
      <c r="L487">
        <v>45</v>
      </c>
      <c r="Q487" s="17"/>
    </row>
    <row r="488" spans="1:17">
      <c r="A488" s="2">
        <v>41355</v>
      </c>
      <c r="B488" s="3" t="s">
        <v>33</v>
      </c>
      <c r="C488" s="3">
        <v>1</v>
      </c>
      <c r="D488" s="5" t="s">
        <v>23</v>
      </c>
      <c r="F488" s="13">
        <v>1.01</v>
      </c>
      <c r="J488">
        <f>16+34+39</f>
        <v>89</v>
      </c>
      <c r="K488">
        <v>3</v>
      </c>
      <c r="L488">
        <v>39</v>
      </c>
      <c r="Q488" s="17"/>
    </row>
    <row r="489" spans="1:17">
      <c r="A489" s="2">
        <v>41355</v>
      </c>
      <c r="B489" s="3" t="s">
        <v>33</v>
      </c>
      <c r="C489" s="3">
        <v>1</v>
      </c>
      <c r="D489" s="5" t="s">
        <v>23</v>
      </c>
      <c r="F489" s="13">
        <v>0.91</v>
      </c>
      <c r="J489">
        <f>34+37+57+52</f>
        <v>180</v>
      </c>
      <c r="K489">
        <v>4</v>
      </c>
      <c r="L489">
        <v>57</v>
      </c>
      <c r="Q489" s="17"/>
    </row>
    <row r="490" spans="1:17">
      <c r="A490" s="2">
        <v>41355</v>
      </c>
      <c r="B490" s="3" t="s">
        <v>33</v>
      </c>
      <c r="C490" s="3">
        <v>1</v>
      </c>
      <c r="D490" s="5" t="s">
        <v>23</v>
      </c>
      <c r="F490" s="13">
        <v>1.55</v>
      </c>
      <c r="J490">
        <f>53+78+73+98</f>
        <v>302</v>
      </c>
      <c r="K490">
        <v>4</v>
      </c>
      <c r="L490">
        <v>98</v>
      </c>
      <c r="Q490" s="17"/>
    </row>
    <row r="491" spans="1:17">
      <c r="A491" s="2">
        <v>41355</v>
      </c>
      <c r="B491" s="3" t="s">
        <v>33</v>
      </c>
      <c r="C491" s="3">
        <v>1</v>
      </c>
      <c r="D491" s="5" t="s">
        <v>23</v>
      </c>
      <c r="F491" s="13">
        <v>0.86</v>
      </c>
      <c r="J491">
        <f>15+60+60+65</f>
        <v>200</v>
      </c>
      <c r="K491">
        <v>4</v>
      </c>
      <c r="L491">
        <v>65</v>
      </c>
      <c r="Q491" s="17"/>
    </row>
    <row r="492" spans="1:17">
      <c r="A492" s="2">
        <v>41355</v>
      </c>
      <c r="B492" s="3" t="s">
        <v>33</v>
      </c>
      <c r="C492" s="3">
        <v>1</v>
      </c>
      <c r="D492" s="5" t="s">
        <v>23</v>
      </c>
      <c r="F492" s="13">
        <v>1.27</v>
      </c>
      <c r="J492">
        <f>33+62+77+84</f>
        <v>256</v>
      </c>
      <c r="K492">
        <v>4</v>
      </c>
      <c r="L492">
        <v>87</v>
      </c>
      <c r="Q492" s="17"/>
    </row>
    <row r="493" spans="1:17">
      <c r="A493" s="2">
        <v>41355</v>
      </c>
      <c r="B493" s="3" t="s">
        <v>33</v>
      </c>
      <c r="C493" s="3">
        <v>1</v>
      </c>
      <c r="D493" s="5" t="s">
        <v>23</v>
      </c>
      <c r="F493" s="13">
        <v>0.51</v>
      </c>
      <c r="J493">
        <f>18+28+20</f>
        <v>66</v>
      </c>
      <c r="K493">
        <v>3</v>
      </c>
      <c r="L493">
        <v>28</v>
      </c>
      <c r="Q493" s="17"/>
    </row>
    <row r="494" spans="1:17">
      <c r="A494" s="2">
        <v>41355</v>
      </c>
      <c r="B494" s="3" t="s">
        <v>33</v>
      </c>
      <c r="C494" s="3">
        <v>1</v>
      </c>
      <c r="D494" s="5" t="s">
        <v>23</v>
      </c>
      <c r="F494" s="13">
        <v>0.43</v>
      </c>
      <c r="J494">
        <f>20+28+32</f>
        <v>80</v>
      </c>
      <c r="K494">
        <v>3</v>
      </c>
      <c r="L494">
        <v>32</v>
      </c>
      <c r="Q494" s="17"/>
    </row>
    <row r="495" spans="1:17">
      <c r="A495" s="2">
        <v>41355</v>
      </c>
      <c r="B495" s="3" t="s">
        <v>35</v>
      </c>
      <c r="C495" s="3">
        <v>1</v>
      </c>
      <c r="D495" s="5" t="s">
        <v>24</v>
      </c>
      <c r="E495">
        <v>60</v>
      </c>
      <c r="F495" s="13">
        <v>0.84</v>
      </c>
      <c r="Q495" s="17"/>
    </row>
    <row r="496" spans="1:17">
      <c r="A496" s="2">
        <v>41355</v>
      </c>
      <c r="B496" s="3" t="s">
        <v>35</v>
      </c>
      <c r="C496" s="3">
        <v>1</v>
      </c>
      <c r="D496" s="5" t="s">
        <v>24</v>
      </c>
      <c r="E496">
        <v>44</v>
      </c>
      <c r="F496" s="13">
        <v>0.79</v>
      </c>
      <c r="Q496" s="17"/>
    </row>
    <row r="497" spans="1:17">
      <c r="A497" s="2">
        <v>41355</v>
      </c>
      <c r="B497" s="3" t="s">
        <v>35</v>
      </c>
      <c r="C497" s="3">
        <v>1</v>
      </c>
      <c r="D497" s="5" t="s">
        <v>24</v>
      </c>
      <c r="E497">
        <v>93</v>
      </c>
      <c r="F497" s="13">
        <v>0.1</v>
      </c>
      <c r="Q497" s="17"/>
    </row>
    <row r="498" spans="1:17">
      <c r="A498" s="2">
        <v>41355</v>
      </c>
      <c r="B498" s="3" t="s">
        <v>35</v>
      </c>
      <c r="C498" s="3">
        <v>1</v>
      </c>
      <c r="D498" s="5" t="s">
        <v>24</v>
      </c>
      <c r="E498">
        <v>126</v>
      </c>
      <c r="F498" s="13">
        <v>0.7</v>
      </c>
      <c r="Q498" s="17"/>
    </row>
    <row r="499" spans="1:17">
      <c r="A499" s="2">
        <v>41355</v>
      </c>
      <c r="B499" s="3" t="s">
        <v>35</v>
      </c>
      <c r="C499" s="3">
        <v>1</v>
      </c>
      <c r="D499" s="5" t="s">
        <v>24</v>
      </c>
      <c r="E499">
        <v>97</v>
      </c>
      <c r="F499" s="13">
        <v>1.67</v>
      </c>
      <c r="G499">
        <v>7</v>
      </c>
      <c r="Q499" s="17"/>
    </row>
    <row r="500" spans="1:17">
      <c r="A500" s="2">
        <v>41355</v>
      </c>
      <c r="B500" s="3" t="s">
        <v>35</v>
      </c>
      <c r="C500" s="3">
        <v>1</v>
      </c>
      <c r="D500" s="5" t="s">
        <v>24</v>
      </c>
      <c r="E500">
        <v>32</v>
      </c>
      <c r="F500" s="13">
        <v>0.8</v>
      </c>
      <c r="Q500" s="17"/>
    </row>
    <row r="501" spans="1:17">
      <c r="A501" s="2">
        <v>41355</v>
      </c>
      <c r="B501" s="3" t="s">
        <v>35</v>
      </c>
      <c r="C501" s="3">
        <v>1</v>
      </c>
      <c r="D501" s="5" t="s">
        <v>23</v>
      </c>
      <c r="F501" s="13">
        <v>1.08</v>
      </c>
      <c r="J501">
        <f>28+27</f>
        <v>55</v>
      </c>
      <c r="K501">
        <v>2</v>
      </c>
      <c r="L501">
        <v>28</v>
      </c>
      <c r="Q501" s="17"/>
    </row>
    <row r="502" spans="1:17">
      <c r="A502" s="2">
        <v>41355</v>
      </c>
      <c r="B502" s="3" t="s">
        <v>35</v>
      </c>
      <c r="C502" s="3">
        <v>1</v>
      </c>
      <c r="D502" s="5" t="s">
        <v>23</v>
      </c>
      <c r="F502" s="13">
        <v>0.72</v>
      </c>
      <c r="J502">
        <f>20</f>
        <v>20</v>
      </c>
      <c r="K502">
        <v>1</v>
      </c>
      <c r="L502">
        <v>20</v>
      </c>
      <c r="Q502" s="17"/>
    </row>
    <row r="503" spans="1:17">
      <c r="A503" s="2">
        <v>41355</v>
      </c>
      <c r="B503" s="3" t="s">
        <v>35</v>
      </c>
      <c r="C503" s="3">
        <v>1</v>
      </c>
      <c r="D503" s="5" t="s">
        <v>23</v>
      </c>
      <c r="F503" s="13">
        <v>1.05</v>
      </c>
      <c r="J503">
        <f>25+26+30</f>
        <v>81</v>
      </c>
      <c r="K503">
        <v>3</v>
      </c>
      <c r="L503">
        <v>30</v>
      </c>
      <c r="Q503" s="17"/>
    </row>
    <row r="504" spans="1:17">
      <c r="A504" s="2">
        <v>41355</v>
      </c>
      <c r="B504" s="3" t="s">
        <v>35</v>
      </c>
      <c r="C504" s="3">
        <v>1</v>
      </c>
      <c r="D504" s="5" t="s">
        <v>23</v>
      </c>
      <c r="F504" s="13">
        <v>0.9</v>
      </c>
      <c r="J504">
        <f>26+26</f>
        <v>52</v>
      </c>
      <c r="K504">
        <v>2</v>
      </c>
      <c r="L504">
        <v>26</v>
      </c>
      <c r="Q504" s="17"/>
    </row>
    <row r="505" spans="1:17">
      <c r="A505" s="2">
        <v>41355</v>
      </c>
      <c r="B505" s="3" t="s">
        <v>35</v>
      </c>
      <c r="C505" s="3">
        <v>1</v>
      </c>
      <c r="D505" s="5" t="s">
        <v>23</v>
      </c>
      <c r="F505" s="13">
        <v>1.02</v>
      </c>
      <c r="J505">
        <f>18+18</f>
        <v>36</v>
      </c>
      <c r="K505">
        <v>2</v>
      </c>
      <c r="L505">
        <v>18</v>
      </c>
      <c r="Q505" s="17"/>
    </row>
    <row r="506" spans="1:17">
      <c r="A506" s="2">
        <v>41355</v>
      </c>
      <c r="B506" s="3" t="s">
        <v>35</v>
      </c>
      <c r="C506" s="3">
        <v>1</v>
      </c>
      <c r="D506" s="5" t="s">
        <v>23</v>
      </c>
      <c r="F506" s="13">
        <v>0.86</v>
      </c>
      <c r="J506">
        <f>16+18+12</f>
        <v>46</v>
      </c>
      <c r="K506">
        <v>3</v>
      </c>
      <c r="L506">
        <v>18</v>
      </c>
      <c r="Q506" s="17"/>
    </row>
    <row r="507" spans="1:17">
      <c r="A507" s="2">
        <v>41355</v>
      </c>
      <c r="B507" s="3" t="s">
        <v>35</v>
      </c>
      <c r="C507" s="3">
        <v>1</v>
      </c>
      <c r="D507" s="5" t="s">
        <v>23</v>
      </c>
      <c r="F507" s="13">
        <v>0.84</v>
      </c>
      <c r="J507">
        <f>16+17+23</f>
        <v>56</v>
      </c>
      <c r="K507">
        <v>3</v>
      </c>
      <c r="L507">
        <v>23</v>
      </c>
      <c r="Q507" s="17"/>
    </row>
    <row r="508" spans="1:17">
      <c r="A508" s="2">
        <v>41355</v>
      </c>
      <c r="B508" s="3" t="s">
        <v>35</v>
      </c>
      <c r="C508" s="3">
        <v>1</v>
      </c>
      <c r="D508" s="5" t="s">
        <v>23</v>
      </c>
      <c r="F508" s="13">
        <v>0.61</v>
      </c>
      <c r="J508">
        <f>20+15</f>
        <v>35</v>
      </c>
      <c r="K508">
        <v>2</v>
      </c>
      <c r="L508">
        <v>20</v>
      </c>
      <c r="Q508" s="17"/>
    </row>
    <row r="509" spans="1:17">
      <c r="A509" s="2">
        <v>41355</v>
      </c>
      <c r="B509" s="3" t="s">
        <v>35</v>
      </c>
      <c r="C509" s="3">
        <v>1</v>
      </c>
      <c r="D509" s="5" t="s">
        <v>23</v>
      </c>
      <c r="F509" s="13">
        <v>1.45</v>
      </c>
      <c r="J509">
        <f>30+36+45+50+69</f>
        <v>230</v>
      </c>
      <c r="K509">
        <v>5</v>
      </c>
      <c r="L509">
        <v>69</v>
      </c>
      <c r="Q509" s="17"/>
    </row>
    <row r="510" spans="1:17">
      <c r="A510" s="2">
        <v>41355</v>
      </c>
      <c r="B510" s="3" t="s">
        <v>35</v>
      </c>
      <c r="C510" s="3">
        <v>1</v>
      </c>
      <c r="D510" s="5" t="s">
        <v>23</v>
      </c>
      <c r="F510" s="13">
        <v>0.85</v>
      </c>
      <c r="J510">
        <f>27+30</f>
        <v>57</v>
      </c>
      <c r="K510">
        <v>2</v>
      </c>
      <c r="L510">
        <v>30</v>
      </c>
      <c r="Q510" s="17"/>
    </row>
    <row r="511" spans="1:17">
      <c r="A511" s="2">
        <v>41355</v>
      </c>
      <c r="B511" s="3" t="s">
        <v>35</v>
      </c>
      <c r="C511" s="3">
        <v>1</v>
      </c>
      <c r="D511" s="5" t="s">
        <v>23</v>
      </c>
      <c r="F511" s="13">
        <v>0.81</v>
      </c>
      <c r="J511">
        <f>30+31</f>
        <v>61</v>
      </c>
      <c r="K511">
        <v>2</v>
      </c>
      <c r="L511">
        <v>31</v>
      </c>
      <c r="Q511" s="17"/>
    </row>
    <row r="512" spans="1:17">
      <c r="A512" s="2">
        <v>41355</v>
      </c>
      <c r="B512" s="3" t="s">
        <v>35</v>
      </c>
      <c r="C512" s="3">
        <v>1</v>
      </c>
      <c r="D512" s="5" t="s">
        <v>24</v>
      </c>
      <c r="E512">
        <v>85</v>
      </c>
      <c r="F512" s="13">
        <v>1.21</v>
      </c>
      <c r="Q512" s="17"/>
    </row>
    <row r="513" spans="1:17">
      <c r="A513" s="2">
        <v>41355</v>
      </c>
      <c r="B513" s="3" t="s">
        <v>35</v>
      </c>
      <c r="C513" s="3">
        <v>1</v>
      </c>
      <c r="D513" s="5" t="s">
        <v>23</v>
      </c>
      <c r="F513" s="13">
        <v>0.98</v>
      </c>
      <c r="J513">
        <f>35+34</f>
        <v>69</v>
      </c>
      <c r="K513">
        <v>2</v>
      </c>
      <c r="L513">
        <v>35</v>
      </c>
      <c r="Q513" s="17"/>
    </row>
    <row r="514" spans="1:17">
      <c r="A514" s="2">
        <v>41355</v>
      </c>
      <c r="B514" s="3" t="s">
        <v>35</v>
      </c>
      <c r="C514" s="3">
        <v>1</v>
      </c>
      <c r="D514" s="5" t="s">
        <v>23</v>
      </c>
      <c r="F514" s="13">
        <v>1.25</v>
      </c>
      <c r="J514">
        <f>30+29</f>
        <v>59</v>
      </c>
      <c r="K514">
        <v>2</v>
      </c>
      <c r="L514">
        <v>30</v>
      </c>
      <c r="Q514" s="17"/>
    </row>
    <row r="515" spans="1:17">
      <c r="A515" s="2">
        <v>41355</v>
      </c>
      <c r="B515" s="3" t="s">
        <v>35</v>
      </c>
      <c r="C515" s="3">
        <v>1</v>
      </c>
      <c r="D515" s="5" t="s">
        <v>23</v>
      </c>
      <c r="F515" s="13">
        <v>1.17</v>
      </c>
      <c r="J515">
        <f>37+38</f>
        <v>75</v>
      </c>
      <c r="K515">
        <v>2</v>
      </c>
      <c r="L515">
        <v>38</v>
      </c>
      <c r="Q515" s="17"/>
    </row>
    <row r="516" spans="1:17">
      <c r="A516" s="2">
        <v>41355</v>
      </c>
      <c r="B516" s="3" t="s">
        <v>35</v>
      </c>
      <c r="C516" s="3">
        <v>1</v>
      </c>
      <c r="D516" s="5" t="s">
        <v>23</v>
      </c>
      <c r="F516" s="13">
        <v>0.71</v>
      </c>
      <c r="J516">
        <f>26+29</f>
        <v>55</v>
      </c>
      <c r="K516">
        <v>2</v>
      </c>
      <c r="L516">
        <v>29</v>
      </c>
      <c r="Q516" s="17"/>
    </row>
    <row r="517" spans="1:17">
      <c r="A517" s="2">
        <v>41355</v>
      </c>
      <c r="B517" s="3" t="s">
        <v>35</v>
      </c>
      <c r="C517" s="3">
        <v>1</v>
      </c>
      <c r="D517" s="5" t="s">
        <v>23</v>
      </c>
      <c r="F517" s="13">
        <v>1.35</v>
      </c>
      <c r="J517">
        <f>31+38+51</f>
        <v>120</v>
      </c>
      <c r="K517">
        <v>3</v>
      </c>
      <c r="L517">
        <v>51</v>
      </c>
      <c r="Q517" s="17"/>
    </row>
    <row r="518" spans="1:17">
      <c r="A518" s="2">
        <v>41355</v>
      </c>
      <c r="B518" s="3" t="s">
        <v>35</v>
      </c>
      <c r="C518" s="3">
        <v>1</v>
      </c>
      <c r="D518" s="5" t="s">
        <v>23</v>
      </c>
      <c r="F518" s="13">
        <v>1.27</v>
      </c>
      <c r="J518">
        <f>51+56+40</f>
        <v>147</v>
      </c>
      <c r="K518">
        <v>3</v>
      </c>
      <c r="L518">
        <v>56</v>
      </c>
      <c r="Q518" s="17"/>
    </row>
    <row r="519" spans="1:17">
      <c r="A519" s="2">
        <v>41355</v>
      </c>
      <c r="B519" s="3" t="s">
        <v>35</v>
      </c>
      <c r="C519" s="3">
        <v>1</v>
      </c>
      <c r="D519" s="5" t="s">
        <v>23</v>
      </c>
      <c r="F519" s="13">
        <v>1.5</v>
      </c>
      <c r="J519">
        <f>34+40+45+50</f>
        <v>169</v>
      </c>
      <c r="K519">
        <v>4</v>
      </c>
      <c r="L519">
        <v>50</v>
      </c>
      <c r="Q519" s="17"/>
    </row>
    <row r="520" spans="1:17">
      <c r="A520" s="2">
        <v>41355</v>
      </c>
      <c r="B520" s="3" t="s">
        <v>35</v>
      </c>
      <c r="C520" s="3">
        <v>1</v>
      </c>
      <c r="D520" s="5" t="s">
        <v>23</v>
      </c>
      <c r="F520" s="13">
        <v>0.83</v>
      </c>
      <c r="J520">
        <f>34+37</f>
        <v>71</v>
      </c>
      <c r="K520">
        <v>2</v>
      </c>
      <c r="L520">
        <v>37</v>
      </c>
      <c r="Q520" s="17"/>
    </row>
    <row r="521" spans="1:17">
      <c r="A521" s="2">
        <v>41355</v>
      </c>
      <c r="B521" s="3" t="s">
        <v>35</v>
      </c>
      <c r="C521" s="3">
        <v>1</v>
      </c>
      <c r="D521" s="5" t="s">
        <v>23</v>
      </c>
      <c r="F521" s="13">
        <v>1.04</v>
      </c>
      <c r="J521">
        <f>21+23+30</f>
        <v>74</v>
      </c>
      <c r="K521">
        <v>3</v>
      </c>
      <c r="L521">
        <v>30</v>
      </c>
      <c r="Q521" s="17"/>
    </row>
    <row r="522" spans="1:17">
      <c r="A522" s="2">
        <v>41355</v>
      </c>
      <c r="B522" s="3" t="s">
        <v>35</v>
      </c>
      <c r="C522" s="3">
        <v>1</v>
      </c>
      <c r="D522" s="5" t="s">
        <v>23</v>
      </c>
      <c r="F522" s="13">
        <v>1.53</v>
      </c>
      <c r="J522">
        <f>23+27+31+36</f>
        <v>117</v>
      </c>
      <c r="K522">
        <v>4</v>
      </c>
      <c r="L522">
        <v>36</v>
      </c>
      <c r="Q522" s="17"/>
    </row>
    <row r="523" spans="1:17">
      <c r="A523" s="2">
        <v>41355</v>
      </c>
      <c r="B523" s="3" t="s">
        <v>35</v>
      </c>
      <c r="C523" s="3">
        <v>1</v>
      </c>
      <c r="D523" s="5" t="s">
        <v>23</v>
      </c>
      <c r="F523" s="13">
        <v>1.49</v>
      </c>
      <c r="J523">
        <f>36+43+50+50</f>
        <v>179</v>
      </c>
      <c r="K523">
        <v>4</v>
      </c>
      <c r="L523">
        <v>50</v>
      </c>
      <c r="Q523" s="17"/>
    </row>
    <row r="524" spans="1:17">
      <c r="A524" s="2">
        <v>41355</v>
      </c>
      <c r="B524" s="3" t="s">
        <v>35</v>
      </c>
      <c r="C524" s="3">
        <v>1</v>
      </c>
      <c r="D524" s="5" t="s">
        <v>24</v>
      </c>
      <c r="E524">
        <v>29</v>
      </c>
      <c r="F524" s="13">
        <v>0.85</v>
      </c>
      <c r="G524">
        <v>3</v>
      </c>
      <c r="Q524" s="17"/>
    </row>
    <row r="525" spans="1:17">
      <c r="A525" s="2">
        <v>41355</v>
      </c>
      <c r="B525" s="3" t="s">
        <v>35</v>
      </c>
      <c r="C525" s="3">
        <v>1</v>
      </c>
      <c r="D525" s="5" t="s">
        <v>23</v>
      </c>
      <c r="F525" s="13">
        <v>1.0900000000000001</v>
      </c>
      <c r="J525">
        <f>23+29</f>
        <v>52</v>
      </c>
      <c r="K525">
        <v>2</v>
      </c>
      <c r="L525">
        <v>29</v>
      </c>
      <c r="Q525" s="17"/>
    </row>
    <row r="526" spans="1:17">
      <c r="A526" s="2">
        <v>41355</v>
      </c>
      <c r="B526" s="3" t="s">
        <v>35</v>
      </c>
      <c r="C526" s="3">
        <v>1</v>
      </c>
      <c r="D526" s="5" t="s">
        <v>24</v>
      </c>
      <c r="E526">
        <v>125</v>
      </c>
      <c r="F526" s="13">
        <v>1.84</v>
      </c>
      <c r="Q526" s="17"/>
    </row>
    <row r="527" spans="1:17">
      <c r="A527" s="2">
        <v>41355</v>
      </c>
      <c r="B527" s="3" t="s">
        <v>35</v>
      </c>
      <c r="C527" s="3">
        <v>1</v>
      </c>
      <c r="D527" s="5" t="s">
        <v>23</v>
      </c>
      <c r="F527" s="13">
        <v>0.71</v>
      </c>
      <c r="J527">
        <f>16</f>
        <v>16</v>
      </c>
      <c r="K527">
        <v>1</v>
      </c>
      <c r="L527">
        <v>16</v>
      </c>
      <c r="Q527" s="17"/>
    </row>
    <row r="528" spans="1:17">
      <c r="A528" s="2">
        <v>41355</v>
      </c>
      <c r="B528" s="3" t="s">
        <v>35</v>
      </c>
      <c r="C528" s="3">
        <v>1</v>
      </c>
      <c r="D528" s="5" t="s">
        <v>23</v>
      </c>
      <c r="F528" s="13">
        <v>0.82</v>
      </c>
      <c r="J528">
        <f>20+20+26</f>
        <v>66</v>
      </c>
      <c r="K528">
        <v>3</v>
      </c>
      <c r="L528">
        <v>26</v>
      </c>
      <c r="Q528" s="17"/>
    </row>
    <row r="529" spans="1:17">
      <c r="A529" s="2">
        <v>41355</v>
      </c>
      <c r="B529" s="3" t="s">
        <v>35</v>
      </c>
      <c r="C529" s="3">
        <v>1</v>
      </c>
      <c r="D529" s="5" t="s">
        <v>23</v>
      </c>
      <c r="F529" s="13">
        <v>0.97</v>
      </c>
      <c r="J529">
        <f>26+23+34+26</f>
        <v>109</v>
      </c>
      <c r="K529">
        <v>4</v>
      </c>
      <c r="L529">
        <v>34</v>
      </c>
      <c r="Q529" s="17"/>
    </row>
    <row r="530" spans="1:17">
      <c r="A530" s="2">
        <v>41355</v>
      </c>
      <c r="B530" s="3" t="s">
        <v>35</v>
      </c>
      <c r="C530" s="3">
        <v>1</v>
      </c>
      <c r="D530" s="5" t="s">
        <v>23</v>
      </c>
      <c r="F530" s="13">
        <v>1.1299999999999999</v>
      </c>
      <c r="J530">
        <f>20+27+38+35</f>
        <v>120</v>
      </c>
      <c r="K530">
        <v>4</v>
      </c>
      <c r="L530">
        <v>38</v>
      </c>
      <c r="Q530" s="17"/>
    </row>
    <row r="531" spans="1:17">
      <c r="A531" s="2">
        <v>41355</v>
      </c>
      <c r="B531" s="3" t="s">
        <v>35</v>
      </c>
      <c r="C531" s="3">
        <v>1</v>
      </c>
      <c r="D531" s="5" t="s">
        <v>24</v>
      </c>
      <c r="E531">
        <v>29</v>
      </c>
      <c r="F531" s="13">
        <v>1.05</v>
      </c>
      <c r="G531">
        <v>3</v>
      </c>
      <c r="Q531" s="17"/>
    </row>
    <row r="532" spans="1:17">
      <c r="A532" s="2">
        <v>41355</v>
      </c>
      <c r="B532" s="3" t="s">
        <v>35</v>
      </c>
      <c r="C532" s="3">
        <v>1</v>
      </c>
      <c r="D532" s="5" t="s">
        <v>23</v>
      </c>
      <c r="F532" s="13">
        <v>1.01</v>
      </c>
      <c r="J532">
        <f>16+16+21</f>
        <v>53</v>
      </c>
      <c r="K532">
        <v>3</v>
      </c>
      <c r="L532">
        <v>21</v>
      </c>
      <c r="Q532" s="17"/>
    </row>
    <row r="533" spans="1:17">
      <c r="A533" s="2">
        <v>41355</v>
      </c>
      <c r="B533" s="3" t="s">
        <v>35</v>
      </c>
      <c r="C533" s="3">
        <v>1</v>
      </c>
      <c r="D533" s="5" t="s">
        <v>23</v>
      </c>
      <c r="F533" s="13">
        <v>1.1000000000000001</v>
      </c>
      <c r="J533">
        <f>29+39+37</f>
        <v>105</v>
      </c>
      <c r="K533">
        <v>3</v>
      </c>
      <c r="L533">
        <v>39</v>
      </c>
      <c r="Q533" s="17"/>
    </row>
    <row r="534" spans="1:17">
      <c r="A534" s="2">
        <v>41355</v>
      </c>
      <c r="B534" s="3" t="s">
        <v>35</v>
      </c>
      <c r="C534" s="3">
        <v>1</v>
      </c>
      <c r="D534" s="5" t="s">
        <v>23</v>
      </c>
      <c r="F534" s="13">
        <v>1.38</v>
      </c>
      <c r="J534">
        <f>23+28+29</f>
        <v>80</v>
      </c>
      <c r="K534">
        <v>3</v>
      </c>
      <c r="L534">
        <v>29</v>
      </c>
      <c r="Q534" s="17"/>
    </row>
    <row r="535" spans="1:17">
      <c r="A535" s="2">
        <v>41355</v>
      </c>
      <c r="B535" s="3" t="s">
        <v>35</v>
      </c>
      <c r="C535" s="3">
        <v>23</v>
      </c>
      <c r="D535" s="5" t="s">
        <v>23</v>
      </c>
      <c r="F535" s="13">
        <v>1.68</v>
      </c>
      <c r="J535">
        <f>88+62+99+91+134</f>
        <v>474</v>
      </c>
      <c r="K535">
        <v>5</v>
      </c>
      <c r="L535">
        <v>134</v>
      </c>
      <c r="Q535" s="17"/>
    </row>
    <row r="536" spans="1:17">
      <c r="A536" s="2">
        <v>41355</v>
      </c>
      <c r="B536" s="3" t="s">
        <v>35</v>
      </c>
      <c r="C536" s="3">
        <v>23</v>
      </c>
      <c r="D536" s="5" t="s">
        <v>24</v>
      </c>
      <c r="E536">
        <v>123</v>
      </c>
      <c r="F536" s="13">
        <v>0.45</v>
      </c>
      <c r="Q536" s="17"/>
    </row>
    <row r="537" spans="1:17">
      <c r="A537" s="2">
        <v>41355</v>
      </c>
      <c r="B537" s="3" t="s">
        <v>35</v>
      </c>
      <c r="C537" s="3">
        <v>23</v>
      </c>
      <c r="D537" s="5" t="s">
        <v>23</v>
      </c>
      <c r="F537" s="13">
        <v>1.38</v>
      </c>
      <c r="J537">
        <f>25+39+53+58+65</f>
        <v>240</v>
      </c>
      <c r="K537">
        <v>5</v>
      </c>
      <c r="L537">
        <v>65</v>
      </c>
      <c r="Q537" s="17"/>
    </row>
    <row r="538" spans="1:17">
      <c r="A538" s="2">
        <v>41355</v>
      </c>
      <c r="B538" s="3" t="s">
        <v>35</v>
      </c>
      <c r="C538" s="3">
        <v>23</v>
      </c>
      <c r="D538" s="5" t="s">
        <v>23</v>
      </c>
      <c r="F538" s="13">
        <v>0.98</v>
      </c>
      <c r="J538">
        <f>41+59+43</f>
        <v>143</v>
      </c>
      <c r="K538">
        <v>3</v>
      </c>
      <c r="L538">
        <v>59</v>
      </c>
      <c r="Q538" s="17"/>
    </row>
    <row r="539" spans="1:17">
      <c r="A539" s="2">
        <v>41355</v>
      </c>
      <c r="B539" s="3" t="s">
        <v>35</v>
      </c>
      <c r="C539" s="3">
        <v>23</v>
      </c>
      <c r="D539" s="5" t="s">
        <v>24</v>
      </c>
      <c r="E539">
        <v>60</v>
      </c>
      <c r="F539" s="13">
        <v>0.74</v>
      </c>
      <c r="Q539" s="17"/>
    </row>
    <row r="540" spans="1:17">
      <c r="A540" s="2">
        <v>41355</v>
      </c>
      <c r="B540" s="3" t="s">
        <v>35</v>
      </c>
      <c r="C540" s="3">
        <v>23</v>
      </c>
      <c r="D540" s="5" t="s">
        <v>23</v>
      </c>
      <c r="F540" s="13">
        <v>1.01</v>
      </c>
      <c r="J540">
        <f>47+53+58</f>
        <v>158</v>
      </c>
      <c r="K540">
        <v>3</v>
      </c>
      <c r="L540">
        <v>58</v>
      </c>
      <c r="Q540" s="17"/>
    </row>
    <row r="541" spans="1:17">
      <c r="A541" s="2">
        <v>41355</v>
      </c>
      <c r="B541" s="3" t="s">
        <v>35</v>
      </c>
      <c r="C541" s="3">
        <v>23</v>
      </c>
      <c r="D541" s="5" t="s">
        <v>23</v>
      </c>
      <c r="F541" s="13">
        <v>0.8</v>
      </c>
      <c r="J541">
        <f>51+59+63</f>
        <v>173</v>
      </c>
      <c r="K541">
        <v>3</v>
      </c>
      <c r="L541">
        <v>63</v>
      </c>
      <c r="Q541" s="17"/>
    </row>
    <row r="542" spans="1:17">
      <c r="A542" s="2">
        <v>41355</v>
      </c>
      <c r="B542" s="3" t="s">
        <v>35</v>
      </c>
      <c r="C542" s="3">
        <v>23</v>
      </c>
      <c r="D542" s="5" t="s">
        <v>24</v>
      </c>
      <c r="E542">
        <v>155</v>
      </c>
      <c r="F542" s="13">
        <v>0.75</v>
      </c>
      <c r="Q542" s="17"/>
    </row>
    <row r="543" spans="1:17">
      <c r="A543" s="2">
        <v>41355</v>
      </c>
      <c r="B543" s="3" t="s">
        <v>35</v>
      </c>
      <c r="C543" s="3">
        <v>23</v>
      </c>
      <c r="D543" s="5" t="s">
        <v>24</v>
      </c>
      <c r="E543">
        <v>52</v>
      </c>
      <c r="F543" s="13">
        <v>0.8</v>
      </c>
      <c r="Q543" s="17"/>
    </row>
    <row r="544" spans="1:17">
      <c r="A544" s="2">
        <v>41355</v>
      </c>
      <c r="B544" s="3" t="s">
        <v>35</v>
      </c>
      <c r="C544" s="3">
        <v>23</v>
      </c>
      <c r="D544" s="5" t="s">
        <v>24</v>
      </c>
      <c r="E544">
        <v>69</v>
      </c>
      <c r="F544" s="13">
        <v>0.98</v>
      </c>
      <c r="Q544" s="17"/>
    </row>
    <row r="545" spans="1:17">
      <c r="A545" s="2">
        <v>41355</v>
      </c>
      <c r="B545" s="3" t="s">
        <v>35</v>
      </c>
      <c r="C545" s="3">
        <v>23</v>
      </c>
      <c r="D545" s="5" t="s">
        <v>23</v>
      </c>
      <c r="F545" s="13">
        <v>1.1200000000000001</v>
      </c>
      <c r="J545">
        <f>43+44+57+64</f>
        <v>208</v>
      </c>
      <c r="K545">
        <v>4</v>
      </c>
      <c r="L545">
        <v>64</v>
      </c>
      <c r="Q545" s="17"/>
    </row>
    <row r="546" spans="1:17">
      <c r="A546" s="2">
        <v>41355</v>
      </c>
      <c r="B546" s="3" t="s">
        <v>35</v>
      </c>
      <c r="C546" s="3">
        <v>23</v>
      </c>
      <c r="D546" s="5" t="s">
        <v>23</v>
      </c>
      <c r="F546" s="13">
        <v>1.59</v>
      </c>
      <c r="J546">
        <f>66+76+100+118</f>
        <v>360</v>
      </c>
      <c r="K546">
        <v>4</v>
      </c>
      <c r="L546">
        <v>118</v>
      </c>
      <c r="Q546" s="17"/>
    </row>
    <row r="547" spans="1:17">
      <c r="A547" s="2">
        <v>41355</v>
      </c>
      <c r="B547" s="3" t="s">
        <v>35</v>
      </c>
      <c r="C547" s="3">
        <v>23</v>
      </c>
      <c r="D547" s="5" t="s">
        <v>23</v>
      </c>
      <c r="F547" s="13">
        <v>0.88</v>
      </c>
      <c r="J547">
        <f>44+56+58+34</f>
        <v>192</v>
      </c>
      <c r="K547">
        <v>4</v>
      </c>
      <c r="L547">
        <v>58</v>
      </c>
      <c r="Q547" s="17"/>
    </row>
    <row r="548" spans="1:17">
      <c r="A548" s="2">
        <v>41355</v>
      </c>
      <c r="B548" s="3" t="s">
        <v>35</v>
      </c>
      <c r="C548" s="3">
        <v>23</v>
      </c>
      <c r="D548" s="5" t="s">
        <v>24</v>
      </c>
      <c r="E548">
        <v>45</v>
      </c>
      <c r="F548" s="13">
        <v>0.57999999999999996</v>
      </c>
      <c r="Q548" s="17"/>
    </row>
    <row r="549" spans="1:17">
      <c r="A549" s="2">
        <v>41355</v>
      </c>
      <c r="B549" s="3" t="s">
        <v>35</v>
      </c>
      <c r="C549" s="3">
        <v>33</v>
      </c>
      <c r="D549" s="5" t="s">
        <v>23</v>
      </c>
      <c r="F549" s="13">
        <v>1.1499999999999999</v>
      </c>
      <c r="J549">
        <f>49+50+59</f>
        <v>158</v>
      </c>
      <c r="K549">
        <v>3</v>
      </c>
      <c r="L549">
        <v>59</v>
      </c>
      <c r="Q549" s="17"/>
    </row>
    <row r="550" spans="1:17">
      <c r="A550" s="2">
        <v>41355</v>
      </c>
      <c r="B550" s="3" t="s">
        <v>35</v>
      </c>
      <c r="C550" s="3">
        <v>33</v>
      </c>
      <c r="D550" s="5" t="s">
        <v>23</v>
      </c>
      <c r="F550" s="13">
        <v>1.6</v>
      </c>
      <c r="J550">
        <f>82+109+126+137</f>
        <v>454</v>
      </c>
      <c r="K550">
        <v>4</v>
      </c>
      <c r="L550">
        <v>137</v>
      </c>
      <c r="Q550" s="17"/>
    </row>
    <row r="551" spans="1:17">
      <c r="A551" s="2">
        <v>41355</v>
      </c>
      <c r="B551" s="3" t="s">
        <v>35</v>
      </c>
      <c r="C551" s="3">
        <v>33</v>
      </c>
      <c r="D551" s="5" t="s">
        <v>23</v>
      </c>
      <c r="F551" s="13">
        <v>1.44</v>
      </c>
      <c r="J551">
        <f>100+102+125+125</f>
        <v>452</v>
      </c>
      <c r="K551">
        <v>4</v>
      </c>
      <c r="L551">
        <v>125</v>
      </c>
      <c r="Q551" s="17"/>
    </row>
    <row r="552" spans="1:17">
      <c r="A552" s="2">
        <v>41355</v>
      </c>
      <c r="B552" s="3" t="s">
        <v>35</v>
      </c>
      <c r="C552" s="3">
        <v>33</v>
      </c>
      <c r="D552" s="5" t="s">
        <v>23</v>
      </c>
      <c r="F552" s="13">
        <v>2.38</v>
      </c>
      <c r="J552">
        <f>128+123+149</f>
        <v>400</v>
      </c>
      <c r="K552">
        <v>3</v>
      </c>
      <c r="L552">
        <v>149</v>
      </c>
      <c r="Q552" s="17"/>
    </row>
    <row r="553" spans="1:17">
      <c r="A553" s="2">
        <v>41355</v>
      </c>
      <c r="B553" s="3" t="s">
        <v>35</v>
      </c>
      <c r="C553" s="3">
        <v>33</v>
      </c>
      <c r="D553" s="5" t="s">
        <v>23</v>
      </c>
      <c r="F553" s="13">
        <v>1.1000000000000001</v>
      </c>
      <c r="J553">
        <f>67+79+91</f>
        <v>237</v>
      </c>
      <c r="K553">
        <v>3</v>
      </c>
      <c r="L553">
        <v>91</v>
      </c>
      <c r="Q553" s="17"/>
    </row>
    <row r="554" spans="1:17">
      <c r="A554" s="2">
        <v>41355</v>
      </c>
      <c r="B554" s="3" t="s">
        <v>35</v>
      </c>
      <c r="C554" s="3">
        <v>33</v>
      </c>
      <c r="D554" s="5" t="s">
        <v>23</v>
      </c>
      <c r="F554" s="13">
        <v>0.98</v>
      </c>
      <c r="J554">
        <f>40+64+67</f>
        <v>171</v>
      </c>
      <c r="K554">
        <v>3</v>
      </c>
      <c r="L554">
        <v>67</v>
      </c>
      <c r="Q554" s="17"/>
    </row>
    <row r="555" spans="1:17">
      <c r="A555" s="2">
        <v>41355</v>
      </c>
      <c r="B555" s="3" t="s">
        <v>35</v>
      </c>
      <c r="C555" s="3">
        <v>33</v>
      </c>
      <c r="D555" s="5" t="s">
        <v>23</v>
      </c>
      <c r="F555" s="13">
        <v>1.6</v>
      </c>
      <c r="J555">
        <f>97+128+137+153</f>
        <v>515</v>
      </c>
      <c r="K555">
        <v>4</v>
      </c>
      <c r="L555">
        <v>153</v>
      </c>
      <c r="Q555" s="17"/>
    </row>
    <row r="556" spans="1:17">
      <c r="A556" s="2">
        <v>41355</v>
      </c>
      <c r="B556" s="3" t="s">
        <v>35</v>
      </c>
      <c r="C556" s="3">
        <v>33</v>
      </c>
      <c r="D556" s="5" t="s">
        <v>23</v>
      </c>
      <c r="F556" s="13">
        <v>1.4</v>
      </c>
      <c r="J556">
        <f>43+71+72+98+120</f>
        <v>404</v>
      </c>
      <c r="K556">
        <v>5</v>
      </c>
      <c r="L556">
        <v>120</v>
      </c>
      <c r="Q556" s="17"/>
    </row>
    <row r="557" spans="1:17">
      <c r="A557" s="2">
        <v>41355</v>
      </c>
      <c r="B557" s="3" t="s">
        <v>35</v>
      </c>
      <c r="C557" s="3">
        <v>33</v>
      </c>
      <c r="D557" s="5" t="s">
        <v>23</v>
      </c>
      <c r="F557" s="13">
        <v>1.3</v>
      </c>
      <c r="J557">
        <f>70+101+124+128</f>
        <v>423</v>
      </c>
      <c r="K557">
        <v>4</v>
      </c>
      <c r="L557">
        <v>128</v>
      </c>
      <c r="Q557" s="17"/>
    </row>
    <row r="558" spans="1:17">
      <c r="A558" s="2">
        <v>41355</v>
      </c>
      <c r="B558" s="3" t="s">
        <v>35</v>
      </c>
      <c r="C558" s="3">
        <v>33</v>
      </c>
      <c r="D558" s="5" t="s">
        <v>23</v>
      </c>
      <c r="F558" s="13">
        <v>0.96</v>
      </c>
      <c r="J558">
        <f>36+51+67+77+95</f>
        <v>326</v>
      </c>
      <c r="K558">
        <v>5</v>
      </c>
      <c r="L558">
        <v>95</v>
      </c>
      <c r="Q558" s="17"/>
    </row>
    <row r="559" spans="1:17">
      <c r="A559" s="2">
        <v>41355</v>
      </c>
      <c r="B559" s="3" t="s">
        <v>35</v>
      </c>
      <c r="C559" s="3">
        <v>33</v>
      </c>
      <c r="D559" s="5" t="s">
        <v>23</v>
      </c>
      <c r="F559" s="13">
        <v>0.76</v>
      </c>
      <c r="J559">
        <f>27+33+35</f>
        <v>95</v>
      </c>
      <c r="K559">
        <v>3</v>
      </c>
      <c r="L559">
        <v>35</v>
      </c>
      <c r="Q559" s="17"/>
    </row>
    <row r="560" spans="1:17">
      <c r="A560" s="2">
        <v>41355</v>
      </c>
      <c r="B560" s="3" t="s">
        <v>35</v>
      </c>
      <c r="C560" s="3">
        <v>33</v>
      </c>
      <c r="D560" s="5" t="s">
        <v>23</v>
      </c>
      <c r="F560" s="13">
        <v>0.99</v>
      </c>
      <c r="J560">
        <f>40+41+59+67</f>
        <v>207</v>
      </c>
      <c r="K560">
        <v>4</v>
      </c>
      <c r="L560">
        <v>67</v>
      </c>
      <c r="Q560" s="17"/>
    </row>
    <row r="561" spans="1:17">
      <c r="A561" s="2">
        <v>41355</v>
      </c>
      <c r="B561" s="3" t="s">
        <v>35</v>
      </c>
      <c r="C561" s="3">
        <v>33</v>
      </c>
      <c r="D561" s="5" t="s">
        <v>23</v>
      </c>
      <c r="F561" s="13">
        <v>0.75</v>
      </c>
      <c r="J561">
        <f>31+43+47</f>
        <v>121</v>
      </c>
      <c r="K561">
        <v>3</v>
      </c>
      <c r="L561">
        <v>47</v>
      </c>
      <c r="Q561" s="17"/>
    </row>
    <row r="562" spans="1:17">
      <c r="A562" s="2">
        <v>41355</v>
      </c>
      <c r="B562" s="3" t="s">
        <v>35</v>
      </c>
      <c r="C562" s="3">
        <v>33</v>
      </c>
      <c r="D562" s="5" t="s">
        <v>23</v>
      </c>
      <c r="F562" s="13">
        <v>0.4</v>
      </c>
      <c r="J562">
        <f>21</f>
        <v>21</v>
      </c>
      <c r="K562">
        <v>1</v>
      </c>
      <c r="L562">
        <v>21</v>
      </c>
      <c r="Q562" s="17"/>
    </row>
    <row r="563" spans="1:17">
      <c r="A563" s="2">
        <v>41355</v>
      </c>
      <c r="B563" s="3" t="s">
        <v>35</v>
      </c>
      <c r="C563" s="3">
        <v>33</v>
      </c>
      <c r="D563" s="5" t="s">
        <v>23</v>
      </c>
      <c r="F563" s="13">
        <v>0.62</v>
      </c>
      <c r="J563">
        <f>88+96+19</f>
        <v>203</v>
      </c>
      <c r="K563">
        <v>3</v>
      </c>
      <c r="L563">
        <v>96</v>
      </c>
      <c r="Q563" s="17"/>
    </row>
    <row r="564" spans="1:17">
      <c r="A564" s="2">
        <v>41355</v>
      </c>
      <c r="B564" s="3" t="s">
        <v>35</v>
      </c>
      <c r="C564" s="3">
        <v>33</v>
      </c>
      <c r="D564" s="5" t="s">
        <v>23</v>
      </c>
      <c r="F564" s="13">
        <v>1.1299999999999999</v>
      </c>
      <c r="J564">
        <f>29+63+54+76+83</f>
        <v>305</v>
      </c>
      <c r="K564">
        <v>5</v>
      </c>
      <c r="L564">
        <v>83</v>
      </c>
      <c r="Q564" s="17"/>
    </row>
    <row r="565" spans="1:17">
      <c r="A565" s="2">
        <v>41355</v>
      </c>
      <c r="B565" s="3" t="s">
        <v>35</v>
      </c>
      <c r="C565" s="3">
        <v>33</v>
      </c>
      <c r="D565" s="5" t="s">
        <v>23</v>
      </c>
      <c r="F565" s="13">
        <v>0.52</v>
      </c>
      <c r="J565">
        <f>35+29</f>
        <v>64</v>
      </c>
      <c r="K565">
        <v>2</v>
      </c>
      <c r="L565">
        <v>35</v>
      </c>
      <c r="Q565" s="17"/>
    </row>
    <row r="566" spans="1:17">
      <c r="A566" s="2">
        <v>41355</v>
      </c>
      <c r="B566" s="3" t="s">
        <v>35</v>
      </c>
      <c r="C566" s="3">
        <v>33</v>
      </c>
      <c r="D566" s="5" t="s">
        <v>23</v>
      </c>
      <c r="F566" s="13">
        <v>0.9</v>
      </c>
      <c r="J566">
        <f>38+49+45+68</f>
        <v>200</v>
      </c>
      <c r="K566">
        <v>4</v>
      </c>
      <c r="L566">
        <v>68</v>
      </c>
      <c r="Q566" s="17"/>
    </row>
    <row r="567" spans="1:17">
      <c r="A567" s="2">
        <v>41355</v>
      </c>
      <c r="B567" s="3" t="s">
        <v>35</v>
      </c>
      <c r="C567" s="3">
        <v>33</v>
      </c>
      <c r="D567" s="5" t="s">
        <v>23</v>
      </c>
      <c r="F567" s="13">
        <v>0.64</v>
      </c>
      <c r="J567">
        <f>34+41</f>
        <v>75</v>
      </c>
      <c r="K567">
        <v>2</v>
      </c>
      <c r="L567">
        <v>41</v>
      </c>
      <c r="Q567" s="17"/>
    </row>
    <row r="568" spans="1:17">
      <c r="A568" s="2">
        <v>41355</v>
      </c>
      <c r="B568" s="3" t="s">
        <v>35</v>
      </c>
      <c r="C568" s="3">
        <v>33</v>
      </c>
      <c r="D568" s="5" t="s">
        <v>23</v>
      </c>
      <c r="F568" s="13">
        <v>0.8</v>
      </c>
      <c r="G568" s="13"/>
      <c r="J568">
        <f>31+42</f>
        <v>73</v>
      </c>
      <c r="K568">
        <v>2</v>
      </c>
      <c r="L568">
        <v>42</v>
      </c>
      <c r="Q568" s="17"/>
    </row>
    <row r="569" spans="1:17">
      <c r="A569" s="2">
        <v>41355</v>
      </c>
      <c r="B569" s="3" t="s">
        <v>35</v>
      </c>
      <c r="C569" s="3">
        <v>33</v>
      </c>
      <c r="D569" s="5" t="s">
        <v>23</v>
      </c>
      <c r="F569" s="13">
        <v>1</v>
      </c>
      <c r="J569">
        <f>44+77+38+80</f>
        <v>239</v>
      </c>
      <c r="K569">
        <v>4</v>
      </c>
      <c r="L569">
        <v>80</v>
      </c>
      <c r="Q569" s="17"/>
    </row>
    <row r="570" spans="1:17">
      <c r="A570" s="2">
        <v>41355</v>
      </c>
      <c r="B570" s="3" t="s">
        <v>35</v>
      </c>
      <c r="C570" s="3">
        <v>33</v>
      </c>
      <c r="D570" s="5" t="s">
        <v>23</v>
      </c>
      <c r="F570" s="13">
        <v>1.7</v>
      </c>
      <c r="J570">
        <f>104+162+165+193</f>
        <v>624</v>
      </c>
      <c r="K570">
        <v>4</v>
      </c>
      <c r="L570">
        <v>193</v>
      </c>
      <c r="Q570" s="17"/>
    </row>
    <row r="571" spans="1:17">
      <c r="A571" s="2">
        <v>41355</v>
      </c>
      <c r="B571" s="3" t="s">
        <v>35</v>
      </c>
      <c r="C571" s="3">
        <v>33</v>
      </c>
      <c r="D571" s="5" t="s">
        <v>23</v>
      </c>
      <c r="F571" s="13">
        <v>0.75</v>
      </c>
      <c r="J571">
        <f>32+42+66+59</f>
        <v>199</v>
      </c>
      <c r="K571">
        <v>4</v>
      </c>
      <c r="L571">
        <v>66</v>
      </c>
      <c r="Q571" s="17"/>
    </row>
    <row r="572" spans="1:17">
      <c r="A572" s="2">
        <v>41355</v>
      </c>
      <c r="B572" s="3" t="s">
        <v>35</v>
      </c>
      <c r="C572" s="3">
        <v>33</v>
      </c>
      <c r="D572" s="5" t="s">
        <v>23</v>
      </c>
      <c r="F572" s="13">
        <v>1.25</v>
      </c>
      <c r="J572">
        <f>47+86+113+141</f>
        <v>387</v>
      </c>
      <c r="K572">
        <v>4</v>
      </c>
      <c r="L572">
        <v>141</v>
      </c>
      <c r="Q572" s="17"/>
    </row>
    <row r="573" spans="1:17">
      <c r="A573" s="2">
        <v>41355</v>
      </c>
      <c r="B573" s="3" t="s">
        <v>35</v>
      </c>
      <c r="C573" s="3">
        <v>33</v>
      </c>
      <c r="D573" s="5" t="s">
        <v>23</v>
      </c>
      <c r="F573" s="13">
        <v>1.39</v>
      </c>
      <c r="J573">
        <f>60+61+82+99+102</f>
        <v>404</v>
      </c>
      <c r="K573">
        <v>5</v>
      </c>
      <c r="L573">
        <v>102</v>
      </c>
      <c r="Q573" s="17"/>
    </row>
    <row r="574" spans="1:17">
      <c r="A574" s="2">
        <v>41355</v>
      </c>
      <c r="B574" s="3" t="s">
        <v>35</v>
      </c>
      <c r="C574" s="3">
        <v>33</v>
      </c>
      <c r="D574" s="5" t="s">
        <v>23</v>
      </c>
      <c r="F574" s="13">
        <v>1.27</v>
      </c>
      <c r="J574">
        <f>64+76+88+88</f>
        <v>316</v>
      </c>
      <c r="K574">
        <v>4</v>
      </c>
      <c r="L574">
        <v>88</v>
      </c>
      <c r="Q574" s="17"/>
    </row>
    <row r="575" spans="1:17">
      <c r="A575" s="2">
        <v>41355</v>
      </c>
      <c r="B575" s="3" t="s">
        <v>35</v>
      </c>
      <c r="C575" s="3">
        <v>33</v>
      </c>
      <c r="D575" s="5" t="s">
        <v>23</v>
      </c>
      <c r="F575" s="13">
        <v>1.23</v>
      </c>
      <c r="J575">
        <f>44+56+81+91+120+134</f>
        <v>526</v>
      </c>
      <c r="K575">
        <v>6</v>
      </c>
      <c r="L575">
        <v>134</v>
      </c>
      <c r="Q575" s="17"/>
    </row>
    <row r="576" spans="1:17">
      <c r="A576" s="2">
        <v>41355</v>
      </c>
      <c r="B576" s="3" t="s">
        <v>35</v>
      </c>
      <c r="C576" s="3">
        <v>54</v>
      </c>
      <c r="D576" s="5" t="s">
        <v>23</v>
      </c>
      <c r="F576" s="13">
        <v>2.0499999999999998</v>
      </c>
      <c r="J576">
        <f>51+99+100+85+110+96</f>
        <v>541</v>
      </c>
      <c r="K576">
        <v>6</v>
      </c>
      <c r="L576">
        <v>110</v>
      </c>
      <c r="Q576" s="17"/>
    </row>
    <row r="577" spans="1:17">
      <c r="A577" s="2">
        <v>41355</v>
      </c>
      <c r="B577" s="3" t="s">
        <v>35</v>
      </c>
      <c r="C577" s="3">
        <v>54</v>
      </c>
      <c r="D577" s="5" t="s">
        <v>23</v>
      </c>
      <c r="F577" s="13">
        <v>2.91</v>
      </c>
      <c r="J577">
        <f>54+110+103+120+113</f>
        <v>500</v>
      </c>
      <c r="K577">
        <v>5</v>
      </c>
      <c r="L577">
        <v>123</v>
      </c>
      <c r="Q577" s="17"/>
    </row>
    <row r="578" spans="1:17">
      <c r="A578" s="2">
        <v>41355</v>
      </c>
      <c r="B578" s="3" t="s">
        <v>35</v>
      </c>
      <c r="C578" s="3">
        <v>54</v>
      </c>
      <c r="D578" s="5" t="s">
        <v>23</v>
      </c>
      <c r="F578" s="13">
        <v>1.43</v>
      </c>
      <c r="J578">
        <f>58+60+40+104+100</f>
        <v>362</v>
      </c>
      <c r="K578">
        <v>5</v>
      </c>
      <c r="L578">
        <v>104</v>
      </c>
      <c r="Q578" s="17"/>
    </row>
    <row r="579" spans="1:17">
      <c r="A579" s="2">
        <v>41355</v>
      </c>
      <c r="B579" s="3" t="s">
        <v>35</v>
      </c>
      <c r="C579" s="3">
        <v>54</v>
      </c>
      <c r="D579" s="5" t="s">
        <v>23</v>
      </c>
      <c r="F579" s="13">
        <v>2.85</v>
      </c>
      <c r="J579">
        <f>89+110+150+120+146</f>
        <v>615</v>
      </c>
      <c r="K579">
        <v>5</v>
      </c>
      <c r="L579">
        <v>146</v>
      </c>
      <c r="Q579" s="17"/>
    </row>
    <row r="580" spans="1:17">
      <c r="A580" s="2">
        <v>41355</v>
      </c>
      <c r="B580" s="3" t="s">
        <v>35</v>
      </c>
      <c r="C580" s="3">
        <v>53</v>
      </c>
      <c r="D580" s="5" t="s">
        <v>23</v>
      </c>
      <c r="F580" s="13">
        <v>4.18</v>
      </c>
      <c r="J580">
        <f>61+21+132+105+106+263+349+294</f>
        <v>1331</v>
      </c>
      <c r="K580">
        <v>8</v>
      </c>
      <c r="L580">
        <v>349</v>
      </c>
      <c r="Q580" s="17"/>
    </row>
    <row r="581" spans="1:17">
      <c r="A581" s="2">
        <v>41355</v>
      </c>
      <c r="B581" s="3" t="s">
        <v>35</v>
      </c>
      <c r="C581" s="3">
        <v>53</v>
      </c>
      <c r="D581" s="5" t="s">
        <v>23</v>
      </c>
      <c r="F581" s="13">
        <v>1.38</v>
      </c>
      <c r="J581">
        <f>34+66+64+71</f>
        <v>235</v>
      </c>
      <c r="K581">
        <v>4</v>
      </c>
      <c r="L581">
        <v>71</v>
      </c>
      <c r="Q581" s="17"/>
    </row>
    <row r="582" spans="1:17">
      <c r="A582" s="2">
        <v>41355</v>
      </c>
      <c r="B582" s="3" t="s">
        <v>35</v>
      </c>
      <c r="C582" s="3">
        <v>53</v>
      </c>
      <c r="D582" s="5" t="s">
        <v>23</v>
      </c>
      <c r="F582" s="13">
        <v>2.2200000000000002</v>
      </c>
      <c r="J582">
        <f>52+77+79+79+62+118+149</f>
        <v>616</v>
      </c>
      <c r="K582">
        <v>7</v>
      </c>
      <c r="L582">
        <v>149</v>
      </c>
      <c r="Q582" s="17"/>
    </row>
    <row r="583" spans="1:17">
      <c r="A583" s="2">
        <v>41355</v>
      </c>
      <c r="B583" s="3" t="s">
        <v>35</v>
      </c>
      <c r="C583" s="3">
        <v>53</v>
      </c>
      <c r="D583" s="5" t="s">
        <v>23</v>
      </c>
      <c r="F583" s="13">
        <v>1.4</v>
      </c>
      <c r="J583">
        <f>96+63+114+128</f>
        <v>401</v>
      </c>
      <c r="K583">
        <v>4</v>
      </c>
      <c r="L583">
        <v>128</v>
      </c>
      <c r="Q583" s="17"/>
    </row>
    <row r="584" spans="1:17">
      <c r="A584" s="2">
        <v>41355</v>
      </c>
      <c r="B584" s="3" t="s">
        <v>35</v>
      </c>
      <c r="C584" s="3">
        <v>53</v>
      </c>
      <c r="D584" s="5" t="s">
        <v>23</v>
      </c>
      <c r="F584" s="13">
        <v>3.72</v>
      </c>
      <c r="J584">
        <f>131+166+165+178+174+199+205+206</f>
        <v>1424</v>
      </c>
      <c r="K584">
        <v>8</v>
      </c>
      <c r="L584">
        <v>206</v>
      </c>
      <c r="Q584" s="17"/>
    </row>
    <row r="585" spans="1:17">
      <c r="A585" s="2">
        <v>41355</v>
      </c>
      <c r="B585" s="3" t="s">
        <v>35</v>
      </c>
      <c r="C585" s="3">
        <v>53</v>
      </c>
      <c r="D585" s="5" t="s">
        <v>23</v>
      </c>
      <c r="F585" s="13">
        <v>1.3</v>
      </c>
      <c r="J585">
        <f>69+101+120+133</f>
        <v>423</v>
      </c>
      <c r="K585">
        <v>4</v>
      </c>
      <c r="L585">
        <v>133</v>
      </c>
      <c r="Q585" s="17"/>
    </row>
    <row r="586" spans="1:17">
      <c r="A586" s="2">
        <v>41355</v>
      </c>
      <c r="B586" s="3" t="s">
        <v>35</v>
      </c>
      <c r="C586" s="3">
        <v>53</v>
      </c>
      <c r="D586" s="5" t="s">
        <v>23</v>
      </c>
      <c r="F586" s="13">
        <v>6.02</v>
      </c>
      <c r="J586">
        <f>68+69+86+87+87+135+119</f>
        <v>651</v>
      </c>
      <c r="K586">
        <v>7</v>
      </c>
      <c r="L586">
        <v>135</v>
      </c>
      <c r="Q586" s="17"/>
    </row>
    <row r="587" spans="1:17">
      <c r="A587" s="2">
        <v>41355</v>
      </c>
      <c r="B587" s="3" t="s">
        <v>35</v>
      </c>
      <c r="C587" s="3">
        <v>53</v>
      </c>
      <c r="D587" s="5" t="s">
        <v>23</v>
      </c>
      <c r="F587" s="13">
        <v>1.49</v>
      </c>
      <c r="J587">
        <f>64+72+82+81</f>
        <v>299</v>
      </c>
      <c r="K587">
        <v>4</v>
      </c>
      <c r="L587">
        <v>82</v>
      </c>
      <c r="Q587" s="17"/>
    </row>
    <row r="588" spans="1:17">
      <c r="A588" s="2">
        <v>41355</v>
      </c>
      <c r="B588" s="3" t="s">
        <v>35</v>
      </c>
      <c r="C588" s="3">
        <v>53</v>
      </c>
      <c r="D588" s="5" t="s">
        <v>23</v>
      </c>
      <c r="F588" s="13">
        <v>1.97</v>
      </c>
      <c r="J588">
        <f>97+109+129+160</f>
        <v>495</v>
      </c>
      <c r="K588">
        <v>4</v>
      </c>
      <c r="L588">
        <v>160</v>
      </c>
      <c r="Q588" s="17"/>
    </row>
    <row r="589" spans="1:17">
      <c r="A589" s="2">
        <v>41355</v>
      </c>
      <c r="B589" s="3" t="s">
        <v>35</v>
      </c>
      <c r="C589" s="3">
        <v>53</v>
      </c>
      <c r="D589" s="5" t="s">
        <v>23</v>
      </c>
      <c r="F589" s="13">
        <v>1.46</v>
      </c>
      <c r="J589">
        <f>51+46+68+67+63</f>
        <v>295</v>
      </c>
      <c r="K589">
        <v>5</v>
      </c>
      <c r="L589">
        <v>68</v>
      </c>
      <c r="Q589" s="17"/>
    </row>
    <row r="590" spans="1:17">
      <c r="A590" s="2">
        <v>41355</v>
      </c>
      <c r="B590" s="3" t="s">
        <v>35</v>
      </c>
      <c r="C590" s="3">
        <v>53</v>
      </c>
      <c r="D590" s="5" t="s">
        <v>23</v>
      </c>
      <c r="F590" s="13">
        <v>4.05</v>
      </c>
      <c r="J590">
        <f>70+91+134+134+135+120+160+239+256</f>
        <v>1339</v>
      </c>
      <c r="K590">
        <v>9</v>
      </c>
      <c r="L590">
        <v>256</v>
      </c>
      <c r="Q590" s="17"/>
    </row>
    <row r="591" spans="1:17">
      <c r="A591" s="2">
        <v>41355</v>
      </c>
      <c r="B591" s="3" t="s">
        <v>35</v>
      </c>
      <c r="C591" s="3">
        <v>53</v>
      </c>
      <c r="D591" s="5" t="s">
        <v>23</v>
      </c>
      <c r="F591" s="13">
        <v>1.54</v>
      </c>
      <c r="J591">
        <f>69+81+91+112</f>
        <v>353</v>
      </c>
      <c r="K591">
        <v>4</v>
      </c>
      <c r="L591">
        <v>112</v>
      </c>
      <c r="Q591" s="17"/>
    </row>
    <row r="592" spans="1:17">
      <c r="A592" s="2">
        <v>41355</v>
      </c>
      <c r="B592" s="3" t="s">
        <v>35</v>
      </c>
      <c r="C592" s="3">
        <v>53</v>
      </c>
      <c r="D592" s="5" t="s">
        <v>23</v>
      </c>
      <c r="F592" s="13">
        <v>1.27</v>
      </c>
      <c r="J592">
        <f>36+53+60+73</f>
        <v>222</v>
      </c>
      <c r="K592">
        <v>4</v>
      </c>
      <c r="L592">
        <v>73</v>
      </c>
      <c r="Q592" s="17"/>
    </row>
    <row r="593" spans="1:17">
      <c r="A593" s="2">
        <v>41355</v>
      </c>
      <c r="B593" s="3" t="s">
        <v>35</v>
      </c>
      <c r="C593" s="3">
        <v>53</v>
      </c>
      <c r="D593" s="5" t="s">
        <v>20</v>
      </c>
      <c r="F593" s="13">
        <v>7.59</v>
      </c>
      <c r="J593">
        <f>81+140+69+101+232+249+256</f>
        <v>1128</v>
      </c>
      <c r="K593">
        <v>7</v>
      </c>
      <c r="L593">
        <v>256</v>
      </c>
      <c r="Q593" s="17"/>
    </row>
    <row r="594" spans="1:17">
      <c r="A594" s="2">
        <v>41355</v>
      </c>
      <c r="B594" s="3" t="s">
        <v>35</v>
      </c>
      <c r="C594" s="3">
        <v>53</v>
      </c>
      <c r="D594" s="5" t="s">
        <v>23</v>
      </c>
      <c r="F594" s="13">
        <v>1.45</v>
      </c>
      <c r="J594">
        <f>65+54+63+78+78</f>
        <v>338</v>
      </c>
      <c r="K594">
        <v>5</v>
      </c>
      <c r="L594">
        <v>78</v>
      </c>
      <c r="Q594" s="17"/>
    </row>
    <row r="595" spans="1:17">
      <c r="A595" s="2"/>
      <c r="B595" s="3"/>
      <c r="C595" s="3"/>
      <c r="Q595" s="17"/>
    </row>
    <row r="596" spans="1:17">
      <c r="A596" s="2"/>
      <c r="B596" s="3"/>
      <c r="C596" s="3"/>
      <c r="Q596" s="17"/>
    </row>
    <row r="597" spans="1:17">
      <c r="A597" s="2"/>
      <c r="B597" s="3"/>
      <c r="C597" s="3"/>
      <c r="Q597" s="17"/>
    </row>
    <row r="598" spans="1:17">
      <c r="A598" s="2"/>
      <c r="B598" s="3"/>
      <c r="C598" s="3"/>
      <c r="Q598" s="17"/>
    </row>
    <row r="599" spans="1:17">
      <c r="A599" s="2"/>
      <c r="B599" s="3"/>
      <c r="C599" s="3"/>
      <c r="Q599" s="17"/>
    </row>
    <row r="600" spans="1:17">
      <c r="A600" s="2"/>
      <c r="B600" s="3"/>
      <c r="C600" s="3"/>
      <c r="Q600" s="17"/>
    </row>
    <row r="601" spans="1:17">
      <c r="A601" s="2"/>
      <c r="B601" s="3"/>
      <c r="C601" s="3"/>
      <c r="Q601" s="17"/>
    </row>
    <row r="602" spans="1:17">
      <c r="A602" s="2"/>
      <c r="B602" s="3"/>
      <c r="C602" s="3"/>
      <c r="Q602" s="17"/>
    </row>
    <row r="603" spans="1:17">
      <c r="A603" s="2"/>
      <c r="B603" s="3"/>
      <c r="C603" s="3"/>
      <c r="Q603" s="17"/>
    </row>
    <row r="604" spans="1:17">
      <c r="A604" s="2"/>
      <c r="B604" s="3"/>
      <c r="C604" s="3"/>
      <c r="Q604" s="17"/>
    </row>
    <row r="605" spans="1:17">
      <c r="A605" s="2"/>
      <c r="B605" s="3"/>
      <c r="C605" s="3"/>
      <c r="Q605" s="17"/>
    </row>
    <row r="606" spans="1:17">
      <c r="A606" s="2"/>
      <c r="B606" s="3"/>
      <c r="C606" s="3"/>
      <c r="Q606" s="17"/>
    </row>
    <row r="607" spans="1:17">
      <c r="A607" s="2"/>
      <c r="B607" s="3"/>
      <c r="C607" s="3"/>
      <c r="Q607" s="17"/>
    </row>
    <row r="608" spans="1:17">
      <c r="A608" s="2"/>
      <c r="B608" s="3"/>
      <c r="C608" s="3"/>
      <c r="Q608" s="17"/>
    </row>
    <row r="609" spans="1:17">
      <c r="A609" s="2"/>
      <c r="B609" s="3"/>
      <c r="C609" s="3"/>
      <c r="Q609" s="17"/>
    </row>
    <row r="610" spans="1:17">
      <c r="A610" s="2"/>
      <c r="B610" s="3"/>
      <c r="C610" s="3"/>
      <c r="Q610" s="17"/>
    </row>
    <row r="611" spans="1:17">
      <c r="A611" s="2"/>
      <c r="B611" s="3"/>
      <c r="C611" s="3"/>
      <c r="Q611" s="17"/>
    </row>
    <row r="612" spans="1:17">
      <c r="A612" s="2"/>
      <c r="B612" s="3"/>
      <c r="C612" s="3"/>
      <c r="Q612" s="17"/>
    </row>
    <row r="613" spans="1:17">
      <c r="A613" s="2"/>
      <c r="B613" s="3"/>
      <c r="C613" s="3"/>
      <c r="Q613" s="17"/>
    </row>
    <row r="614" spans="1:17">
      <c r="A614" s="2"/>
      <c r="B614" s="3"/>
      <c r="C614" s="3"/>
      <c r="Q614" s="17"/>
    </row>
    <row r="615" spans="1:17">
      <c r="A615" s="2"/>
      <c r="B615" s="3"/>
      <c r="C615" s="3"/>
      <c r="Q615" s="17"/>
    </row>
    <row r="616" spans="1:17">
      <c r="A616" s="2"/>
      <c r="B616" s="3"/>
      <c r="C616" s="3"/>
      <c r="Q616" s="17"/>
    </row>
    <row r="617" spans="1:17">
      <c r="A617" s="2"/>
      <c r="B617" s="3"/>
      <c r="C617" s="3"/>
      <c r="Q617" s="17"/>
    </row>
    <row r="618" spans="1:17">
      <c r="A618" s="2"/>
      <c r="B618" s="3"/>
      <c r="C618" s="3"/>
      <c r="Q618" s="17"/>
    </row>
    <row r="619" spans="1:17">
      <c r="A619" s="2"/>
      <c r="B619" s="3"/>
      <c r="C619" s="3"/>
      <c r="Q619" s="17"/>
    </row>
    <row r="620" spans="1:17">
      <c r="A620" s="2"/>
      <c r="B620" s="3"/>
      <c r="C620" s="3"/>
      <c r="Q620" s="17"/>
    </row>
    <row r="621" spans="1:17">
      <c r="A621" s="2"/>
      <c r="B621" s="3"/>
      <c r="C621" s="3"/>
      <c r="Q621" s="17"/>
    </row>
    <row r="622" spans="1:17">
      <c r="A622" s="2"/>
      <c r="B622" s="3"/>
      <c r="C622" s="3"/>
      <c r="Q622" s="17"/>
    </row>
    <row r="623" spans="1:17">
      <c r="A623" s="2"/>
      <c r="B623" s="3"/>
      <c r="C623" s="3"/>
      <c r="Q623" s="17"/>
    </row>
    <row r="624" spans="1:17">
      <c r="A624" s="2"/>
      <c r="B624" s="3"/>
      <c r="C624" s="3"/>
      <c r="Q624" s="17"/>
    </row>
    <row r="625" spans="1:17">
      <c r="A625" s="2"/>
      <c r="B625" s="3"/>
      <c r="C625" s="3"/>
      <c r="Q625" s="17"/>
    </row>
    <row r="626" spans="1:17">
      <c r="A626" s="2"/>
      <c r="B626" s="3"/>
      <c r="C626" s="3"/>
      <c r="Q626" s="17"/>
    </row>
    <row r="627" spans="1:17">
      <c r="A627" s="2"/>
      <c r="B627" s="3"/>
      <c r="C627" s="3"/>
      <c r="Q627" s="17"/>
    </row>
    <row r="628" spans="1:17">
      <c r="A628" s="2"/>
      <c r="B628" s="3"/>
      <c r="C628" s="3"/>
      <c r="Q628" s="17"/>
    </row>
    <row r="629" spans="1:17">
      <c r="A629" s="2"/>
      <c r="B629" s="3"/>
      <c r="C629" s="3"/>
      <c r="Q629" s="17"/>
    </row>
    <row r="630" spans="1:17">
      <c r="A630" s="2"/>
      <c r="B630" s="3"/>
      <c r="C630" s="3"/>
      <c r="Q630" s="17"/>
    </row>
    <row r="631" spans="1:17">
      <c r="A631" s="2"/>
      <c r="B631" s="3"/>
      <c r="C631" s="3"/>
      <c r="Q631" s="17"/>
    </row>
    <row r="632" spans="1:17">
      <c r="A632" s="2"/>
      <c r="B632" s="3"/>
      <c r="C632" s="3"/>
      <c r="Q632" s="17"/>
    </row>
    <row r="633" spans="1:17">
      <c r="A633" s="2"/>
      <c r="B633" s="3"/>
      <c r="C633" s="3"/>
      <c r="Q633" s="17"/>
    </row>
    <row r="634" spans="1:17">
      <c r="A634" s="2"/>
      <c r="B634" s="3"/>
      <c r="C634" s="3"/>
      <c r="Q634" s="17"/>
    </row>
    <row r="635" spans="1:17">
      <c r="A635" s="2"/>
      <c r="B635" s="3"/>
      <c r="C635" s="3"/>
      <c r="Q635" s="17"/>
    </row>
    <row r="636" spans="1:17">
      <c r="A636" s="2"/>
      <c r="B636" s="3"/>
      <c r="C636" s="3"/>
      <c r="Q636" s="17"/>
    </row>
    <row r="637" spans="1:17">
      <c r="A637" s="2"/>
      <c r="B637" s="3"/>
      <c r="C637" s="3"/>
      <c r="Q637" s="17"/>
    </row>
    <row r="638" spans="1:17">
      <c r="A638" s="2"/>
      <c r="B638" s="3"/>
      <c r="C638" s="3"/>
      <c r="Q638" s="17"/>
    </row>
    <row r="639" spans="1:17">
      <c r="A639" s="2"/>
      <c r="B639" s="3"/>
      <c r="C639" s="3"/>
      <c r="Q639" s="17"/>
    </row>
    <row r="640" spans="1:17">
      <c r="A640" s="2"/>
      <c r="B640" s="3"/>
      <c r="C640" s="3"/>
      <c r="Q640" s="17"/>
    </row>
    <row r="641" spans="1:17">
      <c r="A641" s="2"/>
      <c r="B641" s="3"/>
      <c r="C641" s="3"/>
      <c r="Q641" s="17"/>
    </row>
    <row r="642" spans="1:17">
      <c r="A642" s="2"/>
      <c r="B642" s="3"/>
      <c r="C642" s="3"/>
      <c r="Q642" s="17"/>
    </row>
    <row r="643" spans="1:17">
      <c r="A643" s="2"/>
      <c r="B643" s="3"/>
      <c r="C643" s="3"/>
      <c r="Q643" s="17"/>
    </row>
    <row r="644" spans="1:17">
      <c r="A644" s="2"/>
      <c r="B644" s="3"/>
      <c r="C644" s="3"/>
      <c r="Q644" s="17"/>
    </row>
    <row r="645" spans="1:17">
      <c r="A645" s="2"/>
      <c r="B645" s="3"/>
      <c r="C645" s="3"/>
      <c r="Q645" s="17"/>
    </row>
    <row r="646" spans="1:17">
      <c r="A646" s="2"/>
      <c r="B646" s="3"/>
      <c r="C646" s="3"/>
      <c r="Q646" s="17"/>
    </row>
    <row r="647" spans="1:17">
      <c r="A647" s="2"/>
      <c r="B647" s="3"/>
      <c r="C647" s="3"/>
      <c r="Q647" s="17"/>
    </row>
    <row r="648" spans="1:17">
      <c r="A648" s="2"/>
      <c r="B648" s="3"/>
      <c r="C648" s="3"/>
      <c r="Q648" s="17"/>
    </row>
    <row r="649" spans="1:17">
      <c r="A649" s="2"/>
      <c r="B649" s="3"/>
      <c r="C649" s="3"/>
      <c r="Q649" s="17"/>
    </row>
    <row r="650" spans="1:17">
      <c r="A650" s="2"/>
      <c r="B650" s="3"/>
      <c r="C650" s="3"/>
      <c r="Q650" s="17"/>
    </row>
    <row r="651" spans="1:17">
      <c r="A651" s="2"/>
      <c r="B651" s="3"/>
      <c r="C651" s="3"/>
      <c r="Q651" s="17"/>
    </row>
    <row r="652" spans="1:17">
      <c r="A652" s="2"/>
      <c r="B652" s="3"/>
      <c r="C652" s="3"/>
      <c r="Q652" s="17"/>
    </row>
    <row r="653" spans="1:17">
      <c r="A653" s="2"/>
      <c r="B653" s="3"/>
      <c r="C653" s="3"/>
      <c r="Q653" s="17"/>
    </row>
    <row r="654" spans="1:17">
      <c r="A654" s="2"/>
      <c r="B654" s="3"/>
      <c r="C654" s="3"/>
      <c r="Q654" s="17"/>
    </row>
    <row r="655" spans="1:17">
      <c r="A655" s="2"/>
      <c r="B655" s="3"/>
      <c r="C655" s="3"/>
      <c r="Q655" s="17"/>
    </row>
    <row r="656" spans="1:17">
      <c r="A656" s="2"/>
      <c r="B656" s="3"/>
      <c r="C656" s="3"/>
      <c r="Q656" s="17"/>
    </row>
    <row r="657" spans="1:17">
      <c r="A657" s="2"/>
      <c r="B657" s="3"/>
      <c r="C657" s="3"/>
      <c r="Q657" s="17"/>
    </row>
    <row r="658" spans="1:17">
      <c r="A658" s="2"/>
      <c r="B658" s="3"/>
      <c r="C658" s="3"/>
      <c r="Q658" s="17"/>
    </row>
    <row r="659" spans="1:17">
      <c r="A659" s="2"/>
      <c r="B659" s="3"/>
      <c r="C659" s="3"/>
      <c r="Q659" s="17"/>
    </row>
    <row r="660" spans="1:17">
      <c r="A660" s="2"/>
      <c r="B660" s="3"/>
      <c r="C660" s="3"/>
      <c r="Q660" s="17"/>
    </row>
    <row r="661" spans="1:17">
      <c r="A661" s="2"/>
      <c r="B661" s="3"/>
      <c r="C661" s="3"/>
      <c r="Q661" s="17"/>
    </row>
    <row r="662" spans="1:17">
      <c r="A662" s="2"/>
      <c r="B662" s="3"/>
      <c r="C662" s="3"/>
      <c r="Q662" s="17"/>
    </row>
    <row r="663" spans="1:17">
      <c r="A663" s="2"/>
      <c r="B663" s="3"/>
      <c r="C663" s="3"/>
      <c r="Q663" s="17"/>
    </row>
    <row r="664" spans="1:17">
      <c r="A664" s="2"/>
      <c r="B664" s="3"/>
      <c r="C664" s="3"/>
      <c r="Q664" s="17"/>
    </row>
    <row r="665" spans="1:17">
      <c r="A665" s="2"/>
      <c r="B665" s="3"/>
      <c r="C665" s="3"/>
      <c r="Q665" s="17"/>
    </row>
    <row r="666" spans="1:17">
      <c r="A666" s="2"/>
      <c r="B666" s="3"/>
      <c r="C666" s="3"/>
      <c r="Q666" s="17"/>
    </row>
    <row r="667" spans="1:17">
      <c r="A667" s="2"/>
      <c r="B667" s="3"/>
      <c r="C667" s="3"/>
      <c r="Q667" s="17"/>
    </row>
    <row r="668" spans="1:17">
      <c r="A668" s="2"/>
      <c r="B668" s="3"/>
      <c r="C668" s="3"/>
      <c r="Q668" s="17"/>
    </row>
    <row r="669" spans="1:17">
      <c r="A669" s="2"/>
      <c r="B669" s="3"/>
      <c r="C669" s="3"/>
      <c r="Q669" s="17"/>
    </row>
    <row r="670" spans="1:17">
      <c r="A670" s="2"/>
      <c r="B670" s="3"/>
      <c r="C670" s="3"/>
      <c r="Q670" s="17"/>
    </row>
    <row r="671" spans="1:17">
      <c r="A671" s="2"/>
      <c r="B671" s="3"/>
      <c r="C671" s="3"/>
      <c r="Q671" s="17"/>
    </row>
    <row r="672" spans="1:17">
      <c r="A672" s="2"/>
      <c r="B672" s="3"/>
      <c r="C672" s="3"/>
      <c r="Q672" s="17"/>
    </row>
    <row r="673" spans="1:17">
      <c r="A673" s="2"/>
      <c r="B673" s="3"/>
      <c r="C673" s="3"/>
      <c r="Q673" s="17"/>
    </row>
    <row r="674" spans="1:17">
      <c r="A674" s="2"/>
      <c r="B674" s="3"/>
      <c r="C674" s="3"/>
      <c r="Q674" s="17"/>
    </row>
    <row r="675" spans="1:17">
      <c r="A675" s="2"/>
      <c r="B675" s="3"/>
      <c r="C675" s="3"/>
      <c r="Q675" s="17"/>
    </row>
    <row r="676" spans="1:17">
      <c r="A676" s="2"/>
      <c r="B676" s="3"/>
      <c r="C676" s="3"/>
      <c r="Q676" s="17"/>
    </row>
    <row r="677" spans="1:17">
      <c r="A677" s="2"/>
      <c r="B677" s="3"/>
      <c r="C677" s="3"/>
      <c r="Q677" s="17"/>
    </row>
    <row r="678" spans="1:17">
      <c r="A678" s="2"/>
      <c r="B678" s="3"/>
      <c r="C678" s="3"/>
      <c r="Q678" s="17"/>
    </row>
    <row r="679" spans="1:17">
      <c r="A679" s="2"/>
      <c r="B679" s="3"/>
      <c r="C679" s="3"/>
      <c r="Q679" s="17"/>
    </row>
    <row r="680" spans="1:17">
      <c r="A680" s="2"/>
      <c r="B680" s="3"/>
      <c r="C680" s="3"/>
      <c r="Q680" s="17"/>
    </row>
    <row r="681" spans="1:17">
      <c r="A681" s="2"/>
      <c r="B681" s="3"/>
      <c r="C681" s="3"/>
      <c r="Q681" s="17"/>
    </row>
    <row r="682" spans="1:17">
      <c r="A682" s="2"/>
      <c r="B682" s="3"/>
      <c r="C682" s="3"/>
      <c r="Q682" s="17"/>
    </row>
    <row r="683" spans="1:17">
      <c r="A683" s="2"/>
      <c r="B683" s="3"/>
      <c r="C683" s="3"/>
      <c r="Q683" s="17"/>
    </row>
    <row r="684" spans="1:17">
      <c r="A684" s="2"/>
      <c r="B684" s="3"/>
      <c r="C684" s="3"/>
      <c r="Q684" s="17"/>
    </row>
    <row r="685" spans="1:17">
      <c r="A685" s="2"/>
      <c r="B685" s="3"/>
      <c r="C685" s="3"/>
      <c r="Q685" s="17"/>
    </row>
    <row r="686" spans="1:17">
      <c r="A686" s="2"/>
      <c r="B686" s="3"/>
      <c r="C686" s="3"/>
      <c r="Q686" s="17"/>
    </row>
    <row r="687" spans="1:17">
      <c r="A687" s="2"/>
      <c r="B687" s="3"/>
      <c r="C687" s="3"/>
      <c r="Q687" s="17"/>
    </row>
    <row r="688" spans="1:17">
      <c r="A688" s="2"/>
      <c r="B688" s="3"/>
      <c r="C688" s="3"/>
      <c r="Q688" s="17"/>
    </row>
    <row r="689" spans="1:17">
      <c r="A689" s="2"/>
      <c r="B689" s="3"/>
      <c r="C689" s="3"/>
      <c r="Q689" s="17"/>
    </row>
    <row r="690" spans="1:17">
      <c r="A690" s="2"/>
      <c r="B690" s="3"/>
      <c r="C690" s="3"/>
      <c r="Q690" s="17"/>
    </row>
    <row r="691" spans="1:17">
      <c r="A691" s="2"/>
      <c r="B691" s="3"/>
      <c r="C691" s="3"/>
      <c r="Q691" s="17"/>
    </row>
    <row r="692" spans="1:17">
      <c r="A692" s="2"/>
      <c r="B692" s="3"/>
      <c r="C692" s="3"/>
      <c r="Q692" s="17"/>
    </row>
    <row r="693" spans="1:17">
      <c r="A693" s="2"/>
      <c r="B693" s="3"/>
      <c r="C693" s="3"/>
      <c r="Q693" s="17"/>
    </row>
    <row r="694" spans="1:17">
      <c r="A694" s="2"/>
      <c r="B694" s="3"/>
      <c r="C694" s="3"/>
      <c r="Q694" s="17"/>
    </row>
    <row r="695" spans="1:17">
      <c r="A695" s="2"/>
      <c r="B695" s="3"/>
      <c r="C695" s="3"/>
      <c r="Q695" s="17"/>
    </row>
    <row r="696" spans="1:17">
      <c r="A696" s="2"/>
      <c r="B696" s="3"/>
      <c r="C696" s="3"/>
      <c r="Q696" s="17"/>
    </row>
    <row r="697" spans="1:17">
      <c r="A697" s="2"/>
      <c r="B697" s="3"/>
      <c r="C697" s="3"/>
      <c r="Q697" s="17"/>
    </row>
    <row r="698" spans="1:17">
      <c r="A698" s="2"/>
      <c r="B698" s="3"/>
      <c r="C698" s="3"/>
      <c r="Q698" s="17"/>
    </row>
    <row r="699" spans="1:17">
      <c r="A699" s="2"/>
      <c r="B699" s="3"/>
      <c r="C699" s="3"/>
      <c r="Q699" s="17"/>
    </row>
    <row r="700" spans="1:17">
      <c r="A700" s="2"/>
      <c r="B700" s="3"/>
      <c r="C700" s="3"/>
      <c r="Q700" s="17"/>
    </row>
    <row r="701" spans="1:17">
      <c r="A701" s="2"/>
      <c r="B701" s="3"/>
      <c r="C701" s="3"/>
      <c r="Q701" s="17"/>
    </row>
    <row r="702" spans="1:17">
      <c r="A702" s="2"/>
      <c r="B702" s="3"/>
      <c r="C702" s="3"/>
      <c r="Q702" s="17"/>
    </row>
    <row r="703" spans="1:17">
      <c r="A703" s="2"/>
      <c r="B703" s="3"/>
      <c r="C703" s="3"/>
      <c r="Q703" s="17"/>
    </row>
    <row r="704" spans="1:17">
      <c r="A704" s="2"/>
      <c r="B704" s="3"/>
      <c r="C704" s="3"/>
      <c r="Q704" s="17"/>
    </row>
    <row r="705" spans="1:17">
      <c r="A705" s="2"/>
      <c r="B705" s="3"/>
      <c r="C705" s="3"/>
      <c r="Q705" s="17"/>
    </row>
    <row r="706" spans="1:17">
      <c r="A706" s="2"/>
      <c r="B706" s="3"/>
      <c r="C706" s="3"/>
      <c r="Q706" s="17"/>
    </row>
    <row r="707" spans="1:17">
      <c r="A707" s="2"/>
      <c r="B707" s="3"/>
      <c r="C707" s="3"/>
      <c r="Q707" s="17"/>
    </row>
    <row r="708" spans="1:17">
      <c r="A708" s="2"/>
      <c r="B708" s="3"/>
      <c r="C708" s="3"/>
      <c r="Q708" s="17"/>
    </row>
    <row r="709" spans="1:17">
      <c r="A709" s="2"/>
      <c r="B709" s="3"/>
      <c r="C709" s="3"/>
      <c r="Q709" s="17"/>
    </row>
    <row r="710" spans="1:17">
      <c r="A710" s="2"/>
      <c r="B710" s="3"/>
      <c r="C710" s="3"/>
      <c r="Q710" s="17"/>
    </row>
    <row r="711" spans="1:17">
      <c r="A711" s="2"/>
      <c r="B711" s="3"/>
      <c r="C711" s="3"/>
      <c r="Q711" s="17"/>
    </row>
    <row r="712" spans="1:17">
      <c r="A712" s="2"/>
      <c r="B712" s="3"/>
      <c r="C712" s="3"/>
      <c r="Q712" s="17"/>
    </row>
    <row r="713" spans="1:17">
      <c r="A713" s="2"/>
      <c r="B713" s="3"/>
      <c r="C713" s="3"/>
      <c r="Q713" s="17"/>
    </row>
    <row r="714" spans="1:17">
      <c r="A714" s="2"/>
      <c r="B714" s="3"/>
      <c r="C714" s="3"/>
      <c r="Q714" s="17"/>
    </row>
    <row r="715" spans="1:17">
      <c r="A715" s="2"/>
      <c r="B715" s="3"/>
      <c r="C715" s="3"/>
      <c r="Q715" s="17"/>
    </row>
    <row r="716" spans="1:17">
      <c r="A716" s="2"/>
      <c r="B716" s="3"/>
      <c r="C716" s="3"/>
      <c r="Q716" s="17"/>
    </row>
    <row r="717" spans="1:17">
      <c r="A717" s="2"/>
      <c r="B717" s="3"/>
      <c r="C717" s="3"/>
      <c r="Q717" s="17"/>
    </row>
    <row r="718" spans="1:17">
      <c r="A718" s="2"/>
      <c r="B718" s="3"/>
      <c r="C718" s="3"/>
      <c r="Q718" s="17"/>
    </row>
    <row r="719" spans="1:17">
      <c r="A719" s="2"/>
      <c r="B719" s="3"/>
      <c r="C719" s="3"/>
      <c r="Q719" s="17"/>
    </row>
    <row r="720" spans="1:17">
      <c r="A720" s="2"/>
      <c r="B720" s="3"/>
      <c r="C720" s="3"/>
      <c r="Q720" s="17"/>
    </row>
    <row r="721" spans="1:17">
      <c r="A721" s="2"/>
      <c r="B721" s="3"/>
      <c r="C721" s="3"/>
      <c r="Q721" s="17"/>
    </row>
    <row r="722" spans="1:17">
      <c r="A722" s="2"/>
      <c r="B722" s="3"/>
      <c r="C722" s="3"/>
      <c r="Q722" s="17"/>
    </row>
    <row r="723" spans="1:17">
      <c r="A723" s="2"/>
      <c r="B723" s="3"/>
      <c r="C723" s="3"/>
      <c r="Q723" s="17"/>
    </row>
    <row r="724" spans="1:17">
      <c r="A724" s="2"/>
      <c r="B724" s="3"/>
      <c r="C724" s="3"/>
      <c r="Q724" s="17"/>
    </row>
    <row r="725" spans="1:17">
      <c r="A725" s="2"/>
      <c r="B725" s="3"/>
      <c r="C725" s="3"/>
      <c r="Q725" s="17"/>
    </row>
    <row r="726" spans="1:17">
      <c r="A726" s="2"/>
      <c r="B726" s="3"/>
      <c r="C726" s="3"/>
      <c r="Q726" s="17"/>
    </row>
    <row r="727" spans="1:17">
      <c r="A727" s="2"/>
      <c r="B727" s="3"/>
      <c r="C727" s="3"/>
      <c r="Q727" s="17"/>
    </row>
    <row r="728" spans="1:17">
      <c r="A728" s="18"/>
      <c r="B728" s="3"/>
      <c r="C728" s="3"/>
      <c r="Q728" s="17"/>
    </row>
    <row r="729" spans="1:17">
      <c r="A729" s="18"/>
      <c r="B729" s="3"/>
      <c r="C729" s="3"/>
      <c r="Q729" s="17"/>
    </row>
    <row r="730" spans="1:17">
      <c r="A730" s="18"/>
      <c r="B730" s="3"/>
      <c r="C730" s="3"/>
      <c r="Q730" s="17"/>
    </row>
    <row r="731" spans="1:17">
      <c r="A731" s="18"/>
      <c r="B731" s="3"/>
      <c r="C731" s="3"/>
      <c r="Q731" s="17"/>
    </row>
    <row r="732" spans="1:17">
      <c r="A732" s="18"/>
      <c r="B732" s="3"/>
      <c r="C732" s="3"/>
      <c r="Q732" s="17"/>
    </row>
    <row r="733" spans="1:17">
      <c r="A733" s="18"/>
      <c r="B733" s="3"/>
      <c r="C733" s="3"/>
      <c r="Q733" s="17"/>
    </row>
    <row r="734" spans="1:17">
      <c r="A734" s="18"/>
      <c r="B734" s="3"/>
      <c r="C734" s="3"/>
      <c r="Q734" s="17"/>
    </row>
    <row r="735" spans="1:17">
      <c r="A735" s="18"/>
      <c r="B735" s="3"/>
      <c r="C735" s="3"/>
      <c r="Q735" s="17"/>
    </row>
    <row r="736" spans="1:17">
      <c r="A736" s="18"/>
      <c r="B736" s="3"/>
      <c r="C736" s="3"/>
      <c r="Q736" s="17"/>
    </row>
    <row r="737" spans="1:17">
      <c r="A737" s="18"/>
      <c r="B737" s="3"/>
      <c r="C737" s="3"/>
      <c r="Q737" s="17"/>
    </row>
    <row r="738" spans="1:17">
      <c r="A738" s="18"/>
      <c r="B738" s="3"/>
      <c r="C738" s="3"/>
      <c r="Q738" s="17"/>
    </row>
    <row r="739" spans="1:17">
      <c r="A739" s="18"/>
      <c r="B739" s="3"/>
      <c r="C739" s="3"/>
      <c r="Q739" s="17"/>
    </row>
    <row r="740" spans="1:17">
      <c r="A740" s="18"/>
      <c r="B740" s="3"/>
      <c r="C740" s="3"/>
      <c r="Q740" s="17"/>
    </row>
    <row r="741" spans="1:17">
      <c r="A741" s="18"/>
      <c r="B741" s="3"/>
      <c r="C741" s="3"/>
      <c r="Q741" s="17"/>
    </row>
    <row r="742" spans="1:17">
      <c r="A742" s="18"/>
      <c r="B742" s="3"/>
      <c r="C742" s="3"/>
      <c r="Q742" s="17"/>
    </row>
    <row r="743" spans="1:17">
      <c r="A743" s="18"/>
      <c r="B743" s="3"/>
      <c r="C743" s="3"/>
      <c r="Q743" s="17"/>
    </row>
    <row r="744" spans="1:17">
      <c r="A744" s="18"/>
      <c r="B744" s="3"/>
      <c r="C744" s="3"/>
      <c r="Q744" s="17"/>
    </row>
    <row r="745" spans="1:17">
      <c r="A745" s="18"/>
      <c r="B745" s="3"/>
      <c r="C745" s="3"/>
      <c r="Q745" s="17"/>
    </row>
    <row r="746" spans="1:17">
      <c r="A746" s="18"/>
      <c r="B746" s="3"/>
      <c r="C746" s="3"/>
      <c r="Q746" s="17"/>
    </row>
    <row r="747" spans="1:17">
      <c r="A747" s="18"/>
      <c r="B747" s="3"/>
      <c r="C747" s="3"/>
      <c r="Q747" s="17"/>
    </row>
    <row r="748" spans="1:17">
      <c r="A748" s="18"/>
      <c r="B748" s="3"/>
      <c r="C748" s="3"/>
      <c r="Q748" s="17"/>
    </row>
    <row r="749" spans="1:17">
      <c r="A749" s="18"/>
      <c r="B749" s="3"/>
      <c r="C749" s="3"/>
      <c r="Q749" s="17"/>
    </row>
    <row r="750" spans="1:17">
      <c r="A750" s="18"/>
      <c r="B750" s="3"/>
      <c r="C750" s="3"/>
      <c r="Q750" s="17"/>
    </row>
    <row r="751" spans="1:17">
      <c r="A751" s="18"/>
      <c r="B751" s="3"/>
      <c r="C751" s="3"/>
      <c r="Q751" s="17"/>
    </row>
    <row r="752" spans="1:17">
      <c r="A752" s="18"/>
      <c r="B752" s="3"/>
      <c r="C752" s="3"/>
      <c r="Q752" s="17"/>
    </row>
    <row r="753" spans="1:17">
      <c r="A753" s="18"/>
      <c r="B753" s="3"/>
      <c r="C753" s="3"/>
      <c r="Q753" s="17"/>
    </row>
    <row r="754" spans="1:17">
      <c r="A754" s="18"/>
      <c r="B754" s="3"/>
      <c r="C754" s="3"/>
      <c r="Q754" s="17"/>
    </row>
    <row r="755" spans="1:17">
      <c r="A755" s="18"/>
      <c r="B755" s="3"/>
      <c r="C755" s="3"/>
      <c r="Q755" s="17"/>
    </row>
    <row r="756" spans="1:17">
      <c r="A756" s="18"/>
      <c r="B756" s="3"/>
      <c r="C756" s="3"/>
      <c r="Q756" s="17"/>
    </row>
    <row r="757" spans="1:17">
      <c r="A757" s="18"/>
      <c r="B757" s="3"/>
      <c r="C757" s="3"/>
      <c r="Q757" s="17"/>
    </row>
    <row r="758" spans="1:17">
      <c r="A758" s="18"/>
      <c r="B758" s="3"/>
      <c r="C758" s="3"/>
      <c r="Q758" s="17"/>
    </row>
    <row r="759" spans="1:17">
      <c r="A759" s="18"/>
      <c r="B759" s="3"/>
      <c r="C759" s="3"/>
      <c r="D759" s="6"/>
      <c r="Q759" s="17"/>
    </row>
    <row r="760" spans="1:17">
      <c r="A760" s="18"/>
      <c r="B760" s="3"/>
      <c r="C760" s="3"/>
      <c r="D760" s="6"/>
      <c r="Q760" s="17"/>
    </row>
    <row r="761" spans="1:17">
      <c r="A761" s="18"/>
      <c r="B761" s="3"/>
      <c r="C761" s="3"/>
      <c r="D761" s="6"/>
      <c r="Q761" s="17"/>
    </row>
    <row r="762" spans="1:17">
      <c r="A762" s="18"/>
      <c r="B762" s="3"/>
      <c r="C762" s="3"/>
      <c r="D762" s="6"/>
      <c r="Q762" s="17"/>
    </row>
    <row r="763" spans="1:17">
      <c r="A763" s="18"/>
      <c r="B763" s="3"/>
      <c r="C763" s="3"/>
      <c r="D763" s="6"/>
      <c r="Q763" s="17"/>
    </row>
    <row r="764" spans="1:17">
      <c r="A764" s="18"/>
      <c r="B764" s="3"/>
      <c r="C764" s="3"/>
      <c r="D764" s="6"/>
      <c r="Q764" s="17"/>
    </row>
    <row r="765" spans="1:17">
      <c r="A765" s="18"/>
      <c r="B765" s="3"/>
      <c r="C765" s="3"/>
      <c r="D765" s="6"/>
      <c r="Q765" s="17"/>
    </row>
    <row r="766" spans="1:17">
      <c r="A766" s="18"/>
      <c r="B766" s="3"/>
      <c r="C766" s="3"/>
      <c r="D766" s="6"/>
      <c r="Q766" s="17"/>
    </row>
    <row r="767" spans="1:17">
      <c r="A767" s="18"/>
      <c r="B767" s="3"/>
      <c r="C767" s="3"/>
      <c r="D767" s="6"/>
      <c r="Q767" s="17"/>
    </row>
    <row r="768" spans="1:17">
      <c r="A768" s="18"/>
      <c r="B768" s="3"/>
      <c r="C768" s="3"/>
      <c r="D768" s="6"/>
      <c r="Q768" s="17"/>
    </row>
    <row r="769" spans="1:17">
      <c r="A769" s="18"/>
      <c r="B769" s="3"/>
      <c r="C769" s="3"/>
      <c r="D769" s="6"/>
      <c r="Q769" s="17"/>
    </row>
    <row r="770" spans="1:17">
      <c r="A770" s="18"/>
      <c r="B770" s="3"/>
      <c r="C770" s="3"/>
      <c r="D770" s="6"/>
      <c r="Q770" s="17"/>
    </row>
    <row r="771" spans="1:17">
      <c r="A771" s="18"/>
      <c r="B771" s="3"/>
      <c r="C771" s="3"/>
      <c r="D771" s="6"/>
      <c r="Q771" s="17"/>
    </row>
    <row r="772" spans="1:17">
      <c r="A772" s="18"/>
      <c r="B772" s="3"/>
      <c r="C772" s="3"/>
      <c r="D772" s="6"/>
      <c r="Q772" s="17"/>
    </row>
    <row r="773" spans="1:17">
      <c r="A773" s="18"/>
      <c r="B773" s="3"/>
      <c r="C773" s="3"/>
      <c r="D773" s="6"/>
      <c r="Q773" s="17"/>
    </row>
    <row r="774" spans="1:17">
      <c r="A774" s="18"/>
      <c r="B774" s="3"/>
      <c r="C774" s="3"/>
      <c r="D774" s="6"/>
      <c r="Q774" s="17"/>
    </row>
    <row r="775" spans="1:17">
      <c r="A775" s="18"/>
      <c r="B775" s="3"/>
      <c r="C775" s="3"/>
      <c r="D775" s="6"/>
      <c r="Q775" s="17"/>
    </row>
    <row r="776" spans="1:17">
      <c r="A776" s="18"/>
      <c r="B776" s="3"/>
      <c r="C776" s="3"/>
      <c r="D776" s="6"/>
      <c r="Q776" s="17"/>
    </row>
    <row r="777" spans="1:17">
      <c r="A777" s="18"/>
      <c r="B777" s="3"/>
      <c r="C777" s="3"/>
      <c r="D777" s="6"/>
      <c r="Q777" s="17"/>
    </row>
    <row r="778" spans="1:17">
      <c r="A778" s="18"/>
      <c r="B778" s="3"/>
      <c r="C778" s="3"/>
      <c r="D778" s="6"/>
      <c r="G778" s="5"/>
      <c r="Q778" s="17"/>
    </row>
    <row r="779" spans="1:17">
      <c r="A779" s="18"/>
      <c r="B779" s="3"/>
      <c r="C779" s="3"/>
      <c r="D779" s="6"/>
      <c r="Q779" s="17"/>
    </row>
    <row r="780" spans="1:17">
      <c r="A780" s="18"/>
      <c r="B780" s="3"/>
      <c r="C780" s="3"/>
      <c r="D780" s="6"/>
      <c r="Q780" s="17"/>
    </row>
    <row r="781" spans="1:17">
      <c r="A781" s="18"/>
      <c r="B781" s="3"/>
      <c r="C781" s="3"/>
      <c r="D781" s="6"/>
      <c r="Q781" s="17"/>
    </row>
    <row r="782" spans="1:17">
      <c r="A782" s="18"/>
      <c r="B782" s="3"/>
      <c r="C782" s="3"/>
      <c r="D782" s="6"/>
      <c r="Q782" s="17"/>
    </row>
    <row r="783" spans="1:17">
      <c r="A783" s="18"/>
      <c r="B783" s="3"/>
      <c r="C783" s="3"/>
      <c r="D783" s="6"/>
      <c r="Q783" s="17"/>
    </row>
    <row r="784" spans="1:17">
      <c r="A784" s="18"/>
      <c r="B784" s="3"/>
      <c r="C784" s="3"/>
      <c r="D784" s="6"/>
      <c r="Q784" s="17"/>
    </row>
    <row r="785" spans="1:17">
      <c r="A785" s="18"/>
      <c r="B785" s="3"/>
      <c r="C785" s="3"/>
      <c r="D785" s="6"/>
      <c r="Q785" s="17"/>
    </row>
    <row r="786" spans="1:17">
      <c r="A786" s="18"/>
      <c r="B786" s="3"/>
      <c r="C786" s="3"/>
      <c r="D786" s="6"/>
      <c r="Q786" s="17"/>
    </row>
    <row r="787" spans="1:17">
      <c r="A787" s="18"/>
      <c r="B787" s="3"/>
      <c r="C787" s="3"/>
      <c r="D787" s="6"/>
      <c r="Q787" s="17"/>
    </row>
    <row r="788" spans="1:17">
      <c r="A788" s="18"/>
      <c r="B788" s="3"/>
      <c r="C788" s="3"/>
      <c r="D788" s="6"/>
      <c r="Q788" s="17"/>
    </row>
    <row r="789" spans="1:17">
      <c r="A789" s="18"/>
      <c r="B789" s="3"/>
      <c r="C789" s="3"/>
      <c r="D789" s="6"/>
      <c r="Q789" s="17"/>
    </row>
    <row r="790" spans="1:17">
      <c r="A790" s="18"/>
      <c r="B790" s="3"/>
      <c r="C790" s="3"/>
      <c r="D790" s="6"/>
      <c r="Q790" s="17"/>
    </row>
    <row r="791" spans="1:17">
      <c r="A791" s="18"/>
      <c r="B791" s="3"/>
      <c r="C791" s="3"/>
      <c r="D791" s="6"/>
      <c r="Q791" s="17"/>
    </row>
    <row r="792" spans="1:17">
      <c r="A792" s="18"/>
      <c r="B792" s="3"/>
      <c r="C792" s="3"/>
      <c r="D792" s="6"/>
      <c r="Q792" s="17"/>
    </row>
    <row r="793" spans="1:17">
      <c r="A793" s="18"/>
      <c r="B793" s="3"/>
      <c r="C793" s="3"/>
      <c r="D793" s="6"/>
      <c r="Q793" s="17"/>
    </row>
    <row r="794" spans="1:17">
      <c r="A794" s="18"/>
      <c r="B794" s="3"/>
      <c r="C794" s="3"/>
      <c r="D794" s="6"/>
      <c r="Q794" s="17"/>
    </row>
    <row r="795" spans="1:17">
      <c r="A795" s="18"/>
      <c r="B795" s="3"/>
      <c r="C795" s="3"/>
      <c r="D795" s="6"/>
      <c r="Q795" s="17"/>
    </row>
    <row r="796" spans="1:17">
      <c r="A796" s="18"/>
      <c r="B796" s="3"/>
      <c r="C796" s="3"/>
      <c r="D796" s="6"/>
      <c r="Q796" s="17"/>
    </row>
    <row r="797" spans="1:17">
      <c r="A797" s="18"/>
      <c r="B797" s="3"/>
      <c r="C797" s="3"/>
      <c r="D797" s="6"/>
      <c r="Q797" s="17"/>
    </row>
    <row r="798" spans="1:17">
      <c r="A798" s="18"/>
      <c r="B798" s="3"/>
      <c r="C798" s="3"/>
      <c r="D798" s="6"/>
      <c r="Q798" s="17"/>
    </row>
    <row r="799" spans="1:17">
      <c r="A799" s="18"/>
      <c r="B799" s="3"/>
      <c r="C799" s="3"/>
      <c r="D799" s="6"/>
      <c r="Q799" s="17"/>
    </row>
    <row r="800" spans="1:17">
      <c r="A800" s="18"/>
      <c r="B800" s="3"/>
      <c r="C800" s="3"/>
      <c r="D800" s="6"/>
      <c r="Q800" s="17"/>
    </row>
    <row r="801" spans="1:17">
      <c r="A801" s="18"/>
      <c r="B801" s="3"/>
      <c r="C801" s="3"/>
      <c r="D801" s="6"/>
      <c r="Q801" s="17"/>
    </row>
    <row r="802" spans="1:17">
      <c r="A802" s="18"/>
      <c r="B802" s="3"/>
      <c r="C802" s="3"/>
      <c r="D802" s="6"/>
      <c r="Q802" s="17"/>
    </row>
    <row r="803" spans="1:17">
      <c r="A803" s="18"/>
      <c r="B803" s="3"/>
      <c r="C803" s="3"/>
      <c r="Q803" s="17"/>
    </row>
    <row r="804" spans="1:17">
      <c r="A804" s="18"/>
      <c r="B804" s="3"/>
      <c r="C804" s="3"/>
      <c r="Q804" s="17"/>
    </row>
    <row r="805" spans="1:17">
      <c r="A805" s="18"/>
      <c r="B805" s="3"/>
      <c r="C805" s="3"/>
      <c r="Q805" s="17"/>
    </row>
    <row r="806" spans="1:17">
      <c r="A806" s="18"/>
      <c r="B806" s="3"/>
      <c r="C806" s="3"/>
      <c r="Q806" s="17"/>
    </row>
    <row r="807" spans="1:17">
      <c r="A807" s="18"/>
      <c r="B807" s="3"/>
      <c r="C807" s="3"/>
      <c r="Q807" s="17"/>
    </row>
    <row r="808" spans="1:17">
      <c r="A808" s="18"/>
      <c r="B808" s="3"/>
      <c r="C808" s="3"/>
      <c r="Q808" s="17"/>
    </row>
    <row r="809" spans="1:17">
      <c r="A809" s="18"/>
      <c r="B809" s="3"/>
      <c r="C809" s="3"/>
      <c r="Q809" s="17"/>
    </row>
    <row r="810" spans="1:17">
      <c r="A810" s="18"/>
      <c r="B810" s="3"/>
      <c r="C810" s="3"/>
      <c r="Q810" s="17"/>
    </row>
    <row r="811" spans="1:17">
      <c r="A811" s="18"/>
      <c r="B811" s="3"/>
      <c r="C811" s="3"/>
      <c r="E811" s="13"/>
      <c r="Q811" s="17"/>
    </row>
    <row r="812" spans="1:17">
      <c r="A812" s="18"/>
      <c r="B812" s="3"/>
      <c r="C812" s="3"/>
      <c r="Q812" s="17"/>
    </row>
    <row r="813" spans="1:17">
      <c r="A813" s="18"/>
      <c r="B813" s="3"/>
      <c r="C813" s="3"/>
      <c r="Q813" s="17"/>
    </row>
    <row r="814" spans="1:17">
      <c r="A814" s="18"/>
      <c r="B814" s="3"/>
      <c r="C814" s="3"/>
      <c r="Q814" s="17"/>
    </row>
    <row r="815" spans="1:17">
      <c r="A815" s="18"/>
      <c r="B815" s="3"/>
      <c r="C815" s="3"/>
      <c r="Q815" s="17"/>
    </row>
    <row r="816" spans="1:17">
      <c r="A816" s="18"/>
      <c r="B816" s="3"/>
      <c r="C816" s="3"/>
      <c r="Q816" s="17"/>
    </row>
    <row r="817" spans="1:17">
      <c r="A817" s="18"/>
      <c r="B817" s="3"/>
      <c r="C817" s="3"/>
      <c r="Q817" s="17"/>
    </row>
    <row r="818" spans="1:17">
      <c r="A818" s="18"/>
      <c r="B818" s="3"/>
      <c r="C818" s="3"/>
      <c r="Q818" s="17"/>
    </row>
    <row r="819" spans="1:17">
      <c r="A819" s="18"/>
      <c r="B819" s="3"/>
      <c r="C819" s="3"/>
      <c r="Q819" s="17"/>
    </row>
    <row r="820" spans="1:17">
      <c r="A820" s="18"/>
      <c r="B820" s="3"/>
      <c r="C820" s="3"/>
      <c r="Q820" s="17"/>
    </row>
    <row r="821" spans="1:17">
      <c r="A821" s="18"/>
      <c r="B821" s="3"/>
      <c r="C821" s="3"/>
      <c r="Q821" s="17"/>
    </row>
    <row r="822" spans="1:17">
      <c r="A822" s="18"/>
      <c r="B822" s="3"/>
      <c r="C822" s="3"/>
      <c r="Q822" s="17"/>
    </row>
    <row r="823" spans="1:17">
      <c r="A823" s="18"/>
      <c r="B823" s="3"/>
      <c r="C823" s="3"/>
      <c r="Q823" s="17"/>
    </row>
    <row r="824" spans="1:17">
      <c r="A824" s="18"/>
      <c r="B824" s="3"/>
      <c r="C824" s="3"/>
      <c r="Q824" s="17"/>
    </row>
    <row r="825" spans="1:17">
      <c r="A825" s="18"/>
      <c r="B825" s="3"/>
      <c r="C825" s="3"/>
      <c r="Q825" s="17"/>
    </row>
    <row r="826" spans="1:17">
      <c r="A826" s="18"/>
      <c r="B826" s="3"/>
      <c r="C826" s="3"/>
      <c r="Q826" s="17"/>
    </row>
    <row r="827" spans="1:17">
      <c r="A827" s="18"/>
      <c r="B827" s="3"/>
      <c r="C827" s="3"/>
      <c r="Q827" s="17"/>
    </row>
    <row r="828" spans="1:17">
      <c r="A828" s="18"/>
      <c r="B828" s="3"/>
      <c r="C828" s="3"/>
      <c r="Q828" s="17"/>
    </row>
    <row r="829" spans="1:17">
      <c r="A829" s="18"/>
      <c r="B829" s="3"/>
      <c r="C829" s="3"/>
      <c r="E829" s="13"/>
      <c r="Q829" s="17"/>
    </row>
    <row r="830" spans="1:17">
      <c r="A830" s="18"/>
      <c r="B830" s="3"/>
      <c r="C830" s="3"/>
      <c r="Q830" s="17"/>
    </row>
    <row r="831" spans="1:17">
      <c r="A831" s="18"/>
      <c r="B831" s="3"/>
      <c r="C831" s="3"/>
      <c r="Q831" s="17"/>
    </row>
    <row r="832" spans="1:17">
      <c r="A832" s="18"/>
      <c r="B832" s="3"/>
      <c r="C832" s="3"/>
      <c r="Q832" s="17"/>
    </row>
    <row r="833" spans="1:17">
      <c r="A833" s="18"/>
      <c r="B833" s="3"/>
      <c r="C833" s="3"/>
      <c r="Q833" s="17"/>
    </row>
    <row r="834" spans="1:17">
      <c r="A834" s="18"/>
      <c r="B834" s="3"/>
      <c r="C834" s="3"/>
      <c r="Q834" s="17"/>
    </row>
    <row r="835" spans="1:17">
      <c r="A835" s="18"/>
      <c r="B835" s="3"/>
      <c r="C835" s="3"/>
      <c r="Q835" s="17"/>
    </row>
    <row r="836" spans="1:17">
      <c r="A836" s="18"/>
      <c r="B836" s="3"/>
      <c r="C836" s="3"/>
      <c r="Q836" s="17"/>
    </row>
    <row r="837" spans="1:17">
      <c r="A837" s="18"/>
      <c r="B837" s="3"/>
      <c r="C837" s="3"/>
      <c r="Q837" s="17"/>
    </row>
    <row r="838" spans="1:17">
      <c r="A838" s="18"/>
      <c r="B838" s="3"/>
      <c r="C838" s="3"/>
      <c r="Q838" s="17"/>
    </row>
    <row r="839" spans="1:17">
      <c r="A839" s="18"/>
      <c r="B839" s="3"/>
      <c r="C839" s="3"/>
      <c r="Q839" s="17"/>
    </row>
    <row r="840" spans="1:17">
      <c r="A840" s="18"/>
      <c r="B840" s="3"/>
      <c r="C840" s="3"/>
      <c r="Q840" s="17"/>
    </row>
    <row r="841" spans="1:17">
      <c r="A841" s="18"/>
      <c r="B841" s="3"/>
      <c r="C841" s="3"/>
      <c r="Q841" s="17"/>
    </row>
    <row r="842" spans="1:17">
      <c r="A842" s="18"/>
      <c r="B842" s="3"/>
      <c r="C842" s="3"/>
      <c r="Q842" s="17"/>
    </row>
    <row r="843" spans="1:17">
      <c r="A843" s="18"/>
      <c r="B843" s="3"/>
      <c r="C843" s="3"/>
      <c r="Q843" s="17"/>
    </row>
    <row r="844" spans="1:17">
      <c r="A844" s="18"/>
      <c r="B844" s="3"/>
      <c r="C844" s="3"/>
      <c r="Q844" s="17"/>
    </row>
    <row r="845" spans="1:17">
      <c r="A845" s="18"/>
      <c r="B845" s="3"/>
      <c r="C845" s="3"/>
      <c r="Q845" s="17"/>
    </row>
    <row r="846" spans="1:17">
      <c r="A846" s="18"/>
      <c r="B846" s="3"/>
      <c r="C846" s="3"/>
      <c r="Q846" s="17"/>
    </row>
    <row r="847" spans="1:17">
      <c r="A847" s="18"/>
      <c r="B847" s="3"/>
      <c r="C847" s="3"/>
      <c r="Q847" s="17"/>
    </row>
    <row r="848" spans="1:17">
      <c r="A848" s="18"/>
      <c r="B848" s="3"/>
      <c r="C848" s="3"/>
      <c r="Q848" s="17"/>
    </row>
    <row r="849" spans="1:17">
      <c r="A849" s="18"/>
      <c r="B849" s="3"/>
      <c r="C849" s="3"/>
      <c r="Q849" s="17"/>
    </row>
    <row r="850" spans="1:17">
      <c r="A850" s="18"/>
      <c r="B850" s="3"/>
      <c r="C850" s="3"/>
      <c r="Q850" s="17"/>
    </row>
    <row r="851" spans="1:17">
      <c r="A851" s="18"/>
      <c r="B851" s="3"/>
      <c r="C851" s="3"/>
      <c r="Q851" s="17"/>
    </row>
    <row r="852" spans="1:17">
      <c r="A852" s="18"/>
      <c r="B852" s="3"/>
      <c r="C852" s="3"/>
      <c r="Q852" s="17"/>
    </row>
    <row r="853" spans="1:17">
      <c r="A853" s="18"/>
      <c r="B853" s="3"/>
      <c r="C853" s="3"/>
      <c r="Q853" s="17"/>
    </row>
    <row r="854" spans="1:17">
      <c r="A854" s="18"/>
      <c r="B854" s="3"/>
      <c r="C854" s="3"/>
      <c r="Q854" s="17"/>
    </row>
    <row r="855" spans="1:17">
      <c r="A855" s="18"/>
      <c r="B855" s="3"/>
      <c r="C855" s="3"/>
      <c r="Q855" s="17"/>
    </row>
    <row r="856" spans="1:17">
      <c r="A856" s="18"/>
      <c r="B856" s="3"/>
      <c r="C856" s="3"/>
      <c r="Q856" s="17"/>
    </row>
    <row r="857" spans="1:17">
      <c r="A857" s="18"/>
      <c r="B857" s="3"/>
      <c r="C857" s="3"/>
      <c r="Q857" s="17"/>
    </row>
    <row r="858" spans="1:17">
      <c r="A858" s="18"/>
      <c r="B858" s="3"/>
      <c r="C858" s="3"/>
      <c r="Q858" s="17"/>
    </row>
    <row r="859" spans="1:17">
      <c r="A859" s="18"/>
      <c r="B859" s="3"/>
      <c r="C859" s="3"/>
      <c r="Q859" s="17"/>
    </row>
    <row r="860" spans="1:17">
      <c r="A860" s="18"/>
      <c r="B860" s="3"/>
      <c r="C860" s="3"/>
      <c r="Q860" s="17"/>
    </row>
    <row r="861" spans="1:17">
      <c r="A861" s="18"/>
      <c r="B861" s="3"/>
      <c r="C861" s="3"/>
      <c r="Q861" s="17"/>
    </row>
    <row r="862" spans="1:17">
      <c r="A862" s="18"/>
      <c r="B862" s="3"/>
      <c r="C862" s="3"/>
      <c r="Q862" s="17"/>
    </row>
    <row r="863" spans="1:17">
      <c r="A863" s="18"/>
      <c r="B863" s="3"/>
      <c r="C863" s="3"/>
      <c r="Q863" s="17"/>
    </row>
    <row r="864" spans="1:17">
      <c r="A864" s="18"/>
      <c r="B864" s="3"/>
      <c r="C864" s="3"/>
      <c r="Q864" s="17"/>
    </row>
    <row r="865" spans="1:17">
      <c r="A865" s="18"/>
      <c r="B865" s="3"/>
      <c r="C865" s="3"/>
      <c r="F865" s="20"/>
      <c r="Q865" s="17"/>
    </row>
    <row r="866" spans="1:17">
      <c r="A866" s="18"/>
      <c r="B866" s="3"/>
      <c r="C866" s="3"/>
      <c r="Q866" s="17"/>
    </row>
    <row r="867" spans="1:17">
      <c r="A867" s="18"/>
      <c r="B867" s="3"/>
      <c r="C867" s="3"/>
      <c r="Q867" s="17"/>
    </row>
    <row r="868" spans="1:17">
      <c r="A868" s="18"/>
      <c r="B868" s="3"/>
      <c r="C868" s="3"/>
      <c r="Q868" s="17"/>
    </row>
    <row r="869" spans="1:17">
      <c r="A869" s="18"/>
      <c r="B869" s="3"/>
      <c r="C869" s="3"/>
      <c r="Q869" s="17"/>
    </row>
    <row r="870" spans="1:17">
      <c r="A870" s="18"/>
      <c r="B870" s="3"/>
      <c r="C870" s="3"/>
      <c r="Q870" s="17"/>
    </row>
    <row r="871" spans="1:17">
      <c r="A871" s="18"/>
      <c r="B871" s="3"/>
      <c r="C871" s="3"/>
      <c r="Q871" s="17"/>
    </row>
    <row r="872" spans="1:17">
      <c r="A872" s="18"/>
      <c r="B872" s="3"/>
      <c r="C872" s="3"/>
      <c r="Q872" s="17"/>
    </row>
    <row r="873" spans="1:17">
      <c r="A873" s="18"/>
      <c r="B873" s="3"/>
      <c r="C873" s="3"/>
      <c r="Q873" s="17"/>
    </row>
    <row r="874" spans="1:17">
      <c r="A874" s="18"/>
      <c r="B874" s="3"/>
      <c r="C874" s="3"/>
      <c r="Q874" s="17"/>
    </row>
    <row r="875" spans="1:17">
      <c r="A875" s="18"/>
      <c r="B875" s="3"/>
      <c r="C875" s="3"/>
      <c r="Q875" s="17"/>
    </row>
    <row r="876" spans="1:17">
      <c r="A876" s="18"/>
      <c r="B876" s="3"/>
      <c r="C876" s="3"/>
      <c r="Q876" s="17"/>
    </row>
    <row r="877" spans="1:17">
      <c r="A877" s="18"/>
      <c r="B877" s="3"/>
      <c r="C877" s="3"/>
      <c r="Q877" s="17"/>
    </row>
    <row r="878" spans="1:17">
      <c r="A878" s="18"/>
      <c r="B878" s="3"/>
      <c r="C878" s="3"/>
      <c r="Q878" s="17"/>
    </row>
    <row r="879" spans="1:17">
      <c r="A879" s="18"/>
      <c r="B879" s="3"/>
      <c r="C879" s="3"/>
      <c r="Q879" s="17"/>
    </row>
    <row r="880" spans="1:17">
      <c r="A880" s="18"/>
      <c r="B880" s="3"/>
      <c r="C880" s="3"/>
      <c r="Q880" s="17"/>
    </row>
    <row r="881" spans="1:17">
      <c r="A881" s="18"/>
      <c r="B881" s="3"/>
      <c r="C881" s="3"/>
      <c r="Q881" s="17"/>
    </row>
    <row r="882" spans="1:17">
      <c r="A882" s="18"/>
      <c r="B882" s="3"/>
      <c r="C882" s="3"/>
      <c r="Q882" s="17"/>
    </row>
    <row r="883" spans="1:17">
      <c r="A883" s="18"/>
      <c r="B883" s="3"/>
      <c r="C883" s="3"/>
      <c r="Q883" s="17"/>
    </row>
    <row r="884" spans="1:17">
      <c r="A884" s="18"/>
      <c r="B884" s="3"/>
      <c r="C884" s="3"/>
      <c r="Q884" s="17"/>
    </row>
    <row r="885" spans="1:17">
      <c r="A885" s="18"/>
      <c r="B885" s="3"/>
      <c r="C885" s="3"/>
      <c r="Q885" s="17"/>
    </row>
    <row r="886" spans="1:17">
      <c r="A886" s="18"/>
      <c r="B886" s="3"/>
      <c r="C886" s="3"/>
      <c r="Q886" s="17"/>
    </row>
    <row r="887" spans="1:17">
      <c r="A887" s="18"/>
      <c r="B887" s="3"/>
      <c r="C887" s="3"/>
      <c r="Q887" s="17"/>
    </row>
    <row r="888" spans="1:17">
      <c r="A888" s="18"/>
      <c r="B888" s="3"/>
      <c r="C888" s="3"/>
      <c r="Q888" s="17"/>
    </row>
    <row r="889" spans="1:17">
      <c r="A889" s="18"/>
      <c r="B889" s="3"/>
      <c r="C889" s="3"/>
      <c r="Q889" s="17"/>
    </row>
    <row r="890" spans="1:17">
      <c r="A890" s="18"/>
      <c r="B890" s="3"/>
      <c r="C890" s="3"/>
      <c r="Q890" s="17"/>
    </row>
    <row r="891" spans="1:17">
      <c r="A891" s="18"/>
      <c r="B891" s="3"/>
      <c r="C891" s="3"/>
      <c r="Q891" s="17"/>
    </row>
    <row r="892" spans="1:17">
      <c r="A892" s="18"/>
      <c r="B892" s="3"/>
      <c r="C892" s="3"/>
      <c r="Q892" s="17"/>
    </row>
    <row r="893" spans="1:17">
      <c r="A893" s="18"/>
      <c r="B893" s="3"/>
      <c r="C893" s="3"/>
      <c r="Q893" s="17"/>
    </row>
    <row r="894" spans="1:17">
      <c r="A894" s="18"/>
      <c r="B894" s="3"/>
      <c r="C894" s="3"/>
      <c r="Q894" s="17"/>
    </row>
    <row r="895" spans="1:17">
      <c r="A895" s="18"/>
      <c r="B895" s="3"/>
      <c r="C895" s="3"/>
      <c r="Q895" s="17"/>
    </row>
    <row r="896" spans="1:17">
      <c r="A896" s="18"/>
      <c r="B896" s="3"/>
      <c r="C896" s="3"/>
      <c r="Q896" s="17"/>
    </row>
    <row r="897" spans="1:17">
      <c r="A897" s="18"/>
      <c r="B897" s="3"/>
      <c r="C897" s="3"/>
      <c r="Q897" s="17"/>
    </row>
    <row r="898" spans="1:17">
      <c r="A898" s="18"/>
      <c r="B898" s="3"/>
      <c r="C898" s="3"/>
      <c r="Q898" s="17"/>
    </row>
    <row r="899" spans="1:17">
      <c r="A899" s="18"/>
      <c r="B899" s="3"/>
      <c r="C899" s="3"/>
      <c r="Q899" s="17"/>
    </row>
    <row r="900" spans="1:17">
      <c r="A900" s="18"/>
      <c r="B900" s="3"/>
      <c r="C900" s="3"/>
      <c r="Q900" s="17"/>
    </row>
    <row r="901" spans="1:17">
      <c r="A901" s="18"/>
      <c r="B901" s="3"/>
      <c r="C901" s="3"/>
      <c r="Q901" s="17"/>
    </row>
    <row r="902" spans="1:17">
      <c r="A902" s="18"/>
      <c r="B902" s="3"/>
      <c r="C902" s="3"/>
      <c r="Q902" s="17"/>
    </row>
    <row r="903" spans="1:17">
      <c r="A903" s="18"/>
      <c r="B903" s="3"/>
      <c r="C903" s="3"/>
      <c r="Q903" s="17"/>
    </row>
    <row r="904" spans="1:17">
      <c r="A904" s="18"/>
      <c r="B904" s="3"/>
      <c r="C904" s="3"/>
      <c r="Q904" s="17"/>
    </row>
    <row r="905" spans="1:17">
      <c r="A905" s="18"/>
      <c r="B905" s="3"/>
      <c r="C905" s="3"/>
      <c r="Q905" s="17"/>
    </row>
    <row r="906" spans="1:17">
      <c r="A906" s="18"/>
      <c r="B906" s="3"/>
      <c r="C906" s="3"/>
      <c r="Q906" s="17"/>
    </row>
    <row r="907" spans="1:17">
      <c r="A907" s="18"/>
      <c r="B907" s="3"/>
      <c r="C907" s="3"/>
      <c r="Q907" s="17"/>
    </row>
    <row r="908" spans="1:17">
      <c r="A908" s="18"/>
      <c r="B908" s="3"/>
      <c r="C908" s="3"/>
      <c r="Q908" s="17"/>
    </row>
    <row r="909" spans="1:17">
      <c r="A909" s="18"/>
      <c r="B909" s="3"/>
      <c r="C909" s="3"/>
      <c r="Q909" s="17"/>
    </row>
    <row r="910" spans="1:17">
      <c r="A910" s="18"/>
      <c r="B910" s="3"/>
      <c r="C910" s="3"/>
      <c r="Q910" s="17"/>
    </row>
    <row r="911" spans="1:17">
      <c r="A911" s="18"/>
      <c r="B911" s="3"/>
      <c r="C911" s="3"/>
      <c r="Q911" s="17"/>
    </row>
    <row r="912" spans="1:17">
      <c r="A912" s="18"/>
      <c r="B912" s="3"/>
      <c r="C912" s="3"/>
      <c r="Q912" s="17"/>
    </row>
    <row r="913" spans="1:17">
      <c r="A913" s="18"/>
      <c r="B913" s="3"/>
      <c r="C913" s="3"/>
      <c r="Q913" s="17"/>
    </row>
    <row r="914" spans="1:17">
      <c r="A914" s="18"/>
      <c r="B914" s="3"/>
      <c r="C914" s="3"/>
      <c r="Q914" s="17"/>
    </row>
    <row r="915" spans="1:17">
      <c r="A915" s="18"/>
      <c r="B915" s="3"/>
      <c r="C915" s="3"/>
      <c r="Q915" s="17"/>
    </row>
    <row r="916" spans="1:17">
      <c r="A916" s="18"/>
      <c r="B916" s="3"/>
      <c r="C916" s="3"/>
      <c r="Q916" s="17"/>
    </row>
    <row r="917" spans="1:17">
      <c r="A917" s="18"/>
      <c r="B917" s="3"/>
      <c r="C917" s="3"/>
      <c r="Q917" s="17"/>
    </row>
    <row r="918" spans="1:17">
      <c r="A918" s="18"/>
      <c r="B918" s="3"/>
      <c r="C918" s="3"/>
      <c r="Q918" s="17"/>
    </row>
    <row r="919" spans="1:17">
      <c r="A919" s="18"/>
      <c r="B919" s="3"/>
      <c r="C919" s="3"/>
      <c r="Q919" s="17"/>
    </row>
    <row r="920" spans="1:17">
      <c r="A920" s="18"/>
      <c r="B920" s="3"/>
      <c r="C920" s="3"/>
      <c r="Q920" s="17"/>
    </row>
    <row r="921" spans="1:17">
      <c r="A921" s="18"/>
      <c r="B921" s="3"/>
      <c r="C921" s="3"/>
      <c r="Q921" s="17"/>
    </row>
    <row r="922" spans="1:17">
      <c r="A922" s="18"/>
      <c r="B922" s="3"/>
      <c r="C922" s="3"/>
      <c r="Q922" s="17"/>
    </row>
    <row r="923" spans="1:17">
      <c r="A923" s="18"/>
      <c r="B923" s="3"/>
      <c r="C923" s="3"/>
      <c r="Q923" s="17"/>
    </row>
    <row r="924" spans="1:17">
      <c r="A924" s="18"/>
      <c r="B924" s="3"/>
      <c r="C924" s="3"/>
      <c r="Q924" s="17"/>
    </row>
    <row r="925" spans="1:17">
      <c r="A925" s="18"/>
      <c r="B925" s="3"/>
      <c r="C925" s="3"/>
      <c r="Q925" s="17"/>
    </row>
    <row r="926" spans="1:17">
      <c r="A926" s="18"/>
      <c r="B926" s="3"/>
      <c r="C926" s="3"/>
      <c r="Q926" s="17"/>
    </row>
    <row r="927" spans="1:17">
      <c r="A927" s="18"/>
      <c r="B927" s="3"/>
      <c r="C927" s="3"/>
      <c r="Q927" s="17"/>
    </row>
    <row r="928" spans="1:17">
      <c r="A928" s="18"/>
      <c r="B928" s="3"/>
      <c r="C928" s="3"/>
      <c r="Q928" s="17"/>
    </row>
    <row r="929" spans="1:17">
      <c r="A929" s="18"/>
      <c r="B929" s="3"/>
      <c r="C929" s="3"/>
      <c r="Q929" s="17"/>
    </row>
    <row r="930" spans="1:17">
      <c r="A930" s="18"/>
      <c r="B930" s="3"/>
      <c r="C930" s="3"/>
      <c r="Q930" s="17"/>
    </row>
    <row r="931" spans="1:17">
      <c r="A931" s="18"/>
      <c r="B931" s="3"/>
      <c r="C931" s="3"/>
      <c r="Q931" s="17"/>
    </row>
    <row r="932" spans="1:17">
      <c r="A932" s="18"/>
      <c r="B932" s="3"/>
      <c r="C932" s="3"/>
      <c r="Q932" s="17"/>
    </row>
    <row r="933" spans="1:17">
      <c r="A933" s="18"/>
      <c r="B933" s="3"/>
      <c r="C933" s="3"/>
      <c r="Q933" s="17"/>
    </row>
    <row r="934" spans="1:17">
      <c r="A934" s="18"/>
      <c r="B934" s="3"/>
      <c r="C934" s="3"/>
      <c r="Q934" s="17"/>
    </row>
    <row r="935" spans="1:17">
      <c r="A935" s="18"/>
      <c r="B935" s="3"/>
      <c r="C935" s="3"/>
      <c r="Q935" s="17"/>
    </row>
    <row r="936" spans="1:17">
      <c r="A936" s="18"/>
      <c r="B936" s="3"/>
      <c r="C936" s="3"/>
      <c r="Q936" s="17"/>
    </row>
    <row r="937" spans="1:17">
      <c r="A937" s="18"/>
      <c r="B937" s="3"/>
      <c r="C937" s="3"/>
      <c r="Q937" s="17"/>
    </row>
    <row r="938" spans="1:17">
      <c r="A938" s="18"/>
      <c r="B938" s="3"/>
      <c r="C938" s="3"/>
      <c r="Q938" s="17"/>
    </row>
    <row r="939" spans="1:17">
      <c r="A939" s="18"/>
      <c r="B939" s="3"/>
      <c r="C939" s="3"/>
      <c r="Q939" s="17"/>
    </row>
    <row r="940" spans="1:17">
      <c r="A940" s="18"/>
      <c r="B940" s="3"/>
      <c r="C940" s="3"/>
      <c r="E940" s="13"/>
      <c r="Q940" s="17"/>
    </row>
    <row r="941" spans="1:17">
      <c r="A941" s="18"/>
      <c r="B941" s="3"/>
      <c r="C941" s="3"/>
      <c r="Q941" s="17"/>
    </row>
    <row r="942" spans="1:17">
      <c r="A942" s="18"/>
      <c r="B942" s="3"/>
      <c r="C942" s="3"/>
      <c r="Q942" s="17"/>
    </row>
    <row r="943" spans="1:17">
      <c r="A943" s="18"/>
      <c r="B943" s="3"/>
      <c r="C943" s="3"/>
      <c r="Q943" s="17"/>
    </row>
    <row r="944" spans="1:17">
      <c r="A944" s="18"/>
      <c r="B944" s="3"/>
      <c r="C944" s="3"/>
      <c r="Q944" s="17"/>
    </row>
    <row r="945" spans="1:17">
      <c r="A945" s="18"/>
      <c r="B945" s="3"/>
      <c r="C945" s="3"/>
      <c r="Q945" s="17"/>
    </row>
    <row r="946" spans="1:17">
      <c r="A946" s="18"/>
      <c r="B946" s="3"/>
      <c r="C946" s="3"/>
      <c r="E946" s="13"/>
      <c r="Q946" s="17"/>
    </row>
    <row r="947" spans="1:17">
      <c r="A947" s="18"/>
      <c r="B947" s="3"/>
      <c r="C947" s="3"/>
      <c r="Q947" s="17"/>
    </row>
    <row r="948" spans="1:17">
      <c r="A948" s="18"/>
      <c r="B948" s="3"/>
      <c r="C948" s="3"/>
      <c r="Q948" s="17"/>
    </row>
    <row r="949" spans="1:17">
      <c r="A949" s="18"/>
      <c r="B949" s="3"/>
      <c r="C949" s="3"/>
      <c r="Q949" s="17"/>
    </row>
    <row r="950" spans="1:17">
      <c r="A950" s="18"/>
      <c r="B950" s="3"/>
      <c r="C950" s="3"/>
      <c r="Q950" s="17"/>
    </row>
    <row r="951" spans="1:17">
      <c r="A951" s="18"/>
      <c r="B951" s="3"/>
      <c r="C951" s="3"/>
      <c r="Q951" s="17"/>
    </row>
    <row r="952" spans="1:17">
      <c r="A952" s="18"/>
      <c r="B952" s="3"/>
      <c r="C952" s="3"/>
      <c r="Q952" s="17"/>
    </row>
    <row r="953" spans="1:17">
      <c r="A953" s="18"/>
      <c r="B953" s="3"/>
      <c r="C953" s="3"/>
      <c r="Q953" s="17"/>
    </row>
    <row r="954" spans="1:17">
      <c r="A954" s="18"/>
      <c r="B954" s="3"/>
      <c r="C954" s="3"/>
      <c r="E954" s="13"/>
      <c r="Q954" s="17"/>
    </row>
    <row r="955" spans="1:17">
      <c r="A955" s="18"/>
      <c r="B955" s="3"/>
      <c r="C955" s="3"/>
      <c r="E955" s="13"/>
      <c r="Q955" s="17"/>
    </row>
    <row r="956" spans="1:17">
      <c r="A956" s="18"/>
      <c r="B956" s="3"/>
      <c r="C956" s="3"/>
      <c r="Q956" s="17"/>
    </row>
    <row r="957" spans="1:17">
      <c r="A957" s="18"/>
      <c r="B957" s="3"/>
      <c r="C957" s="3"/>
      <c r="Q957" s="17"/>
    </row>
    <row r="958" spans="1:17">
      <c r="A958" s="18"/>
      <c r="B958" s="3"/>
      <c r="C958" s="3"/>
      <c r="Q958" s="17"/>
    </row>
    <row r="959" spans="1:17">
      <c r="A959" s="18"/>
      <c r="B959" s="3"/>
      <c r="C959" s="3"/>
      <c r="Q959" s="17"/>
    </row>
    <row r="960" spans="1:17">
      <c r="A960" s="18"/>
      <c r="B960" s="3"/>
      <c r="C960" s="3"/>
      <c r="Q960" s="17"/>
    </row>
    <row r="961" spans="1:17">
      <c r="A961" s="18"/>
      <c r="B961" s="3"/>
      <c r="C961" s="3"/>
      <c r="Q961" s="17"/>
    </row>
    <row r="962" spans="1:17">
      <c r="A962" s="18"/>
      <c r="B962" s="3"/>
      <c r="C962" s="3"/>
      <c r="M962" s="3"/>
      <c r="Q962" s="17"/>
    </row>
    <row r="963" spans="1:17">
      <c r="A963" s="18"/>
      <c r="B963" s="3"/>
      <c r="C963" s="3"/>
      <c r="Q963" s="17"/>
    </row>
    <row r="964" spans="1:17">
      <c r="A964" s="18"/>
      <c r="B964" s="3"/>
      <c r="C964" s="3"/>
      <c r="Q964" s="17"/>
    </row>
    <row r="965" spans="1:17">
      <c r="A965" s="18"/>
      <c r="B965" s="3"/>
      <c r="C965" s="3"/>
      <c r="Q965" s="17"/>
    </row>
    <row r="966" spans="1:17">
      <c r="A966" s="18"/>
      <c r="B966" s="3"/>
      <c r="C966" s="3"/>
      <c r="Q966" s="17"/>
    </row>
    <row r="967" spans="1:17">
      <c r="A967" s="18"/>
      <c r="B967" s="3"/>
      <c r="C967" s="3"/>
      <c r="Q967" s="17"/>
    </row>
    <row r="968" spans="1:17">
      <c r="A968" s="18"/>
      <c r="B968" s="3"/>
      <c r="C968" s="3"/>
      <c r="Q968" s="17"/>
    </row>
    <row r="969" spans="1:17">
      <c r="A969" s="18"/>
      <c r="B969" s="3"/>
      <c r="C969" s="3"/>
      <c r="Q969" s="17"/>
    </row>
    <row r="970" spans="1:17">
      <c r="A970" s="2"/>
      <c r="B970" s="3"/>
      <c r="C970" s="3"/>
      <c r="Q970" s="17"/>
    </row>
    <row r="971" spans="1:17">
      <c r="A971" s="2"/>
      <c r="B971" s="3"/>
      <c r="C971" s="3"/>
      <c r="Q971" s="17"/>
    </row>
    <row r="972" spans="1:17">
      <c r="A972" s="2"/>
      <c r="B972" s="3"/>
      <c r="C972" s="3"/>
      <c r="Q972" s="17"/>
    </row>
    <row r="973" spans="1:17">
      <c r="A973" s="2"/>
      <c r="B973" s="3"/>
      <c r="C973" s="3"/>
      <c r="Q973" s="17"/>
    </row>
    <row r="974" spans="1:17">
      <c r="A974" s="2"/>
      <c r="B974" s="3"/>
      <c r="C974" s="3"/>
      <c r="Q974" s="17"/>
    </row>
    <row r="975" spans="1:17">
      <c r="A975" s="2"/>
      <c r="B975" s="3"/>
      <c r="C975" s="3"/>
      <c r="Q975" s="17"/>
    </row>
    <row r="976" spans="1:17">
      <c r="A976" s="2"/>
      <c r="B976" s="3"/>
      <c r="C976" s="3"/>
      <c r="Q976" s="17"/>
    </row>
    <row r="977" spans="1:17">
      <c r="A977" s="2"/>
      <c r="B977" s="3"/>
      <c r="C977" s="3"/>
      <c r="Q977" s="17"/>
    </row>
    <row r="978" spans="1:17">
      <c r="A978" s="2"/>
      <c r="B978" s="3"/>
      <c r="C978" s="3"/>
      <c r="Q978" s="17"/>
    </row>
    <row r="979" spans="1:17">
      <c r="A979" s="2"/>
      <c r="B979" s="3"/>
      <c r="C979" s="3"/>
      <c r="Q979" s="17"/>
    </row>
    <row r="980" spans="1:17">
      <c r="A980" s="2"/>
      <c r="B980" s="3"/>
      <c r="C980" s="3"/>
      <c r="Q980" s="17"/>
    </row>
    <row r="981" spans="1:17">
      <c r="A981" s="2"/>
      <c r="B981" s="3"/>
      <c r="C981" s="3"/>
      <c r="Q981" s="17"/>
    </row>
    <row r="982" spans="1:17">
      <c r="A982" s="2"/>
      <c r="B982" s="3"/>
      <c r="C982" s="3"/>
      <c r="Q982" s="17"/>
    </row>
    <row r="983" spans="1:17">
      <c r="A983" s="2"/>
      <c r="B983" s="3"/>
      <c r="C983" s="3"/>
      <c r="Q983" s="17"/>
    </row>
    <row r="984" spans="1:17">
      <c r="A984" s="2"/>
      <c r="B984" s="3"/>
      <c r="C984" s="3"/>
      <c r="Q984" s="17"/>
    </row>
    <row r="985" spans="1:17">
      <c r="A985" s="2"/>
      <c r="B985" s="3"/>
      <c r="C985" s="3"/>
      <c r="Q985" s="17"/>
    </row>
    <row r="986" spans="1:17">
      <c r="A986" s="2"/>
      <c r="B986" s="3"/>
      <c r="C986" s="3"/>
      <c r="Q986" s="17"/>
    </row>
    <row r="987" spans="1:17">
      <c r="A987" s="2"/>
      <c r="B987" s="3"/>
      <c r="C987" s="3"/>
      <c r="Q987" s="17"/>
    </row>
    <row r="988" spans="1:17">
      <c r="A988" s="2"/>
      <c r="B988" s="3"/>
      <c r="C988" s="3"/>
      <c r="Q988" s="17"/>
    </row>
    <row r="989" spans="1:17">
      <c r="A989" s="2"/>
      <c r="B989" s="3"/>
      <c r="C989" s="3"/>
      <c r="Q989" s="17"/>
    </row>
    <row r="990" spans="1:17">
      <c r="A990" s="2"/>
      <c r="B990" s="3"/>
      <c r="C990" s="3"/>
      <c r="Q990" s="17"/>
    </row>
    <row r="991" spans="1:17">
      <c r="A991" s="2"/>
      <c r="B991" s="3"/>
      <c r="C991" s="3"/>
      <c r="Q991" s="17"/>
    </row>
    <row r="992" spans="1:17">
      <c r="A992" s="2"/>
      <c r="B992" s="3"/>
      <c r="C992" s="3"/>
      <c r="Q992" s="17"/>
    </row>
    <row r="993" spans="1:17">
      <c r="A993" s="2"/>
      <c r="B993" s="3"/>
      <c r="C993" s="3"/>
      <c r="Q993" s="17"/>
    </row>
    <row r="994" spans="1:17">
      <c r="A994" s="2"/>
      <c r="B994" s="3"/>
      <c r="C994" s="3"/>
      <c r="Q994" s="17"/>
    </row>
    <row r="995" spans="1:17">
      <c r="A995" s="2"/>
      <c r="B995" s="3"/>
      <c r="C995" s="3"/>
      <c r="Q995" s="17"/>
    </row>
    <row r="996" spans="1:17">
      <c r="A996" s="2"/>
      <c r="B996" s="3"/>
      <c r="C996" s="3"/>
      <c r="Q996" s="17"/>
    </row>
    <row r="997" spans="1:17">
      <c r="A997" s="2"/>
      <c r="B997" s="3"/>
      <c r="C997" s="3"/>
      <c r="Q997" s="17"/>
    </row>
    <row r="998" spans="1:17">
      <c r="A998" s="2"/>
      <c r="B998" s="3"/>
      <c r="C998" s="3"/>
      <c r="Q998" s="17"/>
    </row>
    <row r="999" spans="1:17">
      <c r="A999" s="2"/>
      <c r="B999" s="3"/>
      <c r="C999" s="3"/>
      <c r="Q999" s="17"/>
    </row>
    <row r="1000" spans="1:17">
      <c r="A1000" s="2"/>
      <c r="B1000" s="3"/>
      <c r="C1000" s="3"/>
      <c r="Q1000" s="17"/>
    </row>
    <row r="1001" spans="1:17">
      <c r="A1001" s="2"/>
      <c r="B1001" s="3"/>
      <c r="C1001" s="3"/>
      <c r="Q1001" s="17"/>
    </row>
    <row r="1002" spans="1:17">
      <c r="A1002" s="2"/>
      <c r="B1002" s="3"/>
      <c r="C1002" s="3"/>
      <c r="Q1002" s="17"/>
    </row>
    <row r="1003" spans="1:17">
      <c r="A1003" s="2"/>
      <c r="B1003" s="3"/>
      <c r="C1003" s="3"/>
      <c r="Q1003" s="17"/>
    </row>
    <row r="1004" spans="1:17">
      <c r="A1004" s="2"/>
      <c r="B1004" s="3"/>
      <c r="C1004" s="3"/>
      <c r="Q1004" s="17"/>
    </row>
    <row r="1005" spans="1:17">
      <c r="A1005" s="2"/>
      <c r="B1005" s="3"/>
      <c r="C1005" s="3"/>
      <c r="Q1005" s="17"/>
    </row>
    <row r="1006" spans="1:17">
      <c r="A1006" s="2"/>
      <c r="B1006" s="3"/>
      <c r="C1006" s="3"/>
      <c r="Q1006" s="17"/>
    </row>
    <row r="1007" spans="1:17">
      <c r="A1007" s="2"/>
      <c r="B1007" s="3"/>
      <c r="C1007" s="3"/>
      <c r="Q1007" s="17"/>
    </row>
    <row r="1008" spans="1:17">
      <c r="A1008" s="2"/>
      <c r="B1008" s="3"/>
      <c r="C1008" s="3"/>
      <c r="Q1008" s="17"/>
    </row>
    <row r="1009" spans="1:17">
      <c r="A1009" s="2"/>
      <c r="B1009" s="3"/>
      <c r="C1009" s="3"/>
      <c r="Q1009" s="17"/>
    </row>
    <row r="1010" spans="1:17">
      <c r="A1010" s="2"/>
      <c r="B1010" s="3"/>
      <c r="C1010" s="3"/>
      <c r="Q1010" s="17"/>
    </row>
    <row r="1011" spans="1:17">
      <c r="A1011" s="2"/>
      <c r="B1011" s="3"/>
      <c r="C1011" s="3"/>
      <c r="Q1011" s="17"/>
    </row>
    <row r="1012" spans="1:17">
      <c r="A1012" s="2"/>
      <c r="B1012" s="3"/>
      <c r="C1012" s="3"/>
      <c r="Q1012" s="17"/>
    </row>
    <row r="1013" spans="1:17">
      <c r="A1013" s="2"/>
      <c r="B1013" s="3"/>
      <c r="C1013" s="3"/>
      <c r="Q1013" s="17"/>
    </row>
    <row r="1014" spans="1:17">
      <c r="A1014" s="2"/>
      <c r="B1014" s="3"/>
      <c r="C1014" s="3"/>
      <c r="Q1014" s="17"/>
    </row>
    <row r="1015" spans="1:17">
      <c r="A1015" s="2"/>
      <c r="B1015" s="3"/>
      <c r="C1015" s="3"/>
      <c r="Q1015" s="17"/>
    </row>
    <row r="1016" spans="1:17">
      <c r="A1016" s="2"/>
      <c r="B1016" s="3"/>
      <c r="C1016" s="3"/>
      <c r="Q1016" s="17"/>
    </row>
    <row r="1017" spans="1:17">
      <c r="A1017" s="2"/>
      <c r="B1017" s="3"/>
      <c r="C1017" s="3"/>
      <c r="Q1017" s="17"/>
    </row>
    <row r="1018" spans="1:17">
      <c r="A1018" s="2"/>
      <c r="B1018" s="3"/>
      <c r="C1018" s="3"/>
      <c r="Q1018" s="17"/>
    </row>
    <row r="1019" spans="1:17">
      <c r="A1019" s="2"/>
      <c r="B1019" s="3"/>
      <c r="C1019" s="3"/>
      <c r="Q1019" s="17"/>
    </row>
    <row r="1020" spans="1:17">
      <c r="A1020" s="2"/>
      <c r="B1020" s="3"/>
      <c r="C1020" s="3"/>
      <c r="Q1020" s="17"/>
    </row>
    <row r="1021" spans="1:17">
      <c r="A1021" s="2"/>
      <c r="B1021" s="3"/>
      <c r="C1021" s="3"/>
      <c r="Q1021" s="17"/>
    </row>
    <row r="1022" spans="1:17">
      <c r="A1022" s="2"/>
      <c r="B1022" s="3"/>
      <c r="C1022" s="3"/>
      <c r="Q1022" s="17"/>
    </row>
    <row r="1023" spans="1:17">
      <c r="A1023" s="2"/>
      <c r="B1023" s="3"/>
      <c r="C1023" s="3"/>
      <c r="Q1023" s="17"/>
    </row>
    <row r="1024" spans="1:17">
      <c r="A1024" s="2"/>
      <c r="B1024" s="3"/>
      <c r="C1024" s="3"/>
      <c r="Q1024" s="17"/>
    </row>
    <row r="1025" spans="1:17">
      <c r="A1025" s="2"/>
      <c r="B1025" s="3"/>
      <c r="C1025" s="3"/>
      <c r="Q1025" s="17"/>
    </row>
    <row r="1026" spans="1:17">
      <c r="A1026" s="2"/>
      <c r="B1026" s="3"/>
      <c r="C1026" s="3"/>
      <c r="Q1026" s="17"/>
    </row>
    <row r="1027" spans="1:17">
      <c r="A1027" s="2"/>
      <c r="B1027" s="3"/>
      <c r="C1027" s="3"/>
      <c r="Q1027" s="17"/>
    </row>
    <row r="1028" spans="1:17">
      <c r="A1028" s="2"/>
      <c r="B1028" s="3"/>
      <c r="C1028" s="3"/>
      <c r="Q1028" s="17"/>
    </row>
    <row r="1029" spans="1:17">
      <c r="A1029" s="2"/>
      <c r="B1029" s="3"/>
      <c r="C1029" s="3"/>
      <c r="Q1029" s="17"/>
    </row>
    <row r="1030" spans="1:17">
      <c r="A1030" s="2"/>
      <c r="B1030" s="3"/>
      <c r="C1030" s="3"/>
      <c r="Q1030" s="17"/>
    </row>
    <row r="1031" spans="1:17">
      <c r="A1031" s="2"/>
      <c r="B1031" s="3"/>
      <c r="C1031" s="3"/>
      <c r="Q1031" s="17"/>
    </row>
    <row r="1032" spans="1:17">
      <c r="A1032" s="2"/>
      <c r="B1032" s="3"/>
      <c r="C1032" s="3"/>
      <c r="Q1032" s="17"/>
    </row>
    <row r="1033" spans="1:17">
      <c r="A1033" s="2"/>
      <c r="B1033" s="3"/>
      <c r="C1033" s="3"/>
      <c r="Q1033" s="17"/>
    </row>
    <row r="1034" spans="1:17">
      <c r="A1034" s="2"/>
      <c r="B1034" s="3"/>
      <c r="C1034" s="3"/>
      <c r="Q1034" s="17"/>
    </row>
    <row r="1035" spans="1:17">
      <c r="A1035" s="2"/>
      <c r="B1035" s="3"/>
      <c r="C1035" s="3"/>
      <c r="Q1035" s="17"/>
    </row>
    <row r="1036" spans="1:17">
      <c r="A1036" s="2"/>
      <c r="B1036" s="3"/>
      <c r="C1036" s="3"/>
      <c r="Q1036" s="17"/>
    </row>
    <row r="1037" spans="1:17">
      <c r="A1037" s="2"/>
      <c r="B1037" s="3"/>
      <c r="C1037" s="3"/>
      <c r="Q1037" s="17"/>
    </row>
    <row r="1038" spans="1:17">
      <c r="A1038" s="2"/>
      <c r="B1038" s="3"/>
      <c r="C1038" s="3"/>
      <c r="Q1038" s="17"/>
    </row>
    <row r="1039" spans="1:17">
      <c r="A1039" s="2"/>
      <c r="B1039" s="3"/>
      <c r="C1039" s="3"/>
      <c r="Q1039" s="17"/>
    </row>
    <row r="1040" spans="1:17">
      <c r="A1040" s="2"/>
      <c r="B1040" s="3"/>
      <c r="C1040" s="3"/>
      <c r="Q1040" s="17"/>
    </row>
    <row r="1041" spans="1:17">
      <c r="A1041" s="2"/>
      <c r="B1041" s="3"/>
      <c r="C1041" s="3"/>
      <c r="Q1041" s="17"/>
    </row>
    <row r="1042" spans="1:17">
      <c r="A1042" s="18"/>
      <c r="B1042" s="3"/>
      <c r="C1042" s="3"/>
      <c r="D1042" s="6"/>
      <c r="Q1042" s="17"/>
    </row>
    <row r="1043" spans="1:17">
      <c r="A1043" s="18"/>
      <c r="B1043" s="3"/>
      <c r="C1043" s="3"/>
      <c r="D1043" s="6"/>
      <c r="Q1043" s="17"/>
    </row>
    <row r="1044" spans="1:17">
      <c r="A1044" s="18"/>
      <c r="B1044" s="3"/>
      <c r="C1044" s="3"/>
      <c r="D1044" s="6"/>
      <c r="Q1044" s="17"/>
    </row>
    <row r="1045" spans="1:17">
      <c r="A1045" s="18"/>
      <c r="B1045" s="3"/>
      <c r="C1045" s="3"/>
      <c r="D1045" s="6"/>
      <c r="Q1045" s="17"/>
    </row>
    <row r="1046" spans="1:17">
      <c r="A1046" s="18"/>
      <c r="B1046" s="3"/>
      <c r="C1046" s="3"/>
      <c r="D1046" s="6"/>
      <c r="Q1046" s="17"/>
    </row>
    <row r="1047" spans="1:17">
      <c r="A1047" s="18"/>
      <c r="B1047" s="3"/>
      <c r="C1047" s="3"/>
      <c r="D1047" s="6"/>
      <c r="Q1047" s="17"/>
    </row>
    <row r="1048" spans="1:17">
      <c r="A1048" s="18"/>
      <c r="B1048" s="3"/>
      <c r="C1048" s="3"/>
      <c r="D1048" s="6"/>
      <c r="Q1048" s="17"/>
    </row>
    <row r="1049" spans="1:17">
      <c r="A1049" s="18"/>
      <c r="B1049" s="3"/>
      <c r="C1049" s="3"/>
      <c r="D1049" s="6"/>
      <c r="Q1049" s="17"/>
    </row>
    <row r="1050" spans="1:17">
      <c r="A1050" s="18"/>
      <c r="B1050" s="3"/>
      <c r="C1050" s="3"/>
      <c r="D1050" s="6"/>
      <c r="Q1050" s="17"/>
    </row>
    <row r="1051" spans="1:17">
      <c r="A1051" s="18"/>
      <c r="B1051" s="3"/>
      <c r="C1051" s="3"/>
      <c r="D1051" s="6"/>
      <c r="Q1051" s="17"/>
    </row>
    <row r="1052" spans="1:17">
      <c r="A1052" s="18"/>
      <c r="B1052" s="3"/>
      <c r="C1052" s="3"/>
      <c r="D1052" s="6"/>
      <c r="Q1052" s="17"/>
    </row>
    <row r="1053" spans="1:17">
      <c r="A1053" s="18"/>
      <c r="B1053" s="3"/>
      <c r="C1053" s="3"/>
      <c r="D1053" s="6"/>
      <c r="Q1053" s="17"/>
    </row>
    <row r="1054" spans="1:17">
      <c r="A1054" s="18"/>
      <c r="B1054" s="3"/>
      <c r="C1054" s="3"/>
      <c r="D1054" s="6"/>
      <c r="Q1054" s="17"/>
    </row>
    <row r="1055" spans="1:17">
      <c r="A1055" s="18"/>
      <c r="B1055" s="3"/>
      <c r="C1055" s="3"/>
      <c r="D1055" s="6"/>
      <c r="Q1055" s="17"/>
    </row>
    <row r="1056" spans="1:17">
      <c r="A1056" s="18"/>
      <c r="B1056" s="3"/>
      <c r="C1056" s="3"/>
      <c r="D1056" s="6"/>
      <c r="Q1056" s="17"/>
    </row>
    <row r="1057" spans="1:17">
      <c r="A1057" s="18"/>
      <c r="B1057" s="3"/>
      <c r="C1057" s="3"/>
      <c r="D1057" s="6"/>
      <c r="Q1057" s="17"/>
    </row>
    <row r="1058" spans="1:17">
      <c r="A1058" s="18"/>
      <c r="B1058" s="3"/>
      <c r="C1058" s="3"/>
      <c r="D1058" s="6"/>
      <c r="Q1058" s="17"/>
    </row>
    <row r="1059" spans="1:17">
      <c r="A1059" s="18"/>
      <c r="B1059" s="3"/>
      <c r="C1059" s="3"/>
      <c r="D1059" s="6"/>
      <c r="Q1059" s="17"/>
    </row>
    <row r="1060" spans="1:17">
      <c r="A1060" s="18"/>
      <c r="B1060" s="3"/>
      <c r="C1060" s="3"/>
      <c r="D1060" s="6"/>
      <c r="Q1060" s="17"/>
    </row>
    <row r="1061" spans="1:17">
      <c r="A1061" s="18"/>
      <c r="B1061" s="3"/>
      <c r="C1061" s="3"/>
      <c r="D1061" s="6"/>
      <c r="Q1061" s="17"/>
    </row>
    <row r="1062" spans="1:17">
      <c r="A1062" s="18"/>
      <c r="B1062" s="3"/>
      <c r="C1062" s="3"/>
      <c r="D1062" s="6"/>
      <c r="E1062" s="13"/>
      <c r="Q1062" s="17"/>
    </row>
    <row r="1063" spans="1:17">
      <c r="A1063" s="18"/>
      <c r="B1063" s="3"/>
      <c r="C1063" s="3"/>
      <c r="D1063" s="6"/>
      <c r="Q1063" s="17"/>
    </row>
    <row r="1064" spans="1:17">
      <c r="A1064" s="18"/>
      <c r="B1064" s="3"/>
      <c r="C1064" s="3"/>
      <c r="D1064" s="6"/>
      <c r="Q1064" s="17"/>
    </row>
    <row r="1065" spans="1:17">
      <c r="A1065" s="18"/>
      <c r="B1065" s="3"/>
      <c r="C1065" s="3"/>
      <c r="D1065" s="6"/>
      <c r="G1065" s="5"/>
      <c r="Q1065" s="17"/>
    </row>
    <row r="1066" spans="1:17" s="8" customFormat="1">
      <c r="A1066" s="18"/>
      <c r="B1066" s="3"/>
      <c r="C1066" s="3"/>
      <c r="D1066" s="6"/>
      <c r="E1066"/>
      <c r="F1066" s="13"/>
      <c r="G1066"/>
      <c r="H1066"/>
      <c r="I1066"/>
      <c r="J1066"/>
      <c r="K1066"/>
      <c r="L1066"/>
      <c r="M1066"/>
      <c r="N1066"/>
      <c r="O1066"/>
      <c r="P1066"/>
      <c r="Q1066" s="17"/>
    </row>
    <row r="1067" spans="1:17" s="8" customFormat="1">
      <c r="A1067" s="18"/>
      <c r="B1067" s="3"/>
      <c r="C1067" s="3"/>
      <c r="D1067" s="6"/>
      <c r="E1067"/>
      <c r="F1067" s="13"/>
      <c r="G1067"/>
      <c r="H1067"/>
      <c r="I1067"/>
      <c r="J1067"/>
      <c r="K1067"/>
      <c r="L1067"/>
      <c r="M1067"/>
      <c r="N1067"/>
      <c r="O1067"/>
      <c r="P1067"/>
      <c r="Q1067" s="17"/>
    </row>
    <row r="1068" spans="1:17" s="8" customFormat="1">
      <c r="A1068" s="18"/>
      <c r="B1068" s="3"/>
      <c r="C1068" s="3"/>
      <c r="D1068" s="6"/>
      <c r="E1068"/>
      <c r="F1068" s="13"/>
      <c r="G1068"/>
      <c r="H1068"/>
      <c r="I1068"/>
      <c r="J1068"/>
      <c r="K1068"/>
      <c r="L1068"/>
      <c r="M1068"/>
      <c r="N1068"/>
      <c r="O1068"/>
      <c r="P1068"/>
      <c r="Q1068" s="17"/>
    </row>
    <row r="1069" spans="1:17" s="8" customFormat="1">
      <c r="A1069" s="18"/>
      <c r="B1069" s="3"/>
      <c r="C1069" s="3"/>
      <c r="D1069" s="6"/>
      <c r="E1069"/>
      <c r="F1069" s="13"/>
      <c r="G1069"/>
      <c r="H1069"/>
      <c r="I1069"/>
      <c r="J1069"/>
      <c r="K1069"/>
      <c r="L1069"/>
      <c r="M1069"/>
      <c r="N1069"/>
      <c r="O1069"/>
      <c r="P1069"/>
      <c r="Q1069" s="17"/>
    </row>
    <row r="1070" spans="1:17" s="8" customFormat="1">
      <c r="A1070" s="18"/>
      <c r="B1070" s="3"/>
      <c r="C1070" s="3"/>
      <c r="D1070" s="6"/>
      <c r="E1070"/>
      <c r="F1070" s="13"/>
      <c r="G1070"/>
      <c r="H1070"/>
      <c r="I1070"/>
      <c r="J1070"/>
      <c r="K1070"/>
      <c r="L1070"/>
      <c r="M1070"/>
      <c r="N1070"/>
      <c r="O1070"/>
      <c r="P1070"/>
      <c r="Q1070" s="17"/>
    </row>
    <row r="1071" spans="1:17" s="8" customFormat="1">
      <c r="A1071" s="18"/>
      <c r="B1071" s="3"/>
      <c r="C1071" s="3"/>
      <c r="D1071" s="6"/>
      <c r="E1071"/>
      <c r="F1071" s="13"/>
      <c r="G1071"/>
      <c r="H1071"/>
      <c r="I1071"/>
      <c r="J1071"/>
      <c r="K1071"/>
      <c r="L1071"/>
      <c r="M1071"/>
      <c r="N1071"/>
      <c r="O1071"/>
      <c r="P1071"/>
      <c r="Q1071" s="17"/>
    </row>
    <row r="1072" spans="1:17" s="8" customFormat="1">
      <c r="A1072" s="18"/>
      <c r="B1072" s="3"/>
      <c r="C1072" s="3"/>
      <c r="D1072" s="6"/>
      <c r="E1072"/>
      <c r="F1072" s="13"/>
      <c r="G1072"/>
      <c r="H1072"/>
      <c r="I1072"/>
      <c r="J1072"/>
      <c r="K1072"/>
      <c r="L1072"/>
      <c r="M1072"/>
      <c r="N1072"/>
      <c r="O1072"/>
      <c r="P1072"/>
      <c r="Q1072" s="17"/>
    </row>
    <row r="1073" spans="1:17" s="8" customFormat="1">
      <c r="A1073" s="18"/>
      <c r="B1073" s="3"/>
      <c r="C1073" s="3"/>
      <c r="D1073" s="6"/>
      <c r="E1073"/>
      <c r="F1073" s="13"/>
      <c r="G1073"/>
      <c r="H1073"/>
      <c r="I1073"/>
      <c r="J1073"/>
      <c r="K1073"/>
      <c r="L1073"/>
      <c r="M1073"/>
      <c r="N1073"/>
      <c r="O1073"/>
      <c r="P1073"/>
      <c r="Q1073" s="17"/>
    </row>
    <row r="1074" spans="1:17" s="8" customFormat="1">
      <c r="A1074" s="18"/>
      <c r="B1074" s="3"/>
      <c r="C1074" s="3"/>
      <c r="D1074" s="6"/>
      <c r="E1074"/>
      <c r="F1074" s="13"/>
      <c r="G1074"/>
      <c r="H1074"/>
      <c r="I1074"/>
      <c r="J1074"/>
      <c r="K1074"/>
      <c r="L1074"/>
      <c r="M1074"/>
      <c r="N1074"/>
      <c r="O1074"/>
      <c r="P1074"/>
      <c r="Q1074" s="17"/>
    </row>
    <row r="1075" spans="1:17" s="8" customFormat="1">
      <c r="A1075" s="18"/>
      <c r="B1075" s="3"/>
      <c r="C1075" s="3"/>
      <c r="D1075" s="6"/>
      <c r="E1075"/>
      <c r="F1075" s="13"/>
      <c r="G1075"/>
      <c r="H1075"/>
      <c r="I1075"/>
      <c r="J1075"/>
      <c r="K1075"/>
      <c r="L1075"/>
      <c r="M1075"/>
      <c r="N1075"/>
      <c r="O1075"/>
      <c r="P1075"/>
      <c r="Q1075" s="17"/>
    </row>
    <row r="1076" spans="1:17" s="8" customFormat="1">
      <c r="A1076" s="18"/>
      <c r="B1076" s="3"/>
      <c r="C1076" s="3"/>
      <c r="D1076" s="6"/>
      <c r="E1076"/>
      <c r="F1076" s="13"/>
      <c r="G1076"/>
      <c r="H1076"/>
      <c r="I1076"/>
      <c r="J1076"/>
      <c r="K1076"/>
      <c r="L1076"/>
      <c r="M1076"/>
      <c r="N1076"/>
      <c r="O1076"/>
      <c r="P1076"/>
      <c r="Q1076" s="17"/>
    </row>
    <row r="1077" spans="1:17" s="8" customFormat="1">
      <c r="A1077" s="18"/>
      <c r="B1077" s="3"/>
      <c r="C1077" s="3"/>
      <c r="D1077" s="6"/>
      <c r="E1077"/>
      <c r="F1077" s="13"/>
      <c r="G1077"/>
      <c r="H1077"/>
      <c r="I1077"/>
      <c r="J1077"/>
      <c r="K1077"/>
      <c r="L1077"/>
      <c r="M1077"/>
      <c r="N1077"/>
      <c r="O1077"/>
      <c r="P1077"/>
      <c r="Q1077" s="17"/>
    </row>
    <row r="1078" spans="1:17" s="8" customFormat="1">
      <c r="A1078" s="18"/>
      <c r="B1078" s="3"/>
      <c r="C1078" s="3"/>
      <c r="D1078" s="6"/>
      <c r="E1078"/>
      <c r="F1078" s="13"/>
      <c r="G1078"/>
      <c r="H1078"/>
      <c r="I1078"/>
      <c r="J1078"/>
      <c r="K1078"/>
      <c r="L1078"/>
      <c r="M1078"/>
      <c r="N1078"/>
      <c r="O1078"/>
      <c r="P1078"/>
      <c r="Q1078" s="17"/>
    </row>
    <row r="1079" spans="1:17" s="8" customFormat="1">
      <c r="A1079" s="18"/>
      <c r="B1079" s="3"/>
      <c r="C1079" s="3"/>
      <c r="D1079" s="6"/>
      <c r="E1079"/>
      <c r="F1079" s="13"/>
      <c r="G1079"/>
      <c r="H1079"/>
      <c r="I1079"/>
      <c r="J1079"/>
      <c r="K1079"/>
      <c r="L1079"/>
      <c r="M1079"/>
      <c r="N1079"/>
      <c r="O1079"/>
      <c r="P1079"/>
      <c r="Q1079" s="17"/>
    </row>
    <row r="1080" spans="1:17" s="8" customFormat="1">
      <c r="A1080" s="18"/>
      <c r="B1080" s="3"/>
      <c r="C1080" s="3"/>
      <c r="D1080" s="6"/>
      <c r="E1080"/>
      <c r="F1080" s="13"/>
      <c r="G1080"/>
      <c r="H1080"/>
      <c r="I1080"/>
      <c r="J1080"/>
      <c r="K1080"/>
      <c r="L1080"/>
      <c r="M1080"/>
      <c r="N1080"/>
      <c r="O1080"/>
      <c r="P1080"/>
      <c r="Q1080" s="17"/>
    </row>
    <row r="1081" spans="1:17" s="8" customFormat="1">
      <c r="A1081" s="18"/>
      <c r="B1081" s="3"/>
      <c r="C1081" s="3"/>
      <c r="D1081" s="6"/>
      <c r="E1081"/>
      <c r="F1081" s="13"/>
      <c r="G1081"/>
      <c r="H1081"/>
      <c r="I1081"/>
      <c r="J1081"/>
      <c r="K1081"/>
      <c r="L1081"/>
      <c r="M1081"/>
      <c r="N1081"/>
      <c r="O1081"/>
      <c r="P1081"/>
      <c r="Q1081" s="17"/>
    </row>
    <row r="1082" spans="1:17" s="8" customFormat="1">
      <c r="A1082" s="18"/>
      <c r="B1082" s="3"/>
      <c r="C1082" s="3"/>
      <c r="D1082" s="6"/>
      <c r="E1082"/>
      <c r="F1082" s="13"/>
      <c r="G1082"/>
      <c r="H1082"/>
      <c r="I1082"/>
      <c r="J1082"/>
      <c r="K1082"/>
      <c r="L1082"/>
      <c r="M1082"/>
      <c r="N1082"/>
      <c r="O1082"/>
      <c r="P1082"/>
      <c r="Q1082" s="17"/>
    </row>
    <row r="1083" spans="1:17" s="8" customFormat="1">
      <c r="A1083" s="18"/>
      <c r="B1083" s="3"/>
      <c r="C1083" s="3"/>
      <c r="D1083" s="5"/>
      <c r="E1083"/>
      <c r="F1083" s="13"/>
      <c r="G1083"/>
      <c r="H1083"/>
      <c r="I1083"/>
      <c r="J1083"/>
      <c r="K1083"/>
      <c r="L1083"/>
      <c r="M1083"/>
      <c r="N1083"/>
      <c r="O1083"/>
      <c r="P1083"/>
      <c r="Q1083" s="17"/>
    </row>
    <row r="1084" spans="1:17" s="8" customFormat="1">
      <c r="A1084" s="18"/>
      <c r="B1084" s="3"/>
      <c r="C1084" s="3"/>
      <c r="D1084" s="5"/>
      <c r="E1084"/>
      <c r="F1084" s="13"/>
      <c r="G1084"/>
      <c r="H1084"/>
      <c r="I1084"/>
      <c r="J1084"/>
      <c r="K1084"/>
      <c r="L1084"/>
      <c r="M1084"/>
      <c r="N1084"/>
      <c r="O1084"/>
      <c r="P1084"/>
      <c r="Q1084" s="17"/>
    </row>
    <row r="1085" spans="1:17" s="8" customFormat="1">
      <c r="A1085" s="18"/>
      <c r="B1085" s="3"/>
      <c r="C1085" s="3"/>
      <c r="D1085" s="5"/>
      <c r="E1085"/>
      <c r="F1085" s="13"/>
      <c r="G1085"/>
      <c r="H1085"/>
      <c r="I1085"/>
      <c r="J1085"/>
      <c r="K1085"/>
      <c r="L1085"/>
      <c r="M1085"/>
      <c r="N1085"/>
      <c r="O1085"/>
      <c r="P1085"/>
      <c r="Q1085" s="17"/>
    </row>
    <row r="1086" spans="1:17" s="8" customFormat="1">
      <c r="A1086" s="18"/>
      <c r="B1086" s="3"/>
      <c r="C1086" s="3"/>
      <c r="D1086" s="5"/>
      <c r="E1086"/>
      <c r="F1086" s="13"/>
      <c r="G1086"/>
      <c r="H1086"/>
      <c r="I1086"/>
      <c r="J1086"/>
      <c r="K1086"/>
      <c r="L1086"/>
      <c r="M1086"/>
      <c r="N1086"/>
      <c r="O1086"/>
      <c r="P1086"/>
      <c r="Q1086" s="17"/>
    </row>
    <row r="1087" spans="1:17" s="8" customFormat="1">
      <c r="A1087" s="18"/>
      <c r="B1087" s="3"/>
      <c r="C1087" s="3"/>
      <c r="D1087" s="5"/>
      <c r="E1087"/>
      <c r="F1087" s="13"/>
      <c r="G1087"/>
      <c r="H1087"/>
      <c r="I1087"/>
      <c r="J1087"/>
      <c r="K1087"/>
      <c r="L1087"/>
      <c r="M1087"/>
      <c r="N1087"/>
      <c r="O1087"/>
      <c r="P1087"/>
      <c r="Q1087" s="17"/>
    </row>
    <row r="1088" spans="1:17" s="8" customFormat="1">
      <c r="A1088" s="18"/>
      <c r="B1088" s="3"/>
      <c r="C1088" s="3"/>
      <c r="D1088" s="5"/>
      <c r="E1088"/>
      <c r="F1088" s="13"/>
      <c r="G1088"/>
      <c r="H1088"/>
      <c r="I1088"/>
      <c r="J1088"/>
      <c r="K1088"/>
      <c r="L1088"/>
      <c r="M1088"/>
      <c r="N1088"/>
      <c r="O1088"/>
      <c r="P1088"/>
      <c r="Q1088" s="17"/>
    </row>
    <row r="1089" spans="1:17" s="8" customFormat="1">
      <c r="A1089" s="18"/>
      <c r="B1089" s="3"/>
      <c r="C1089" s="3"/>
      <c r="D1089" s="5"/>
      <c r="E1089"/>
      <c r="F1089" s="13"/>
      <c r="G1089"/>
      <c r="H1089"/>
      <c r="I1089"/>
      <c r="J1089"/>
      <c r="K1089"/>
      <c r="L1089"/>
      <c r="M1089"/>
      <c r="N1089"/>
      <c r="O1089"/>
      <c r="P1089"/>
      <c r="Q1089" s="17"/>
    </row>
    <row r="1090" spans="1:17">
      <c r="A1090" s="18"/>
      <c r="B1090" s="3"/>
      <c r="C1090" s="3"/>
      <c r="Q1090" s="17"/>
    </row>
    <row r="1091" spans="1:17">
      <c r="A1091" s="18"/>
      <c r="B1091" s="3"/>
      <c r="C1091" s="3"/>
      <c r="Q1091" s="17"/>
    </row>
    <row r="1092" spans="1:17">
      <c r="A1092" s="18"/>
      <c r="B1092" s="3"/>
      <c r="C1092" s="3"/>
      <c r="Q1092" s="17"/>
    </row>
    <row r="1093" spans="1:17">
      <c r="A1093" s="18"/>
      <c r="B1093" s="3"/>
      <c r="C1093" s="3"/>
      <c r="Q1093" s="17"/>
    </row>
    <row r="1094" spans="1:17">
      <c r="A1094" s="18"/>
      <c r="B1094" s="3"/>
      <c r="C1094" s="3"/>
      <c r="Q1094" s="17"/>
    </row>
    <row r="1095" spans="1:17">
      <c r="A1095" s="18"/>
      <c r="B1095" s="3"/>
      <c r="C1095" s="3"/>
      <c r="Q1095" s="17"/>
    </row>
    <row r="1096" spans="1:17">
      <c r="A1096" s="18"/>
      <c r="B1096" s="3"/>
      <c r="C1096" s="3"/>
      <c r="Q1096" s="17"/>
    </row>
    <row r="1097" spans="1:17">
      <c r="A1097" s="18"/>
      <c r="B1097" s="3"/>
      <c r="C1097" s="3"/>
      <c r="Q1097" s="17"/>
    </row>
    <row r="1098" spans="1:17">
      <c r="A1098" s="18"/>
      <c r="B1098" s="3"/>
      <c r="C1098" s="3"/>
      <c r="Q1098" s="17"/>
    </row>
    <row r="1099" spans="1:17">
      <c r="A1099" s="18"/>
      <c r="B1099" s="3"/>
      <c r="C1099" s="3"/>
      <c r="Q1099" s="17"/>
    </row>
    <row r="1100" spans="1:17">
      <c r="A1100" s="18"/>
      <c r="B1100" s="3"/>
      <c r="C1100" s="3"/>
      <c r="Q1100" s="17"/>
    </row>
    <row r="1101" spans="1:17">
      <c r="A1101" s="18"/>
      <c r="B1101" s="3"/>
      <c r="C1101" s="3"/>
      <c r="Q1101" s="17"/>
    </row>
    <row r="1102" spans="1:17">
      <c r="A1102" s="18"/>
      <c r="B1102" s="3"/>
      <c r="C1102" s="3"/>
      <c r="Q1102" s="17"/>
    </row>
    <row r="1103" spans="1:17">
      <c r="A1103" s="18"/>
      <c r="B1103" s="3"/>
      <c r="C1103" s="3"/>
      <c r="Q1103" s="17"/>
    </row>
    <row r="1104" spans="1:17">
      <c r="A1104" s="18"/>
      <c r="B1104" s="3"/>
      <c r="C1104" s="3"/>
      <c r="Q1104" s="17"/>
    </row>
    <row r="1105" spans="1:17">
      <c r="A1105" s="18"/>
      <c r="B1105" s="3"/>
      <c r="C1105" s="3"/>
      <c r="Q1105" s="17"/>
    </row>
    <row r="1106" spans="1:17">
      <c r="A1106" s="18"/>
      <c r="B1106" s="3"/>
      <c r="C1106" s="3"/>
      <c r="Q1106" s="17"/>
    </row>
    <row r="1107" spans="1:17">
      <c r="A1107" s="18"/>
      <c r="B1107" s="3"/>
      <c r="C1107" s="3"/>
      <c r="Q1107" s="17"/>
    </row>
    <row r="1108" spans="1:17">
      <c r="A1108" s="18"/>
      <c r="B1108" s="3"/>
      <c r="C1108" s="3"/>
      <c r="Q1108" s="17"/>
    </row>
    <row r="1109" spans="1:17">
      <c r="A1109" s="18"/>
      <c r="B1109" s="3"/>
      <c r="C1109" s="3"/>
      <c r="Q1109" s="17"/>
    </row>
    <row r="1110" spans="1:17">
      <c r="A1110" s="18"/>
      <c r="B1110" s="3"/>
      <c r="C1110" s="3"/>
      <c r="Q1110" s="17"/>
    </row>
    <row r="1111" spans="1:17">
      <c r="A1111" s="18"/>
      <c r="B1111" s="3"/>
      <c r="C1111" s="3"/>
      <c r="Q1111" s="17"/>
    </row>
    <row r="1112" spans="1:17">
      <c r="A1112" s="18"/>
      <c r="B1112" s="3"/>
      <c r="C1112" s="3"/>
      <c r="Q1112" s="17"/>
    </row>
    <row r="1113" spans="1:17">
      <c r="A1113" s="18"/>
      <c r="B1113" s="3"/>
      <c r="C1113" s="3"/>
      <c r="Q1113" s="17"/>
    </row>
    <row r="1114" spans="1:17">
      <c r="A1114" s="18"/>
      <c r="B1114" s="3"/>
      <c r="C1114" s="3"/>
      <c r="Q1114" s="17"/>
    </row>
    <row r="1115" spans="1:17">
      <c r="A1115" s="18"/>
      <c r="B1115" s="3"/>
      <c r="C1115" s="3"/>
      <c r="Q1115" s="17"/>
    </row>
    <row r="1116" spans="1:17">
      <c r="A1116" s="18"/>
      <c r="B1116" s="3"/>
      <c r="C1116" s="3"/>
      <c r="Q1116" s="17"/>
    </row>
    <row r="1117" spans="1:17">
      <c r="A1117" s="18"/>
      <c r="B1117" s="3"/>
      <c r="C1117" s="3"/>
      <c r="Q1117" s="17"/>
    </row>
    <row r="1118" spans="1:17">
      <c r="A1118" s="18"/>
      <c r="B1118" s="3"/>
      <c r="C1118" s="3"/>
      <c r="Q1118" s="17"/>
    </row>
    <row r="1119" spans="1:17">
      <c r="A1119" s="18"/>
      <c r="B1119" s="3"/>
      <c r="C1119" s="3"/>
      <c r="Q1119" s="17"/>
    </row>
    <row r="1120" spans="1:17">
      <c r="A1120" s="18"/>
      <c r="B1120" s="3"/>
      <c r="C1120" s="3"/>
      <c r="Q1120" s="17"/>
    </row>
    <row r="1121" spans="1:17">
      <c r="A1121" s="18"/>
      <c r="B1121" s="3"/>
      <c r="C1121" s="3"/>
      <c r="Q1121" s="17"/>
    </row>
    <row r="1122" spans="1:17">
      <c r="A1122" s="18"/>
      <c r="B1122" s="3"/>
      <c r="C1122" s="3"/>
      <c r="Q1122" s="17"/>
    </row>
    <row r="1123" spans="1:17">
      <c r="A1123" s="18"/>
      <c r="B1123" s="3"/>
      <c r="C1123" s="3"/>
      <c r="Q1123" s="17"/>
    </row>
    <row r="1124" spans="1:17">
      <c r="A1124" s="18"/>
      <c r="B1124" s="3"/>
      <c r="C1124" s="3"/>
      <c r="Q1124" s="17"/>
    </row>
    <row r="1125" spans="1:17">
      <c r="A1125" s="18"/>
      <c r="B1125" s="3"/>
      <c r="C1125" s="3"/>
      <c r="E1125" s="13"/>
      <c r="Q1125" s="17"/>
    </row>
    <row r="1126" spans="1:17">
      <c r="A1126" s="18"/>
      <c r="B1126" s="3"/>
      <c r="C1126" s="3"/>
      <c r="E1126" s="13"/>
      <c r="Q1126" s="17"/>
    </row>
    <row r="1127" spans="1:17">
      <c r="A1127" s="18"/>
      <c r="B1127" s="3"/>
      <c r="C1127" s="3"/>
      <c r="E1127" s="13"/>
      <c r="Q1127" s="17"/>
    </row>
    <row r="1128" spans="1:17">
      <c r="A1128" s="18"/>
      <c r="B1128" s="3"/>
      <c r="C1128" s="3"/>
      <c r="E1128" s="13"/>
      <c r="Q1128" s="17"/>
    </row>
    <row r="1129" spans="1:17">
      <c r="A1129" s="18"/>
      <c r="B1129" s="3"/>
      <c r="C1129" s="3"/>
      <c r="E1129" s="13"/>
      <c r="Q1129" s="17"/>
    </row>
    <row r="1130" spans="1:17">
      <c r="A1130" s="18"/>
      <c r="B1130" s="3"/>
      <c r="C1130" s="3"/>
      <c r="E1130" s="13"/>
      <c r="Q1130" s="17"/>
    </row>
    <row r="1131" spans="1:17">
      <c r="A1131" s="18"/>
      <c r="B1131" s="3"/>
      <c r="C1131" s="3"/>
      <c r="E1131" s="13"/>
      <c r="Q1131" s="17"/>
    </row>
    <row r="1132" spans="1:17">
      <c r="A1132" s="18"/>
      <c r="B1132" s="3"/>
      <c r="C1132" s="3"/>
      <c r="E1132" s="13"/>
      <c r="Q1132" s="17"/>
    </row>
    <row r="1133" spans="1:17">
      <c r="A1133" s="18"/>
      <c r="B1133" s="3"/>
      <c r="C1133" s="3"/>
      <c r="E1133" s="13"/>
      <c r="Q1133" s="17"/>
    </row>
    <row r="1134" spans="1:17">
      <c r="A1134" s="18"/>
      <c r="B1134" s="3"/>
      <c r="C1134" s="3"/>
      <c r="E1134" s="14"/>
      <c r="Q1134" s="17"/>
    </row>
    <row r="1135" spans="1:17">
      <c r="A1135" s="18"/>
      <c r="B1135" s="3"/>
      <c r="C1135" s="3"/>
      <c r="E1135" s="14"/>
      <c r="Q1135" s="17"/>
    </row>
    <row r="1136" spans="1:17">
      <c r="A1136" s="2"/>
      <c r="B1136" s="3"/>
      <c r="C1136" s="3"/>
      <c r="E1136" s="13"/>
      <c r="Q1136" s="17"/>
    </row>
    <row r="1137" spans="1:17">
      <c r="A1137" s="2"/>
      <c r="B1137" s="3"/>
      <c r="C1137" s="3"/>
      <c r="E1137" s="14"/>
      <c r="Q1137" s="17"/>
    </row>
    <row r="1138" spans="1:17">
      <c r="A1138" s="2"/>
      <c r="B1138" s="3"/>
      <c r="C1138" s="3"/>
      <c r="E1138" s="14"/>
      <c r="Q1138" s="17"/>
    </row>
    <row r="1139" spans="1:17">
      <c r="A1139" s="2"/>
      <c r="B1139" s="3"/>
      <c r="C1139" s="3"/>
      <c r="E1139" s="14"/>
      <c r="Q1139" s="17"/>
    </row>
    <row r="1140" spans="1:17">
      <c r="A1140" s="2"/>
      <c r="B1140" s="3"/>
      <c r="C1140" s="3"/>
      <c r="E1140" s="14"/>
      <c r="Q1140" s="17"/>
    </row>
    <row r="1141" spans="1:17">
      <c r="A1141" s="2"/>
      <c r="B1141" s="3"/>
      <c r="C1141" s="3"/>
      <c r="E1141" s="14"/>
      <c r="Q1141" s="17"/>
    </row>
    <row r="1142" spans="1:17">
      <c r="A1142" s="2"/>
      <c r="B1142" s="3"/>
      <c r="C1142" s="3"/>
      <c r="E1142" s="14"/>
      <c r="Q1142" s="17"/>
    </row>
    <row r="1143" spans="1:17">
      <c r="A1143" s="2"/>
      <c r="B1143" s="3"/>
      <c r="C1143" s="3"/>
      <c r="E1143" s="14"/>
      <c r="Q1143" s="17"/>
    </row>
    <row r="1144" spans="1:17">
      <c r="A1144" s="2"/>
      <c r="B1144" s="3"/>
      <c r="C1144" s="3"/>
      <c r="E1144" s="14"/>
      <c r="Q1144" s="17"/>
    </row>
    <row r="1145" spans="1:17">
      <c r="A1145" s="2"/>
      <c r="B1145" s="3"/>
      <c r="C1145" s="3"/>
      <c r="Q1145" s="17"/>
    </row>
    <row r="1146" spans="1:17">
      <c r="A1146" s="2"/>
      <c r="B1146" s="3"/>
      <c r="C1146" s="3"/>
      <c r="Q1146" s="17"/>
    </row>
    <row r="1147" spans="1:17">
      <c r="A1147" s="2"/>
      <c r="B1147" s="3"/>
      <c r="C1147" s="3"/>
      <c r="Q1147" s="17"/>
    </row>
    <row r="1148" spans="1:17">
      <c r="A1148" s="2"/>
      <c r="B1148" s="3"/>
      <c r="C1148" s="3"/>
      <c r="Q1148" s="17"/>
    </row>
    <row r="1149" spans="1:17">
      <c r="A1149" s="2"/>
      <c r="B1149" s="3"/>
      <c r="C1149" s="3"/>
      <c r="Q1149" s="17"/>
    </row>
    <row r="1150" spans="1:17">
      <c r="A1150" s="2"/>
      <c r="B1150" s="3"/>
      <c r="C1150" s="3"/>
      <c r="Q1150" s="17"/>
    </row>
    <row r="1151" spans="1:17">
      <c r="A1151" s="2"/>
      <c r="B1151" s="3"/>
      <c r="C1151" s="3"/>
      <c r="Q1151" s="17"/>
    </row>
    <row r="1152" spans="1:17">
      <c r="A1152" s="2"/>
      <c r="B1152" s="3"/>
      <c r="C1152" s="3"/>
      <c r="Q1152" s="17"/>
    </row>
    <row r="1153" spans="1:17">
      <c r="A1153" s="2"/>
      <c r="B1153" s="3"/>
      <c r="C1153" s="3"/>
      <c r="Q1153" s="17"/>
    </row>
    <row r="1154" spans="1:17">
      <c r="A1154" s="2"/>
      <c r="B1154" s="3"/>
      <c r="C1154" s="3"/>
      <c r="Q1154" s="17"/>
    </row>
    <row r="1155" spans="1:17">
      <c r="A1155" s="2"/>
      <c r="B1155" s="3"/>
      <c r="C1155" s="3"/>
      <c r="Q1155" s="17"/>
    </row>
    <row r="1156" spans="1:17">
      <c r="A1156" s="2"/>
      <c r="B1156" s="3"/>
      <c r="C1156" s="3"/>
      <c r="Q1156" s="17"/>
    </row>
    <row r="1157" spans="1:17">
      <c r="A1157" s="2"/>
      <c r="B1157" s="3"/>
      <c r="C1157" s="3"/>
      <c r="D1157" s="6"/>
      <c r="Q1157" s="17"/>
    </row>
    <row r="1158" spans="1:17">
      <c r="A1158" s="2"/>
      <c r="B1158" s="3"/>
      <c r="C1158" s="3"/>
      <c r="D1158" s="6"/>
      <c r="Q1158" s="17"/>
    </row>
    <row r="1159" spans="1:17">
      <c r="A1159" s="2"/>
      <c r="B1159" s="3"/>
      <c r="C1159" s="3"/>
      <c r="Q1159" s="17"/>
    </row>
    <row r="1160" spans="1:17">
      <c r="A1160" s="2"/>
      <c r="B1160" s="3"/>
      <c r="C1160" s="3"/>
      <c r="Q1160" s="17"/>
    </row>
    <row r="1161" spans="1:17">
      <c r="A1161" s="2"/>
      <c r="B1161" s="3"/>
      <c r="C1161" s="3"/>
      <c r="Q1161" s="17"/>
    </row>
    <row r="1162" spans="1:17">
      <c r="A1162" s="2"/>
      <c r="B1162" s="3"/>
      <c r="C1162" s="3"/>
      <c r="D1162" s="6"/>
      <c r="Q1162" s="17"/>
    </row>
    <row r="1163" spans="1:17">
      <c r="A1163" s="2"/>
      <c r="B1163" s="3"/>
      <c r="C1163" s="3"/>
      <c r="Q1163" s="17"/>
    </row>
    <row r="1164" spans="1:17">
      <c r="A1164" s="2"/>
      <c r="B1164" s="3"/>
      <c r="C1164" s="3"/>
      <c r="Q1164" s="17"/>
    </row>
    <row r="1165" spans="1:17">
      <c r="A1165" s="2"/>
      <c r="B1165" s="3"/>
      <c r="C1165" s="3"/>
      <c r="Q1165" s="17"/>
    </row>
    <row r="1166" spans="1:17">
      <c r="A1166" s="2"/>
      <c r="B1166" s="3"/>
      <c r="C1166" s="3"/>
      <c r="Q1166" s="17"/>
    </row>
    <row r="1167" spans="1:17">
      <c r="A1167" s="2"/>
      <c r="B1167" s="3"/>
      <c r="C1167" s="3"/>
      <c r="Q1167" s="17"/>
    </row>
    <row r="1168" spans="1:17">
      <c r="A1168" s="2"/>
      <c r="B1168" s="3"/>
      <c r="C1168" s="3"/>
      <c r="Q1168" s="17"/>
    </row>
    <row r="1169" spans="1:17">
      <c r="A1169" s="2"/>
      <c r="B1169" s="3"/>
      <c r="C1169" s="3"/>
      <c r="Q1169" s="17"/>
    </row>
    <row r="1170" spans="1:17">
      <c r="A1170" s="2"/>
      <c r="B1170" s="3"/>
      <c r="C1170" s="3"/>
      <c r="Q1170" s="17"/>
    </row>
    <row r="1171" spans="1:17">
      <c r="A1171" s="2"/>
      <c r="B1171" s="3"/>
      <c r="C1171" s="3"/>
      <c r="Q1171" s="17"/>
    </row>
    <row r="1172" spans="1:17">
      <c r="A1172" s="2"/>
      <c r="B1172" s="3"/>
      <c r="C1172" s="3"/>
      <c r="Q1172" s="17"/>
    </row>
    <row r="1173" spans="1:17">
      <c r="A1173" s="2"/>
      <c r="B1173" s="3"/>
      <c r="C1173" s="3"/>
      <c r="Q1173" s="17"/>
    </row>
    <row r="1174" spans="1:17">
      <c r="A1174" s="2"/>
      <c r="B1174" s="3"/>
      <c r="C1174" s="3"/>
      <c r="Q1174" s="17"/>
    </row>
    <row r="1175" spans="1:17">
      <c r="A1175" s="2"/>
      <c r="B1175" s="3"/>
      <c r="C1175" s="3"/>
      <c r="Q1175" s="17"/>
    </row>
    <row r="1176" spans="1:17">
      <c r="A1176" s="2"/>
      <c r="B1176" s="3"/>
      <c r="C1176" s="3"/>
      <c r="Q1176" s="17"/>
    </row>
    <row r="1177" spans="1:17">
      <c r="A1177" s="2"/>
      <c r="B1177" s="3"/>
      <c r="C1177" s="3"/>
      <c r="Q1177" s="17"/>
    </row>
    <row r="1178" spans="1:17">
      <c r="A1178" s="2"/>
      <c r="B1178" s="3"/>
      <c r="C1178" s="3"/>
      <c r="Q1178" s="17"/>
    </row>
    <row r="1179" spans="1:17">
      <c r="A1179" s="2"/>
      <c r="B1179" s="3"/>
      <c r="C1179" s="3"/>
      <c r="D1179" s="6"/>
      <c r="Q1179" s="17"/>
    </row>
    <row r="1180" spans="1:17">
      <c r="A1180" s="2"/>
      <c r="B1180" s="3"/>
      <c r="C1180" s="3"/>
      <c r="Q1180" s="17"/>
    </row>
    <row r="1181" spans="1:17">
      <c r="A1181" s="2"/>
      <c r="B1181" s="3"/>
      <c r="C1181" s="3"/>
      <c r="Q1181" s="17"/>
    </row>
    <row r="1182" spans="1:17">
      <c r="A1182" s="2"/>
      <c r="B1182" s="3"/>
      <c r="C1182" s="3"/>
      <c r="Q1182" s="17"/>
    </row>
    <row r="1183" spans="1:17">
      <c r="A1183" s="2"/>
      <c r="B1183" s="3"/>
      <c r="C1183" s="3"/>
      <c r="Q1183" s="17"/>
    </row>
    <row r="1184" spans="1:17">
      <c r="A1184" s="2"/>
      <c r="B1184" s="3"/>
      <c r="C1184" s="3"/>
      <c r="Q1184" s="17"/>
    </row>
    <row r="1185" spans="1:17">
      <c r="A1185" s="2"/>
      <c r="B1185" s="3"/>
      <c r="C1185" s="3"/>
      <c r="Q1185" s="17"/>
    </row>
    <row r="1186" spans="1:17">
      <c r="A1186" s="2"/>
      <c r="B1186" s="3"/>
      <c r="C1186" s="3"/>
      <c r="Q1186" s="17"/>
    </row>
    <row r="1187" spans="1:17">
      <c r="A1187" s="2"/>
      <c r="B1187" s="3"/>
      <c r="C1187" s="3"/>
      <c r="Q1187" s="17"/>
    </row>
    <row r="1188" spans="1:17">
      <c r="A1188" s="2"/>
      <c r="B1188" s="3"/>
      <c r="C1188" s="3"/>
      <c r="D1188" s="6"/>
      <c r="Q1188" s="17"/>
    </row>
    <row r="1189" spans="1:17">
      <c r="A1189" s="2"/>
      <c r="B1189" s="3"/>
      <c r="C1189" s="3"/>
      <c r="D1189" s="6"/>
      <c r="Q1189" s="17"/>
    </row>
    <row r="1190" spans="1:17">
      <c r="A1190" s="2"/>
      <c r="B1190" s="3"/>
      <c r="C1190" s="3"/>
      <c r="Q1190" s="17"/>
    </row>
    <row r="1191" spans="1:17">
      <c r="A1191" s="2"/>
      <c r="B1191" s="3"/>
      <c r="C1191" s="3"/>
      <c r="D1191" s="6"/>
      <c r="Q1191" s="17"/>
    </row>
    <row r="1192" spans="1:17">
      <c r="A1192" s="2"/>
      <c r="B1192" s="3"/>
      <c r="C1192" s="3"/>
      <c r="Q1192" s="17"/>
    </row>
    <row r="1193" spans="1:17">
      <c r="A1193" s="2"/>
      <c r="B1193" s="3"/>
      <c r="C1193" s="3"/>
      <c r="D1193" s="6"/>
      <c r="Q1193" s="17"/>
    </row>
    <row r="1194" spans="1:17">
      <c r="A1194" s="2"/>
      <c r="B1194" s="3"/>
      <c r="C1194" s="3"/>
      <c r="D1194" s="6"/>
      <c r="Q1194" s="17"/>
    </row>
    <row r="1195" spans="1:17">
      <c r="A1195" s="2"/>
      <c r="B1195" s="3"/>
      <c r="C1195" s="3"/>
      <c r="D1195" s="6"/>
      <c r="Q1195" s="17"/>
    </row>
    <row r="1196" spans="1:17">
      <c r="A1196" s="2"/>
      <c r="B1196" s="3"/>
      <c r="C1196" s="3"/>
      <c r="D1196" s="6"/>
      <c r="Q1196" s="17"/>
    </row>
    <row r="1197" spans="1:17">
      <c r="A1197" s="2"/>
      <c r="B1197" s="3"/>
      <c r="C1197" s="3"/>
      <c r="D1197" s="6"/>
      <c r="Q1197" s="17"/>
    </row>
    <row r="1198" spans="1:17">
      <c r="A1198" s="2"/>
      <c r="B1198" s="3"/>
      <c r="C1198" s="3"/>
      <c r="Q1198" s="17"/>
    </row>
    <row r="1199" spans="1:17">
      <c r="A1199" s="2"/>
      <c r="B1199" s="3"/>
      <c r="C1199" s="3"/>
      <c r="Q1199" s="17"/>
    </row>
    <row r="1200" spans="1:17">
      <c r="A1200" s="2"/>
      <c r="B1200" s="3"/>
      <c r="C1200" s="3"/>
      <c r="Q1200" s="17"/>
    </row>
    <row r="1201" spans="1:17">
      <c r="A1201" s="2"/>
      <c r="B1201" s="3"/>
      <c r="C1201" s="3"/>
      <c r="Q1201" s="17"/>
    </row>
    <row r="1202" spans="1:17">
      <c r="A1202" s="2"/>
      <c r="B1202" s="3"/>
      <c r="C1202" s="3"/>
      <c r="Q1202" s="17"/>
    </row>
    <row r="1203" spans="1:17">
      <c r="A1203" s="2"/>
      <c r="B1203" s="3"/>
      <c r="C1203" s="3"/>
      <c r="Q1203" s="17"/>
    </row>
    <row r="1204" spans="1:17">
      <c r="A1204" s="2"/>
      <c r="B1204" s="3"/>
      <c r="C1204" s="3"/>
      <c r="Q1204" s="17"/>
    </row>
    <row r="1205" spans="1:17">
      <c r="A1205" s="2"/>
      <c r="B1205" s="3"/>
      <c r="C1205" s="3"/>
      <c r="Q1205" s="17"/>
    </row>
    <row r="1206" spans="1:17">
      <c r="A1206" s="2"/>
      <c r="B1206" s="3"/>
      <c r="C1206" s="3"/>
      <c r="Q1206" s="17"/>
    </row>
    <row r="1207" spans="1:17">
      <c r="A1207" s="2"/>
      <c r="B1207" s="3"/>
      <c r="C1207" s="3"/>
      <c r="Q1207" s="17"/>
    </row>
    <row r="1208" spans="1:17">
      <c r="A1208" s="2"/>
      <c r="B1208" s="3"/>
      <c r="C1208" s="3"/>
      <c r="Q1208" s="17"/>
    </row>
    <row r="1209" spans="1:17">
      <c r="A1209" s="2"/>
      <c r="B1209" s="3"/>
      <c r="C1209" s="3"/>
      <c r="Q1209" s="17"/>
    </row>
    <row r="1210" spans="1:17">
      <c r="A1210" s="2"/>
      <c r="B1210" s="3"/>
      <c r="C1210" s="3"/>
      <c r="Q1210" s="17"/>
    </row>
    <row r="1211" spans="1:17">
      <c r="A1211" s="2"/>
      <c r="B1211" s="3"/>
      <c r="C1211" s="3"/>
      <c r="Q1211" s="17"/>
    </row>
    <row r="1212" spans="1:17">
      <c r="A1212" s="2"/>
      <c r="B1212" s="3"/>
      <c r="C1212" s="3"/>
      <c r="Q1212" s="17"/>
    </row>
    <row r="1213" spans="1:17">
      <c r="A1213" s="2"/>
      <c r="B1213" s="3"/>
      <c r="C1213" s="3"/>
      <c r="Q1213" s="17"/>
    </row>
    <row r="1214" spans="1:17">
      <c r="A1214" s="2"/>
      <c r="B1214" s="3"/>
      <c r="C1214" s="3"/>
      <c r="Q1214" s="17"/>
    </row>
    <row r="1215" spans="1:17">
      <c r="A1215" s="2"/>
      <c r="B1215" s="3"/>
      <c r="C1215" s="3"/>
      <c r="Q1215" s="17"/>
    </row>
    <row r="1216" spans="1:17">
      <c r="A1216" s="2"/>
      <c r="B1216" s="3"/>
      <c r="C1216" s="3"/>
      <c r="Q1216" s="17"/>
    </row>
    <row r="1217" spans="1:17">
      <c r="A1217" s="2"/>
      <c r="B1217" s="3"/>
      <c r="C1217" s="3"/>
      <c r="Q1217" s="17"/>
    </row>
    <row r="1218" spans="1:17">
      <c r="A1218" s="2"/>
      <c r="B1218" s="3"/>
      <c r="C1218" s="3"/>
      <c r="Q1218" s="17"/>
    </row>
    <row r="1219" spans="1:17">
      <c r="A1219" s="2"/>
      <c r="B1219" s="3"/>
      <c r="C1219" s="3"/>
      <c r="Q1219" s="17"/>
    </row>
    <row r="1220" spans="1:17">
      <c r="A1220" s="2"/>
      <c r="B1220" s="3"/>
      <c r="C1220" s="3"/>
      <c r="Q1220" s="17"/>
    </row>
    <row r="1221" spans="1:17">
      <c r="A1221" s="2"/>
      <c r="B1221" s="3"/>
      <c r="C1221" s="3"/>
      <c r="Q1221" s="17"/>
    </row>
    <row r="1222" spans="1:17">
      <c r="A1222" s="2"/>
      <c r="B1222" s="3"/>
      <c r="C1222" s="3"/>
      <c r="Q1222" s="17"/>
    </row>
    <row r="1223" spans="1:17">
      <c r="A1223" s="2"/>
      <c r="B1223" s="3"/>
      <c r="C1223" s="3"/>
      <c r="Q1223" s="17"/>
    </row>
    <row r="1224" spans="1:17">
      <c r="A1224" s="2"/>
      <c r="B1224" s="3"/>
      <c r="C1224" s="3"/>
      <c r="Q1224" s="17"/>
    </row>
    <row r="1225" spans="1:17">
      <c r="A1225" s="2"/>
      <c r="B1225" s="3"/>
      <c r="C1225" s="3"/>
      <c r="Q1225" s="17"/>
    </row>
    <row r="1226" spans="1:17">
      <c r="A1226" s="2"/>
      <c r="B1226" s="3"/>
      <c r="C1226" s="3"/>
      <c r="Q1226" s="17"/>
    </row>
    <row r="1227" spans="1:17">
      <c r="A1227" s="2"/>
      <c r="B1227" s="3"/>
      <c r="C1227" s="3"/>
      <c r="Q1227" s="17"/>
    </row>
    <row r="1228" spans="1:17">
      <c r="A1228" s="2"/>
      <c r="B1228" s="3"/>
      <c r="C1228" s="3"/>
      <c r="Q1228" s="17"/>
    </row>
    <row r="1229" spans="1:17">
      <c r="A1229" s="2"/>
      <c r="B1229" s="3"/>
      <c r="C1229" s="3"/>
      <c r="Q1229" s="17"/>
    </row>
    <row r="1230" spans="1:17">
      <c r="A1230" s="2"/>
      <c r="B1230" s="3"/>
      <c r="C1230" s="3"/>
      <c r="Q1230" s="17"/>
    </row>
    <row r="1231" spans="1:17">
      <c r="A1231" s="2"/>
      <c r="B1231" s="3"/>
      <c r="C1231" s="3"/>
      <c r="Q1231" s="17"/>
    </row>
    <row r="1232" spans="1:17">
      <c r="A1232" s="2"/>
      <c r="B1232" s="3"/>
      <c r="C1232" s="3"/>
      <c r="Q1232" s="17"/>
    </row>
    <row r="1233" spans="1:17">
      <c r="A1233" s="2"/>
      <c r="B1233" s="3"/>
      <c r="C1233" s="3"/>
      <c r="Q1233" s="17"/>
    </row>
    <row r="1234" spans="1:17">
      <c r="A1234" s="2"/>
      <c r="B1234" s="3"/>
      <c r="C1234" s="3"/>
      <c r="Q1234" s="17"/>
    </row>
    <row r="1235" spans="1:17">
      <c r="A1235" s="2"/>
      <c r="B1235" s="3"/>
      <c r="C1235" s="3"/>
      <c r="Q1235" s="17"/>
    </row>
    <row r="1236" spans="1:17">
      <c r="A1236" s="2"/>
      <c r="B1236" s="3"/>
      <c r="C1236" s="3"/>
      <c r="Q1236" s="17"/>
    </row>
    <row r="1237" spans="1:17">
      <c r="A1237" s="2"/>
      <c r="B1237" s="3"/>
      <c r="C1237" s="3"/>
      <c r="Q1237" s="17"/>
    </row>
    <row r="1238" spans="1:17">
      <c r="A1238" s="2"/>
      <c r="B1238" s="3"/>
      <c r="C1238" s="3"/>
      <c r="Q1238" s="17"/>
    </row>
    <row r="1239" spans="1:17">
      <c r="A1239" s="2"/>
      <c r="B1239" s="3"/>
      <c r="C1239" s="3"/>
      <c r="Q1239" s="17"/>
    </row>
    <row r="1240" spans="1:17">
      <c r="A1240" s="2"/>
      <c r="B1240" s="3"/>
      <c r="C1240" s="3"/>
      <c r="Q1240" s="17"/>
    </row>
    <row r="1241" spans="1:17">
      <c r="A1241" s="2"/>
      <c r="B1241" s="3"/>
      <c r="C1241" s="3"/>
      <c r="Q1241" s="17"/>
    </row>
    <row r="1242" spans="1:17">
      <c r="A1242" s="2"/>
      <c r="B1242" s="3"/>
      <c r="C1242" s="3"/>
      <c r="Q1242" s="17"/>
    </row>
    <row r="1243" spans="1:17">
      <c r="A1243" s="2"/>
      <c r="B1243" s="3"/>
      <c r="C1243" s="3"/>
      <c r="Q1243" s="17"/>
    </row>
    <row r="1244" spans="1:17">
      <c r="A1244" s="2"/>
      <c r="B1244" s="3"/>
      <c r="C1244" s="3"/>
      <c r="Q1244" s="17"/>
    </row>
    <row r="1245" spans="1:17">
      <c r="A1245" s="2"/>
      <c r="B1245" s="3"/>
      <c r="C1245" s="3"/>
      <c r="Q1245" s="17"/>
    </row>
    <row r="1246" spans="1:17">
      <c r="A1246" s="2"/>
      <c r="B1246" s="3"/>
      <c r="C1246" s="3"/>
      <c r="Q1246" s="17"/>
    </row>
    <row r="1247" spans="1:17">
      <c r="A1247" s="2"/>
      <c r="B1247" s="3"/>
      <c r="C1247" s="3"/>
      <c r="Q1247" s="17"/>
    </row>
    <row r="1248" spans="1:17">
      <c r="A1248" s="2"/>
      <c r="B1248" s="3"/>
      <c r="C1248" s="3"/>
      <c r="Q1248" s="17"/>
    </row>
    <row r="1249" spans="1:17">
      <c r="A1249" s="2"/>
      <c r="B1249" s="3"/>
      <c r="C1249" s="3"/>
      <c r="Q1249" s="17"/>
    </row>
    <row r="1250" spans="1:17">
      <c r="A1250" s="2"/>
      <c r="B1250" s="3"/>
      <c r="C1250" s="3"/>
      <c r="Q1250" s="17"/>
    </row>
    <row r="1251" spans="1:17">
      <c r="A1251" s="2"/>
      <c r="B1251" s="3"/>
      <c r="C1251" s="3"/>
      <c r="Q1251" s="17"/>
    </row>
    <row r="1252" spans="1:17">
      <c r="A1252" s="2"/>
      <c r="B1252" s="3"/>
      <c r="C1252" s="3"/>
      <c r="Q1252" s="17"/>
    </row>
    <row r="1253" spans="1:17">
      <c r="A1253" s="2"/>
      <c r="B1253" s="3"/>
      <c r="C1253" s="3"/>
      <c r="Q1253" s="17"/>
    </row>
    <row r="1254" spans="1:17">
      <c r="A1254" s="2"/>
      <c r="B1254" s="3"/>
      <c r="C1254" s="3"/>
      <c r="Q1254" s="17"/>
    </row>
    <row r="1255" spans="1:17">
      <c r="A1255" s="2"/>
      <c r="B1255" s="3"/>
      <c r="C1255" s="3"/>
      <c r="Q1255" s="17"/>
    </row>
    <row r="1256" spans="1:17">
      <c r="A1256" s="2"/>
      <c r="B1256" s="3"/>
      <c r="C1256" s="3"/>
      <c r="Q1256" s="17"/>
    </row>
    <row r="1257" spans="1:17">
      <c r="A1257" s="2"/>
      <c r="B1257" s="3"/>
      <c r="C1257" s="3"/>
      <c r="Q1257" s="17"/>
    </row>
    <row r="1258" spans="1:17">
      <c r="A1258" s="2"/>
      <c r="Q1258" s="17"/>
    </row>
    <row r="1259" spans="1:17">
      <c r="A1259" s="2"/>
      <c r="B1259" s="3"/>
      <c r="C1259" s="3"/>
      <c r="Q1259" s="17"/>
    </row>
    <row r="1260" spans="1:17">
      <c r="A1260" s="2"/>
      <c r="B1260" s="3"/>
      <c r="C1260" s="3"/>
      <c r="Q1260" s="17"/>
    </row>
    <row r="1261" spans="1:17">
      <c r="A1261" s="2"/>
      <c r="B1261" s="3"/>
      <c r="C1261" s="3"/>
      <c r="Q1261" s="17"/>
    </row>
    <row r="1262" spans="1:17">
      <c r="A1262" s="2"/>
      <c r="B1262" s="3"/>
      <c r="C1262" s="3"/>
      <c r="Q1262" s="17"/>
    </row>
    <row r="1263" spans="1:17">
      <c r="A1263" s="2"/>
      <c r="B1263" s="3"/>
      <c r="C1263" s="3"/>
      <c r="Q1263" s="17"/>
    </row>
    <row r="1264" spans="1:17">
      <c r="A1264" s="2"/>
      <c r="B1264" s="3"/>
      <c r="C1264" s="3"/>
      <c r="Q1264" s="17"/>
    </row>
    <row r="1265" spans="1:17">
      <c r="A1265" s="2"/>
      <c r="B1265" s="3"/>
      <c r="C1265" s="3"/>
      <c r="Q1265" s="17"/>
    </row>
    <row r="1266" spans="1:17">
      <c r="A1266" s="2"/>
      <c r="B1266" s="3"/>
      <c r="C1266" s="3"/>
      <c r="Q1266" s="17"/>
    </row>
    <row r="1267" spans="1:17">
      <c r="A1267" s="2"/>
      <c r="B1267" s="3"/>
      <c r="C1267" s="3"/>
      <c r="Q1267" s="17"/>
    </row>
    <row r="1268" spans="1:17">
      <c r="A1268" s="2"/>
      <c r="B1268" s="3"/>
      <c r="C1268" s="3"/>
      <c r="Q1268" s="17"/>
    </row>
    <row r="1269" spans="1:17">
      <c r="A1269" s="2"/>
      <c r="B1269" s="3"/>
      <c r="C1269" s="3"/>
      <c r="Q1269" s="17"/>
    </row>
    <row r="1270" spans="1:17">
      <c r="A1270" s="2"/>
      <c r="B1270" s="3"/>
      <c r="C1270" s="3"/>
      <c r="Q1270" s="17"/>
    </row>
    <row r="1271" spans="1:17">
      <c r="A1271" s="2"/>
      <c r="B1271" s="3"/>
      <c r="C1271" s="3"/>
      <c r="Q1271" s="17"/>
    </row>
    <row r="1272" spans="1:17">
      <c r="A1272" s="2"/>
      <c r="B1272" s="3"/>
      <c r="C1272" s="3"/>
      <c r="Q1272" s="17"/>
    </row>
    <row r="1273" spans="1:17">
      <c r="A1273" s="2"/>
      <c r="B1273" s="3"/>
      <c r="C1273" s="3"/>
      <c r="Q1273" s="17"/>
    </row>
    <row r="1274" spans="1:17">
      <c r="A1274" s="2"/>
      <c r="B1274" s="3"/>
      <c r="C1274" s="3"/>
      <c r="Q1274" s="17"/>
    </row>
    <row r="1275" spans="1:17">
      <c r="A1275" s="2"/>
      <c r="B1275" s="3"/>
      <c r="C1275" s="3"/>
      <c r="Q1275" s="17"/>
    </row>
    <row r="1276" spans="1:17">
      <c r="A1276" s="2"/>
      <c r="B1276" s="3"/>
      <c r="C1276" s="3"/>
      <c r="Q1276" s="17"/>
    </row>
    <row r="1277" spans="1:17">
      <c r="A1277" s="2"/>
      <c r="B1277" s="3"/>
      <c r="C1277" s="3"/>
      <c r="Q1277" s="17"/>
    </row>
    <row r="1278" spans="1:17">
      <c r="A1278" s="2"/>
      <c r="B1278" s="3"/>
      <c r="C1278" s="3"/>
      <c r="Q1278" s="17"/>
    </row>
    <row r="1279" spans="1:17">
      <c r="A1279" s="2"/>
      <c r="B1279" s="3"/>
      <c r="C1279" s="3"/>
      <c r="Q1279" s="17"/>
    </row>
    <row r="1280" spans="1:17">
      <c r="A1280" s="2"/>
      <c r="B1280" s="3"/>
      <c r="C1280" s="3"/>
      <c r="Q1280" s="17"/>
    </row>
    <row r="1281" spans="1:17">
      <c r="A1281" s="2"/>
      <c r="B1281" s="3"/>
      <c r="C1281" s="3"/>
      <c r="Q1281" s="17"/>
    </row>
    <row r="1282" spans="1:17">
      <c r="A1282" s="2"/>
      <c r="B1282" s="3"/>
      <c r="C1282" s="3"/>
      <c r="Q1282" s="17"/>
    </row>
    <row r="1283" spans="1:17">
      <c r="A1283" s="2"/>
      <c r="B1283" s="3"/>
      <c r="C1283" s="3"/>
      <c r="Q1283" s="17"/>
    </row>
    <row r="1284" spans="1:17">
      <c r="A1284" s="2"/>
      <c r="B1284" s="3"/>
      <c r="C1284" s="3"/>
      <c r="Q1284" s="17"/>
    </row>
    <row r="1285" spans="1:17">
      <c r="A1285" s="2"/>
      <c r="B1285" s="3"/>
      <c r="C1285" s="3"/>
      <c r="Q1285" s="17"/>
    </row>
    <row r="1286" spans="1:17">
      <c r="A1286" s="2"/>
      <c r="B1286" s="3"/>
      <c r="C1286" s="3"/>
      <c r="Q1286" s="17"/>
    </row>
    <row r="1287" spans="1:17">
      <c r="A1287" s="2"/>
      <c r="B1287" s="3"/>
      <c r="C1287" s="3"/>
      <c r="Q1287" s="17"/>
    </row>
    <row r="1288" spans="1:17">
      <c r="A1288" s="2"/>
      <c r="B1288" s="3"/>
      <c r="C1288" s="3"/>
      <c r="Q1288" s="17"/>
    </row>
    <row r="1289" spans="1:17">
      <c r="A1289" s="2"/>
      <c r="B1289" s="3"/>
      <c r="C1289" s="3"/>
      <c r="Q1289" s="17"/>
    </row>
    <row r="1290" spans="1:17">
      <c r="A1290" s="2"/>
      <c r="B1290" s="3"/>
      <c r="C1290" s="3"/>
      <c r="Q1290" s="17"/>
    </row>
    <row r="1291" spans="1:17">
      <c r="A1291" s="2"/>
      <c r="B1291" s="3"/>
      <c r="C1291" s="3"/>
      <c r="Q1291" s="17"/>
    </row>
    <row r="1292" spans="1:17">
      <c r="A1292" s="2"/>
      <c r="B1292" s="3"/>
      <c r="C1292" s="3"/>
      <c r="Q1292" s="17"/>
    </row>
    <row r="1293" spans="1:17">
      <c r="A1293" s="2"/>
      <c r="B1293" s="3"/>
      <c r="C1293" s="3"/>
      <c r="Q1293" s="17"/>
    </row>
    <row r="1294" spans="1:17">
      <c r="A1294" s="2"/>
      <c r="B1294" s="3"/>
      <c r="C1294" s="3"/>
      <c r="Q1294" s="17"/>
    </row>
    <row r="1295" spans="1:17">
      <c r="A1295" s="2"/>
      <c r="B1295" s="3"/>
      <c r="C1295" s="3"/>
      <c r="Q1295" s="17"/>
    </row>
    <row r="1296" spans="1:17">
      <c r="A1296" s="2"/>
      <c r="B1296" s="3"/>
      <c r="C1296" s="3"/>
      <c r="Q1296" s="17"/>
    </row>
    <row r="1297" spans="1:17">
      <c r="A1297" s="2"/>
      <c r="B1297" s="3"/>
      <c r="C1297" s="3"/>
      <c r="Q1297" s="17"/>
    </row>
    <row r="1298" spans="1:17">
      <c r="A1298" s="2"/>
      <c r="B1298" s="3"/>
      <c r="C1298" s="3"/>
      <c r="Q1298" s="17"/>
    </row>
    <row r="1299" spans="1:17">
      <c r="A1299" s="2"/>
      <c r="B1299" s="3"/>
      <c r="C1299" s="3"/>
      <c r="Q1299" s="17"/>
    </row>
    <row r="1300" spans="1:17">
      <c r="A1300" s="2"/>
      <c r="B1300" s="3"/>
      <c r="C1300" s="3"/>
      <c r="Q1300" s="17"/>
    </row>
    <row r="1301" spans="1:17">
      <c r="A1301" s="2"/>
      <c r="B1301" s="3"/>
      <c r="C1301" s="3"/>
      <c r="Q1301" s="17"/>
    </row>
    <row r="1302" spans="1:17">
      <c r="A1302" s="2"/>
      <c r="B1302" s="3"/>
      <c r="C1302" s="3"/>
      <c r="Q1302" s="17"/>
    </row>
    <row r="1303" spans="1:17">
      <c r="A1303" s="2"/>
      <c r="B1303" s="3"/>
      <c r="C1303" s="3"/>
      <c r="Q1303" s="17"/>
    </row>
    <row r="1304" spans="1:17">
      <c r="A1304" s="2"/>
      <c r="B1304" s="3"/>
      <c r="C1304" s="3"/>
      <c r="Q1304" s="17"/>
    </row>
    <row r="1305" spans="1:17">
      <c r="A1305" s="2"/>
      <c r="B1305" s="3"/>
      <c r="C1305" s="3"/>
      <c r="Q1305" s="17"/>
    </row>
    <row r="1306" spans="1:17">
      <c r="A1306" s="2"/>
      <c r="B1306" s="3"/>
      <c r="C1306" s="3"/>
      <c r="Q1306" s="17"/>
    </row>
    <row r="1307" spans="1:17">
      <c r="A1307" s="2"/>
      <c r="B1307" s="3"/>
      <c r="C1307" s="3"/>
      <c r="E1307" s="5"/>
      <c r="Q1307" s="17"/>
    </row>
    <row r="1308" spans="1:17">
      <c r="A1308" s="2"/>
      <c r="B1308" s="3"/>
      <c r="C1308" s="3"/>
      <c r="E1308" s="5"/>
      <c r="Q1308" s="17"/>
    </row>
    <row r="1309" spans="1:17">
      <c r="A1309" s="2"/>
      <c r="B1309" s="3"/>
      <c r="C1309" s="3"/>
      <c r="E1309" s="5"/>
      <c r="Q1309" s="17"/>
    </row>
    <row r="1310" spans="1:17">
      <c r="A1310" s="2"/>
      <c r="B1310" s="3"/>
      <c r="C1310" s="3"/>
      <c r="E1310" s="5"/>
      <c r="Q1310" s="17"/>
    </row>
    <row r="1311" spans="1:17">
      <c r="A1311" s="2"/>
      <c r="B1311" s="3"/>
      <c r="C1311" s="3"/>
      <c r="E1311" s="5"/>
      <c r="Q1311" s="17"/>
    </row>
    <row r="1312" spans="1:17">
      <c r="A1312" s="2"/>
      <c r="B1312" s="3"/>
      <c r="C1312" s="3"/>
      <c r="E1312" s="5"/>
      <c r="Q1312" s="17"/>
    </row>
    <row r="1313" spans="1:17">
      <c r="A1313" s="2"/>
      <c r="B1313" s="3"/>
      <c r="C1313" s="3"/>
      <c r="E1313" s="5"/>
      <c r="Q1313" s="17"/>
    </row>
    <row r="1314" spans="1:17">
      <c r="A1314" s="2"/>
      <c r="B1314" s="3"/>
      <c r="C1314" s="3"/>
      <c r="E1314" s="5"/>
      <c r="Q1314" s="17"/>
    </row>
    <row r="1315" spans="1:17">
      <c r="A1315" s="2"/>
      <c r="B1315" s="3"/>
      <c r="C1315" s="3"/>
      <c r="E1315" s="5"/>
      <c r="Q1315" s="17"/>
    </row>
    <row r="1316" spans="1:17">
      <c r="A1316" s="2"/>
      <c r="B1316" s="3"/>
      <c r="C1316" s="3"/>
      <c r="E1316" s="5"/>
      <c r="Q1316" s="17"/>
    </row>
    <row r="1317" spans="1:17">
      <c r="A1317" s="2"/>
      <c r="B1317" s="3"/>
      <c r="C1317" s="3"/>
      <c r="E1317" s="5"/>
      <c r="Q1317" s="17"/>
    </row>
    <row r="1318" spans="1:17">
      <c r="A1318" s="2"/>
      <c r="B1318" s="3"/>
      <c r="C1318" s="3"/>
      <c r="E1318" s="5"/>
      <c r="Q1318" s="17"/>
    </row>
    <row r="1319" spans="1:17">
      <c r="A1319" s="2"/>
      <c r="B1319" s="3"/>
      <c r="C1319" s="3"/>
      <c r="E1319" s="5"/>
      <c r="Q1319" s="17"/>
    </row>
    <row r="1320" spans="1:17">
      <c r="A1320" s="2"/>
      <c r="B1320" s="3"/>
      <c r="C1320" s="3"/>
      <c r="E1320" s="5"/>
      <c r="Q1320" s="17"/>
    </row>
    <row r="1321" spans="1:17">
      <c r="A1321" s="2"/>
      <c r="B1321" s="3"/>
      <c r="C1321" s="3"/>
      <c r="E1321" s="5"/>
      <c r="Q1321" s="17"/>
    </row>
    <row r="1322" spans="1:17">
      <c r="A1322" s="2"/>
      <c r="B1322" s="3"/>
      <c r="C1322" s="3"/>
      <c r="E1322" s="5"/>
      <c r="Q1322" s="17"/>
    </row>
    <row r="1323" spans="1:17">
      <c r="A1323" s="18"/>
      <c r="B1323" s="3"/>
      <c r="C1323" s="3"/>
      <c r="D1323" s="6"/>
      <c r="E1323" s="5"/>
      <c r="Q1323" s="17"/>
    </row>
    <row r="1324" spans="1:17">
      <c r="A1324" s="18"/>
      <c r="B1324" s="3"/>
      <c r="C1324" s="3"/>
      <c r="D1324" s="6"/>
      <c r="E1324" s="5"/>
      <c r="Q1324" s="17"/>
    </row>
    <row r="1325" spans="1:17">
      <c r="A1325" s="18"/>
      <c r="B1325" s="3"/>
      <c r="C1325" s="3"/>
      <c r="D1325" s="6"/>
      <c r="E1325" s="5"/>
      <c r="Q1325" s="17"/>
    </row>
    <row r="1326" spans="1:17">
      <c r="A1326" s="18"/>
      <c r="B1326" s="3"/>
      <c r="C1326" s="3"/>
      <c r="D1326" s="6"/>
      <c r="E1326" s="5"/>
      <c r="Q1326" s="17"/>
    </row>
    <row r="1327" spans="1:17">
      <c r="A1327" s="18"/>
      <c r="B1327" s="3"/>
      <c r="C1327" s="3"/>
      <c r="D1327" s="6"/>
      <c r="E1327" s="5"/>
      <c r="Q1327" s="17"/>
    </row>
    <row r="1328" spans="1:17">
      <c r="A1328" s="18"/>
      <c r="B1328" s="3"/>
      <c r="C1328" s="3"/>
      <c r="D1328" s="6"/>
      <c r="E1328" s="5"/>
      <c r="Q1328" s="17"/>
    </row>
    <row r="1329" spans="1:17">
      <c r="A1329" s="18"/>
      <c r="B1329" s="3"/>
      <c r="C1329" s="3"/>
      <c r="D1329" s="6"/>
      <c r="E1329" s="5"/>
      <c r="Q1329" s="17"/>
    </row>
    <row r="1330" spans="1:17">
      <c r="A1330" s="18"/>
      <c r="B1330" s="3"/>
      <c r="C1330" s="3"/>
      <c r="D1330" s="6"/>
      <c r="E1330" s="5"/>
      <c r="Q1330" s="17"/>
    </row>
    <row r="1331" spans="1:17">
      <c r="A1331" s="18"/>
      <c r="B1331" s="3"/>
      <c r="C1331" s="3"/>
      <c r="D1331" s="6"/>
      <c r="E1331" s="5"/>
      <c r="Q1331" s="17"/>
    </row>
    <row r="1332" spans="1:17">
      <c r="A1332" s="18"/>
      <c r="B1332" s="3"/>
      <c r="C1332" s="3"/>
      <c r="D1332" s="6"/>
      <c r="E1332" s="5"/>
      <c r="Q1332" s="17"/>
    </row>
    <row r="1333" spans="1:17">
      <c r="A1333" s="18"/>
      <c r="B1333" s="3"/>
      <c r="C1333" s="3"/>
      <c r="D1333" s="6"/>
      <c r="E1333" s="5"/>
      <c r="Q1333" s="17"/>
    </row>
    <row r="1334" spans="1:17">
      <c r="A1334" s="18"/>
      <c r="B1334" s="3"/>
      <c r="C1334" s="3"/>
      <c r="D1334" s="6"/>
      <c r="E1334" s="5"/>
      <c r="Q1334" s="17"/>
    </row>
    <row r="1335" spans="1:17">
      <c r="A1335" s="18"/>
      <c r="B1335" s="3"/>
      <c r="C1335" s="3"/>
      <c r="D1335" s="6"/>
      <c r="E1335" s="5"/>
      <c r="Q1335" s="17"/>
    </row>
    <row r="1336" spans="1:17">
      <c r="A1336" s="18"/>
      <c r="B1336" s="3"/>
      <c r="C1336" s="3"/>
      <c r="D1336" s="6"/>
      <c r="E1336" s="5"/>
      <c r="Q1336" s="17"/>
    </row>
    <row r="1337" spans="1:17">
      <c r="A1337" s="18"/>
      <c r="B1337" s="3"/>
      <c r="C1337" s="3"/>
      <c r="D1337" s="6"/>
      <c r="E1337" s="5"/>
      <c r="Q1337" s="17"/>
    </row>
    <row r="1338" spans="1:17">
      <c r="A1338" s="18"/>
      <c r="B1338" s="3"/>
      <c r="C1338" s="3"/>
      <c r="D1338" s="6"/>
      <c r="E1338" s="5"/>
      <c r="Q1338" s="17"/>
    </row>
    <row r="1339" spans="1:17">
      <c r="A1339" s="18"/>
      <c r="B1339" s="3"/>
      <c r="C1339" s="3"/>
      <c r="D1339" s="6"/>
      <c r="E1339" s="5"/>
      <c r="Q1339" s="17"/>
    </row>
    <row r="1340" spans="1:17">
      <c r="A1340" s="18"/>
      <c r="B1340" s="3"/>
      <c r="C1340" s="3"/>
      <c r="D1340" s="6"/>
      <c r="E1340" s="5"/>
      <c r="Q1340" s="17"/>
    </row>
    <row r="1341" spans="1:17">
      <c r="A1341" s="18"/>
      <c r="B1341" s="3"/>
      <c r="C1341" s="3"/>
      <c r="D1341" s="6"/>
      <c r="E1341" s="5"/>
      <c r="Q1341" s="17"/>
    </row>
    <row r="1342" spans="1:17">
      <c r="A1342" s="18"/>
      <c r="B1342" s="3"/>
      <c r="C1342" s="3"/>
      <c r="D1342" s="6"/>
      <c r="E1342" s="5"/>
      <c r="Q1342" s="17"/>
    </row>
    <row r="1343" spans="1:17">
      <c r="A1343" s="18"/>
      <c r="B1343" s="3"/>
      <c r="C1343" s="3"/>
      <c r="D1343" s="6"/>
      <c r="E1343" s="5"/>
      <c r="Q1343" s="17"/>
    </row>
    <row r="1344" spans="1:17">
      <c r="A1344" s="18"/>
      <c r="B1344" s="3"/>
      <c r="C1344" s="3"/>
      <c r="D1344" s="6"/>
      <c r="E1344" s="5"/>
      <c r="Q1344" s="17"/>
    </row>
    <row r="1345" spans="1:17">
      <c r="A1345" s="18"/>
      <c r="B1345" s="3"/>
      <c r="C1345" s="3"/>
      <c r="D1345" s="6"/>
      <c r="E1345" s="5"/>
      <c r="Q1345" s="17"/>
    </row>
    <row r="1346" spans="1:17">
      <c r="A1346" s="2"/>
      <c r="B1346" s="3"/>
      <c r="C1346" s="3"/>
      <c r="E1346" s="5"/>
      <c r="Q1346" s="17"/>
    </row>
    <row r="1347" spans="1:17">
      <c r="A1347" s="2"/>
      <c r="B1347" s="3"/>
      <c r="C1347" s="3"/>
      <c r="E1347" s="5"/>
      <c r="Q1347" s="17"/>
    </row>
    <row r="1348" spans="1:17">
      <c r="A1348" s="2"/>
      <c r="B1348" s="3"/>
      <c r="C1348" s="3"/>
      <c r="E1348" s="5"/>
      <c r="Q1348" s="17"/>
    </row>
    <row r="1349" spans="1:17">
      <c r="A1349" s="2"/>
      <c r="B1349" s="3"/>
      <c r="C1349" s="3"/>
      <c r="E1349" s="5"/>
      <c r="Q1349" s="17"/>
    </row>
    <row r="1350" spans="1:17">
      <c r="A1350" s="18"/>
      <c r="B1350" s="3"/>
      <c r="C1350" s="3"/>
      <c r="D1350" s="6"/>
      <c r="E1350" s="5"/>
      <c r="Q1350" s="17"/>
    </row>
    <row r="1351" spans="1:17">
      <c r="A1351" s="18"/>
      <c r="B1351" s="3"/>
      <c r="C1351" s="3"/>
      <c r="D1351" s="6"/>
      <c r="E1351" s="5"/>
      <c r="Q1351" s="17"/>
    </row>
    <row r="1352" spans="1:17">
      <c r="A1352" s="18"/>
      <c r="B1352" s="3"/>
      <c r="C1352" s="3"/>
      <c r="D1352" s="6"/>
      <c r="E1352" s="5"/>
      <c r="Q1352" s="17"/>
    </row>
    <row r="1353" spans="1:17">
      <c r="A1353" s="18"/>
      <c r="B1353" s="3"/>
      <c r="C1353" s="3"/>
      <c r="D1353" s="6"/>
      <c r="E1353" s="5"/>
      <c r="Q1353" s="17"/>
    </row>
    <row r="1354" spans="1:17">
      <c r="A1354" s="18"/>
      <c r="B1354" s="3"/>
      <c r="C1354" s="3"/>
      <c r="D1354" s="6"/>
      <c r="E1354" s="5"/>
      <c r="Q1354" s="17"/>
    </row>
    <row r="1355" spans="1:17">
      <c r="A1355" s="18"/>
      <c r="B1355" s="3"/>
      <c r="C1355" s="3"/>
      <c r="D1355" s="6"/>
      <c r="E1355" s="5"/>
      <c r="Q1355" s="17"/>
    </row>
    <row r="1356" spans="1:17">
      <c r="A1356" s="18"/>
      <c r="B1356" s="3"/>
      <c r="C1356" s="3"/>
      <c r="D1356" s="6"/>
      <c r="E1356" s="5"/>
      <c r="Q1356" s="17"/>
    </row>
    <row r="1357" spans="1:17">
      <c r="A1357" s="18"/>
      <c r="B1357" s="3"/>
      <c r="C1357" s="3"/>
      <c r="D1357" s="6"/>
      <c r="E1357" s="5"/>
      <c r="Q1357" s="17"/>
    </row>
    <row r="1358" spans="1:17">
      <c r="A1358" s="18"/>
      <c r="B1358" s="3"/>
      <c r="C1358" s="3"/>
      <c r="D1358" s="6"/>
      <c r="E1358" s="5"/>
      <c r="Q1358" s="17"/>
    </row>
    <row r="1359" spans="1:17">
      <c r="A1359" s="18"/>
      <c r="B1359" s="3"/>
      <c r="C1359" s="3"/>
      <c r="D1359" s="6"/>
      <c r="E1359" s="5"/>
      <c r="Q1359" s="17"/>
    </row>
    <row r="1360" spans="1:17">
      <c r="A1360" s="18"/>
      <c r="B1360" s="3"/>
      <c r="C1360" s="3"/>
      <c r="D1360" s="6"/>
      <c r="E1360" s="5"/>
      <c r="Q1360" s="17"/>
    </row>
    <row r="1361" spans="1:5">
      <c r="A1361" s="18"/>
      <c r="B1361" s="3"/>
      <c r="C1361" s="3"/>
      <c r="D1361" s="6"/>
      <c r="E1361" s="5"/>
    </row>
    <row r="1362" spans="1:5">
      <c r="A1362" s="18"/>
      <c r="B1362" s="3"/>
      <c r="C1362" s="3"/>
      <c r="D1362" s="6"/>
      <c r="E1362" s="5"/>
    </row>
    <row r="1363" spans="1:5">
      <c r="A1363" s="18"/>
      <c r="B1363" s="3"/>
      <c r="C1363" s="3"/>
      <c r="D1363" s="6"/>
      <c r="E1363" s="5"/>
    </row>
    <row r="1364" spans="1:5">
      <c r="A1364" s="18"/>
      <c r="B1364" s="3"/>
      <c r="C1364" s="3"/>
      <c r="D1364" s="6"/>
      <c r="E1364" s="5"/>
    </row>
    <row r="1365" spans="1:5">
      <c r="A1365" s="18"/>
      <c r="B1365" s="3"/>
      <c r="C1365" s="3"/>
      <c r="E1365" s="5"/>
    </row>
    <row r="1366" spans="1:5">
      <c r="A1366" s="18"/>
      <c r="B1366" s="3"/>
      <c r="C1366" s="3"/>
      <c r="D1366" s="6"/>
      <c r="E1366" s="5"/>
    </row>
    <row r="1367" spans="1:5">
      <c r="A1367" s="18"/>
      <c r="B1367" s="3"/>
      <c r="C1367" s="3"/>
      <c r="D1367" s="6"/>
      <c r="E1367" s="5"/>
    </row>
    <row r="1368" spans="1:5">
      <c r="A1368" s="18"/>
      <c r="B1368" s="3"/>
      <c r="C1368" s="3"/>
      <c r="D1368" s="6"/>
      <c r="E1368" s="5"/>
    </row>
    <row r="1369" spans="1:5">
      <c r="A1369" s="18"/>
      <c r="B1369" s="3"/>
      <c r="C1369" s="3"/>
      <c r="D1369" s="6"/>
      <c r="E1369" s="5"/>
    </row>
    <row r="1370" spans="1:5">
      <c r="A1370" s="18"/>
      <c r="B1370" s="3"/>
      <c r="C1370" s="3"/>
      <c r="D1370" s="6"/>
      <c r="E1370" s="5"/>
    </row>
    <row r="1371" spans="1:5">
      <c r="A1371" s="18"/>
      <c r="B1371" s="3"/>
      <c r="C1371" s="3"/>
      <c r="D1371" s="6"/>
      <c r="E1371" s="5"/>
    </row>
    <row r="1372" spans="1:5">
      <c r="A1372" s="18"/>
      <c r="B1372" s="3"/>
      <c r="C1372" s="3"/>
      <c r="D1372" s="6"/>
      <c r="E1372" s="5"/>
    </row>
    <row r="1373" spans="1:5">
      <c r="A1373" s="18"/>
      <c r="B1373" s="3"/>
      <c r="C1373" s="3"/>
      <c r="D1373" s="6"/>
      <c r="E1373" s="5"/>
    </row>
    <row r="1374" spans="1:5">
      <c r="A1374" s="18"/>
      <c r="B1374" s="3"/>
      <c r="C1374" s="3"/>
      <c r="D1374" s="6"/>
      <c r="E1374" s="5"/>
    </row>
    <row r="1375" spans="1:5">
      <c r="A1375" s="18"/>
      <c r="B1375" s="3"/>
      <c r="C1375" s="3"/>
      <c r="E1375" s="5"/>
    </row>
    <row r="1376" spans="1:5">
      <c r="A1376" s="18"/>
      <c r="B1376" s="3"/>
      <c r="C1376" s="3"/>
      <c r="D1376" s="6"/>
      <c r="E1376" s="5"/>
    </row>
    <row r="1377" spans="1:5">
      <c r="A1377" s="18"/>
      <c r="B1377" s="3"/>
      <c r="C1377" s="3"/>
      <c r="D1377" s="6"/>
      <c r="E1377" s="5"/>
    </row>
    <row r="1378" spans="1:5">
      <c r="A1378" s="18"/>
      <c r="B1378" s="3"/>
      <c r="C1378" s="3"/>
      <c r="D1378" s="6"/>
      <c r="E1378" s="5"/>
    </row>
    <row r="1379" spans="1:5">
      <c r="A1379" s="18"/>
      <c r="B1379" s="3"/>
      <c r="C1379" s="3"/>
      <c r="D1379" s="6"/>
      <c r="E1379" s="5"/>
    </row>
    <row r="1380" spans="1:5">
      <c r="A1380" s="18"/>
      <c r="B1380" s="3"/>
      <c r="C1380" s="3"/>
      <c r="D1380" s="6"/>
      <c r="E1380" s="5"/>
    </row>
    <row r="1381" spans="1:5">
      <c r="A1381" s="18"/>
      <c r="B1381" s="3"/>
      <c r="C1381" s="3"/>
      <c r="E1381" s="5"/>
    </row>
    <row r="1382" spans="1:5">
      <c r="A1382" s="18"/>
      <c r="B1382" s="3"/>
      <c r="C1382" s="3"/>
      <c r="D1382" s="6"/>
      <c r="E1382" s="5"/>
    </row>
    <row r="1383" spans="1:5">
      <c r="A1383" s="18"/>
      <c r="B1383" s="3"/>
      <c r="C1383" s="3"/>
      <c r="D1383" s="6"/>
      <c r="E1383" s="5"/>
    </row>
    <row r="1384" spans="1:5">
      <c r="A1384" s="18"/>
      <c r="B1384" s="3"/>
      <c r="C1384" s="3"/>
      <c r="D1384" s="6"/>
      <c r="E1384" s="5"/>
    </row>
    <row r="1385" spans="1:5">
      <c r="A1385" s="18"/>
      <c r="B1385" s="3"/>
      <c r="C1385" s="3"/>
      <c r="E1385" s="5"/>
    </row>
    <row r="1386" spans="1:5">
      <c r="A1386" s="18"/>
      <c r="B1386" s="3"/>
      <c r="C1386" s="3"/>
      <c r="E1386" s="5"/>
    </row>
    <row r="1387" spans="1:5">
      <c r="A1387" s="18"/>
      <c r="B1387" s="3"/>
      <c r="C1387" s="3"/>
      <c r="E1387" s="5"/>
    </row>
    <row r="1388" spans="1:5">
      <c r="A1388" s="18"/>
      <c r="B1388" s="3"/>
      <c r="C1388" s="3"/>
      <c r="D1388" s="6"/>
    </row>
    <row r="1389" spans="1:5">
      <c r="A1389" s="18"/>
      <c r="B1389" s="3"/>
      <c r="C1389" s="3"/>
    </row>
    <row r="1390" spans="1:5">
      <c r="A1390" s="18"/>
      <c r="B1390" s="3"/>
      <c r="C1390" s="3"/>
      <c r="E1390" s="5"/>
    </row>
    <row r="1391" spans="1:5">
      <c r="A1391" s="18"/>
      <c r="B1391" s="3"/>
      <c r="C1391" s="3"/>
      <c r="E1391" s="5"/>
    </row>
    <row r="1392" spans="1:5">
      <c r="A1392" s="18"/>
      <c r="B1392" s="3"/>
      <c r="C1392" s="3"/>
    </row>
    <row r="1393" spans="1:5">
      <c r="A1393" s="18"/>
      <c r="B1393" s="3"/>
      <c r="C1393" s="3"/>
    </row>
    <row r="1394" spans="1:5">
      <c r="A1394" s="18"/>
      <c r="B1394" s="3"/>
      <c r="C1394" s="3"/>
    </row>
    <row r="1395" spans="1:5">
      <c r="A1395" s="18"/>
      <c r="B1395" s="3"/>
      <c r="C1395" s="3"/>
      <c r="D1395" s="6"/>
    </row>
    <row r="1396" spans="1:5">
      <c r="A1396" s="18"/>
      <c r="B1396" s="3"/>
      <c r="C1396" s="3"/>
      <c r="D1396" s="6"/>
      <c r="E1396" s="5"/>
    </row>
    <row r="1397" spans="1:5">
      <c r="A1397" s="2"/>
      <c r="E1397" s="5"/>
    </row>
    <row r="1398" spans="1:5">
      <c r="A1398" s="2"/>
      <c r="E1398" s="5"/>
    </row>
    <row r="1399" spans="1:5">
      <c r="A1399" s="2"/>
      <c r="E1399" s="5"/>
    </row>
    <row r="1400" spans="1:5">
      <c r="A1400" s="2"/>
      <c r="E1400" s="5"/>
    </row>
    <row r="1401" spans="1:5">
      <c r="A1401" s="2"/>
      <c r="E1401" s="5"/>
    </row>
    <row r="1402" spans="1:5">
      <c r="A1402" s="2"/>
      <c r="E1402" s="5"/>
    </row>
    <row r="1403" spans="1:5">
      <c r="A1403" s="2"/>
      <c r="E1403" s="5"/>
    </row>
    <row r="1404" spans="1:5">
      <c r="A1404" s="2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  <c r="E1448" s="13"/>
    </row>
    <row r="1449" spans="1:5">
      <c r="A1449" s="2"/>
      <c r="E1449" s="13"/>
    </row>
    <row r="1450" spans="1:5">
      <c r="A1450" s="2"/>
      <c r="E1450" s="13"/>
    </row>
    <row r="1451" spans="1:5">
      <c r="A1451" s="2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7">
      <c r="A1537" s="2"/>
    </row>
    <row r="1538" spans="1:17">
      <c r="A1538" s="2"/>
    </row>
    <row r="1539" spans="1:17">
      <c r="A1539" s="2"/>
    </row>
    <row r="1540" spans="1:17">
      <c r="A1540" s="2"/>
    </row>
    <row r="1541" spans="1:17">
      <c r="A1541" s="2"/>
    </row>
    <row r="1542" spans="1:17">
      <c r="A1542" s="9"/>
      <c r="B1542" s="7"/>
      <c r="C1542" s="7"/>
      <c r="D1542" s="10"/>
      <c r="E1542" s="7"/>
      <c r="F1542" s="21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1:17">
      <c r="A1543" s="9"/>
      <c r="B1543" s="7"/>
      <c r="C1543" s="7"/>
      <c r="D1543" s="10"/>
      <c r="E1543" s="7"/>
      <c r="F1543" s="21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1:17">
      <c r="A1544" s="9"/>
      <c r="B1544" s="7"/>
      <c r="C1544" s="7"/>
      <c r="D1544" s="10"/>
      <c r="E1544" s="10"/>
      <c r="F1544" s="21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</row>
  </sheetData>
  <autoFilter ref="A3:O689"/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2012-07-20T20:46:33Z</cp:lastPrinted>
  <dcterms:created xsi:type="dcterms:W3CDTF">2011-07-01T01:33:57Z</dcterms:created>
  <dcterms:modified xsi:type="dcterms:W3CDTF">2013-05-13T20:56:18Z</dcterms:modified>
</cp:coreProperties>
</file>