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51200" windowHeight="26780" tabRatio="500"/>
  </bookViews>
  <sheets>
    <sheet name="Plant Measurments" sheetId="1" r:id="rId1"/>
    <sheet name="Quadrat Total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39" i="1" l="1"/>
  <c r="J538" i="1"/>
  <c r="J536" i="1"/>
  <c r="J535" i="1"/>
  <c r="J534" i="1"/>
  <c r="J533" i="1"/>
  <c r="J532" i="1"/>
  <c r="J531" i="1"/>
  <c r="J530" i="1"/>
  <c r="J529" i="1"/>
  <c r="J528" i="1"/>
  <c r="J527" i="1"/>
  <c r="J525" i="1"/>
  <c r="J524" i="1"/>
  <c r="J523" i="1"/>
  <c r="J522" i="1"/>
  <c r="J521" i="1"/>
  <c r="J520" i="1"/>
  <c r="J519" i="1"/>
  <c r="J518" i="1"/>
  <c r="J516" i="1"/>
  <c r="J515" i="1"/>
  <c r="J514" i="1"/>
  <c r="J513" i="1"/>
  <c r="J512" i="1"/>
  <c r="J510" i="1"/>
  <c r="J509" i="1"/>
  <c r="J508" i="1"/>
  <c r="J507" i="1"/>
  <c r="J506" i="1"/>
  <c r="J505" i="1"/>
  <c r="J502" i="1"/>
  <c r="J501" i="1"/>
  <c r="J500" i="1"/>
  <c r="J499" i="1"/>
  <c r="J498" i="1"/>
  <c r="J497" i="1"/>
  <c r="J493" i="1"/>
  <c r="J486" i="1"/>
  <c r="J485" i="1"/>
  <c r="J484" i="1"/>
  <c r="J483" i="1"/>
  <c r="J482" i="1"/>
  <c r="J481" i="1"/>
  <c r="J480" i="1"/>
  <c r="J479" i="1"/>
  <c r="J477" i="1"/>
  <c r="J476" i="1"/>
  <c r="J475" i="1"/>
  <c r="J474" i="1"/>
  <c r="J473" i="1"/>
  <c r="J472" i="1"/>
  <c r="J471" i="1"/>
  <c r="J470" i="1"/>
  <c r="J469" i="1"/>
  <c r="J466" i="1"/>
  <c r="J420" i="1"/>
  <c r="J413" i="1"/>
  <c r="J406" i="1"/>
  <c r="J412" i="1"/>
  <c r="E405" i="1"/>
  <c r="E404" i="1"/>
  <c r="E403" i="1"/>
  <c r="E401" i="1"/>
  <c r="E400" i="1"/>
  <c r="E399" i="1"/>
  <c r="E398" i="1"/>
  <c r="E397" i="1"/>
  <c r="E396" i="1"/>
  <c r="J395" i="1"/>
  <c r="J394" i="1"/>
  <c r="J393" i="1"/>
  <c r="J392" i="1"/>
  <c r="J391" i="1"/>
  <c r="J390" i="1"/>
  <c r="J389" i="1"/>
  <c r="J387" i="1"/>
  <c r="J386" i="1"/>
  <c r="J385" i="1"/>
  <c r="J384" i="1"/>
  <c r="J382" i="1"/>
  <c r="J381" i="1"/>
  <c r="J378" i="1"/>
  <c r="J377" i="1"/>
  <c r="J376" i="1"/>
  <c r="J374" i="1"/>
  <c r="J373" i="1"/>
  <c r="J372" i="1"/>
  <c r="J371" i="1"/>
  <c r="J370" i="1"/>
  <c r="J369" i="1"/>
  <c r="J367" i="1"/>
  <c r="J365" i="1"/>
  <c r="J364" i="1"/>
  <c r="J357" i="1"/>
  <c r="J355" i="1"/>
  <c r="E353" i="1"/>
  <c r="J352" i="1"/>
  <c r="J351" i="1"/>
  <c r="J350" i="1"/>
  <c r="J349" i="1"/>
  <c r="J348" i="1"/>
  <c r="J347" i="1"/>
  <c r="J346" i="1"/>
  <c r="J345" i="1"/>
  <c r="J344" i="1"/>
  <c r="J340" i="1"/>
  <c r="J326" i="1"/>
  <c r="J324" i="1"/>
  <c r="J322" i="1"/>
  <c r="J314" i="1"/>
  <c r="J310" i="1"/>
  <c r="J307" i="1"/>
  <c r="J306" i="1"/>
  <c r="J305" i="1"/>
  <c r="J304" i="1"/>
  <c r="J303" i="1"/>
  <c r="J301" i="1"/>
  <c r="J299" i="1"/>
  <c r="J298" i="1"/>
  <c r="J297" i="1"/>
  <c r="J296" i="1"/>
  <c r="J292" i="1"/>
  <c r="J290" i="1"/>
  <c r="J289" i="1"/>
  <c r="J288" i="1"/>
  <c r="J287" i="1"/>
  <c r="J286" i="1"/>
  <c r="J285" i="1"/>
  <c r="J283" i="1"/>
  <c r="J282" i="1"/>
  <c r="J280" i="1"/>
  <c r="J279" i="1"/>
  <c r="J278" i="1"/>
  <c r="J277" i="1"/>
  <c r="J275" i="1"/>
  <c r="J272" i="1"/>
  <c r="J271" i="1"/>
  <c r="J270" i="1"/>
  <c r="J269" i="1"/>
  <c r="J268" i="1"/>
  <c r="J267" i="1"/>
  <c r="J266" i="1"/>
  <c r="J265" i="1"/>
  <c r="J264" i="1"/>
  <c r="J263" i="1"/>
  <c r="J261" i="1"/>
  <c r="J260" i="1"/>
  <c r="J258" i="1"/>
  <c r="J257" i="1"/>
  <c r="J256" i="1"/>
  <c r="J255" i="1"/>
  <c r="J254" i="1"/>
  <c r="J253" i="1"/>
  <c r="J252" i="1"/>
  <c r="J251" i="1"/>
  <c r="J250" i="1"/>
  <c r="J241" i="1"/>
  <c r="J245" i="1"/>
  <c r="J240" i="1"/>
  <c r="J233" i="1"/>
  <c r="J229" i="1"/>
  <c r="J219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7" i="1"/>
  <c r="J194" i="1"/>
  <c r="J193" i="1"/>
  <c r="J192" i="1"/>
  <c r="J191" i="1"/>
  <c r="J190" i="1"/>
  <c r="J189" i="1"/>
  <c r="J187" i="1"/>
  <c r="J186" i="1"/>
  <c r="J185" i="1"/>
  <c r="J184" i="1"/>
  <c r="J183" i="1"/>
  <c r="J182" i="1"/>
  <c r="J181" i="1"/>
  <c r="J180" i="1"/>
  <c r="F180" i="1"/>
  <c r="J179" i="1"/>
  <c r="J178" i="1"/>
  <c r="J176" i="1"/>
  <c r="J173" i="1"/>
  <c r="J172" i="1"/>
  <c r="J171" i="1"/>
  <c r="J170" i="1"/>
  <c r="J169" i="1"/>
  <c r="J167" i="1"/>
  <c r="J166" i="1"/>
  <c r="J164" i="1"/>
  <c r="J162" i="1"/>
  <c r="J159" i="1"/>
  <c r="J157" i="1"/>
  <c r="J156" i="1"/>
  <c r="J155" i="1"/>
  <c r="J154" i="1"/>
  <c r="J153" i="1"/>
  <c r="J152" i="1"/>
  <c r="J151" i="1"/>
  <c r="J150" i="1"/>
  <c r="J149" i="1"/>
  <c r="J148" i="1"/>
  <c r="J147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6" i="1"/>
  <c r="J121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1" i="1"/>
  <c r="J100" i="1"/>
  <c r="J99" i="1"/>
  <c r="J98" i="1"/>
  <c r="J95" i="1"/>
  <c r="J94" i="1"/>
  <c r="J93" i="1"/>
  <c r="J84" i="1"/>
  <c r="J83" i="1"/>
  <c r="J82" i="1"/>
  <c r="J80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3" i="1"/>
  <c r="J52" i="1"/>
  <c r="J51" i="1"/>
  <c r="J50" i="1"/>
  <c r="J49" i="1"/>
  <c r="J47" i="1"/>
  <c r="J46" i="1"/>
  <c r="J44" i="1"/>
  <c r="J43" i="1"/>
  <c r="J42" i="1"/>
  <c r="J41" i="1"/>
  <c r="J40" i="1"/>
  <c r="J39" i="1"/>
  <c r="J37" i="1"/>
  <c r="J36" i="1"/>
  <c r="J34" i="1"/>
  <c r="J33" i="1"/>
  <c r="J32" i="1"/>
  <c r="J31" i="1"/>
  <c r="J30" i="1"/>
  <c r="J29" i="1"/>
  <c r="J28" i="1"/>
  <c r="J27" i="1"/>
  <c r="J24" i="1"/>
  <c r="J22" i="1"/>
  <c r="J21" i="1"/>
  <c r="J20" i="1"/>
  <c r="J19" i="1"/>
  <c r="J18" i="1"/>
  <c r="J16" i="1"/>
  <c r="J14" i="1"/>
  <c r="J12" i="1"/>
  <c r="J8" i="1"/>
  <c r="J10" i="1"/>
  <c r="J23" i="1"/>
  <c r="J7" i="1"/>
  <c r="J6" i="1"/>
  <c r="J5" i="1"/>
  <c r="J4" i="1"/>
  <c r="R52" i="2"/>
  <c r="U52" i="2"/>
  <c r="R51" i="2"/>
  <c r="U50" i="2"/>
  <c r="U49" i="2"/>
  <c r="R48" i="2"/>
  <c r="U48" i="2"/>
  <c r="I48" i="2"/>
  <c r="R47" i="2"/>
  <c r="U47" i="2"/>
  <c r="I47" i="2"/>
  <c r="R46" i="2"/>
  <c r="U46" i="2"/>
  <c r="C46" i="2"/>
  <c r="R45" i="2"/>
  <c r="U45" i="2"/>
  <c r="C44" i="2"/>
  <c r="R43" i="2"/>
  <c r="U43" i="2"/>
  <c r="R42" i="2"/>
  <c r="C42" i="2"/>
  <c r="R41" i="2"/>
  <c r="R40" i="2"/>
  <c r="R39" i="2"/>
  <c r="C39" i="2"/>
  <c r="R38" i="2"/>
  <c r="R37" i="2"/>
  <c r="U37" i="2"/>
  <c r="C35" i="2"/>
  <c r="C34" i="2"/>
  <c r="R33" i="2"/>
  <c r="U33" i="2"/>
  <c r="I33" i="2"/>
  <c r="C33" i="2"/>
  <c r="R32" i="2"/>
  <c r="R31" i="2"/>
  <c r="U31" i="2"/>
  <c r="C31" i="2"/>
  <c r="I30" i="2"/>
  <c r="R29" i="2"/>
  <c r="I29" i="2"/>
  <c r="R28" i="2"/>
  <c r="I28" i="2"/>
  <c r="R27" i="2"/>
  <c r="U27" i="2"/>
  <c r="R26" i="2"/>
  <c r="C26" i="2"/>
  <c r="R25" i="2"/>
  <c r="C25" i="2"/>
  <c r="R24" i="2"/>
  <c r="U24" i="2"/>
  <c r="I24" i="2"/>
  <c r="I23" i="2"/>
  <c r="R22" i="2"/>
  <c r="U22" i="2"/>
  <c r="R21" i="2"/>
  <c r="U21" i="2"/>
  <c r="I20" i="2"/>
  <c r="R19" i="2"/>
  <c r="I18" i="2"/>
  <c r="R17" i="2"/>
  <c r="R16" i="2"/>
  <c r="U16" i="2"/>
  <c r="C16" i="2"/>
  <c r="R15" i="2"/>
  <c r="U15" i="2"/>
  <c r="I14" i="2"/>
  <c r="R13" i="2"/>
  <c r="R12" i="2"/>
  <c r="R11" i="2"/>
  <c r="R10" i="2"/>
  <c r="R9" i="2"/>
  <c r="R8" i="2"/>
  <c r="C8" i="2"/>
  <c r="R7" i="2"/>
  <c r="U7" i="2"/>
  <c r="R6" i="2"/>
  <c r="U6" i="2"/>
  <c r="R5" i="2"/>
  <c r="U5" i="2"/>
  <c r="R4" i="2"/>
  <c r="C4" i="2"/>
  <c r="R3" i="2"/>
  <c r="U3" i="2"/>
  <c r="C3" i="2"/>
  <c r="B30" i="2"/>
  <c r="B31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F3" i="2"/>
  <c r="AG3" i="2"/>
  <c r="W3" i="2"/>
  <c r="T3" i="2"/>
  <c r="Q3" i="2"/>
  <c r="N3" i="2"/>
  <c r="K3" i="2"/>
  <c r="H3" i="2"/>
  <c r="E3" i="2"/>
  <c r="X3" i="2"/>
  <c r="AH3" i="2"/>
  <c r="AF4" i="2"/>
  <c r="AG4" i="2"/>
  <c r="W4" i="2"/>
  <c r="T4" i="2"/>
  <c r="Q4" i="2"/>
  <c r="N4" i="2"/>
  <c r="K4" i="2"/>
  <c r="H4" i="2"/>
  <c r="E4" i="2"/>
  <c r="X4" i="2"/>
  <c r="AH4" i="2"/>
  <c r="AF5" i="2"/>
  <c r="AG5" i="2"/>
  <c r="W5" i="2"/>
  <c r="T5" i="2"/>
  <c r="Q5" i="2"/>
  <c r="N5" i="2"/>
  <c r="K5" i="2"/>
  <c r="H5" i="2"/>
  <c r="E5" i="2"/>
  <c r="X5" i="2"/>
  <c r="AH5" i="2"/>
  <c r="AF6" i="2"/>
  <c r="AG6" i="2"/>
  <c r="W6" i="2"/>
  <c r="T6" i="2"/>
  <c r="Q6" i="2"/>
  <c r="N6" i="2"/>
  <c r="K6" i="2"/>
  <c r="H6" i="2"/>
  <c r="E6" i="2"/>
  <c r="X6" i="2"/>
  <c r="AH6" i="2"/>
  <c r="AF7" i="2"/>
  <c r="AG7" i="2"/>
  <c r="W7" i="2"/>
  <c r="T7" i="2"/>
  <c r="Q7" i="2"/>
  <c r="N7" i="2"/>
  <c r="K7" i="2"/>
  <c r="H7" i="2"/>
  <c r="E7" i="2"/>
  <c r="X7" i="2"/>
  <c r="AH7" i="2"/>
  <c r="AF8" i="2"/>
  <c r="AG8" i="2"/>
  <c r="W8" i="2"/>
  <c r="T8" i="2"/>
  <c r="Q8" i="2"/>
  <c r="N8" i="2"/>
  <c r="K8" i="2"/>
  <c r="E8" i="2"/>
  <c r="X8" i="2"/>
  <c r="AH8" i="2"/>
  <c r="AF9" i="2"/>
  <c r="AG9" i="2"/>
  <c r="W9" i="2"/>
  <c r="T9" i="2"/>
  <c r="Q9" i="2"/>
  <c r="N9" i="2"/>
  <c r="K9" i="2"/>
  <c r="H9" i="2"/>
  <c r="E9" i="2"/>
  <c r="X9" i="2"/>
  <c r="AH9" i="2"/>
  <c r="AF10" i="2"/>
  <c r="AG10" i="2"/>
  <c r="W10" i="2"/>
  <c r="T10" i="2"/>
  <c r="Q10" i="2"/>
  <c r="N10" i="2"/>
  <c r="K10" i="2"/>
  <c r="H10" i="2"/>
  <c r="E10" i="2"/>
  <c r="X10" i="2"/>
  <c r="AH10" i="2"/>
  <c r="AF11" i="2"/>
  <c r="AG11" i="2"/>
  <c r="W11" i="2"/>
  <c r="T11" i="2"/>
  <c r="Q11" i="2"/>
  <c r="N11" i="2"/>
  <c r="K11" i="2"/>
  <c r="H11" i="2"/>
  <c r="E11" i="2"/>
  <c r="X11" i="2"/>
  <c r="AH11" i="2"/>
  <c r="AF12" i="2"/>
  <c r="AG12" i="2"/>
  <c r="W12" i="2"/>
  <c r="T12" i="2"/>
  <c r="Q12" i="2"/>
  <c r="N12" i="2"/>
  <c r="K12" i="2"/>
  <c r="H12" i="2"/>
  <c r="E12" i="2"/>
  <c r="X12" i="2"/>
  <c r="AH12" i="2"/>
  <c r="AF13" i="2"/>
  <c r="AG13" i="2"/>
  <c r="W13" i="2"/>
  <c r="T13" i="2"/>
  <c r="Q13" i="2"/>
  <c r="N13" i="2"/>
  <c r="K13" i="2"/>
  <c r="H13" i="2"/>
  <c r="E13" i="2"/>
  <c r="X13" i="2"/>
  <c r="AH13" i="2"/>
  <c r="AF14" i="2"/>
  <c r="AG14" i="2"/>
  <c r="W14" i="2"/>
  <c r="T14" i="2"/>
  <c r="Q14" i="2"/>
  <c r="N14" i="2"/>
  <c r="K14" i="2"/>
  <c r="H14" i="2"/>
  <c r="E14" i="2"/>
  <c r="X14" i="2"/>
  <c r="AH14" i="2"/>
  <c r="AF15" i="2"/>
  <c r="AG15" i="2"/>
  <c r="W15" i="2"/>
  <c r="T15" i="2"/>
  <c r="Q15" i="2"/>
  <c r="N15" i="2"/>
  <c r="K15" i="2"/>
  <c r="H15" i="2"/>
  <c r="E15" i="2"/>
  <c r="X15" i="2"/>
  <c r="AH15" i="2"/>
  <c r="AF16" i="2"/>
  <c r="AG16" i="2"/>
  <c r="W16" i="2"/>
  <c r="T16" i="2"/>
  <c r="Q16" i="2"/>
  <c r="N16" i="2"/>
  <c r="K16" i="2"/>
  <c r="H16" i="2"/>
  <c r="E16" i="2"/>
  <c r="X16" i="2"/>
  <c r="AH16" i="2"/>
  <c r="AF17" i="2"/>
  <c r="AG17" i="2"/>
  <c r="W17" i="2"/>
  <c r="T17" i="2"/>
  <c r="Q17" i="2"/>
  <c r="N17" i="2"/>
  <c r="K17" i="2"/>
  <c r="H17" i="2"/>
  <c r="E17" i="2"/>
  <c r="X17" i="2"/>
  <c r="AH17" i="2"/>
  <c r="AF18" i="2"/>
  <c r="AG18" i="2"/>
  <c r="W18" i="2"/>
  <c r="T18" i="2"/>
  <c r="Q18" i="2"/>
  <c r="N18" i="2"/>
  <c r="K18" i="2"/>
  <c r="H18" i="2"/>
  <c r="E18" i="2"/>
  <c r="X18" i="2"/>
  <c r="AH18" i="2"/>
  <c r="AF19" i="2"/>
  <c r="AG19" i="2"/>
  <c r="W19" i="2"/>
  <c r="T19" i="2"/>
  <c r="Q19" i="2"/>
  <c r="N19" i="2"/>
  <c r="K19" i="2"/>
  <c r="H19" i="2"/>
  <c r="E19" i="2"/>
  <c r="X19" i="2"/>
  <c r="AH19" i="2"/>
  <c r="AF20" i="2"/>
  <c r="AG20" i="2"/>
  <c r="W20" i="2"/>
  <c r="T20" i="2"/>
  <c r="Q20" i="2"/>
  <c r="N20" i="2"/>
  <c r="K20" i="2"/>
  <c r="H20" i="2"/>
  <c r="E20" i="2"/>
  <c r="X20" i="2"/>
  <c r="AH20" i="2"/>
  <c r="AF21" i="2"/>
  <c r="AG21" i="2"/>
  <c r="W21" i="2"/>
  <c r="T21" i="2"/>
  <c r="Q21" i="2"/>
  <c r="N21" i="2"/>
  <c r="K21" i="2"/>
  <c r="H21" i="2"/>
  <c r="E21" i="2"/>
  <c r="X21" i="2"/>
  <c r="AH21" i="2"/>
  <c r="AF22" i="2"/>
  <c r="AG22" i="2"/>
  <c r="W22" i="2"/>
  <c r="T22" i="2"/>
  <c r="Q22" i="2"/>
  <c r="N22" i="2"/>
  <c r="K22" i="2"/>
  <c r="H22" i="2"/>
  <c r="E22" i="2"/>
  <c r="X22" i="2"/>
  <c r="AH22" i="2"/>
  <c r="AF23" i="2"/>
  <c r="AG23" i="2"/>
  <c r="W23" i="2"/>
  <c r="T23" i="2"/>
  <c r="Q23" i="2"/>
  <c r="N23" i="2"/>
  <c r="K23" i="2"/>
  <c r="H23" i="2"/>
  <c r="E23" i="2"/>
  <c r="X23" i="2"/>
  <c r="AH23" i="2"/>
  <c r="AF24" i="2"/>
  <c r="AG24" i="2"/>
  <c r="W24" i="2"/>
  <c r="T24" i="2"/>
  <c r="Q24" i="2"/>
  <c r="N24" i="2"/>
  <c r="K24" i="2"/>
  <c r="H24" i="2"/>
  <c r="E24" i="2"/>
  <c r="X24" i="2"/>
  <c r="AH24" i="2"/>
  <c r="AF25" i="2"/>
  <c r="AG25" i="2"/>
  <c r="W25" i="2"/>
  <c r="T25" i="2"/>
  <c r="Q25" i="2"/>
  <c r="N25" i="2"/>
  <c r="K25" i="2"/>
  <c r="H25" i="2"/>
  <c r="E25" i="2"/>
  <c r="X25" i="2"/>
  <c r="AH25" i="2"/>
  <c r="AF26" i="2"/>
  <c r="AG26" i="2"/>
  <c r="W26" i="2"/>
  <c r="T26" i="2"/>
  <c r="Q26" i="2"/>
  <c r="N26" i="2"/>
  <c r="K26" i="2"/>
  <c r="H26" i="2"/>
  <c r="E26" i="2"/>
  <c r="X26" i="2"/>
  <c r="AH26" i="2"/>
  <c r="AF27" i="2"/>
  <c r="AG27" i="2"/>
  <c r="W27" i="2"/>
  <c r="T27" i="2"/>
  <c r="Q27" i="2"/>
  <c r="N27" i="2"/>
  <c r="K27" i="2"/>
  <c r="H27" i="2"/>
  <c r="E27" i="2"/>
  <c r="X27" i="2"/>
  <c r="AH27" i="2"/>
  <c r="AF28" i="2"/>
  <c r="AG28" i="2"/>
  <c r="W28" i="2"/>
  <c r="T28" i="2"/>
  <c r="Q28" i="2"/>
  <c r="N28" i="2"/>
  <c r="K28" i="2"/>
  <c r="H28" i="2"/>
  <c r="E28" i="2"/>
  <c r="X28" i="2"/>
  <c r="AH28" i="2"/>
  <c r="AF29" i="2"/>
  <c r="AG29" i="2"/>
  <c r="W29" i="2"/>
  <c r="T29" i="2"/>
  <c r="Q29" i="2"/>
  <c r="N29" i="2"/>
  <c r="K29" i="2"/>
  <c r="H29" i="2"/>
  <c r="E29" i="2"/>
  <c r="X29" i="2"/>
  <c r="AH29" i="2"/>
  <c r="AF30" i="2"/>
  <c r="AG30" i="2"/>
  <c r="W30" i="2"/>
  <c r="T30" i="2"/>
  <c r="Q30" i="2"/>
  <c r="N30" i="2"/>
  <c r="K30" i="2"/>
  <c r="H30" i="2"/>
  <c r="E30" i="2"/>
  <c r="X30" i="2"/>
  <c r="AH30" i="2"/>
  <c r="AF31" i="2"/>
  <c r="AG31" i="2"/>
  <c r="W31" i="2"/>
  <c r="T31" i="2"/>
  <c r="Q31" i="2"/>
  <c r="N31" i="2"/>
  <c r="K31" i="2"/>
  <c r="H31" i="2"/>
  <c r="E31" i="2"/>
  <c r="X31" i="2"/>
  <c r="AH31" i="2"/>
  <c r="AF32" i="2"/>
  <c r="AG32" i="2"/>
  <c r="W32" i="2"/>
  <c r="T32" i="2"/>
  <c r="Q32" i="2"/>
  <c r="N32" i="2"/>
  <c r="K32" i="2"/>
  <c r="H32" i="2"/>
  <c r="E32" i="2"/>
  <c r="X32" i="2"/>
  <c r="AH32" i="2"/>
  <c r="AF33" i="2"/>
  <c r="AG33" i="2"/>
  <c r="W33" i="2"/>
  <c r="T33" i="2"/>
  <c r="Q33" i="2"/>
  <c r="N33" i="2"/>
  <c r="K33" i="2"/>
  <c r="H33" i="2"/>
  <c r="E33" i="2"/>
  <c r="X33" i="2"/>
  <c r="AH33" i="2"/>
  <c r="AF34" i="2"/>
  <c r="AG34" i="2"/>
  <c r="W34" i="2"/>
  <c r="T34" i="2"/>
  <c r="Q34" i="2"/>
  <c r="N34" i="2"/>
  <c r="K34" i="2"/>
  <c r="H34" i="2"/>
  <c r="E34" i="2"/>
  <c r="X34" i="2"/>
  <c r="AH34" i="2"/>
  <c r="AF35" i="2"/>
  <c r="AG35" i="2"/>
  <c r="W35" i="2"/>
  <c r="T35" i="2"/>
  <c r="Q35" i="2"/>
  <c r="N35" i="2"/>
  <c r="K35" i="2"/>
  <c r="H35" i="2"/>
  <c r="E35" i="2"/>
  <c r="X35" i="2"/>
  <c r="AH35" i="2"/>
  <c r="AF36" i="2"/>
  <c r="AG36" i="2"/>
  <c r="W36" i="2"/>
  <c r="T36" i="2"/>
  <c r="Q36" i="2"/>
  <c r="N36" i="2"/>
  <c r="K36" i="2"/>
  <c r="H36" i="2"/>
  <c r="E36" i="2"/>
  <c r="X36" i="2"/>
  <c r="AH36" i="2"/>
  <c r="AF37" i="2"/>
  <c r="AG37" i="2"/>
  <c r="W37" i="2"/>
  <c r="T37" i="2"/>
  <c r="Q37" i="2"/>
  <c r="N37" i="2"/>
  <c r="K37" i="2"/>
  <c r="H37" i="2"/>
  <c r="E37" i="2"/>
  <c r="X37" i="2"/>
  <c r="AH37" i="2"/>
  <c r="AF38" i="2"/>
  <c r="AG38" i="2"/>
  <c r="W38" i="2"/>
  <c r="T38" i="2"/>
  <c r="Q38" i="2"/>
  <c r="N38" i="2"/>
  <c r="K38" i="2"/>
  <c r="H38" i="2"/>
  <c r="E38" i="2"/>
  <c r="X38" i="2"/>
  <c r="AH38" i="2"/>
  <c r="AF39" i="2"/>
  <c r="AG39" i="2"/>
  <c r="W39" i="2"/>
  <c r="T39" i="2"/>
  <c r="Q39" i="2"/>
  <c r="N39" i="2"/>
  <c r="K39" i="2"/>
  <c r="H39" i="2"/>
  <c r="E39" i="2"/>
  <c r="X39" i="2"/>
  <c r="AH39" i="2"/>
  <c r="AF40" i="2"/>
  <c r="AG40" i="2"/>
  <c r="W40" i="2"/>
  <c r="T40" i="2"/>
  <c r="Q40" i="2"/>
  <c r="N40" i="2"/>
  <c r="K40" i="2"/>
  <c r="H40" i="2"/>
  <c r="E40" i="2"/>
  <c r="X40" i="2"/>
  <c r="AH40" i="2"/>
  <c r="AF41" i="2"/>
  <c r="AG41" i="2"/>
  <c r="W41" i="2"/>
  <c r="T41" i="2"/>
  <c r="Q41" i="2"/>
  <c r="N41" i="2"/>
  <c r="K41" i="2"/>
  <c r="H41" i="2"/>
  <c r="E41" i="2"/>
  <c r="X41" i="2"/>
  <c r="AH41" i="2"/>
  <c r="AF42" i="2"/>
  <c r="AG42" i="2"/>
  <c r="W42" i="2"/>
  <c r="T42" i="2"/>
  <c r="Q42" i="2"/>
  <c r="N42" i="2"/>
  <c r="K42" i="2"/>
  <c r="H42" i="2"/>
  <c r="E42" i="2"/>
  <c r="X42" i="2"/>
  <c r="AH42" i="2"/>
  <c r="AF43" i="2"/>
  <c r="AG43" i="2"/>
  <c r="W43" i="2"/>
  <c r="T43" i="2"/>
  <c r="Q43" i="2"/>
  <c r="N43" i="2"/>
  <c r="K43" i="2"/>
  <c r="E43" i="2"/>
  <c r="X43" i="2"/>
  <c r="AH43" i="2"/>
  <c r="AF44" i="2"/>
  <c r="AG44" i="2"/>
  <c r="W44" i="2"/>
  <c r="T44" i="2"/>
  <c r="Q44" i="2"/>
  <c r="N44" i="2"/>
  <c r="K44" i="2"/>
  <c r="E44" i="2"/>
  <c r="X44" i="2"/>
  <c r="AH44" i="2"/>
  <c r="AF45" i="2"/>
  <c r="AG45" i="2"/>
  <c r="W45" i="2"/>
  <c r="T45" i="2"/>
  <c r="Q45" i="2"/>
  <c r="N45" i="2"/>
  <c r="K45" i="2"/>
  <c r="E45" i="2"/>
  <c r="X45" i="2"/>
  <c r="AH45" i="2"/>
  <c r="AF46" i="2"/>
  <c r="AG46" i="2"/>
  <c r="W46" i="2"/>
  <c r="T46" i="2"/>
  <c r="Q46" i="2"/>
  <c r="N46" i="2"/>
  <c r="K46" i="2"/>
  <c r="H46" i="2"/>
  <c r="E46" i="2"/>
  <c r="X46" i="2"/>
  <c r="AH46" i="2"/>
  <c r="AF47" i="2"/>
  <c r="AG47" i="2"/>
  <c r="W47" i="2"/>
  <c r="T47" i="2"/>
  <c r="Q47" i="2"/>
  <c r="N47" i="2"/>
  <c r="K47" i="2"/>
  <c r="E47" i="2"/>
  <c r="X47" i="2"/>
  <c r="AH47" i="2"/>
  <c r="AF48" i="2"/>
  <c r="AG48" i="2"/>
  <c r="W48" i="2"/>
  <c r="T48" i="2"/>
  <c r="Q48" i="2"/>
  <c r="N48" i="2"/>
  <c r="K48" i="2"/>
  <c r="E48" i="2"/>
  <c r="X48" i="2"/>
  <c r="AH48" i="2"/>
  <c r="AF49" i="2"/>
  <c r="AG49" i="2"/>
  <c r="W49" i="2"/>
  <c r="T49" i="2"/>
  <c r="Q49" i="2"/>
  <c r="N49" i="2"/>
  <c r="K49" i="2"/>
  <c r="E49" i="2"/>
  <c r="X49" i="2"/>
  <c r="AH49" i="2"/>
  <c r="AF50" i="2"/>
  <c r="AG50" i="2"/>
  <c r="W50" i="2"/>
  <c r="T50" i="2"/>
  <c r="Q50" i="2"/>
  <c r="N50" i="2"/>
  <c r="K50" i="2"/>
  <c r="H50" i="2"/>
  <c r="E50" i="2"/>
  <c r="X50" i="2"/>
  <c r="AH50" i="2"/>
  <c r="AF51" i="2"/>
  <c r="AG51" i="2"/>
  <c r="W51" i="2"/>
  <c r="T51" i="2"/>
  <c r="Q51" i="2"/>
  <c r="N51" i="2"/>
  <c r="K51" i="2"/>
  <c r="H51" i="2"/>
  <c r="E51" i="2"/>
  <c r="X51" i="2"/>
  <c r="AH51" i="2"/>
  <c r="AF52" i="2"/>
  <c r="AG52" i="2"/>
  <c r="W52" i="2"/>
  <c r="T52" i="2"/>
  <c r="Q52" i="2"/>
  <c r="N52" i="2"/>
  <c r="K52" i="2"/>
  <c r="E52" i="2"/>
  <c r="X52" i="2"/>
  <c r="AH52" i="2"/>
  <c r="AH53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A52" i="2"/>
  <c r="Z52" i="2"/>
  <c r="AA51" i="2"/>
  <c r="Z51" i="2"/>
  <c r="AA50" i="2"/>
  <c r="Z50" i="2"/>
  <c r="AA49" i="2"/>
  <c r="Z49" i="2"/>
  <c r="AA48" i="2"/>
  <c r="Z48" i="2"/>
  <c r="Y48" i="2"/>
  <c r="AA47" i="2"/>
  <c r="Z47" i="2"/>
  <c r="AA46" i="2"/>
  <c r="Z46" i="2"/>
  <c r="AA45" i="2"/>
  <c r="Z45" i="2"/>
  <c r="AA44" i="2"/>
  <c r="Z44" i="2"/>
  <c r="AA43" i="2"/>
  <c r="Z43" i="2"/>
  <c r="Y43" i="2"/>
  <c r="AA42" i="2"/>
  <c r="Z42" i="2"/>
  <c r="AA41" i="2"/>
  <c r="Z41" i="2"/>
  <c r="AA40" i="2"/>
  <c r="Z40" i="2"/>
  <c r="AA39" i="2"/>
  <c r="Z39" i="2"/>
  <c r="AA38" i="2"/>
  <c r="Z38" i="2"/>
  <c r="Y38" i="2"/>
  <c r="AA37" i="2"/>
  <c r="Z37" i="2"/>
  <c r="AA36" i="2"/>
  <c r="Z36" i="2"/>
  <c r="AA35" i="2"/>
  <c r="Z35" i="2"/>
  <c r="AA34" i="2"/>
  <c r="Z34" i="2"/>
  <c r="AA33" i="2"/>
  <c r="Z33" i="2"/>
  <c r="Y33" i="2"/>
  <c r="AA32" i="2"/>
  <c r="Z32" i="2"/>
  <c r="AA31" i="2"/>
  <c r="Z31" i="2"/>
  <c r="AA30" i="2"/>
  <c r="Z30" i="2"/>
  <c r="AA29" i="2"/>
  <c r="Z29" i="2"/>
  <c r="AA28" i="2"/>
  <c r="Z28" i="2"/>
  <c r="Y28" i="2"/>
  <c r="AA27" i="2"/>
  <c r="Z27" i="2"/>
  <c r="AA26" i="2"/>
  <c r="Z26" i="2"/>
  <c r="AA25" i="2"/>
  <c r="Z25" i="2"/>
  <c r="AA24" i="2"/>
  <c r="Z24" i="2"/>
  <c r="AA23" i="2"/>
  <c r="Z23" i="2"/>
  <c r="Y23" i="2"/>
  <c r="AA22" i="2"/>
  <c r="Z22" i="2"/>
  <c r="AA21" i="2"/>
  <c r="Z21" i="2"/>
  <c r="AA20" i="2"/>
  <c r="Z20" i="2"/>
  <c r="AA19" i="2"/>
  <c r="Z19" i="2"/>
  <c r="AA18" i="2"/>
  <c r="Z18" i="2"/>
  <c r="Y18" i="2"/>
  <c r="AA17" i="2"/>
  <c r="Z17" i="2"/>
  <c r="AA16" i="2"/>
  <c r="Z16" i="2"/>
  <c r="AA15" i="2"/>
  <c r="Z15" i="2"/>
  <c r="AA14" i="2"/>
  <c r="Z14" i="2"/>
  <c r="AA13" i="2"/>
  <c r="Z13" i="2"/>
  <c r="Y13" i="2"/>
  <c r="AA12" i="2"/>
  <c r="Z12" i="2"/>
  <c r="AA11" i="2"/>
  <c r="Z11" i="2"/>
  <c r="AA10" i="2"/>
  <c r="Z10" i="2"/>
  <c r="AA9" i="2"/>
  <c r="Z9" i="2"/>
  <c r="AA8" i="2"/>
  <c r="Z8" i="2"/>
  <c r="Y8" i="2"/>
  <c r="AA7" i="2"/>
  <c r="Z7" i="2"/>
  <c r="AA6" i="2"/>
  <c r="Z6" i="2"/>
  <c r="AA5" i="2"/>
  <c r="Z5" i="2"/>
  <c r="AA4" i="2"/>
  <c r="Z4" i="2"/>
  <c r="AA3" i="2"/>
  <c r="Z3" i="2"/>
  <c r="Y3" i="2"/>
</calcChain>
</file>

<file path=xl/sharedStrings.xml><?xml version="1.0" encoding="utf-8"?>
<sst xmlns="http://schemas.openxmlformats.org/spreadsheetml/2006/main" count="1225" uniqueCount="63">
  <si>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</si>
  <si>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</si>
  <si>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</si>
  <si>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</si>
  <si>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</si>
  <si>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</si>
  <si>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</si>
  <si>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</si>
  <si>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</si>
  <si>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</si>
  <si>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</si>
  <si>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</si>
  <si>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</si>
  <si>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</si>
  <si>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</si>
  <si>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</si>
  <si>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</si>
  <si>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</si>
  <si>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</si>
  <si>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T. latifolia</t>
  </si>
  <si>
    <t>M-1-E</t>
  </si>
  <si>
    <t>M-5</t>
  </si>
  <si>
    <t>M-1-W</t>
  </si>
  <si>
    <t>M-2</t>
  </si>
  <si>
    <t>M-3</t>
  </si>
  <si>
    <t>C-1</t>
  </si>
  <si>
    <t>M-4-S</t>
  </si>
  <si>
    <t>M-4-N</t>
  </si>
  <si>
    <t>C-2</t>
  </si>
  <si>
    <t>M-4-C</t>
  </si>
  <si>
    <t>Sort plant measurements by transect (A-Z), quadrat (low-high), &amp; species (A-Z)</t>
  </si>
  <si>
    <t xml:space="preserve">Transect </t>
  </si>
  <si>
    <t>S. acutus total wt (g)</t>
  </si>
  <si>
    <t>Unmeasured count/measured count?</t>
  </si>
  <si>
    <t>S. acutus total wt inc unmeasured (g/m^2)</t>
  </si>
  <si>
    <t>S. americanus total wt</t>
  </si>
  <si>
    <t>S. americanus total wt inc unmeasured (g/m^2)</t>
  </si>
  <si>
    <t>S. californicus total wt</t>
  </si>
  <si>
    <t>S. californicus total wt inc unmeasured (g/m^2)</t>
  </si>
  <si>
    <t>S. maritimus total wt</t>
  </si>
  <si>
    <t>S. maritimus total wt inc unmeasured (g/m^2)</t>
  </si>
  <si>
    <t>S. taber total wt</t>
  </si>
  <si>
    <t>S. taber total wt inc unmeasured (g/m^2)</t>
  </si>
  <si>
    <t>T. latifolia total wt</t>
  </si>
  <si>
    <t>T. latifolia total wt inc unmeasured (g/m^2)</t>
  </si>
  <si>
    <t>T. domingensis total wt</t>
  </si>
  <si>
    <t>T. domingensis total wt inc unmeasured (g/m^2)</t>
  </si>
  <si>
    <t>Quadrat Total (g/m^2)</t>
  </si>
  <si>
    <t>Transect Average (g/m^2)</t>
  </si>
  <si>
    <t>Acutus + Tab (g/m^2)</t>
  </si>
  <si>
    <t>Dom+Lat (g/m^2)</t>
  </si>
  <si>
    <t>% Acutus/tab</t>
  </si>
  <si>
    <t>% americ</t>
  </si>
  <si>
    <t>% cal</t>
  </si>
  <si>
    <t>%typha</t>
  </si>
  <si>
    <t>Area of site (whole wetland/10) m^2</t>
  </si>
  <si>
    <t>Area of site (AA/# quadrats) m^2</t>
  </si>
  <si>
    <t>Biomass (quadrat total * whole section area/# of quadrats) kg</t>
  </si>
  <si>
    <t>avg %</t>
  </si>
  <si>
    <t>total biomass</t>
  </si>
  <si>
    <t>T. domingensis</t>
  </si>
  <si>
    <t xml:space="preserve">Thatched </t>
  </si>
  <si>
    <t>S. acutus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</si>
</sst>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</borders>
  <cellStyleXfs count="150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14" fontId="0" fillId="0" borderId="0" xfId="0" applyNumberFormat="1" applyAlignment="1">
      <alignment horizontal="right"/>
    </xf>
    <xf numFmtId="14" fontId="5" fillId="0" borderId="0" xfId="0" applyNumberFormat="1" applyFont="1"/>
    <xf numFmtId="0" fontId="6" fillId="2" borderId="1" xfId="1439" applyFill="1" applyAlignment="1">
      <alignment horizontal="center"/>
    </xf>
    <xf numFmtId="0" fontId="7" fillId="2" borderId="2" xfId="1440" applyAlignment="1">
      <alignment wrapText="1"/>
    </xf>
    <xf numFmtId="0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8" fillId="2" borderId="0" xfId="1449" applyBorder="1" applyAlignment="1">
      <alignment wrapText="1"/>
    </xf>
    <xf numFmtId="0" fontId="7" fillId="2" borderId="3" xfId="1440" applyBorder="1"/>
    <xf numFmtId="0" fontId="7" fillId="2" borderId="4" xfId="1440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7" fillId="2" borderId="7" xfId="1440" applyBorder="1"/>
    <xf numFmtId="0" fontId="7" fillId="2" borderId="0" xfId="1440" applyBorder="1"/>
    <xf numFmtId="0" fontId="7" fillId="2" borderId="8" xfId="1440" applyBorder="1"/>
    <xf numFmtId="0" fontId="7" fillId="2" borderId="2" xfId="1440" applyBorder="1"/>
    <xf numFmtId="0" fontId="0" fillId="0" borderId="9" xfId="0" applyBorder="1"/>
    <xf numFmtId="0" fontId="0" fillId="0" borderId="0" xfId="0" applyNumberFormat="1" applyBorder="1"/>
    <xf numFmtId="0" fontId="0" fillId="0" borderId="0" xfId="0" applyBorder="1"/>
    <xf numFmtId="0" fontId="7" fillId="2" borderId="10" xfId="1440" applyBorder="1"/>
    <xf numFmtId="0" fontId="7" fillId="2" borderId="11" xfId="1440" applyBorder="1"/>
    <xf numFmtId="0" fontId="7" fillId="2" borderId="12" xfId="1440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7" fillId="2" borderId="15" xfId="1440" applyBorder="1"/>
    <xf numFmtId="0" fontId="7" fillId="0" borderId="3" xfId="1440" applyFill="1" applyBorder="1"/>
    <xf numFmtId="0" fontId="7" fillId="0" borderId="4" xfId="1440" applyFill="1" applyBorder="1"/>
    <xf numFmtId="12" fontId="0" fillId="0" borderId="6" xfId="0" applyNumberFormat="1" applyBorder="1"/>
    <xf numFmtId="164" fontId="0" fillId="0" borderId="6" xfId="0" applyNumberFormat="1" applyBorder="1"/>
    <xf numFmtId="14" fontId="5" fillId="0" borderId="0" xfId="0" applyNumberFormat="1" applyFont="1" applyAlignment="1">
      <alignment horizontal="right"/>
    </xf>
    <xf numFmtId="0" fontId="0" fillId="0" borderId="0" xfId="0" applyFill="1"/>
    <xf numFmtId="11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1439" applyFill="1" applyAlignment="1">
      <alignment horizontal="center"/>
    </xf>
  </cellXfs>
  <cellStyles count="150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Heading 1" xfId="1439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Normal" xfId="0" builtinId="0"/>
    <cellStyle name="Output" xfId="1440" builtinId="21"/>
    <cellStyle name="Output 2" xfId="144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3"/>
  <sheetViews>
    <sheetView tabSelected="1" workbookViewId="0">
      <selection activeCell="J551" sqref="J551"/>
    </sheetView>
  </sheetViews>
  <sheetFormatPr baseColWidth="10" defaultRowHeight="15" x14ac:dyDescent="0"/>
  <cols>
    <col min="2" max="2" width="10.83203125" style="7"/>
    <col min="4" max="4" width="19.6640625" customWidth="1"/>
    <col min="5" max="5" width="12.6640625" customWidth="1"/>
    <col min="6" max="6" width="11.33203125" customWidth="1"/>
    <col min="7" max="7" width="11.83203125" customWidth="1"/>
    <col min="8" max="8" width="9.1640625" customWidth="1"/>
    <col min="9" max="9" width="8.33203125" customWidth="1"/>
    <col min="10" max="10" width="12.33203125" customWidth="1"/>
    <col min="11" max="11" width="12.5" customWidth="1"/>
    <col min="12" max="12" width="15.1640625" customWidth="1"/>
    <col min="13" max="13" width="19.33203125" customWidth="1"/>
    <col min="14" max="14" width="13.33203125" customWidth="1"/>
  </cols>
  <sheetData>
    <row r="1" spans="1:17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1"/>
      <c r="Q1" s="1"/>
    </row>
    <row r="2" spans="1:17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2"/>
      <c r="Q2" s="2"/>
    </row>
    <row r="3" spans="1:17" ht="60">
      <c r="A3" t="s">
        <v>2</v>
      </c>
      <c r="B3" s="7" t="s">
        <v>3</v>
      </c>
      <c r="C3" t="s">
        <v>4</v>
      </c>
      <c r="D3" s="3" t="s">
        <v>5</v>
      </c>
      <c r="E3" s="4" t="s">
        <v>6</v>
      </c>
      <c r="F3" s="5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</row>
    <row r="4" spans="1:17">
      <c r="A4" s="9">
        <v>41841</v>
      </c>
      <c r="B4" s="7" t="s">
        <v>21</v>
      </c>
      <c r="C4">
        <v>40</v>
      </c>
      <c r="D4" t="s">
        <v>19</v>
      </c>
      <c r="F4">
        <v>6.7</v>
      </c>
      <c r="J4">
        <f>182+225+282+357+426+445+460+195</f>
        <v>2572</v>
      </c>
      <c r="K4">
        <v>8</v>
      </c>
      <c r="L4">
        <v>460</v>
      </c>
    </row>
    <row r="5" spans="1:17">
      <c r="A5" s="9">
        <v>41841</v>
      </c>
      <c r="B5" s="7" t="s">
        <v>21</v>
      </c>
      <c r="C5">
        <v>40</v>
      </c>
      <c r="D5" t="s">
        <v>60</v>
      </c>
      <c r="F5">
        <v>1.27</v>
      </c>
      <c r="J5">
        <f>142+147+210+269+299</f>
        <v>1067</v>
      </c>
      <c r="K5">
        <v>5</v>
      </c>
      <c r="L5">
        <v>299</v>
      </c>
    </row>
    <row r="6" spans="1:17">
      <c r="A6" s="9">
        <v>41841</v>
      </c>
      <c r="B6" s="7" t="s">
        <v>21</v>
      </c>
      <c r="C6">
        <v>40</v>
      </c>
      <c r="D6" t="s">
        <v>60</v>
      </c>
      <c r="F6">
        <v>1.86</v>
      </c>
      <c r="J6">
        <f>190+192+218+221+240+252</f>
        <v>1313</v>
      </c>
      <c r="K6">
        <v>6</v>
      </c>
      <c r="L6">
        <v>252</v>
      </c>
    </row>
    <row r="7" spans="1:17">
      <c r="A7" s="9">
        <v>41841</v>
      </c>
      <c r="B7" s="7" t="s">
        <v>21</v>
      </c>
      <c r="C7">
        <v>40</v>
      </c>
      <c r="D7" t="s">
        <v>19</v>
      </c>
      <c r="F7">
        <v>2.39</v>
      </c>
      <c r="J7">
        <f>157+175+178+228+242+250</f>
        <v>1230</v>
      </c>
      <c r="K7">
        <v>6</v>
      </c>
      <c r="L7">
        <v>250</v>
      </c>
    </row>
    <row r="8" spans="1:17">
      <c r="A8" s="9">
        <v>41841</v>
      </c>
      <c r="B8" s="7" t="s">
        <v>21</v>
      </c>
      <c r="C8">
        <v>40</v>
      </c>
      <c r="D8" t="s">
        <v>19</v>
      </c>
      <c r="F8">
        <v>5.42</v>
      </c>
      <c r="J8">
        <f>232+239+282+316+344+381+410+422+433</f>
        <v>3059</v>
      </c>
      <c r="K8">
        <v>9</v>
      </c>
      <c r="L8">
        <v>433</v>
      </c>
    </row>
    <row r="9" spans="1:17">
      <c r="A9" s="9">
        <v>41841</v>
      </c>
      <c r="B9" s="7" t="s">
        <v>21</v>
      </c>
      <c r="C9">
        <v>40</v>
      </c>
      <c r="D9" t="s">
        <v>60</v>
      </c>
      <c r="E9">
        <v>307</v>
      </c>
      <c r="F9">
        <v>2.99</v>
      </c>
      <c r="H9">
        <v>21</v>
      </c>
      <c r="I9">
        <v>2</v>
      </c>
    </row>
    <row r="10" spans="1:17">
      <c r="A10" s="9">
        <v>41841</v>
      </c>
      <c r="B10" s="7" t="s">
        <v>21</v>
      </c>
      <c r="C10">
        <v>40</v>
      </c>
      <c r="D10" t="s">
        <v>19</v>
      </c>
      <c r="F10">
        <v>2.2799999999999998</v>
      </c>
      <c r="J10">
        <f>105+1+192+267+272</f>
        <v>837</v>
      </c>
      <c r="K10">
        <v>4</v>
      </c>
      <c r="L10">
        <v>272</v>
      </c>
    </row>
    <row r="11" spans="1:17">
      <c r="A11" s="9">
        <v>41841</v>
      </c>
      <c r="B11" s="7" t="s">
        <v>21</v>
      </c>
      <c r="C11">
        <v>40</v>
      </c>
      <c r="D11" t="s">
        <v>60</v>
      </c>
      <c r="E11">
        <v>331</v>
      </c>
      <c r="F11">
        <v>4.21</v>
      </c>
      <c r="H11">
        <v>33</v>
      </c>
      <c r="I11">
        <v>3</v>
      </c>
    </row>
    <row r="12" spans="1:17">
      <c r="A12" s="9">
        <v>41841</v>
      </c>
      <c r="B12" s="7" t="s">
        <v>21</v>
      </c>
      <c r="C12">
        <v>40</v>
      </c>
      <c r="D12" t="s">
        <v>19</v>
      </c>
      <c r="F12">
        <v>5.0999999999999996</v>
      </c>
      <c r="J12">
        <f>132+216+217+339+374+401+440+441</f>
        <v>2560</v>
      </c>
      <c r="K12">
        <v>8</v>
      </c>
      <c r="L12">
        <v>441</v>
      </c>
    </row>
    <row r="13" spans="1:17">
      <c r="A13" s="9">
        <v>41841</v>
      </c>
      <c r="B13" s="7" t="s">
        <v>21</v>
      </c>
      <c r="C13">
        <v>40</v>
      </c>
      <c r="D13" t="s">
        <v>19</v>
      </c>
      <c r="E13">
        <v>313</v>
      </c>
      <c r="F13">
        <v>2.89</v>
      </c>
      <c r="H13">
        <v>28</v>
      </c>
      <c r="I13">
        <v>2.5</v>
      </c>
    </row>
    <row r="14" spans="1:17">
      <c r="A14" s="9">
        <v>41841</v>
      </c>
      <c r="B14" s="7" t="s">
        <v>21</v>
      </c>
      <c r="C14">
        <v>40</v>
      </c>
      <c r="D14" t="s">
        <v>19</v>
      </c>
      <c r="F14">
        <v>3.04</v>
      </c>
      <c r="J14">
        <f>136+143+172+202+228+249+288+295+326</f>
        <v>2039</v>
      </c>
      <c r="K14">
        <v>7</v>
      </c>
      <c r="L14">
        <v>326</v>
      </c>
    </row>
    <row r="15" spans="1:17">
      <c r="A15" s="9">
        <v>41841</v>
      </c>
      <c r="B15" s="7" t="s">
        <v>21</v>
      </c>
      <c r="C15">
        <v>40</v>
      </c>
      <c r="D15" t="s">
        <v>60</v>
      </c>
      <c r="E15">
        <v>333</v>
      </c>
      <c r="F15">
        <v>4.2699999999999996</v>
      </c>
      <c r="H15">
        <v>33</v>
      </c>
      <c r="I15">
        <v>2.5</v>
      </c>
    </row>
    <row r="16" spans="1:17">
      <c r="A16" s="9">
        <v>41841</v>
      </c>
      <c r="B16" s="7" t="s">
        <v>21</v>
      </c>
      <c r="C16">
        <v>40</v>
      </c>
      <c r="D16" t="s">
        <v>19</v>
      </c>
      <c r="F16">
        <v>2.7</v>
      </c>
      <c r="J16">
        <f>141+180+263+261+281+313</f>
        <v>1439</v>
      </c>
      <c r="K16">
        <v>6</v>
      </c>
      <c r="L16">
        <v>313</v>
      </c>
    </row>
    <row r="17" spans="1:12">
      <c r="A17" s="9">
        <v>41841</v>
      </c>
      <c r="B17" s="7" t="s">
        <v>21</v>
      </c>
      <c r="C17">
        <v>40</v>
      </c>
      <c r="D17" t="s">
        <v>60</v>
      </c>
      <c r="E17">
        <v>2.99</v>
      </c>
      <c r="F17">
        <v>1.98</v>
      </c>
      <c r="H17">
        <v>26.5</v>
      </c>
      <c r="I17">
        <v>2.5</v>
      </c>
    </row>
    <row r="18" spans="1:12">
      <c r="A18" s="9">
        <v>41841</v>
      </c>
      <c r="B18" s="7" t="s">
        <v>21</v>
      </c>
      <c r="C18">
        <v>27</v>
      </c>
      <c r="D18" t="s">
        <v>19</v>
      </c>
      <c r="F18">
        <v>1.95</v>
      </c>
      <c r="J18">
        <f>27+71+75+95+96+117</f>
        <v>481</v>
      </c>
      <c r="K18">
        <v>6</v>
      </c>
      <c r="L18">
        <v>117</v>
      </c>
    </row>
    <row r="19" spans="1:12">
      <c r="A19" s="9">
        <v>41841</v>
      </c>
      <c r="B19" s="7" t="s">
        <v>21</v>
      </c>
      <c r="C19">
        <v>27</v>
      </c>
      <c r="D19" t="s">
        <v>19</v>
      </c>
      <c r="F19">
        <v>2.4300000000000002</v>
      </c>
      <c r="J19">
        <f>44+62+81+87+92+54+113+120+140+159</f>
        <v>952</v>
      </c>
      <c r="K19">
        <v>10</v>
      </c>
      <c r="L19">
        <v>159</v>
      </c>
    </row>
    <row r="20" spans="1:12">
      <c r="A20" s="9">
        <v>41841</v>
      </c>
      <c r="B20" s="7" t="s">
        <v>21</v>
      </c>
      <c r="C20">
        <v>27</v>
      </c>
      <c r="D20" t="s">
        <v>19</v>
      </c>
      <c r="F20">
        <v>1.1499999999999999</v>
      </c>
      <c r="J20">
        <f>23+31+47+54+73</f>
        <v>228</v>
      </c>
      <c r="K20">
        <v>5</v>
      </c>
      <c r="L20">
        <v>73</v>
      </c>
    </row>
    <row r="21" spans="1:12">
      <c r="A21" s="9">
        <v>41841</v>
      </c>
      <c r="B21" s="7" t="s">
        <v>21</v>
      </c>
      <c r="C21">
        <v>27</v>
      </c>
      <c r="D21" t="s">
        <v>19</v>
      </c>
      <c r="F21">
        <v>1.19</v>
      </c>
      <c r="J21">
        <f>36+64+78+101</f>
        <v>279</v>
      </c>
      <c r="K21">
        <v>4</v>
      </c>
      <c r="L21">
        <v>101</v>
      </c>
    </row>
    <row r="22" spans="1:12">
      <c r="A22" s="9">
        <v>41841</v>
      </c>
      <c r="B22" s="7" t="s">
        <v>21</v>
      </c>
      <c r="C22">
        <v>27</v>
      </c>
      <c r="D22" t="s">
        <v>19</v>
      </c>
      <c r="F22">
        <v>1.82</v>
      </c>
      <c r="J22">
        <f>55+63+66+67+145</f>
        <v>396</v>
      </c>
      <c r="K22">
        <v>5</v>
      </c>
      <c r="L22">
        <v>145</v>
      </c>
    </row>
    <row r="23" spans="1:12">
      <c r="A23" s="9">
        <v>41841</v>
      </c>
      <c r="B23" s="7" t="s">
        <v>21</v>
      </c>
      <c r="C23">
        <v>27</v>
      </c>
      <c r="D23" t="s">
        <v>19</v>
      </c>
      <c r="F23">
        <v>2.2999999999999998</v>
      </c>
      <c r="J23">
        <f>34+69+90+110+118+136</f>
        <v>557</v>
      </c>
      <c r="K23">
        <v>6</v>
      </c>
      <c r="L23">
        <v>136</v>
      </c>
    </row>
    <row r="24" spans="1:12">
      <c r="A24" s="9">
        <v>41841</v>
      </c>
      <c r="B24" s="7" t="s">
        <v>21</v>
      </c>
      <c r="C24">
        <v>27</v>
      </c>
      <c r="D24" t="s">
        <v>19</v>
      </c>
      <c r="F24">
        <v>0.92</v>
      </c>
      <c r="J24">
        <f>20+41+42+57</f>
        <v>160</v>
      </c>
      <c r="K24">
        <v>4</v>
      </c>
      <c r="L24">
        <v>57</v>
      </c>
    </row>
    <row r="25" spans="1:12">
      <c r="A25" s="9">
        <v>41841</v>
      </c>
      <c r="B25" s="7" t="s">
        <v>21</v>
      </c>
      <c r="C25">
        <v>27</v>
      </c>
      <c r="D25" t="s">
        <v>19</v>
      </c>
      <c r="E25">
        <v>264</v>
      </c>
      <c r="F25">
        <v>9.1</v>
      </c>
      <c r="H25">
        <v>38.5</v>
      </c>
      <c r="I25">
        <v>2.5</v>
      </c>
    </row>
    <row r="26" spans="1:12">
      <c r="A26" s="9">
        <v>41841</v>
      </c>
      <c r="B26" s="7" t="s">
        <v>21</v>
      </c>
      <c r="C26">
        <v>27</v>
      </c>
      <c r="D26" t="s">
        <v>19</v>
      </c>
      <c r="E26">
        <v>223</v>
      </c>
      <c r="F26">
        <v>8.36</v>
      </c>
      <c r="H26">
        <v>41.5</v>
      </c>
      <c r="I26">
        <v>2.5</v>
      </c>
    </row>
    <row r="27" spans="1:12">
      <c r="A27" s="9">
        <v>41841</v>
      </c>
      <c r="B27" s="7" t="s">
        <v>21</v>
      </c>
      <c r="C27">
        <v>27</v>
      </c>
      <c r="D27" t="s">
        <v>19</v>
      </c>
      <c r="F27">
        <v>0.75</v>
      </c>
      <c r="J27">
        <f>27+31+43</f>
        <v>101</v>
      </c>
      <c r="K27">
        <v>3</v>
      </c>
      <c r="L27">
        <v>43</v>
      </c>
    </row>
    <row r="28" spans="1:12">
      <c r="A28" s="9">
        <v>41841</v>
      </c>
      <c r="B28" s="7" t="s">
        <v>21</v>
      </c>
      <c r="C28">
        <v>27</v>
      </c>
      <c r="D28" t="s">
        <v>19</v>
      </c>
      <c r="F28">
        <v>5.23</v>
      </c>
      <c r="J28">
        <f>122+145+215+240+248+259+270+283</f>
        <v>1782</v>
      </c>
      <c r="K28">
        <v>8</v>
      </c>
      <c r="L28">
        <v>283</v>
      </c>
    </row>
    <row r="29" spans="1:12">
      <c r="A29" s="9">
        <v>41841</v>
      </c>
      <c r="B29" s="7" t="s">
        <v>21</v>
      </c>
      <c r="C29">
        <v>27</v>
      </c>
      <c r="D29" t="s">
        <v>19</v>
      </c>
      <c r="F29">
        <v>3.37</v>
      </c>
      <c r="J29">
        <f>116+149+127+180+204+225+238+246</f>
        <v>1485</v>
      </c>
      <c r="K29">
        <v>8</v>
      </c>
      <c r="L29">
        <v>246</v>
      </c>
    </row>
    <row r="30" spans="1:12">
      <c r="A30" s="9">
        <v>41841</v>
      </c>
      <c r="B30" s="7" t="s">
        <v>21</v>
      </c>
      <c r="C30">
        <v>27</v>
      </c>
      <c r="D30" t="s">
        <v>19</v>
      </c>
      <c r="F30">
        <v>0.74</v>
      </c>
      <c r="J30">
        <f>45+61+81+44+112</f>
        <v>343</v>
      </c>
      <c r="K30">
        <v>5</v>
      </c>
      <c r="L30">
        <v>112</v>
      </c>
    </row>
    <row r="31" spans="1:12">
      <c r="A31" s="9">
        <v>41841</v>
      </c>
      <c r="B31" s="7" t="s">
        <v>21</v>
      </c>
      <c r="C31">
        <v>27</v>
      </c>
      <c r="D31" t="s">
        <v>19</v>
      </c>
      <c r="F31">
        <v>2.14</v>
      </c>
      <c r="J31">
        <f>130+214+246+270+284+292</f>
        <v>1436</v>
      </c>
      <c r="K31">
        <v>6</v>
      </c>
      <c r="L31">
        <v>292</v>
      </c>
    </row>
    <row r="32" spans="1:12">
      <c r="A32" s="9">
        <v>41841</v>
      </c>
      <c r="B32" s="7" t="s">
        <v>21</v>
      </c>
      <c r="C32">
        <v>27</v>
      </c>
      <c r="D32" t="s">
        <v>19</v>
      </c>
      <c r="F32">
        <v>2.2000000000000002</v>
      </c>
      <c r="J32">
        <f>53+87+89+125+156+156</f>
        <v>666</v>
      </c>
      <c r="K32">
        <v>6</v>
      </c>
      <c r="L32">
        <v>156</v>
      </c>
    </row>
    <row r="33" spans="1:12">
      <c r="A33" s="9">
        <v>41841</v>
      </c>
      <c r="B33" s="7" t="s">
        <v>21</v>
      </c>
      <c r="C33">
        <v>27</v>
      </c>
      <c r="D33" t="s">
        <v>19</v>
      </c>
      <c r="F33">
        <v>5.54</v>
      </c>
      <c r="J33">
        <f>160+177+203+246+258+260+266+268</f>
        <v>1838</v>
      </c>
      <c r="K33">
        <v>8</v>
      </c>
      <c r="L33">
        <v>268</v>
      </c>
    </row>
    <row r="34" spans="1:12">
      <c r="A34" s="9">
        <v>41841</v>
      </c>
      <c r="B34" s="7" t="s">
        <v>21</v>
      </c>
      <c r="C34">
        <v>27</v>
      </c>
      <c r="D34" t="s">
        <v>19</v>
      </c>
      <c r="F34">
        <v>2.74</v>
      </c>
      <c r="J34">
        <f>83+118+117+268+270+293</f>
        <v>1149</v>
      </c>
      <c r="K34">
        <v>6</v>
      </c>
      <c r="L34">
        <v>293</v>
      </c>
    </row>
    <row r="35" spans="1:12">
      <c r="A35" s="9">
        <v>41841</v>
      </c>
      <c r="B35" s="7" t="s">
        <v>21</v>
      </c>
      <c r="C35">
        <v>27</v>
      </c>
      <c r="D35" t="s">
        <v>19</v>
      </c>
      <c r="E35">
        <v>233</v>
      </c>
      <c r="F35">
        <v>4.0599999999999996</v>
      </c>
      <c r="H35">
        <v>30</v>
      </c>
      <c r="I35">
        <v>2.5</v>
      </c>
    </row>
    <row r="36" spans="1:12">
      <c r="A36" s="9">
        <v>41841</v>
      </c>
      <c r="B36" s="7" t="s">
        <v>21</v>
      </c>
      <c r="C36">
        <v>27</v>
      </c>
      <c r="D36" t="s">
        <v>19</v>
      </c>
      <c r="F36">
        <v>4.0199999999999996</v>
      </c>
      <c r="J36">
        <f>84+136+154+169+197+213+212+236+245+249</f>
        <v>1895</v>
      </c>
      <c r="K36">
        <v>10</v>
      </c>
      <c r="L36">
        <v>249</v>
      </c>
    </row>
    <row r="37" spans="1:12">
      <c r="A37" s="9">
        <v>41841</v>
      </c>
      <c r="B37" s="7" t="s">
        <v>21</v>
      </c>
      <c r="C37">
        <v>27</v>
      </c>
      <c r="D37" t="s">
        <v>19</v>
      </c>
      <c r="F37">
        <v>1.55</v>
      </c>
      <c r="J37">
        <f>87+83+103+113+137+147</f>
        <v>670</v>
      </c>
      <c r="K37">
        <v>6</v>
      </c>
      <c r="L37">
        <v>147</v>
      </c>
    </row>
    <row r="38" spans="1:12">
      <c r="A38" s="9">
        <v>41841</v>
      </c>
      <c r="B38" s="7" t="s">
        <v>21</v>
      </c>
      <c r="C38">
        <v>24</v>
      </c>
      <c r="D38" t="s">
        <v>19</v>
      </c>
      <c r="E38">
        <v>219</v>
      </c>
      <c r="F38">
        <v>2.95</v>
      </c>
      <c r="H38">
        <v>28</v>
      </c>
      <c r="I38">
        <v>2</v>
      </c>
    </row>
    <row r="39" spans="1:12">
      <c r="A39" s="9">
        <v>41841</v>
      </c>
      <c r="B39" s="7" t="s">
        <v>21</v>
      </c>
      <c r="C39">
        <v>24</v>
      </c>
      <c r="D39" t="s">
        <v>19</v>
      </c>
      <c r="F39">
        <v>1.49</v>
      </c>
      <c r="J39">
        <f>43+56+76+86</f>
        <v>261</v>
      </c>
      <c r="K39">
        <v>4</v>
      </c>
      <c r="L39">
        <v>86</v>
      </c>
    </row>
    <row r="40" spans="1:12">
      <c r="A40" s="9">
        <v>41841</v>
      </c>
      <c r="B40" s="7" t="s">
        <v>21</v>
      </c>
      <c r="C40">
        <v>24</v>
      </c>
      <c r="D40" t="s">
        <v>19</v>
      </c>
      <c r="F40">
        <v>2.88</v>
      </c>
      <c r="J40">
        <f>128+132+157+168+200+219+229</f>
        <v>1233</v>
      </c>
      <c r="K40">
        <v>7</v>
      </c>
      <c r="L40">
        <v>229</v>
      </c>
    </row>
    <row r="41" spans="1:12">
      <c r="A41" s="9">
        <v>41841</v>
      </c>
      <c r="B41" s="7" t="s">
        <v>21</v>
      </c>
      <c r="C41">
        <v>24</v>
      </c>
      <c r="D41" t="s">
        <v>19</v>
      </c>
      <c r="F41">
        <v>1.23</v>
      </c>
      <c r="J41">
        <f>42+58+58</f>
        <v>158</v>
      </c>
      <c r="K41">
        <v>3</v>
      </c>
      <c r="L41">
        <v>58</v>
      </c>
    </row>
    <row r="42" spans="1:12">
      <c r="A42" s="9">
        <v>41841</v>
      </c>
      <c r="B42" s="7" t="s">
        <v>21</v>
      </c>
      <c r="C42">
        <v>24</v>
      </c>
      <c r="D42" t="s">
        <v>60</v>
      </c>
      <c r="F42">
        <v>2.77</v>
      </c>
      <c r="J42">
        <f>56+107+168+171+209+216+242+248</f>
        <v>1417</v>
      </c>
      <c r="K42">
        <v>8</v>
      </c>
      <c r="L42">
        <v>248</v>
      </c>
    </row>
    <row r="43" spans="1:12">
      <c r="A43" s="9">
        <v>41841</v>
      </c>
      <c r="B43" s="7" t="s">
        <v>21</v>
      </c>
      <c r="C43">
        <v>24</v>
      </c>
      <c r="D43" t="s">
        <v>60</v>
      </c>
      <c r="F43">
        <v>1.8</v>
      </c>
      <c r="J43">
        <f>60+121+141+187+222+222</f>
        <v>953</v>
      </c>
      <c r="K43">
        <v>6</v>
      </c>
      <c r="L43">
        <v>222</v>
      </c>
    </row>
    <row r="44" spans="1:12">
      <c r="A44" s="9">
        <v>41841</v>
      </c>
      <c r="B44" s="7" t="s">
        <v>21</v>
      </c>
      <c r="C44">
        <v>24</v>
      </c>
      <c r="D44" t="s">
        <v>19</v>
      </c>
      <c r="F44">
        <v>1.25</v>
      </c>
      <c r="J44">
        <f>70+100+127+129+27</f>
        <v>453</v>
      </c>
      <c r="K44">
        <v>5</v>
      </c>
      <c r="L44">
        <v>127</v>
      </c>
    </row>
    <row r="45" spans="1:12">
      <c r="A45" s="9">
        <v>41841</v>
      </c>
      <c r="B45" s="7" t="s">
        <v>21</v>
      </c>
      <c r="C45">
        <v>24</v>
      </c>
      <c r="D45" t="s">
        <v>60</v>
      </c>
      <c r="E45">
        <v>290</v>
      </c>
      <c r="F45">
        <v>3.3</v>
      </c>
      <c r="H45">
        <v>35.5</v>
      </c>
      <c r="I45">
        <v>3</v>
      </c>
    </row>
    <row r="46" spans="1:12">
      <c r="A46" s="9">
        <v>41841</v>
      </c>
      <c r="B46" s="7" t="s">
        <v>21</v>
      </c>
      <c r="C46">
        <v>24</v>
      </c>
      <c r="D46" t="s">
        <v>19</v>
      </c>
      <c r="F46">
        <v>5.26</v>
      </c>
      <c r="J46">
        <f>32+72+80+81+107+107+139+156+176+182+217+240+243+278</f>
        <v>2110</v>
      </c>
      <c r="K46">
        <v>14</v>
      </c>
      <c r="L46">
        <v>278</v>
      </c>
    </row>
    <row r="47" spans="1:12">
      <c r="A47" s="9">
        <v>41841</v>
      </c>
      <c r="B47" s="7" t="s">
        <v>21</v>
      </c>
      <c r="C47">
        <v>24</v>
      </c>
      <c r="D47" t="s">
        <v>19</v>
      </c>
      <c r="F47">
        <v>1.55</v>
      </c>
      <c r="J47">
        <f>30+76+81+82+103</f>
        <v>372</v>
      </c>
      <c r="K47">
        <v>5</v>
      </c>
      <c r="L47">
        <v>103</v>
      </c>
    </row>
    <row r="48" spans="1:12">
      <c r="A48" s="9">
        <v>41841</v>
      </c>
      <c r="B48" s="7" t="s">
        <v>21</v>
      </c>
      <c r="C48">
        <v>24</v>
      </c>
      <c r="D48" t="s">
        <v>60</v>
      </c>
      <c r="E48">
        <v>259</v>
      </c>
      <c r="F48">
        <v>1.84</v>
      </c>
      <c r="H48">
        <v>22</v>
      </c>
      <c r="I48">
        <v>2.5</v>
      </c>
    </row>
    <row r="49" spans="1:12">
      <c r="A49" s="9">
        <v>41841</v>
      </c>
      <c r="B49" s="7" t="s">
        <v>21</v>
      </c>
      <c r="C49">
        <v>24</v>
      </c>
      <c r="D49" t="s">
        <v>60</v>
      </c>
      <c r="F49">
        <v>2.23</v>
      </c>
      <c r="J49">
        <f>86+117+121+180+236+269</f>
        <v>1009</v>
      </c>
      <c r="K49">
        <v>6</v>
      </c>
      <c r="L49">
        <v>264</v>
      </c>
    </row>
    <row r="50" spans="1:12">
      <c r="A50" s="9">
        <v>41841</v>
      </c>
      <c r="B50" s="7" t="s">
        <v>21</v>
      </c>
      <c r="C50">
        <v>24</v>
      </c>
      <c r="D50" t="s">
        <v>19</v>
      </c>
      <c r="F50">
        <v>2.52</v>
      </c>
      <c r="J50">
        <f>74+133+149+151+204+259+300+320</f>
        <v>1590</v>
      </c>
      <c r="K50">
        <v>8</v>
      </c>
      <c r="L50">
        <v>320</v>
      </c>
    </row>
    <row r="51" spans="1:12">
      <c r="A51" s="9">
        <v>41841</v>
      </c>
      <c r="B51" s="7" t="s">
        <v>21</v>
      </c>
      <c r="C51">
        <v>24</v>
      </c>
      <c r="D51" t="s">
        <v>19</v>
      </c>
      <c r="F51">
        <v>6.62</v>
      </c>
      <c r="J51">
        <f>103+147+213+242+270+284+300+304+311+311+309</f>
        <v>2794</v>
      </c>
      <c r="K51">
        <v>11</v>
      </c>
      <c r="L51">
        <v>311</v>
      </c>
    </row>
    <row r="52" spans="1:12">
      <c r="A52" s="9">
        <v>41841</v>
      </c>
      <c r="B52" s="7" t="s">
        <v>21</v>
      </c>
      <c r="C52">
        <v>24</v>
      </c>
      <c r="D52" t="s">
        <v>19</v>
      </c>
      <c r="F52">
        <v>2.02</v>
      </c>
      <c r="J52">
        <f>87+81+112+178</f>
        <v>458</v>
      </c>
      <c r="K52">
        <v>4</v>
      </c>
      <c r="L52">
        <v>178</v>
      </c>
    </row>
    <row r="53" spans="1:12">
      <c r="A53" s="9">
        <v>41841</v>
      </c>
      <c r="B53" s="7" t="s">
        <v>21</v>
      </c>
      <c r="C53">
        <v>24</v>
      </c>
      <c r="D53" t="s">
        <v>60</v>
      </c>
      <c r="F53">
        <v>2.31</v>
      </c>
      <c r="J53">
        <f>156+168+221+238+249+252</f>
        <v>1284</v>
      </c>
      <c r="K53">
        <v>6</v>
      </c>
      <c r="L53">
        <v>252</v>
      </c>
    </row>
    <row r="54" spans="1:12">
      <c r="A54" s="9">
        <v>41841</v>
      </c>
      <c r="B54" s="7" t="s">
        <v>21</v>
      </c>
      <c r="C54">
        <v>24</v>
      </c>
      <c r="D54" t="s">
        <v>60</v>
      </c>
      <c r="E54">
        <v>271</v>
      </c>
      <c r="F54">
        <v>2.56</v>
      </c>
      <c r="H54">
        <v>33.5</v>
      </c>
      <c r="I54">
        <v>2.5</v>
      </c>
    </row>
    <row r="55" spans="1:12">
      <c r="A55" s="9">
        <v>41841</v>
      </c>
      <c r="B55" s="7" t="s">
        <v>21</v>
      </c>
      <c r="C55">
        <v>24</v>
      </c>
      <c r="D55" t="s">
        <v>19</v>
      </c>
      <c r="F55">
        <v>2.44</v>
      </c>
      <c r="J55">
        <f>80+85+85+116+138+136+159+189+190+196+227</f>
        <v>1601</v>
      </c>
      <c r="K55">
        <v>11</v>
      </c>
      <c r="L55">
        <v>227</v>
      </c>
    </row>
    <row r="56" spans="1:12">
      <c r="A56" s="9">
        <v>41841</v>
      </c>
      <c r="B56" s="7" t="s">
        <v>21</v>
      </c>
      <c r="C56">
        <v>24</v>
      </c>
      <c r="D56" t="s">
        <v>19</v>
      </c>
      <c r="F56">
        <v>1.9</v>
      </c>
      <c r="J56">
        <f>60+90+90</f>
        <v>240</v>
      </c>
      <c r="K56">
        <v>3</v>
      </c>
      <c r="L56">
        <v>90</v>
      </c>
    </row>
    <row r="57" spans="1:12">
      <c r="A57" s="9">
        <v>41841</v>
      </c>
      <c r="B57" s="7" t="s">
        <v>21</v>
      </c>
      <c r="C57">
        <v>24</v>
      </c>
      <c r="D57" t="s">
        <v>19</v>
      </c>
      <c r="F57">
        <v>3.23</v>
      </c>
      <c r="J57">
        <f>119+151+190+223+257+264+275+290</f>
        <v>1769</v>
      </c>
      <c r="K57">
        <v>9</v>
      </c>
      <c r="L57">
        <v>290</v>
      </c>
    </row>
    <row r="58" spans="1:12">
      <c r="A58" s="9">
        <v>41841</v>
      </c>
      <c r="B58" s="7" t="s">
        <v>21</v>
      </c>
      <c r="C58">
        <v>23</v>
      </c>
      <c r="D58" t="s">
        <v>60</v>
      </c>
      <c r="F58">
        <v>2.0299999999999998</v>
      </c>
      <c r="J58">
        <f>57+65+64+110+167</f>
        <v>463</v>
      </c>
      <c r="K58">
        <v>5</v>
      </c>
      <c r="L58">
        <v>167</v>
      </c>
    </row>
    <row r="59" spans="1:12">
      <c r="A59" s="9">
        <v>41841</v>
      </c>
      <c r="B59" s="7" t="s">
        <v>21</v>
      </c>
      <c r="C59">
        <v>23</v>
      </c>
      <c r="D59" t="s">
        <v>60</v>
      </c>
      <c r="F59">
        <v>1.1000000000000001</v>
      </c>
      <c r="J59">
        <f>25+72+70+114+130+154</f>
        <v>565</v>
      </c>
      <c r="K59">
        <v>6</v>
      </c>
      <c r="L59">
        <v>154</v>
      </c>
    </row>
    <row r="60" spans="1:12">
      <c r="A60" s="9">
        <v>41841</v>
      </c>
      <c r="B60" s="7" t="s">
        <v>21</v>
      </c>
      <c r="C60">
        <v>23</v>
      </c>
      <c r="D60" t="s">
        <v>19</v>
      </c>
      <c r="F60">
        <v>0.99</v>
      </c>
      <c r="J60">
        <f>21+29+32+34</f>
        <v>116</v>
      </c>
      <c r="K60">
        <v>4</v>
      </c>
      <c r="L60">
        <v>43</v>
      </c>
    </row>
    <row r="61" spans="1:12">
      <c r="A61" s="9">
        <v>41841</v>
      </c>
      <c r="B61" s="7" t="s">
        <v>21</v>
      </c>
      <c r="C61">
        <v>23</v>
      </c>
      <c r="D61" t="s">
        <v>19</v>
      </c>
      <c r="F61">
        <v>2.62</v>
      </c>
      <c r="J61">
        <f>87+105+108</f>
        <v>300</v>
      </c>
      <c r="K61">
        <v>3</v>
      </c>
      <c r="L61">
        <v>108</v>
      </c>
    </row>
    <row r="62" spans="1:12">
      <c r="A62" s="9">
        <v>41841</v>
      </c>
      <c r="B62" s="7" t="s">
        <v>21</v>
      </c>
      <c r="C62">
        <v>23</v>
      </c>
      <c r="D62" t="s">
        <v>19</v>
      </c>
      <c r="F62">
        <v>0.98</v>
      </c>
      <c r="J62">
        <f>89+97</f>
        <v>186</v>
      </c>
      <c r="K62">
        <v>2</v>
      </c>
      <c r="L62">
        <v>97</v>
      </c>
    </row>
    <row r="63" spans="1:12">
      <c r="A63" s="9">
        <v>41841</v>
      </c>
      <c r="B63" s="7" t="s">
        <v>21</v>
      </c>
      <c r="C63">
        <v>23</v>
      </c>
      <c r="D63" t="s">
        <v>19</v>
      </c>
      <c r="F63">
        <v>4.4800000000000004</v>
      </c>
      <c r="J63">
        <f>105+127+132+133+173+211+239+263</f>
        <v>1383</v>
      </c>
      <c r="K63">
        <v>8</v>
      </c>
      <c r="L63">
        <v>263</v>
      </c>
    </row>
    <row r="64" spans="1:12">
      <c r="A64" s="9">
        <v>41841</v>
      </c>
      <c r="B64" s="7" t="s">
        <v>21</v>
      </c>
      <c r="C64">
        <v>23</v>
      </c>
      <c r="D64" t="s">
        <v>19</v>
      </c>
      <c r="F64">
        <v>1.46</v>
      </c>
      <c r="J64">
        <f>70+79+103+117+32</f>
        <v>401</v>
      </c>
      <c r="K64">
        <v>5</v>
      </c>
      <c r="L64">
        <v>117</v>
      </c>
    </row>
    <row r="65" spans="1:12">
      <c r="A65" s="9">
        <v>41841</v>
      </c>
      <c r="B65" s="7" t="s">
        <v>21</v>
      </c>
      <c r="C65">
        <v>23</v>
      </c>
      <c r="D65" t="s">
        <v>19</v>
      </c>
      <c r="F65">
        <v>1.1100000000000001</v>
      </c>
      <c r="J65">
        <f>69+82</f>
        <v>151</v>
      </c>
      <c r="K65">
        <v>2</v>
      </c>
      <c r="L65">
        <v>82</v>
      </c>
    </row>
    <row r="66" spans="1:12">
      <c r="A66" s="9">
        <v>41841</v>
      </c>
      <c r="B66" s="7" t="s">
        <v>21</v>
      </c>
      <c r="C66">
        <v>23</v>
      </c>
      <c r="D66" t="s">
        <v>19</v>
      </c>
      <c r="F66">
        <v>6.67</v>
      </c>
      <c r="J66">
        <f>68+136+165+185+201+225+240+246+273+283+282+311</f>
        <v>2615</v>
      </c>
      <c r="K66">
        <v>12</v>
      </c>
      <c r="L66">
        <v>311</v>
      </c>
    </row>
    <row r="67" spans="1:12">
      <c r="A67" s="9">
        <v>41841</v>
      </c>
      <c r="B67" s="7" t="s">
        <v>21</v>
      </c>
      <c r="C67">
        <v>23</v>
      </c>
      <c r="D67" t="s">
        <v>19</v>
      </c>
      <c r="F67">
        <v>1.38</v>
      </c>
      <c r="J67">
        <f>33+70+79+104+117</f>
        <v>403</v>
      </c>
      <c r="K67">
        <v>5</v>
      </c>
      <c r="L67">
        <v>117</v>
      </c>
    </row>
    <row r="68" spans="1:12">
      <c r="A68" s="9">
        <v>41841</v>
      </c>
      <c r="B68" s="7" t="s">
        <v>21</v>
      </c>
      <c r="C68">
        <v>23</v>
      </c>
      <c r="D68" t="s">
        <v>19</v>
      </c>
      <c r="F68">
        <v>0.96</v>
      </c>
      <c r="J68">
        <f>40+42+42</f>
        <v>124</v>
      </c>
      <c r="K68">
        <v>3</v>
      </c>
      <c r="L68">
        <v>42</v>
      </c>
    </row>
    <row r="69" spans="1:12">
      <c r="A69" s="9">
        <v>41841</v>
      </c>
      <c r="B69" s="7" t="s">
        <v>21</v>
      </c>
      <c r="C69">
        <v>23</v>
      </c>
      <c r="D69" t="s">
        <v>19</v>
      </c>
      <c r="F69">
        <v>0.87</v>
      </c>
      <c r="J69">
        <f>17+30+46+49</f>
        <v>142</v>
      </c>
      <c r="K69">
        <v>4</v>
      </c>
      <c r="L69">
        <v>49</v>
      </c>
    </row>
    <row r="70" spans="1:12">
      <c r="A70" s="9">
        <v>41841</v>
      </c>
      <c r="B70" s="7" t="s">
        <v>21</v>
      </c>
      <c r="C70">
        <v>23</v>
      </c>
      <c r="D70" t="s">
        <v>19</v>
      </c>
      <c r="F70">
        <v>6.22</v>
      </c>
      <c r="J70">
        <f>148+161+164+188+111+130+137+148+158+161+174+185+183</f>
        <v>2048</v>
      </c>
      <c r="K70">
        <v>13</v>
      </c>
      <c r="L70">
        <v>188</v>
      </c>
    </row>
    <row r="71" spans="1:12">
      <c r="A71" s="9">
        <v>41841</v>
      </c>
      <c r="B71" s="7" t="s">
        <v>21</v>
      </c>
      <c r="C71">
        <v>23</v>
      </c>
      <c r="D71" t="s">
        <v>19</v>
      </c>
      <c r="F71">
        <v>0.88</v>
      </c>
      <c r="J71">
        <f>22+33+38+48+59</f>
        <v>200</v>
      </c>
      <c r="K71">
        <v>5</v>
      </c>
      <c r="L71">
        <v>59</v>
      </c>
    </row>
    <row r="72" spans="1:12">
      <c r="A72" s="9">
        <v>41841</v>
      </c>
      <c r="B72" s="7" t="s">
        <v>21</v>
      </c>
      <c r="C72">
        <v>23</v>
      </c>
      <c r="D72" t="s">
        <v>19</v>
      </c>
      <c r="F72">
        <v>2.15</v>
      </c>
      <c r="J72">
        <f>32+51+64+65+119</f>
        <v>331</v>
      </c>
      <c r="K72">
        <v>5</v>
      </c>
      <c r="L72">
        <v>119</v>
      </c>
    </row>
    <row r="73" spans="1:12">
      <c r="A73" s="9">
        <v>41841</v>
      </c>
      <c r="B73" s="7" t="s">
        <v>21</v>
      </c>
      <c r="C73">
        <v>23</v>
      </c>
      <c r="D73" t="s">
        <v>19</v>
      </c>
      <c r="F73">
        <v>3.32</v>
      </c>
      <c r="J73">
        <f>10+10+19+25+70+34+71+126+166</f>
        <v>531</v>
      </c>
      <c r="K73">
        <v>9</v>
      </c>
      <c r="L73">
        <v>166</v>
      </c>
    </row>
    <row r="74" spans="1:12">
      <c r="A74" s="9">
        <v>41841</v>
      </c>
      <c r="B74" s="7" t="s">
        <v>21</v>
      </c>
      <c r="C74">
        <v>23</v>
      </c>
      <c r="D74" t="s">
        <v>19</v>
      </c>
      <c r="F74">
        <v>1.33</v>
      </c>
      <c r="J74">
        <f>21+30+31+31+37</f>
        <v>150</v>
      </c>
      <c r="K74">
        <v>5</v>
      </c>
      <c r="L74">
        <v>37</v>
      </c>
    </row>
    <row r="75" spans="1:12">
      <c r="A75" s="9">
        <v>41841</v>
      </c>
      <c r="B75" s="7" t="s">
        <v>21</v>
      </c>
      <c r="C75">
        <v>23</v>
      </c>
      <c r="D75" t="s">
        <v>19</v>
      </c>
      <c r="F75">
        <v>6.56</v>
      </c>
      <c r="J75">
        <f>105+187+222+236+243+249+257+263+276+145</f>
        <v>2183</v>
      </c>
      <c r="K75">
        <v>10</v>
      </c>
      <c r="L75">
        <v>276</v>
      </c>
    </row>
    <row r="76" spans="1:12">
      <c r="A76" s="9">
        <v>41841</v>
      </c>
      <c r="B76" s="7" t="s">
        <v>21</v>
      </c>
      <c r="C76">
        <v>23</v>
      </c>
      <c r="D76" t="s">
        <v>19</v>
      </c>
      <c r="F76">
        <v>5.64</v>
      </c>
      <c r="J76">
        <f>129+130+130+133+151+165+175+196+212+226+232</f>
        <v>1879</v>
      </c>
      <c r="K76">
        <v>11</v>
      </c>
      <c r="L76">
        <v>232</v>
      </c>
    </row>
    <row r="77" spans="1:12">
      <c r="A77" s="9">
        <v>41835</v>
      </c>
      <c r="B77" s="7" t="s">
        <v>29</v>
      </c>
      <c r="C77">
        <v>55</v>
      </c>
      <c r="D77" t="s">
        <v>19</v>
      </c>
      <c r="F77">
        <v>1.58</v>
      </c>
      <c r="J77">
        <f>52+53+73+80</f>
        <v>258</v>
      </c>
      <c r="K77">
        <v>4</v>
      </c>
      <c r="L77">
        <v>80</v>
      </c>
    </row>
    <row r="78" spans="1:12">
      <c r="A78" s="9">
        <v>41835</v>
      </c>
      <c r="B78" s="7" t="s">
        <v>29</v>
      </c>
      <c r="C78">
        <v>55</v>
      </c>
      <c r="D78" t="s">
        <v>19</v>
      </c>
      <c r="F78">
        <v>2.5</v>
      </c>
      <c r="J78">
        <f>52+72+79+96+110+113+124</f>
        <v>646</v>
      </c>
      <c r="K78">
        <v>7</v>
      </c>
      <c r="L78">
        <v>124</v>
      </c>
    </row>
    <row r="79" spans="1:12">
      <c r="A79" s="9">
        <v>41835</v>
      </c>
      <c r="B79" s="7" t="s">
        <v>29</v>
      </c>
      <c r="C79">
        <v>45</v>
      </c>
      <c r="D79" t="s">
        <v>19</v>
      </c>
      <c r="E79">
        <v>232</v>
      </c>
      <c r="F79">
        <v>12.17</v>
      </c>
      <c r="H79">
        <v>40</v>
      </c>
      <c r="I79">
        <v>2.5</v>
      </c>
    </row>
    <row r="80" spans="1:12">
      <c r="A80" s="9">
        <v>41835</v>
      </c>
      <c r="B80" s="7" t="s">
        <v>29</v>
      </c>
      <c r="C80">
        <v>45</v>
      </c>
      <c r="D80" t="s">
        <v>19</v>
      </c>
      <c r="F80">
        <v>5.72</v>
      </c>
      <c r="J80">
        <f>145+141+167+178+181+197+209+222+223+236+247</f>
        <v>2146</v>
      </c>
      <c r="K80">
        <v>11</v>
      </c>
      <c r="L80">
        <v>247</v>
      </c>
    </row>
    <row r="81" spans="1:13">
      <c r="A81" s="9">
        <v>41835</v>
      </c>
      <c r="B81" s="7" t="s">
        <v>29</v>
      </c>
      <c r="C81">
        <v>29</v>
      </c>
      <c r="M81" t="s">
        <v>61</v>
      </c>
    </row>
    <row r="82" spans="1:13">
      <c r="A82" s="39">
        <v>41835</v>
      </c>
      <c r="B82" s="7" t="s">
        <v>29</v>
      </c>
      <c r="C82">
        <v>23</v>
      </c>
      <c r="D82" t="s">
        <v>19</v>
      </c>
      <c r="F82">
        <v>9.2799999999999994</v>
      </c>
      <c r="J82">
        <f>99+68+111+134+141+145+154+160+167+170+175+182+184+185</f>
        <v>2075</v>
      </c>
      <c r="K82">
        <v>14</v>
      </c>
      <c r="L82">
        <v>185</v>
      </c>
    </row>
    <row r="83" spans="1:13">
      <c r="A83" s="39">
        <v>41835</v>
      </c>
      <c r="B83" s="7" t="s">
        <v>29</v>
      </c>
      <c r="C83">
        <v>23</v>
      </c>
      <c r="D83" t="s">
        <v>19</v>
      </c>
      <c r="F83">
        <v>2.35</v>
      </c>
      <c r="J83">
        <f>31+47+63+79+96+103+115</f>
        <v>534</v>
      </c>
      <c r="K83">
        <v>7</v>
      </c>
      <c r="L83">
        <v>115</v>
      </c>
    </row>
    <row r="84" spans="1:13">
      <c r="A84" s="9">
        <v>41835</v>
      </c>
      <c r="B84" s="7" t="s">
        <v>29</v>
      </c>
      <c r="C84">
        <v>23</v>
      </c>
      <c r="D84" t="s">
        <v>19</v>
      </c>
      <c r="F84">
        <v>0.98</v>
      </c>
      <c r="J84">
        <f>36+50+63+70+85</f>
        <v>304</v>
      </c>
      <c r="K84">
        <v>5</v>
      </c>
      <c r="L84">
        <v>85</v>
      </c>
    </row>
    <row r="85" spans="1:13">
      <c r="A85" s="39">
        <v>41835</v>
      </c>
      <c r="B85" s="7" t="s">
        <v>29</v>
      </c>
      <c r="C85">
        <v>13</v>
      </c>
      <c r="D85" s="40" t="s">
        <v>62</v>
      </c>
      <c r="E85">
        <v>162</v>
      </c>
      <c r="F85">
        <v>1.68</v>
      </c>
    </row>
    <row r="86" spans="1:13">
      <c r="A86" s="39">
        <v>41835</v>
      </c>
      <c r="B86" s="7" t="s">
        <v>29</v>
      </c>
      <c r="C86">
        <v>13</v>
      </c>
      <c r="D86" s="40" t="s">
        <v>62</v>
      </c>
      <c r="E86">
        <v>185</v>
      </c>
      <c r="F86">
        <v>1.69</v>
      </c>
    </row>
    <row r="87" spans="1:13">
      <c r="A87" s="39">
        <v>41835</v>
      </c>
      <c r="B87" s="7" t="s">
        <v>29</v>
      </c>
      <c r="C87">
        <v>13</v>
      </c>
      <c r="D87" s="40" t="s">
        <v>62</v>
      </c>
      <c r="E87">
        <v>115</v>
      </c>
      <c r="F87">
        <v>1.05</v>
      </c>
    </row>
    <row r="88" spans="1:13">
      <c r="A88" s="39">
        <v>41835</v>
      </c>
      <c r="B88" s="7" t="s">
        <v>29</v>
      </c>
      <c r="C88">
        <v>13</v>
      </c>
      <c r="D88" s="40" t="s">
        <v>62</v>
      </c>
      <c r="E88">
        <v>248</v>
      </c>
      <c r="F88">
        <v>1.24</v>
      </c>
      <c r="G88">
        <v>5</v>
      </c>
    </row>
    <row r="89" spans="1:13">
      <c r="A89" s="39">
        <v>41835</v>
      </c>
      <c r="B89" s="7" t="s">
        <v>29</v>
      </c>
      <c r="C89">
        <v>13</v>
      </c>
      <c r="D89" s="40" t="s">
        <v>62</v>
      </c>
      <c r="E89">
        <v>217</v>
      </c>
      <c r="F89">
        <v>2.0099999999999998</v>
      </c>
    </row>
    <row r="90" spans="1:13">
      <c r="A90" s="39">
        <v>41835</v>
      </c>
      <c r="B90" s="7" t="s">
        <v>29</v>
      </c>
      <c r="C90">
        <v>13</v>
      </c>
      <c r="D90" s="40" t="s">
        <v>62</v>
      </c>
      <c r="E90">
        <v>171</v>
      </c>
      <c r="F90">
        <v>1.67</v>
      </c>
    </row>
    <row r="91" spans="1:13">
      <c r="A91" s="39">
        <v>41835</v>
      </c>
      <c r="B91" s="7" t="s">
        <v>29</v>
      </c>
      <c r="C91">
        <v>13</v>
      </c>
      <c r="D91" s="40" t="s">
        <v>62</v>
      </c>
      <c r="E91">
        <v>185</v>
      </c>
      <c r="F91">
        <v>1.46</v>
      </c>
    </row>
    <row r="92" spans="1:13">
      <c r="A92" s="39">
        <v>41835</v>
      </c>
      <c r="B92" s="7" t="s">
        <v>29</v>
      </c>
      <c r="C92">
        <v>13</v>
      </c>
      <c r="D92" s="40" t="s">
        <v>62</v>
      </c>
      <c r="E92">
        <v>167</v>
      </c>
      <c r="F92">
        <v>1.46</v>
      </c>
    </row>
    <row r="93" spans="1:13">
      <c r="A93" s="39">
        <v>41835</v>
      </c>
      <c r="B93" s="7" t="s">
        <v>27</v>
      </c>
      <c r="C93">
        <v>56</v>
      </c>
      <c r="D93" s="40" t="s">
        <v>19</v>
      </c>
      <c r="F93">
        <v>8.7799999999999994</v>
      </c>
      <c r="J93">
        <f>110+212+266+277+263+315+351+374+396+407+420</f>
        <v>3391</v>
      </c>
      <c r="K93">
        <v>11</v>
      </c>
      <c r="L93">
        <v>420</v>
      </c>
    </row>
    <row r="94" spans="1:13">
      <c r="A94" s="39">
        <v>41835</v>
      </c>
      <c r="B94" s="7" t="s">
        <v>27</v>
      </c>
      <c r="C94">
        <v>56</v>
      </c>
      <c r="D94" s="40" t="s">
        <v>19</v>
      </c>
      <c r="F94">
        <v>2.06</v>
      </c>
      <c r="J94">
        <f>95+108+146+157+184+187</f>
        <v>877</v>
      </c>
      <c r="K94">
        <v>6</v>
      </c>
      <c r="L94">
        <v>187</v>
      </c>
    </row>
    <row r="95" spans="1:13">
      <c r="A95" s="39">
        <v>41835</v>
      </c>
      <c r="B95" s="7" t="s">
        <v>27</v>
      </c>
      <c r="C95">
        <v>56</v>
      </c>
      <c r="D95" s="40" t="s">
        <v>60</v>
      </c>
      <c r="F95">
        <v>3.02</v>
      </c>
      <c r="J95">
        <f>77+162+209+234+265+266+62+77</f>
        <v>1352</v>
      </c>
      <c r="K95">
        <v>8</v>
      </c>
      <c r="L95">
        <v>266</v>
      </c>
    </row>
    <row r="96" spans="1:13">
      <c r="A96" s="39">
        <v>41835</v>
      </c>
      <c r="B96" s="7" t="s">
        <v>27</v>
      </c>
      <c r="C96">
        <v>56</v>
      </c>
      <c r="D96" s="40" t="s">
        <v>62</v>
      </c>
      <c r="E96">
        <v>107</v>
      </c>
      <c r="F96">
        <v>1.17</v>
      </c>
      <c r="G96">
        <v>5</v>
      </c>
    </row>
    <row r="97" spans="1:12">
      <c r="A97" s="39">
        <v>41835</v>
      </c>
      <c r="B97" s="7" t="s">
        <v>27</v>
      </c>
      <c r="C97">
        <v>56</v>
      </c>
      <c r="D97" s="40" t="s">
        <v>60</v>
      </c>
      <c r="E97">
        <v>207</v>
      </c>
      <c r="F97">
        <v>4.54</v>
      </c>
      <c r="H97">
        <v>28.5</v>
      </c>
      <c r="I97">
        <v>1</v>
      </c>
    </row>
    <row r="98" spans="1:12">
      <c r="A98" s="39">
        <v>41835</v>
      </c>
      <c r="B98" s="7" t="s">
        <v>27</v>
      </c>
      <c r="C98">
        <v>56</v>
      </c>
      <c r="D98" s="40" t="s">
        <v>19</v>
      </c>
      <c r="F98">
        <v>3.58</v>
      </c>
      <c r="J98">
        <f>116+141+166+193+208+224+231+237</f>
        <v>1516</v>
      </c>
      <c r="K98">
        <v>8</v>
      </c>
      <c r="L98">
        <v>237</v>
      </c>
    </row>
    <row r="99" spans="1:12">
      <c r="A99" s="39">
        <v>41835</v>
      </c>
      <c r="B99" s="7" t="s">
        <v>27</v>
      </c>
      <c r="C99">
        <v>56</v>
      </c>
      <c r="D99" s="40" t="s">
        <v>19</v>
      </c>
      <c r="F99">
        <v>2.8</v>
      </c>
      <c r="J99">
        <f>90+115+146+156+195+214+228</f>
        <v>1144</v>
      </c>
      <c r="K99">
        <v>7</v>
      </c>
      <c r="L99">
        <v>228</v>
      </c>
    </row>
    <row r="100" spans="1:12">
      <c r="A100" s="39">
        <v>41835</v>
      </c>
      <c r="B100" s="7" t="s">
        <v>27</v>
      </c>
      <c r="C100">
        <v>56</v>
      </c>
      <c r="D100" s="40" t="s">
        <v>19</v>
      </c>
      <c r="F100">
        <v>9.91</v>
      </c>
      <c r="J100">
        <f>112+211+258+271+288+297+314+319+324+331+163</f>
        <v>2888</v>
      </c>
      <c r="K100">
        <v>11</v>
      </c>
      <c r="L100">
        <v>331</v>
      </c>
    </row>
    <row r="101" spans="1:12">
      <c r="A101" s="39">
        <v>41835</v>
      </c>
      <c r="B101" s="7" t="s">
        <v>27</v>
      </c>
      <c r="C101">
        <v>56</v>
      </c>
      <c r="D101" s="40" t="s">
        <v>60</v>
      </c>
      <c r="F101">
        <v>1.7</v>
      </c>
      <c r="J101">
        <f>67+170+229</f>
        <v>466</v>
      </c>
      <c r="K101">
        <v>3</v>
      </c>
      <c r="L101">
        <v>229</v>
      </c>
    </row>
    <row r="102" spans="1:12">
      <c r="A102" s="39">
        <v>41835</v>
      </c>
      <c r="B102" s="7" t="s">
        <v>27</v>
      </c>
      <c r="C102">
        <v>56</v>
      </c>
      <c r="D102" s="40" t="s">
        <v>62</v>
      </c>
      <c r="E102">
        <v>256</v>
      </c>
      <c r="F102">
        <v>2.35</v>
      </c>
      <c r="G102">
        <v>1</v>
      </c>
    </row>
    <row r="103" spans="1:12">
      <c r="A103" s="39">
        <v>41835</v>
      </c>
      <c r="B103" s="7" t="s">
        <v>27</v>
      </c>
      <c r="C103">
        <v>53</v>
      </c>
      <c r="D103" s="40" t="s">
        <v>19</v>
      </c>
      <c r="F103">
        <v>7.49</v>
      </c>
      <c r="J103">
        <f>262+281+294+311+330+342+354+355+171+229</f>
        <v>2929</v>
      </c>
      <c r="K103">
        <v>10</v>
      </c>
      <c r="L103">
        <v>355</v>
      </c>
    </row>
    <row r="104" spans="1:12">
      <c r="A104" s="39">
        <v>41835</v>
      </c>
      <c r="B104" s="7" t="s">
        <v>27</v>
      </c>
      <c r="C104">
        <v>53</v>
      </c>
      <c r="D104" s="40" t="s">
        <v>19</v>
      </c>
      <c r="F104">
        <v>2.85</v>
      </c>
      <c r="J104">
        <f>68+121+129+196+208+250+283+290+293+66</f>
        <v>1904</v>
      </c>
      <c r="K104">
        <v>10</v>
      </c>
      <c r="L104">
        <v>293</v>
      </c>
    </row>
    <row r="105" spans="1:12">
      <c r="A105" s="39">
        <v>41835</v>
      </c>
      <c r="B105" s="7" t="s">
        <v>27</v>
      </c>
      <c r="C105">
        <v>53</v>
      </c>
      <c r="D105" s="40" t="s">
        <v>19</v>
      </c>
      <c r="F105">
        <v>3.81</v>
      </c>
      <c r="J105">
        <f>150+183+225+250+275+296+307</f>
        <v>1686</v>
      </c>
      <c r="K105">
        <v>7</v>
      </c>
      <c r="L105">
        <v>307</v>
      </c>
    </row>
    <row r="106" spans="1:12">
      <c r="A106" s="39">
        <v>41835</v>
      </c>
      <c r="B106" s="7" t="s">
        <v>27</v>
      </c>
      <c r="C106">
        <v>53</v>
      </c>
      <c r="D106" s="40" t="s">
        <v>19</v>
      </c>
      <c r="F106">
        <v>8.18</v>
      </c>
      <c r="J106">
        <f>162+227+227+251+291+304+316+330</f>
        <v>2108</v>
      </c>
      <c r="K106">
        <v>8</v>
      </c>
      <c r="L106">
        <v>330</v>
      </c>
    </row>
    <row r="107" spans="1:12">
      <c r="A107" s="39">
        <v>41835</v>
      </c>
      <c r="B107" s="7" t="s">
        <v>27</v>
      </c>
      <c r="C107">
        <v>53</v>
      </c>
      <c r="D107" s="40" t="s">
        <v>19</v>
      </c>
      <c r="F107">
        <v>9.51</v>
      </c>
      <c r="J107">
        <f>166+172+216+255+271+276+288+320+338+356+377</f>
        <v>3035</v>
      </c>
      <c r="K107">
        <v>11</v>
      </c>
      <c r="L107">
        <v>377</v>
      </c>
    </row>
    <row r="108" spans="1:12">
      <c r="A108" s="39">
        <v>41835</v>
      </c>
      <c r="B108" s="7" t="s">
        <v>27</v>
      </c>
      <c r="C108">
        <v>53</v>
      </c>
      <c r="D108" s="40" t="s">
        <v>19</v>
      </c>
      <c r="F108">
        <v>0.98</v>
      </c>
      <c r="J108">
        <f>137+183+210+218</f>
        <v>748</v>
      </c>
      <c r="K108">
        <v>4</v>
      </c>
      <c r="L108">
        <v>218</v>
      </c>
    </row>
    <row r="109" spans="1:12">
      <c r="A109" s="39">
        <v>41835</v>
      </c>
      <c r="B109" s="7" t="s">
        <v>27</v>
      </c>
      <c r="C109">
        <v>53</v>
      </c>
      <c r="D109" s="40" t="s">
        <v>19</v>
      </c>
      <c r="F109">
        <v>1.47</v>
      </c>
      <c r="J109">
        <f>22+34</f>
        <v>56</v>
      </c>
      <c r="K109">
        <v>2</v>
      </c>
      <c r="L109">
        <v>34</v>
      </c>
    </row>
    <row r="110" spans="1:12">
      <c r="A110" s="39">
        <v>41835</v>
      </c>
      <c r="B110" s="7" t="s">
        <v>27</v>
      </c>
      <c r="C110">
        <v>53</v>
      </c>
      <c r="D110" s="40" t="s">
        <v>62</v>
      </c>
      <c r="F110">
        <v>1.08</v>
      </c>
      <c r="J110">
        <f>40</f>
        <v>40</v>
      </c>
      <c r="K110">
        <v>1</v>
      </c>
      <c r="L110">
        <v>40</v>
      </c>
    </row>
    <row r="111" spans="1:12">
      <c r="A111" s="39">
        <v>41835</v>
      </c>
      <c r="B111" s="7" t="s">
        <v>27</v>
      </c>
      <c r="C111">
        <v>53</v>
      </c>
      <c r="D111" s="40" t="s">
        <v>19</v>
      </c>
      <c r="F111">
        <v>1.86</v>
      </c>
      <c r="J111">
        <f>38+38+90+210</f>
        <v>376</v>
      </c>
      <c r="K111">
        <v>4</v>
      </c>
      <c r="L111">
        <v>210</v>
      </c>
    </row>
    <row r="112" spans="1:12">
      <c r="A112" s="39">
        <v>41835</v>
      </c>
      <c r="B112" s="7" t="s">
        <v>27</v>
      </c>
      <c r="C112">
        <v>53</v>
      </c>
      <c r="D112" s="40" t="s">
        <v>19</v>
      </c>
      <c r="F112">
        <v>1.86</v>
      </c>
      <c r="J112">
        <f>90+195+229+259</f>
        <v>773</v>
      </c>
      <c r="K112">
        <v>4</v>
      </c>
      <c r="L112">
        <v>259</v>
      </c>
    </row>
    <row r="113" spans="1:12">
      <c r="A113" s="39">
        <v>41835</v>
      </c>
      <c r="B113" s="7" t="s">
        <v>27</v>
      </c>
      <c r="C113">
        <v>32</v>
      </c>
      <c r="D113" s="40" t="s">
        <v>19</v>
      </c>
      <c r="F113">
        <v>9.1199999999999992</v>
      </c>
      <c r="J113">
        <f>132+103+177+181+214+246+257+262+281+295+311+316</f>
        <v>2775</v>
      </c>
      <c r="K113">
        <v>12</v>
      </c>
      <c r="L113">
        <v>316</v>
      </c>
    </row>
    <row r="114" spans="1:12">
      <c r="A114" s="39">
        <v>41835</v>
      </c>
      <c r="B114" s="7" t="s">
        <v>27</v>
      </c>
      <c r="C114">
        <v>32</v>
      </c>
      <c r="D114" s="40" t="s">
        <v>19</v>
      </c>
      <c r="F114">
        <v>8.1199999999999992</v>
      </c>
      <c r="J114">
        <f>82+145+185+171+226+255+250+278+295+315+323+336</f>
        <v>2861</v>
      </c>
      <c r="K114">
        <v>12</v>
      </c>
      <c r="L114">
        <v>336</v>
      </c>
    </row>
    <row r="115" spans="1:12">
      <c r="A115" s="39">
        <v>41835</v>
      </c>
      <c r="B115" s="7" t="s">
        <v>27</v>
      </c>
      <c r="C115">
        <v>32</v>
      </c>
      <c r="D115" s="40" t="s">
        <v>19</v>
      </c>
      <c r="F115">
        <v>2.84</v>
      </c>
      <c r="J115">
        <f>75+135+136+175+176+205+204</f>
        <v>1106</v>
      </c>
      <c r="K115">
        <v>7</v>
      </c>
      <c r="L115">
        <v>205</v>
      </c>
    </row>
    <row r="116" spans="1:12">
      <c r="A116" s="39">
        <v>41835</v>
      </c>
      <c r="B116" s="7" t="s">
        <v>27</v>
      </c>
      <c r="C116">
        <v>32</v>
      </c>
      <c r="D116" s="40" t="s">
        <v>60</v>
      </c>
      <c r="F116">
        <v>2.6</v>
      </c>
      <c r="J116">
        <f>111+166+210+214+228</f>
        <v>929</v>
      </c>
      <c r="K116">
        <v>5</v>
      </c>
      <c r="L116">
        <v>228</v>
      </c>
    </row>
    <row r="117" spans="1:12">
      <c r="A117" s="39">
        <v>41835</v>
      </c>
      <c r="B117" s="7" t="s">
        <v>27</v>
      </c>
      <c r="C117">
        <v>32</v>
      </c>
      <c r="D117" s="40" t="s">
        <v>60</v>
      </c>
      <c r="F117">
        <v>2.4500000000000002</v>
      </c>
      <c r="J117">
        <f>59+120+152+161+167+187+207+217</f>
        <v>1270</v>
      </c>
      <c r="K117">
        <v>8</v>
      </c>
      <c r="L117">
        <v>217</v>
      </c>
    </row>
    <row r="118" spans="1:12">
      <c r="A118" s="39">
        <v>41835</v>
      </c>
      <c r="B118" s="7" t="s">
        <v>27</v>
      </c>
      <c r="C118">
        <v>32</v>
      </c>
      <c r="D118" s="40" t="s">
        <v>19</v>
      </c>
      <c r="F118">
        <v>7.47</v>
      </c>
      <c r="J118">
        <f>116+197+131+148+164+187+193+198+209</f>
        <v>1543</v>
      </c>
      <c r="K118">
        <v>9</v>
      </c>
      <c r="L118">
        <v>209</v>
      </c>
    </row>
    <row r="119" spans="1:12">
      <c r="A119" s="39">
        <v>41835</v>
      </c>
      <c r="B119" s="7" t="s">
        <v>27</v>
      </c>
      <c r="C119">
        <v>32</v>
      </c>
      <c r="D119" s="40" t="s">
        <v>60</v>
      </c>
      <c r="F119">
        <v>4.3</v>
      </c>
      <c r="J119">
        <f>34+42+44+44+44+161+213+256</f>
        <v>838</v>
      </c>
      <c r="K119">
        <v>8</v>
      </c>
      <c r="L119">
        <v>256</v>
      </c>
    </row>
    <row r="120" spans="1:12">
      <c r="A120" s="39">
        <v>41835</v>
      </c>
      <c r="B120" s="7" t="s">
        <v>27</v>
      </c>
      <c r="C120">
        <v>32</v>
      </c>
      <c r="D120" s="40" t="s">
        <v>60</v>
      </c>
      <c r="E120">
        <v>252</v>
      </c>
      <c r="F120">
        <v>3.3</v>
      </c>
      <c r="H120">
        <v>34</v>
      </c>
      <c r="I120">
        <v>2.5</v>
      </c>
    </row>
    <row r="121" spans="1:12">
      <c r="A121" s="39">
        <v>41835</v>
      </c>
      <c r="B121" s="7" t="s">
        <v>27</v>
      </c>
      <c r="C121">
        <v>23</v>
      </c>
      <c r="D121" s="40" t="s">
        <v>19</v>
      </c>
      <c r="F121">
        <v>4.75</v>
      </c>
      <c r="J121">
        <f>119+150+160+182+109</f>
        <v>720</v>
      </c>
      <c r="K121">
        <v>5</v>
      </c>
      <c r="L121">
        <v>182</v>
      </c>
    </row>
    <row r="122" spans="1:12">
      <c r="A122" s="39">
        <v>41835</v>
      </c>
      <c r="B122" s="7" t="s">
        <v>27</v>
      </c>
      <c r="C122">
        <v>23</v>
      </c>
      <c r="D122" s="40" t="s">
        <v>62</v>
      </c>
      <c r="E122">
        <v>58</v>
      </c>
      <c r="F122">
        <v>1.96</v>
      </c>
    </row>
    <row r="123" spans="1:12">
      <c r="A123" s="39">
        <v>41835</v>
      </c>
      <c r="B123" s="7" t="s">
        <v>27</v>
      </c>
      <c r="C123">
        <v>23</v>
      </c>
      <c r="D123" s="40" t="s">
        <v>62</v>
      </c>
      <c r="E123">
        <v>140</v>
      </c>
      <c r="F123">
        <v>1.05</v>
      </c>
    </row>
    <row r="124" spans="1:12">
      <c r="A124" s="39">
        <v>41835</v>
      </c>
      <c r="B124" s="7" t="s">
        <v>27</v>
      </c>
      <c r="C124">
        <v>23</v>
      </c>
      <c r="D124" s="40" t="s">
        <v>62</v>
      </c>
      <c r="E124">
        <v>35</v>
      </c>
      <c r="F124">
        <v>0.57999999999999996</v>
      </c>
    </row>
    <row r="125" spans="1:12">
      <c r="A125" s="39">
        <v>41835</v>
      </c>
      <c r="B125" s="7" t="s">
        <v>27</v>
      </c>
      <c r="C125">
        <v>23</v>
      </c>
      <c r="D125" s="40" t="s">
        <v>62</v>
      </c>
      <c r="E125">
        <v>201</v>
      </c>
      <c r="F125">
        <v>1.08</v>
      </c>
    </row>
    <row r="126" spans="1:12">
      <c r="A126" s="39">
        <v>41835</v>
      </c>
      <c r="B126" s="7" t="s">
        <v>27</v>
      </c>
      <c r="C126">
        <v>20</v>
      </c>
      <c r="D126" s="40" t="s">
        <v>19</v>
      </c>
      <c r="F126">
        <v>2.58</v>
      </c>
      <c r="J126">
        <f>51+54+98+105+120</f>
        <v>428</v>
      </c>
      <c r="K126">
        <v>5</v>
      </c>
      <c r="L126">
        <v>120</v>
      </c>
    </row>
    <row r="127" spans="1:12">
      <c r="A127" s="39">
        <v>41835</v>
      </c>
      <c r="B127" s="7" t="s">
        <v>27</v>
      </c>
      <c r="C127">
        <v>20</v>
      </c>
      <c r="D127" s="40" t="s">
        <v>19</v>
      </c>
      <c r="E127">
        <v>227</v>
      </c>
      <c r="F127">
        <v>3.85</v>
      </c>
      <c r="H127">
        <v>28</v>
      </c>
      <c r="I127">
        <v>2.5</v>
      </c>
    </row>
    <row r="128" spans="1:12">
      <c r="A128" s="39">
        <v>41835</v>
      </c>
      <c r="B128" s="7" t="s">
        <v>27</v>
      </c>
      <c r="C128">
        <v>20</v>
      </c>
      <c r="D128" s="40" t="s">
        <v>60</v>
      </c>
      <c r="E128">
        <v>250</v>
      </c>
      <c r="F128">
        <v>2.2400000000000002</v>
      </c>
      <c r="H128">
        <v>33</v>
      </c>
      <c r="I128">
        <v>2</v>
      </c>
    </row>
    <row r="129" spans="1:12">
      <c r="A129" s="39">
        <v>41835</v>
      </c>
      <c r="B129" s="7" t="s">
        <v>27</v>
      </c>
      <c r="C129">
        <v>20</v>
      </c>
      <c r="D129" s="40" t="s">
        <v>60</v>
      </c>
      <c r="F129">
        <v>1.39</v>
      </c>
      <c r="J129">
        <f>118+150+151+178+180+190+200</f>
        <v>1167</v>
      </c>
      <c r="K129">
        <v>7</v>
      </c>
      <c r="L129">
        <v>200</v>
      </c>
    </row>
    <row r="130" spans="1:12">
      <c r="A130" s="39">
        <v>41835</v>
      </c>
      <c r="B130" s="7" t="s">
        <v>27</v>
      </c>
      <c r="C130">
        <v>20</v>
      </c>
      <c r="D130" s="40" t="s">
        <v>19</v>
      </c>
      <c r="F130">
        <v>6.51</v>
      </c>
      <c r="J130">
        <f>166+179+187+183+203+210+217</f>
        <v>1345</v>
      </c>
      <c r="K130">
        <v>7</v>
      </c>
      <c r="L130">
        <v>217</v>
      </c>
    </row>
    <row r="131" spans="1:12">
      <c r="A131" s="39">
        <v>41835</v>
      </c>
      <c r="B131" s="7" t="s">
        <v>27</v>
      </c>
      <c r="C131">
        <v>20</v>
      </c>
      <c r="D131" s="40" t="s">
        <v>60</v>
      </c>
      <c r="F131">
        <v>3.52</v>
      </c>
      <c r="J131">
        <f>122+124+140+160+184+205+232+254+266</f>
        <v>1687</v>
      </c>
      <c r="K131">
        <v>9</v>
      </c>
      <c r="L131">
        <v>266</v>
      </c>
    </row>
    <row r="132" spans="1:12">
      <c r="A132" s="39">
        <v>41835</v>
      </c>
      <c r="B132" s="7" t="s">
        <v>22</v>
      </c>
      <c r="C132">
        <v>41</v>
      </c>
      <c r="D132" s="40" t="s">
        <v>19</v>
      </c>
      <c r="F132">
        <v>3.75</v>
      </c>
      <c r="J132">
        <f>213+290+295+321+344+343</f>
        <v>1806</v>
      </c>
      <c r="K132">
        <v>6</v>
      </c>
      <c r="L132">
        <v>344</v>
      </c>
    </row>
    <row r="133" spans="1:12">
      <c r="A133" s="39">
        <v>41835</v>
      </c>
      <c r="B133" s="7" t="s">
        <v>22</v>
      </c>
      <c r="C133">
        <v>41</v>
      </c>
      <c r="D133" s="40" t="s">
        <v>60</v>
      </c>
      <c r="F133">
        <v>3.11</v>
      </c>
      <c r="J133">
        <f>262+331+340+380</f>
        <v>1313</v>
      </c>
      <c r="K133">
        <v>4</v>
      </c>
      <c r="L133">
        <v>380</v>
      </c>
    </row>
    <row r="134" spans="1:12">
      <c r="A134" s="39">
        <v>41835</v>
      </c>
      <c r="B134" s="7" t="s">
        <v>22</v>
      </c>
      <c r="C134">
        <v>41</v>
      </c>
      <c r="D134" s="40" t="s">
        <v>19</v>
      </c>
      <c r="F134">
        <v>3.93</v>
      </c>
      <c r="J134">
        <f>214+236+270+297+325+337+347</f>
        <v>2026</v>
      </c>
      <c r="K134">
        <v>7</v>
      </c>
      <c r="L134">
        <v>349</v>
      </c>
    </row>
    <row r="135" spans="1:12">
      <c r="A135" s="39">
        <v>41835</v>
      </c>
      <c r="B135" s="7" t="s">
        <v>22</v>
      </c>
      <c r="C135">
        <v>41</v>
      </c>
      <c r="D135" s="40" t="s">
        <v>60</v>
      </c>
      <c r="F135">
        <v>3.45</v>
      </c>
      <c r="J135">
        <f>229+230+272+317</f>
        <v>1048</v>
      </c>
      <c r="K135">
        <v>4</v>
      </c>
      <c r="L135">
        <v>317</v>
      </c>
    </row>
    <row r="136" spans="1:12">
      <c r="A136" s="39">
        <v>41835</v>
      </c>
      <c r="B136" s="7" t="s">
        <v>22</v>
      </c>
      <c r="C136">
        <v>41</v>
      </c>
      <c r="D136" s="40" t="s">
        <v>60</v>
      </c>
      <c r="F136">
        <v>1.98</v>
      </c>
      <c r="J136">
        <f>129+196+226+260+298+318+323</f>
        <v>1750</v>
      </c>
      <c r="K136">
        <v>7</v>
      </c>
      <c r="L136">
        <v>323</v>
      </c>
    </row>
    <row r="137" spans="1:12">
      <c r="A137" s="39">
        <v>41835</v>
      </c>
      <c r="B137" s="7" t="s">
        <v>22</v>
      </c>
      <c r="C137">
        <v>41</v>
      </c>
      <c r="D137" s="40" t="s">
        <v>19</v>
      </c>
      <c r="F137">
        <v>0.83</v>
      </c>
      <c r="J137">
        <f>32+3</f>
        <v>35</v>
      </c>
      <c r="K137">
        <v>2</v>
      </c>
      <c r="L137">
        <v>33</v>
      </c>
    </row>
    <row r="138" spans="1:12">
      <c r="A138" s="39">
        <v>41835</v>
      </c>
      <c r="B138" s="7" t="s">
        <v>22</v>
      </c>
      <c r="C138">
        <v>41</v>
      </c>
      <c r="D138" s="40" t="s">
        <v>60</v>
      </c>
      <c r="F138">
        <v>1.38</v>
      </c>
      <c r="J138">
        <f>35+71+72+82</f>
        <v>260</v>
      </c>
      <c r="K138">
        <v>4</v>
      </c>
      <c r="L138">
        <v>82</v>
      </c>
    </row>
    <row r="139" spans="1:12">
      <c r="A139" s="39">
        <v>41835</v>
      </c>
      <c r="B139" s="7" t="s">
        <v>22</v>
      </c>
      <c r="C139">
        <v>41</v>
      </c>
      <c r="D139" s="40" t="s">
        <v>60</v>
      </c>
      <c r="F139">
        <v>1.8</v>
      </c>
      <c r="J139">
        <f>153+231+249+271+280</f>
        <v>1184</v>
      </c>
      <c r="K139">
        <v>5</v>
      </c>
      <c r="L139">
        <v>280</v>
      </c>
    </row>
    <row r="140" spans="1:12">
      <c r="A140" s="39">
        <v>41835</v>
      </c>
      <c r="B140" s="7" t="s">
        <v>22</v>
      </c>
      <c r="C140">
        <v>41</v>
      </c>
      <c r="D140" t="s">
        <v>19</v>
      </c>
      <c r="F140">
        <v>3.7</v>
      </c>
      <c r="J140">
        <f>182+221+252+283+311+317+329+343</f>
        <v>2238</v>
      </c>
      <c r="K140">
        <v>8</v>
      </c>
      <c r="L140">
        <v>343</v>
      </c>
    </row>
    <row r="141" spans="1:12">
      <c r="A141" s="39">
        <v>41835</v>
      </c>
      <c r="B141" s="7" t="s">
        <v>22</v>
      </c>
      <c r="C141">
        <v>41</v>
      </c>
      <c r="D141" t="s">
        <v>60</v>
      </c>
      <c r="F141">
        <v>3.3</v>
      </c>
      <c r="J141">
        <f>106+108+123+161+236+240+329</f>
        <v>1303</v>
      </c>
      <c r="K141">
        <v>7</v>
      </c>
      <c r="L141">
        <v>329</v>
      </c>
    </row>
    <row r="142" spans="1:12">
      <c r="A142" s="39">
        <v>41835</v>
      </c>
      <c r="B142" s="7" t="s">
        <v>22</v>
      </c>
      <c r="C142">
        <v>41</v>
      </c>
      <c r="D142" t="s">
        <v>19</v>
      </c>
      <c r="F142">
        <v>0.94</v>
      </c>
      <c r="J142">
        <f>53+92+107+170+178</f>
        <v>600</v>
      </c>
      <c r="K142">
        <v>5</v>
      </c>
      <c r="L142">
        <v>178</v>
      </c>
    </row>
    <row r="143" spans="1:12">
      <c r="A143" s="39">
        <v>41835</v>
      </c>
      <c r="B143" s="7" t="s">
        <v>22</v>
      </c>
      <c r="C143">
        <v>41</v>
      </c>
      <c r="D143" t="s">
        <v>19</v>
      </c>
      <c r="F143">
        <v>3.9</v>
      </c>
      <c r="J143">
        <f>181+235+284+297+329+366</f>
        <v>1692</v>
      </c>
      <c r="K143">
        <v>6</v>
      </c>
      <c r="L143">
        <v>366</v>
      </c>
    </row>
    <row r="144" spans="1:12">
      <c r="A144" s="39">
        <v>41835</v>
      </c>
      <c r="B144" s="7" t="s">
        <v>22</v>
      </c>
      <c r="C144">
        <v>41</v>
      </c>
      <c r="D144" t="s">
        <v>19</v>
      </c>
      <c r="F144">
        <v>2.7</v>
      </c>
      <c r="J144">
        <f>185+308+310+359+387+492</f>
        <v>2041</v>
      </c>
      <c r="K144">
        <v>6</v>
      </c>
      <c r="L144">
        <v>492</v>
      </c>
    </row>
    <row r="145" spans="1:12">
      <c r="A145" s="39">
        <v>41835</v>
      </c>
      <c r="B145" s="7" t="s">
        <v>22</v>
      </c>
      <c r="C145">
        <v>41</v>
      </c>
      <c r="D145" t="s">
        <v>19</v>
      </c>
      <c r="F145">
        <v>1.67</v>
      </c>
      <c r="J145">
        <f>176+229+243+273+301</f>
        <v>1222</v>
      </c>
      <c r="K145">
        <v>5</v>
      </c>
      <c r="L145">
        <v>301</v>
      </c>
    </row>
    <row r="146" spans="1:12">
      <c r="A146" s="39">
        <v>41835</v>
      </c>
      <c r="B146" s="7" t="s">
        <v>22</v>
      </c>
      <c r="C146">
        <v>33</v>
      </c>
      <c r="D146" t="s">
        <v>60</v>
      </c>
      <c r="E146">
        <v>371</v>
      </c>
      <c r="F146">
        <v>3.05</v>
      </c>
      <c r="H146">
        <v>31</v>
      </c>
      <c r="I146">
        <v>2</v>
      </c>
    </row>
    <row r="147" spans="1:12">
      <c r="A147" s="39">
        <v>41835</v>
      </c>
      <c r="B147" s="7" t="s">
        <v>22</v>
      </c>
      <c r="C147">
        <v>33</v>
      </c>
      <c r="D147" t="s">
        <v>60</v>
      </c>
      <c r="F147">
        <v>0.97</v>
      </c>
      <c r="J147">
        <f>238+246+279</f>
        <v>763</v>
      </c>
      <c r="K147">
        <v>3</v>
      </c>
      <c r="L147">
        <v>279</v>
      </c>
    </row>
    <row r="148" spans="1:12">
      <c r="A148" s="39">
        <v>41835</v>
      </c>
      <c r="B148" s="7" t="s">
        <v>22</v>
      </c>
      <c r="C148">
        <v>33</v>
      </c>
      <c r="D148" t="s">
        <v>19</v>
      </c>
      <c r="F148">
        <v>6.52</v>
      </c>
      <c r="J148">
        <f>245+286+279+315+365+362+384</f>
        <v>2236</v>
      </c>
      <c r="K148">
        <v>7</v>
      </c>
      <c r="L148">
        <v>384</v>
      </c>
    </row>
    <row r="149" spans="1:12">
      <c r="A149" s="39">
        <v>41835</v>
      </c>
      <c r="B149" s="7" t="s">
        <v>22</v>
      </c>
      <c r="C149">
        <v>33</v>
      </c>
      <c r="D149" t="s">
        <v>19</v>
      </c>
      <c r="F149">
        <v>3.85</v>
      </c>
      <c r="J149">
        <f>284+330+336+355+357</f>
        <v>1662</v>
      </c>
      <c r="K149">
        <v>5</v>
      </c>
      <c r="L149">
        <v>357</v>
      </c>
    </row>
    <row r="150" spans="1:12">
      <c r="A150" s="39">
        <v>41835</v>
      </c>
      <c r="B150" s="7" t="s">
        <v>22</v>
      </c>
      <c r="C150">
        <v>33</v>
      </c>
      <c r="D150" t="s">
        <v>19</v>
      </c>
      <c r="F150">
        <v>4.4000000000000004</v>
      </c>
      <c r="J150">
        <f>170+197+256+320+319+325+338+122</f>
        <v>2047</v>
      </c>
      <c r="K150">
        <v>8</v>
      </c>
      <c r="L150">
        <v>338</v>
      </c>
    </row>
    <row r="151" spans="1:12">
      <c r="A151" s="39">
        <v>41835</v>
      </c>
      <c r="B151" s="7" t="s">
        <v>22</v>
      </c>
      <c r="C151">
        <v>33</v>
      </c>
      <c r="D151" t="s">
        <v>19</v>
      </c>
      <c r="F151">
        <v>3.76</v>
      </c>
      <c r="J151">
        <f>233+264+309+324+331</f>
        <v>1461</v>
      </c>
      <c r="K151">
        <v>5</v>
      </c>
      <c r="L151">
        <v>331</v>
      </c>
    </row>
    <row r="152" spans="1:12">
      <c r="A152" s="39">
        <v>41835</v>
      </c>
      <c r="B152" s="7" t="s">
        <v>22</v>
      </c>
      <c r="C152">
        <v>33</v>
      </c>
      <c r="D152" t="s">
        <v>19</v>
      </c>
      <c r="F152">
        <v>2.0499999999999998</v>
      </c>
      <c r="J152">
        <f>178+171+217+219+244</f>
        <v>1029</v>
      </c>
      <c r="K152">
        <v>5</v>
      </c>
      <c r="L152">
        <v>244</v>
      </c>
    </row>
    <row r="153" spans="1:12">
      <c r="A153" s="39">
        <v>41835</v>
      </c>
      <c r="B153" s="7" t="s">
        <v>22</v>
      </c>
      <c r="C153">
        <v>33</v>
      </c>
      <c r="D153" t="s">
        <v>19</v>
      </c>
      <c r="F153">
        <v>0.76</v>
      </c>
      <c r="J153">
        <f>99+108+162+198+302</f>
        <v>869</v>
      </c>
      <c r="K153">
        <v>5</v>
      </c>
      <c r="L153">
        <v>302</v>
      </c>
    </row>
    <row r="154" spans="1:12">
      <c r="A154" s="39">
        <v>41835</v>
      </c>
      <c r="B154" s="7" t="s">
        <v>22</v>
      </c>
      <c r="C154">
        <v>33</v>
      </c>
      <c r="D154" t="s">
        <v>19</v>
      </c>
      <c r="F154">
        <v>1.97</v>
      </c>
      <c r="J154">
        <f>73+118+123+153+160</f>
        <v>627</v>
      </c>
      <c r="K154">
        <v>5</v>
      </c>
      <c r="L154">
        <v>160</v>
      </c>
    </row>
    <row r="155" spans="1:12">
      <c r="A155" s="39">
        <v>41835</v>
      </c>
      <c r="B155" s="7" t="s">
        <v>22</v>
      </c>
      <c r="C155">
        <v>32</v>
      </c>
      <c r="D155" t="s">
        <v>19</v>
      </c>
      <c r="F155">
        <v>3.94</v>
      </c>
      <c r="J155">
        <f>200+253+387+315+323+331+37</f>
        <v>1846</v>
      </c>
      <c r="K155">
        <v>7</v>
      </c>
      <c r="L155">
        <v>331</v>
      </c>
    </row>
    <row r="156" spans="1:12">
      <c r="A156" s="39">
        <v>41835</v>
      </c>
      <c r="B156" s="7" t="s">
        <v>22</v>
      </c>
      <c r="C156">
        <v>32</v>
      </c>
      <c r="D156" t="s">
        <v>19</v>
      </c>
      <c r="F156">
        <v>2.65</v>
      </c>
      <c r="J156">
        <f>219+258+265+301+312</f>
        <v>1355</v>
      </c>
      <c r="K156">
        <v>5</v>
      </c>
      <c r="L156">
        <v>312</v>
      </c>
    </row>
    <row r="157" spans="1:12">
      <c r="A157" s="39">
        <v>41835</v>
      </c>
      <c r="B157" s="7" t="s">
        <v>22</v>
      </c>
      <c r="C157">
        <v>32</v>
      </c>
      <c r="D157" t="s">
        <v>19</v>
      </c>
      <c r="F157">
        <v>5.73</v>
      </c>
      <c r="J157">
        <f>279+317+340+352+374+384+387+393</f>
        <v>2826</v>
      </c>
      <c r="K157">
        <v>8</v>
      </c>
      <c r="L157">
        <v>393</v>
      </c>
    </row>
    <row r="158" spans="1:12">
      <c r="A158" s="39">
        <v>41835</v>
      </c>
      <c r="B158" s="7" t="s">
        <v>22</v>
      </c>
      <c r="C158">
        <v>32</v>
      </c>
      <c r="D158" t="s">
        <v>60</v>
      </c>
      <c r="E158">
        <v>208</v>
      </c>
      <c r="F158">
        <v>3.12</v>
      </c>
      <c r="H158">
        <v>35</v>
      </c>
      <c r="I158">
        <v>2.5</v>
      </c>
    </row>
    <row r="159" spans="1:12">
      <c r="A159" s="39">
        <v>41835</v>
      </c>
      <c r="B159" s="7" t="s">
        <v>22</v>
      </c>
      <c r="C159">
        <v>30</v>
      </c>
      <c r="D159" t="s">
        <v>19</v>
      </c>
      <c r="F159">
        <v>5.88</v>
      </c>
      <c r="J159">
        <f>218+236+267+293+303+302+314+323</f>
        <v>2256</v>
      </c>
      <c r="K159">
        <v>8</v>
      </c>
      <c r="L159">
        <v>323</v>
      </c>
    </row>
    <row r="160" spans="1:12">
      <c r="A160" s="39">
        <v>41835</v>
      </c>
      <c r="B160" s="7" t="s">
        <v>22</v>
      </c>
      <c r="C160">
        <v>30</v>
      </c>
      <c r="D160" t="s">
        <v>62</v>
      </c>
      <c r="E160">
        <v>367</v>
      </c>
      <c r="F160">
        <v>1.21</v>
      </c>
    </row>
    <row r="161" spans="1:12">
      <c r="A161" s="39">
        <v>41835</v>
      </c>
      <c r="B161" s="7" t="s">
        <v>22</v>
      </c>
      <c r="C161">
        <v>30</v>
      </c>
      <c r="D161" t="s">
        <v>62</v>
      </c>
      <c r="E161">
        <v>269</v>
      </c>
      <c r="F161">
        <v>1.26</v>
      </c>
      <c r="G161">
        <v>4</v>
      </c>
    </row>
    <row r="162" spans="1:12">
      <c r="A162" s="39">
        <v>41835</v>
      </c>
      <c r="B162" s="7" t="s">
        <v>22</v>
      </c>
      <c r="C162">
        <v>30</v>
      </c>
      <c r="D162" t="s">
        <v>19</v>
      </c>
      <c r="F162">
        <v>7.84</v>
      </c>
      <c r="J162">
        <f>181+211+277+293+296+306</f>
        <v>1564</v>
      </c>
      <c r="K162">
        <v>6</v>
      </c>
      <c r="L162">
        <v>306</v>
      </c>
    </row>
    <row r="163" spans="1:12">
      <c r="A163" s="39">
        <v>41835</v>
      </c>
      <c r="B163" s="7" t="s">
        <v>22</v>
      </c>
      <c r="C163">
        <v>30</v>
      </c>
      <c r="D163" t="s">
        <v>62</v>
      </c>
      <c r="E163">
        <v>110</v>
      </c>
      <c r="F163">
        <v>0.47</v>
      </c>
    </row>
    <row r="164" spans="1:12">
      <c r="A164" s="39">
        <v>41835</v>
      </c>
      <c r="B164" s="7" t="s">
        <v>22</v>
      </c>
      <c r="C164">
        <v>30</v>
      </c>
      <c r="D164" t="s">
        <v>19</v>
      </c>
      <c r="F164">
        <v>2.08</v>
      </c>
      <c r="J164">
        <f>130+162+200+204+226+258</f>
        <v>1180</v>
      </c>
      <c r="K164">
        <v>6</v>
      </c>
      <c r="L164">
        <v>258</v>
      </c>
    </row>
    <row r="165" spans="1:12">
      <c r="A165" s="39">
        <v>41835</v>
      </c>
      <c r="B165" s="7" t="s">
        <v>22</v>
      </c>
      <c r="C165">
        <v>30</v>
      </c>
      <c r="D165" t="s">
        <v>62</v>
      </c>
      <c r="E165">
        <v>227</v>
      </c>
      <c r="F165">
        <v>0.89</v>
      </c>
    </row>
    <row r="166" spans="1:12">
      <c r="A166" s="39">
        <v>41835</v>
      </c>
      <c r="B166" s="7" t="s">
        <v>22</v>
      </c>
      <c r="C166">
        <v>30</v>
      </c>
      <c r="D166" t="s">
        <v>19</v>
      </c>
      <c r="F166">
        <v>1.6</v>
      </c>
      <c r="J166">
        <f>159+219+251+258</f>
        <v>887</v>
      </c>
      <c r="K166">
        <v>4</v>
      </c>
      <c r="L166">
        <v>258</v>
      </c>
    </row>
    <row r="167" spans="1:12">
      <c r="A167" s="39">
        <v>41835</v>
      </c>
      <c r="B167" s="7" t="s">
        <v>22</v>
      </c>
      <c r="C167">
        <v>30</v>
      </c>
      <c r="D167" t="s">
        <v>19</v>
      </c>
      <c r="F167">
        <v>6.65</v>
      </c>
      <c r="J167">
        <f>205+229+260+287+294+297+296+301+305</f>
        <v>2474</v>
      </c>
      <c r="K167">
        <v>9</v>
      </c>
      <c r="L167">
        <v>305</v>
      </c>
    </row>
    <row r="168" spans="1:12">
      <c r="A168" s="39">
        <v>41835</v>
      </c>
      <c r="B168" s="7" t="s">
        <v>22</v>
      </c>
      <c r="C168">
        <v>30</v>
      </c>
      <c r="D168" t="s">
        <v>62</v>
      </c>
      <c r="E168">
        <v>247</v>
      </c>
      <c r="F168">
        <v>1.1399999999999999</v>
      </c>
    </row>
    <row r="169" spans="1:12">
      <c r="A169" s="39">
        <v>41835</v>
      </c>
      <c r="B169" s="7" t="s">
        <v>22</v>
      </c>
      <c r="C169">
        <v>30</v>
      </c>
      <c r="D169" t="s">
        <v>19</v>
      </c>
      <c r="F169">
        <v>0.21</v>
      </c>
      <c r="J169">
        <f>54+81</f>
        <v>135</v>
      </c>
      <c r="K169">
        <v>2</v>
      </c>
      <c r="L169">
        <v>81</v>
      </c>
    </row>
    <row r="170" spans="1:12">
      <c r="A170" s="39">
        <v>41835</v>
      </c>
      <c r="B170" s="7" t="s">
        <v>22</v>
      </c>
      <c r="C170">
        <v>14</v>
      </c>
      <c r="D170" t="s">
        <v>19</v>
      </c>
      <c r="F170">
        <v>5.84</v>
      </c>
      <c r="J170">
        <f>136+154+203+206+246+244+254+269+280+296+311+186</f>
        <v>2785</v>
      </c>
      <c r="K170">
        <v>12</v>
      </c>
      <c r="L170">
        <v>311</v>
      </c>
    </row>
    <row r="171" spans="1:12">
      <c r="A171" s="39">
        <v>41835</v>
      </c>
      <c r="B171" s="7" t="s">
        <v>22</v>
      </c>
      <c r="C171">
        <v>14</v>
      </c>
      <c r="D171" t="s">
        <v>19</v>
      </c>
      <c r="F171">
        <v>4.17</v>
      </c>
      <c r="J171">
        <f>115+143+148+220+243+248+262+264+111</f>
        <v>1754</v>
      </c>
      <c r="K171">
        <v>9</v>
      </c>
      <c r="L171">
        <v>264</v>
      </c>
    </row>
    <row r="172" spans="1:12">
      <c r="A172" s="39">
        <v>41835</v>
      </c>
      <c r="B172" s="7" t="s">
        <v>22</v>
      </c>
      <c r="C172">
        <v>14</v>
      </c>
      <c r="D172" t="s">
        <v>19</v>
      </c>
      <c r="F172">
        <v>0.74</v>
      </c>
      <c r="J172">
        <f>30+48+59</f>
        <v>137</v>
      </c>
      <c r="K172">
        <v>3</v>
      </c>
      <c r="L172">
        <v>59</v>
      </c>
    </row>
    <row r="173" spans="1:12">
      <c r="A173" s="39">
        <v>41835</v>
      </c>
      <c r="B173" s="7" t="s">
        <v>22</v>
      </c>
      <c r="C173">
        <v>14</v>
      </c>
      <c r="D173" t="s">
        <v>19</v>
      </c>
      <c r="F173">
        <v>6.54</v>
      </c>
      <c r="J173">
        <f>100+122+129+137+152+179+210+230+249+263+268+275+297</f>
        <v>2611</v>
      </c>
      <c r="K173">
        <v>14</v>
      </c>
      <c r="L173">
        <v>297</v>
      </c>
    </row>
    <row r="174" spans="1:12">
      <c r="A174" s="39">
        <v>41835</v>
      </c>
      <c r="B174" s="7" t="s">
        <v>22</v>
      </c>
      <c r="C174">
        <v>14</v>
      </c>
      <c r="D174" t="s">
        <v>19</v>
      </c>
      <c r="E174">
        <v>229</v>
      </c>
      <c r="F174">
        <v>4.1399999999999997</v>
      </c>
      <c r="H174">
        <v>22</v>
      </c>
      <c r="I174">
        <v>2.5</v>
      </c>
    </row>
    <row r="175" spans="1:12">
      <c r="A175" s="39">
        <v>41835</v>
      </c>
      <c r="B175" s="7" t="s">
        <v>22</v>
      </c>
      <c r="C175">
        <v>14</v>
      </c>
      <c r="D175" t="s">
        <v>19</v>
      </c>
      <c r="E175">
        <v>234</v>
      </c>
      <c r="F175">
        <v>5.17</v>
      </c>
      <c r="H175">
        <v>25</v>
      </c>
      <c r="I175">
        <v>3</v>
      </c>
    </row>
    <row r="176" spans="1:12">
      <c r="A176" s="39">
        <v>41835</v>
      </c>
      <c r="B176" s="7" t="s">
        <v>22</v>
      </c>
      <c r="C176">
        <v>14</v>
      </c>
      <c r="D176" t="s">
        <v>19</v>
      </c>
      <c r="F176">
        <v>5.81</v>
      </c>
      <c r="J176">
        <f>182+234+245+249+259</f>
        <v>1169</v>
      </c>
      <c r="K176">
        <v>5</v>
      </c>
      <c r="L176">
        <v>259</v>
      </c>
    </row>
    <row r="177" spans="1:12">
      <c r="A177" s="39">
        <v>41835</v>
      </c>
      <c r="B177" s="7" t="s">
        <v>22</v>
      </c>
      <c r="C177">
        <v>14</v>
      </c>
      <c r="D177" t="s">
        <v>60</v>
      </c>
      <c r="E177">
        <v>221</v>
      </c>
      <c r="F177">
        <v>3.83</v>
      </c>
      <c r="H177">
        <v>28</v>
      </c>
      <c r="I177">
        <v>2.5</v>
      </c>
    </row>
    <row r="178" spans="1:12">
      <c r="A178" s="39">
        <v>41835</v>
      </c>
      <c r="B178" s="7" t="s">
        <v>22</v>
      </c>
      <c r="C178">
        <v>14</v>
      </c>
      <c r="D178" t="s">
        <v>19</v>
      </c>
      <c r="F178">
        <v>4.25</v>
      </c>
      <c r="J178">
        <f>116+145+201+230+238+260+268+272</f>
        <v>1730</v>
      </c>
      <c r="K178">
        <v>8</v>
      </c>
      <c r="L178">
        <v>272</v>
      </c>
    </row>
    <row r="179" spans="1:12">
      <c r="A179" s="39">
        <v>41835</v>
      </c>
      <c r="B179" s="7" t="s">
        <v>22</v>
      </c>
      <c r="C179">
        <v>14</v>
      </c>
      <c r="D179" t="s">
        <v>19</v>
      </c>
      <c r="F179">
        <v>1.89</v>
      </c>
      <c r="J179">
        <f>32+47+57</f>
        <v>136</v>
      </c>
      <c r="K179">
        <v>3</v>
      </c>
      <c r="L179">
        <v>57</v>
      </c>
    </row>
    <row r="180" spans="1:12">
      <c r="A180" s="39">
        <v>41835</v>
      </c>
      <c r="B180" s="7" t="s">
        <v>22</v>
      </c>
      <c r="C180">
        <v>14</v>
      </c>
      <c r="D180" t="s">
        <v>19</v>
      </c>
      <c r="F180">
        <f>1.51</f>
        <v>1.51</v>
      </c>
      <c r="J180">
        <f>30+65+92+214+237+251</f>
        <v>889</v>
      </c>
      <c r="K180">
        <v>6</v>
      </c>
      <c r="L180">
        <v>251</v>
      </c>
    </row>
    <row r="181" spans="1:12">
      <c r="A181" s="39">
        <v>41835</v>
      </c>
      <c r="B181" s="7" t="s">
        <v>22</v>
      </c>
      <c r="C181">
        <v>14</v>
      </c>
      <c r="D181" t="s">
        <v>19</v>
      </c>
      <c r="F181">
        <v>1.43</v>
      </c>
      <c r="J181">
        <f>116+149+208+244+250+267</f>
        <v>1234</v>
      </c>
      <c r="K181">
        <v>6</v>
      </c>
      <c r="L181">
        <v>267</v>
      </c>
    </row>
    <row r="182" spans="1:12">
      <c r="A182" s="39">
        <v>41835</v>
      </c>
      <c r="B182" s="7" t="s">
        <v>22</v>
      </c>
      <c r="C182">
        <v>14</v>
      </c>
      <c r="D182" t="s">
        <v>19</v>
      </c>
      <c r="F182">
        <v>3.68</v>
      </c>
      <c r="J182">
        <f>165+183+183+203+107+240+236</f>
        <v>1317</v>
      </c>
      <c r="K182">
        <v>7</v>
      </c>
      <c r="L182">
        <v>240</v>
      </c>
    </row>
    <row r="183" spans="1:12">
      <c r="A183" s="39">
        <v>41835</v>
      </c>
      <c r="B183" s="7" t="s">
        <v>22</v>
      </c>
      <c r="C183">
        <v>14</v>
      </c>
      <c r="D183" t="s">
        <v>19</v>
      </c>
      <c r="F183">
        <v>5.38</v>
      </c>
      <c r="J183">
        <f>130+158+214+229+239+250+258+258+260</f>
        <v>1996</v>
      </c>
      <c r="K183">
        <v>9</v>
      </c>
      <c r="L183">
        <v>260</v>
      </c>
    </row>
    <row r="184" spans="1:12">
      <c r="A184" s="39">
        <v>41835</v>
      </c>
      <c r="B184" s="7" t="s">
        <v>22</v>
      </c>
      <c r="C184">
        <v>14</v>
      </c>
      <c r="D184" t="s">
        <v>19</v>
      </c>
      <c r="F184">
        <v>3.06</v>
      </c>
      <c r="J184">
        <f>51+62+69+140+181+217</f>
        <v>720</v>
      </c>
      <c r="K184">
        <v>6</v>
      </c>
      <c r="L184">
        <v>217</v>
      </c>
    </row>
    <row r="185" spans="1:12">
      <c r="A185" s="39">
        <v>41835</v>
      </c>
      <c r="B185" s="7" t="s">
        <v>22</v>
      </c>
      <c r="C185">
        <v>14</v>
      </c>
      <c r="D185" t="s">
        <v>19</v>
      </c>
      <c r="F185">
        <v>2.66</v>
      </c>
      <c r="J185">
        <f>135+153+185+205+205+230+244+256</f>
        <v>1613</v>
      </c>
      <c r="K185">
        <v>8</v>
      </c>
      <c r="L185">
        <v>256</v>
      </c>
    </row>
    <row r="186" spans="1:12">
      <c r="A186" s="39">
        <v>41835</v>
      </c>
      <c r="B186" s="7" t="s">
        <v>22</v>
      </c>
      <c r="C186">
        <v>14</v>
      </c>
      <c r="D186" t="s">
        <v>19</v>
      </c>
      <c r="F186">
        <v>4.41</v>
      </c>
      <c r="J186">
        <f>159+179+197+215+222+234+252+258+263</f>
        <v>1979</v>
      </c>
      <c r="K186">
        <v>9</v>
      </c>
      <c r="L186">
        <v>263</v>
      </c>
    </row>
    <row r="187" spans="1:12">
      <c r="A187" s="39">
        <v>41835</v>
      </c>
      <c r="B187" s="7" t="s">
        <v>22</v>
      </c>
      <c r="C187">
        <v>14</v>
      </c>
      <c r="D187" t="s">
        <v>19</v>
      </c>
      <c r="F187">
        <v>3.11</v>
      </c>
      <c r="J187">
        <f>148+178+223+224+226+230+242</f>
        <v>1471</v>
      </c>
      <c r="K187">
        <v>7</v>
      </c>
      <c r="L187">
        <v>242</v>
      </c>
    </row>
    <row r="188" spans="1:12">
      <c r="A188" s="39">
        <v>41835</v>
      </c>
      <c r="B188" s="7" t="s">
        <v>22</v>
      </c>
      <c r="C188">
        <v>14</v>
      </c>
      <c r="D188" t="s">
        <v>19</v>
      </c>
      <c r="E188">
        <v>247</v>
      </c>
      <c r="F188">
        <v>5.18</v>
      </c>
      <c r="H188">
        <v>21.5</v>
      </c>
      <c r="I188">
        <v>2.5</v>
      </c>
    </row>
    <row r="189" spans="1:12">
      <c r="A189" s="9">
        <v>41838</v>
      </c>
      <c r="B189" s="7" t="s">
        <v>25</v>
      </c>
      <c r="C189">
        <v>41</v>
      </c>
      <c r="D189" t="s">
        <v>19</v>
      </c>
      <c r="F189">
        <v>6.02</v>
      </c>
      <c r="J189">
        <f>174+196+237+273+280+314+341+371+377</f>
        <v>2563</v>
      </c>
      <c r="K189">
        <v>9</v>
      </c>
      <c r="L189">
        <v>377</v>
      </c>
    </row>
    <row r="190" spans="1:12">
      <c r="A190" s="9">
        <v>41838</v>
      </c>
      <c r="B190" s="7" t="s">
        <v>25</v>
      </c>
      <c r="C190">
        <v>41</v>
      </c>
      <c r="D190" t="s">
        <v>19</v>
      </c>
      <c r="F190">
        <v>3.01</v>
      </c>
      <c r="J190">
        <f>167+191+231+252+282+318+323</f>
        <v>1764</v>
      </c>
      <c r="K190">
        <v>7</v>
      </c>
      <c r="L190">
        <v>323</v>
      </c>
    </row>
    <row r="191" spans="1:12">
      <c r="A191" s="9">
        <v>41838</v>
      </c>
      <c r="B191" s="7" t="s">
        <v>25</v>
      </c>
      <c r="C191">
        <v>41</v>
      </c>
      <c r="D191" t="s">
        <v>19</v>
      </c>
      <c r="F191">
        <v>0.87</v>
      </c>
      <c r="J191">
        <f>68+75+98</f>
        <v>241</v>
      </c>
      <c r="K191">
        <v>3</v>
      </c>
      <c r="L191">
        <v>98</v>
      </c>
    </row>
    <row r="192" spans="1:12">
      <c r="A192" s="9">
        <v>41838</v>
      </c>
      <c r="B192" s="7" t="s">
        <v>25</v>
      </c>
      <c r="C192">
        <v>41</v>
      </c>
      <c r="D192" t="s">
        <v>19</v>
      </c>
      <c r="F192">
        <v>0.84</v>
      </c>
      <c r="J192">
        <f>44+65+122</f>
        <v>231</v>
      </c>
      <c r="K192">
        <v>3</v>
      </c>
      <c r="L192">
        <v>122</v>
      </c>
    </row>
    <row r="193" spans="1:12">
      <c r="A193" s="9">
        <v>41838</v>
      </c>
      <c r="B193" s="7" t="s">
        <v>25</v>
      </c>
      <c r="C193">
        <v>41</v>
      </c>
      <c r="D193" t="s">
        <v>19</v>
      </c>
      <c r="F193">
        <v>1.43</v>
      </c>
      <c r="J193">
        <f>60+89+125+129</f>
        <v>403</v>
      </c>
      <c r="K193">
        <v>4</v>
      </c>
      <c r="L193">
        <v>129</v>
      </c>
    </row>
    <row r="194" spans="1:12">
      <c r="A194" s="9">
        <v>41838</v>
      </c>
      <c r="B194" s="7" t="s">
        <v>25</v>
      </c>
      <c r="C194">
        <v>41</v>
      </c>
      <c r="D194" t="s">
        <v>19</v>
      </c>
      <c r="F194">
        <v>3.66</v>
      </c>
      <c r="J194">
        <f>131+177+200+232+245+281+286</f>
        <v>1552</v>
      </c>
      <c r="K194">
        <v>7</v>
      </c>
      <c r="L194">
        <v>286</v>
      </c>
    </row>
    <row r="195" spans="1:12">
      <c r="A195" s="9">
        <v>41838</v>
      </c>
      <c r="B195" s="7" t="s">
        <v>25</v>
      </c>
      <c r="C195">
        <v>41</v>
      </c>
      <c r="D195" t="s">
        <v>60</v>
      </c>
      <c r="E195">
        <v>306</v>
      </c>
      <c r="F195">
        <v>4.74</v>
      </c>
      <c r="H195">
        <v>27</v>
      </c>
      <c r="I195">
        <v>2.5</v>
      </c>
    </row>
    <row r="196" spans="1:12">
      <c r="A196" s="9">
        <v>41838</v>
      </c>
      <c r="B196" s="7" t="s">
        <v>25</v>
      </c>
      <c r="C196">
        <v>41</v>
      </c>
      <c r="D196" t="s">
        <v>19</v>
      </c>
      <c r="E196">
        <v>277</v>
      </c>
      <c r="F196">
        <v>3.1</v>
      </c>
      <c r="H196">
        <v>25</v>
      </c>
      <c r="I196">
        <v>2.5</v>
      </c>
    </row>
    <row r="197" spans="1:12">
      <c r="A197" s="9">
        <v>41838</v>
      </c>
      <c r="B197" s="7" t="s">
        <v>25</v>
      </c>
      <c r="C197">
        <v>33</v>
      </c>
      <c r="D197" t="s">
        <v>60</v>
      </c>
      <c r="F197">
        <v>2.37</v>
      </c>
      <c r="J197">
        <f>148+183+213+220+242+244+273</f>
        <v>1523</v>
      </c>
      <c r="K197">
        <v>7</v>
      </c>
      <c r="L197">
        <v>273</v>
      </c>
    </row>
    <row r="198" spans="1:12">
      <c r="A198" s="9">
        <v>41838</v>
      </c>
      <c r="B198" s="7" t="s">
        <v>25</v>
      </c>
      <c r="C198">
        <v>33</v>
      </c>
      <c r="D198" t="s">
        <v>60</v>
      </c>
      <c r="E198">
        <v>332</v>
      </c>
      <c r="F198">
        <v>2.75</v>
      </c>
      <c r="H198">
        <v>34.5</v>
      </c>
      <c r="I198">
        <v>2.5</v>
      </c>
    </row>
    <row r="199" spans="1:12">
      <c r="A199" s="9">
        <v>41838</v>
      </c>
      <c r="B199" s="7" t="s">
        <v>25</v>
      </c>
      <c r="C199">
        <v>33</v>
      </c>
      <c r="D199" t="s">
        <v>19</v>
      </c>
      <c r="F199">
        <v>2.41</v>
      </c>
      <c r="J199">
        <f>180+184+245+257+275+287+288</f>
        <v>1716</v>
      </c>
      <c r="K199">
        <v>7</v>
      </c>
      <c r="L199">
        <v>288</v>
      </c>
    </row>
    <row r="200" spans="1:12">
      <c r="A200" s="9">
        <v>41838</v>
      </c>
      <c r="B200" s="7" t="s">
        <v>25</v>
      </c>
      <c r="C200">
        <v>32</v>
      </c>
      <c r="D200" t="s">
        <v>19</v>
      </c>
      <c r="F200">
        <v>5.6</v>
      </c>
      <c r="J200">
        <f>187+246+285+290+318+335+348+356+362+172</f>
        <v>2899</v>
      </c>
      <c r="K200">
        <v>10</v>
      </c>
      <c r="L200">
        <v>362</v>
      </c>
    </row>
    <row r="201" spans="1:12">
      <c r="A201" s="9">
        <v>41838</v>
      </c>
      <c r="B201" s="7" t="s">
        <v>25</v>
      </c>
      <c r="C201">
        <v>32</v>
      </c>
      <c r="D201" t="s">
        <v>19</v>
      </c>
      <c r="F201">
        <v>2.14</v>
      </c>
      <c r="J201">
        <f>32+87+98+111+116</f>
        <v>444</v>
      </c>
      <c r="K201">
        <v>5</v>
      </c>
      <c r="L201">
        <v>116</v>
      </c>
    </row>
    <row r="202" spans="1:12">
      <c r="A202" s="9">
        <v>41838</v>
      </c>
      <c r="B202" s="7" t="s">
        <v>25</v>
      </c>
      <c r="C202">
        <v>32</v>
      </c>
      <c r="D202" t="s">
        <v>19</v>
      </c>
      <c r="F202">
        <v>3.9</v>
      </c>
      <c r="J202">
        <f>124+153+154+293+317+356+360+369+380</f>
        <v>2506</v>
      </c>
      <c r="K202">
        <v>9</v>
      </c>
      <c r="L202">
        <v>380</v>
      </c>
    </row>
    <row r="203" spans="1:12">
      <c r="A203" s="9">
        <v>41838</v>
      </c>
      <c r="B203" s="7" t="s">
        <v>25</v>
      </c>
      <c r="C203">
        <v>32</v>
      </c>
      <c r="D203" t="s">
        <v>19</v>
      </c>
      <c r="F203">
        <v>3.22</v>
      </c>
      <c r="J203">
        <f>69+119+164+247+248+257</f>
        <v>1104</v>
      </c>
      <c r="K203">
        <v>6</v>
      </c>
      <c r="L203">
        <v>257</v>
      </c>
    </row>
    <row r="204" spans="1:12">
      <c r="A204" s="9">
        <v>41838</v>
      </c>
      <c r="B204" s="7" t="s">
        <v>25</v>
      </c>
      <c r="C204">
        <v>30</v>
      </c>
      <c r="D204" t="s">
        <v>19</v>
      </c>
      <c r="F204">
        <v>3.81</v>
      </c>
      <c r="J204">
        <f>136+138+148+145+150+156+157</f>
        <v>1030</v>
      </c>
      <c r="K204">
        <v>7</v>
      </c>
      <c r="L204">
        <v>157</v>
      </c>
    </row>
    <row r="205" spans="1:12">
      <c r="A205" s="9">
        <v>41838</v>
      </c>
      <c r="B205" s="7" t="s">
        <v>25</v>
      </c>
      <c r="C205">
        <v>30</v>
      </c>
      <c r="D205" t="s">
        <v>19</v>
      </c>
      <c r="F205">
        <v>4.74</v>
      </c>
      <c r="J205">
        <f>99+127+145+193+180+232+245+246+247+257+268</f>
        <v>2239</v>
      </c>
      <c r="K205">
        <v>11</v>
      </c>
      <c r="L205">
        <v>268</v>
      </c>
    </row>
    <row r="206" spans="1:12">
      <c r="A206" s="9">
        <v>41838</v>
      </c>
      <c r="B206" s="7" t="s">
        <v>25</v>
      </c>
      <c r="C206">
        <v>30</v>
      </c>
      <c r="D206" t="s">
        <v>19</v>
      </c>
      <c r="F206">
        <v>1.7</v>
      </c>
      <c r="J206">
        <f>133+188+207+213+246</f>
        <v>987</v>
      </c>
      <c r="K206">
        <v>5</v>
      </c>
      <c r="L206">
        <v>246</v>
      </c>
    </row>
    <row r="207" spans="1:12">
      <c r="A207" s="9">
        <v>41838</v>
      </c>
      <c r="B207" s="7" t="s">
        <v>25</v>
      </c>
      <c r="C207">
        <v>30</v>
      </c>
      <c r="D207" t="s">
        <v>19</v>
      </c>
      <c r="F207">
        <v>1.0900000000000001</v>
      </c>
      <c r="J207">
        <f>52+96+115+155</f>
        <v>418</v>
      </c>
      <c r="K207">
        <v>4</v>
      </c>
      <c r="L207">
        <v>155</v>
      </c>
    </row>
    <row r="208" spans="1:12">
      <c r="A208" s="9">
        <v>41838</v>
      </c>
      <c r="B208" s="7" t="s">
        <v>25</v>
      </c>
      <c r="C208">
        <v>30</v>
      </c>
      <c r="D208" t="s">
        <v>19</v>
      </c>
      <c r="F208">
        <v>0.81</v>
      </c>
      <c r="J208">
        <f>88+117+127</f>
        <v>332</v>
      </c>
      <c r="K208">
        <v>3</v>
      </c>
      <c r="L208">
        <v>127</v>
      </c>
    </row>
    <row r="209" spans="1:12">
      <c r="A209" s="9">
        <v>41838</v>
      </c>
      <c r="B209" s="7" t="s">
        <v>25</v>
      </c>
      <c r="C209">
        <v>30</v>
      </c>
      <c r="D209" t="s">
        <v>19</v>
      </c>
      <c r="F209">
        <v>2</v>
      </c>
      <c r="J209">
        <f>133+192+195+198+223+127</f>
        <v>1068</v>
      </c>
      <c r="K209">
        <v>6</v>
      </c>
      <c r="L209">
        <v>223</v>
      </c>
    </row>
    <row r="210" spans="1:12">
      <c r="A210" s="9">
        <v>41838</v>
      </c>
      <c r="B210" s="7" t="s">
        <v>25</v>
      </c>
      <c r="C210">
        <v>30</v>
      </c>
      <c r="D210" t="s">
        <v>19</v>
      </c>
      <c r="F210">
        <v>2.4900000000000002</v>
      </c>
      <c r="J210">
        <f>81+93+134+176+221</f>
        <v>705</v>
      </c>
      <c r="K210">
        <v>5</v>
      </c>
      <c r="L210">
        <v>221</v>
      </c>
    </row>
    <row r="211" spans="1:12">
      <c r="A211" s="9">
        <v>41838</v>
      </c>
      <c r="B211" s="7" t="s">
        <v>25</v>
      </c>
      <c r="C211">
        <v>30</v>
      </c>
      <c r="D211" t="s">
        <v>19</v>
      </c>
      <c r="F211">
        <v>2.2599999999999998</v>
      </c>
      <c r="J211">
        <f>75+92+116+132+169+144+243+259</f>
        <v>1230</v>
      </c>
      <c r="K211">
        <v>8</v>
      </c>
      <c r="L211">
        <v>259</v>
      </c>
    </row>
    <row r="212" spans="1:12">
      <c r="A212" s="9">
        <v>41838</v>
      </c>
      <c r="B212" s="7" t="s">
        <v>25</v>
      </c>
      <c r="C212">
        <v>30</v>
      </c>
      <c r="D212" t="s">
        <v>19</v>
      </c>
      <c r="F212">
        <v>2</v>
      </c>
      <c r="J212">
        <f>94+151+208+238+259+260+264</f>
        <v>1474</v>
      </c>
      <c r="K212">
        <v>7</v>
      </c>
      <c r="L212">
        <v>264</v>
      </c>
    </row>
    <row r="213" spans="1:12">
      <c r="A213" s="9">
        <v>41838</v>
      </c>
      <c r="B213" s="7" t="s">
        <v>25</v>
      </c>
      <c r="C213">
        <v>30</v>
      </c>
      <c r="D213" t="s">
        <v>19</v>
      </c>
      <c r="F213">
        <v>0.74</v>
      </c>
      <c r="J213">
        <f>54+192</f>
        <v>246</v>
      </c>
      <c r="K213">
        <v>2</v>
      </c>
      <c r="L213">
        <v>192</v>
      </c>
    </row>
    <row r="214" spans="1:12">
      <c r="A214" s="9">
        <v>41838</v>
      </c>
      <c r="B214" s="7" t="s">
        <v>25</v>
      </c>
      <c r="C214">
        <v>30</v>
      </c>
      <c r="D214" t="s">
        <v>19</v>
      </c>
      <c r="F214">
        <v>3.83</v>
      </c>
      <c r="J214">
        <f>122+158+200+254+293+298+304+332+154</f>
        <v>2115</v>
      </c>
      <c r="K214">
        <v>9</v>
      </c>
      <c r="L214">
        <v>332</v>
      </c>
    </row>
    <row r="215" spans="1:12">
      <c r="A215" s="9">
        <v>41838</v>
      </c>
      <c r="B215" s="7" t="s">
        <v>25</v>
      </c>
      <c r="C215">
        <v>30</v>
      </c>
      <c r="D215" t="s">
        <v>19</v>
      </c>
      <c r="F215">
        <v>1</v>
      </c>
      <c r="J215">
        <f>64+109+128</f>
        <v>301</v>
      </c>
      <c r="K215">
        <v>3</v>
      </c>
      <c r="L215">
        <v>128</v>
      </c>
    </row>
    <row r="216" spans="1:12">
      <c r="A216" s="9">
        <v>41838</v>
      </c>
      <c r="B216" s="7" t="s">
        <v>25</v>
      </c>
      <c r="C216">
        <v>30</v>
      </c>
      <c r="D216" t="s">
        <v>19</v>
      </c>
      <c r="F216">
        <v>2.0299999999999998</v>
      </c>
      <c r="J216">
        <f>83+92+124+139+145+159+205+226+236+270</f>
        <v>1679</v>
      </c>
      <c r="K216">
        <v>10</v>
      </c>
      <c r="L216">
        <v>270</v>
      </c>
    </row>
    <row r="217" spans="1:12">
      <c r="A217" s="9">
        <v>41838</v>
      </c>
      <c r="B217" s="7" t="s">
        <v>25</v>
      </c>
      <c r="C217">
        <v>30</v>
      </c>
      <c r="D217" t="s">
        <v>19</v>
      </c>
      <c r="F217">
        <v>1.54</v>
      </c>
      <c r="J217">
        <f>137+156+194+202+63</f>
        <v>752</v>
      </c>
      <c r="K217">
        <v>5</v>
      </c>
      <c r="L217">
        <v>202</v>
      </c>
    </row>
    <row r="218" spans="1:12">
      <c r="A218" s="9">
        <v>41838</v>
      </c>
      <c r="B218" s="7" t="s">
        <v>25</v>
      </c>
      <c r="C218">
        <v>14</v>
      </c>
      <c r="D218" t="s">
        <v>62</v>
      </c>
      <c r="E218">
        <v>251</v>
      </c>
      <c r="F218">
        <v>1.55</v>
      </c>
    </row>
    <row r="219" spans="1:12">
      <c r="A219" s="9">
        <v>41838</v>
      </c>
      <c r="B219" s="7" t="s">
        <v>25</v>
      </c>
      <c r="C219">
        <v>14</v>
      </c>
      <c r="D219" t="s">
        <v>19</v>
      </c>
      <c r="F219">
        <v>3.3</v>
      </c>
      <c r="J219">
        <f>111+160+118+144+172+174+204</f>
        <v>1083</v>
      </c>
      <c r="K219">
        <v>7</v>
      </c>
      <c r="L219">
        <v>204</v>
      </c>
    </row>
    <row r="220" spans="1:12">
      <c r="A220" s="9">
        <v>41838</v>
      </c>
      <c r="B220" s="7" t="s">
        <v>25</v>
      </c>
      <c r="C220">
        <v>14</v>
      </c>
      <c r="D220" t="s">
        <v>62</v>
      </c>
      <c r="E220">
        <v>196</v>
      </c>
      <c r="F220">
        <v>0.82</v>
      </c>
    </row>
    <row r="221" spans="1:12">
      <c r="A221" s="9">
        <v>41838</v>
      </c>
      <c r="B221" s="7" t="s">
        <v>25</v>
      </c>
      <c r="C221">
        <v>14</v>
      </c>
      <c r="D221" t="s">
        <v>62</v>
      </c>
      <c r="E221">
        <v>194</v>
      </c>
      <c r="F221">
        <v>1.24</v>
      </c>
    </row>
    <row r="222" spans="1:12">
      <c r="A222" s="9">
        <v>41838</v>
      </c>
      <c r="B222" s="7" t="s">
        <v>25</v>
      </c>
      <c r="C222">
        <v>14</v>
      </c>
      <c r="D222" t="s">
        <v>62</v>
      </c>
      <c r="E222">
        <v>29</v>
      </c>
      <c r="F222">
        <v>0.51</v>
      </c>
    </row>
    <row r="223" spans="1:12">
      <c r="A223" s="9">
        <v>41838</v>
      </c>
      <c r="B223" s="7" t="s">
        <v>25</v>
      </c>
      <c r="C223">
        <v>14</v>
      </c>
      <c r="D223" t="s">
        <v>62</v>
      </c>
      <c r="E223">
        <v>196</v>
      </c>
      <c r="F223">
        <v>0.89</v>
      </c>
    </row>
    <row r="224" spans="1:12">
      <c r="A224" s="9">
        <v>41838</v>
      </c>
      <c r="B224" s="7" t="s">
        <v>25</v>
      </c>
      <c r="C224">
        <v>14</v>
      </c>
      <c r="D224" t="s">
        <v>62</v>
      </c>
      <c r="E224">
        <v>225</v>
      </c>
      <c r="F224">
        <v>1.1299999999999999</v>
      </c>
    </row>
    <row r="225" spans="1:12">
      <c r="A225" s="9">
        <v>41838</v>
      </c>
      <c r="B225" s="7" t="s">
        <v>25</v>
      </c>
      <c r="C225">
        <v>14</v>
      </c>
      <c r="D225" t="s">
        <v>62</v>
      </c>
      <c r="E225">
        <v>118</v>
      </c>
      <c r="F225">
        <v>0.89</v>
      </c>
    </row>
    <row r="226" spans="1:12">
      <c r="A226" s="9">
        <v>41838</v>
      </c>
      <c r="B226" s="7" t="s">
        <v>25</v>
      </c>
      <c r="C226">
        <v>14</v>
      </c>
      <c r="D226" t="s">
        <v>62</v>
      </c>
      <c r="E226">
        <v>186</v>
      </c>
      <c r="F226">
        <v>0.86</v>
      </c>
    </row>
    <row r="227" spans="1:12">
      <c r="A227" s="9">
        <v>41838</v>
      </c>
      <c r="B227" s="7" t="s">
        <v>25</v>
      </c>
      <c r="C227">
        <v>14</v>
      </c>
      <c r="D227" t="s">
        <v>62</v>
      </c>
      <c r="E227">
        <v>186</v>
      </c>
      <c r="F227">
        <v>0.83</v>
      </c>
    </row>
    <row r="228" spans="1:12">
      <c r="A228" s="9">
        <v>41838</v>
      </c>
      <c r="B228" s="7" t="s">
        <v>25</v>
      </c>
      <c r="C228">
        <v>14</v>
      </c>
      <c r="D228" t="s">
        <v>62</v>
      </c>
      <c r="E228">
        <v>186</v>
      </c>
      <c r="F228">
        <v>0.71</v>
      </c>
    </row>
    <row r="229" spans="1:12">
      <c r="A229" s="9">
        <v>41838</v>
      </c>
      <c r="B229" s="7" t="s">
        <v>25</v>
      </c>
      <c r="C229">
        <v>14</v>
      </c>
      <c r="D229" t="s">
        <v>19</v>
      </c>
      <c r="F229">
        <v>1.19</v>
      </c>
      <c r="J229">
        <f>107+159+198+253+272</f>
        <v>989</v>
      </c>
      <c r="K229">
        <v>5</v>
      </c>
      <c r="L229">
        <v>272</v>
      </c>
    </row>
    <row r="230" spans="1:12">
      <c r="A230" s="9">
        <v>41838</v>
      </c>
      <c r="B230" s="7" t="s">
        <v>25</v>
      </c>
      <c r="C230">
        <v>14</v>
      </c>
      <c r="D230" t="s">
        <v>62</v>
      </c>
      <c r="E230">
        <v>186</v>
      </c>
      <c r="F230">
        <v>0.54</v>
      </c>
    </row>
    <row r="231" spans="1:12">
      <c r="A231" s="9">
        <v>41838</v>
      </c>
      <c r="B231" s="7" t="s">
        <v>25</v>
      </c>
      <c r="C231">
        <v>14</v>
      </c>
      <c r="D231" t="s">
        <v>62</v>
      </c>
      <c r="E231">
        <v>178</v>
      </c>
      <c r="F231">
        <v>0.56999999999999995</v>
      </c>
    </row>
    <row r="232" spans="1:12">
      <c r="A232" s="9">
        <v>41838</v>
      </c>
      <c r="B232" s="7" t="s">
        <v>25</v>
      </c>
      <c r="C232">
        <v>14</v>
      </c>
      <c r="D232" t="s">
        <v>19</v>
      </c>
      <c r="E232">
        <v>244</v>
      </c>
      <c r="F232">
        <v>2.73</v>
      </c>
      <c r="H232">
        <v>21</v>
      </c>
      <c r="I232">
        <v>2.5</v>
      </c>
    </row>
    <row r="233" spans="1:12">
      <c r="A233" s="9">
        <v>41838</v>
      </c>
      <c r="B233" s="7" t="s">
        <v>25</v>
      </c>
      <c r="C233">
        <v>14</v>
      </c>
      <c r="D233" t="s">
        <v>19</v>
      </c>
      <c r="F233">
        <v>2.91</v>
      </c>
      <c r="J233">
        <f>181+207+226+247+259+290</f>
        <v>1410</v>
      </c>
      <c r="K233">
        <v>6</v>
      </c>
      <c r="L233">
        <v>290</v>
      </c>
    </row>
    <row r="234" spans="1:12">
      <c r="A234" s="9">
        <v>41838</v>
      </c>
      <c r="B234" s="7" t="s">
        <v>25</v>
      </c>
      <c r="C234">
        <v>14</v>
      </c>
      <c r="D234" t="s">
        <v>62</v>
      </c>
      <c r="E234">
        <v>213</v>
      </c>
      <c r="F234">
        <v>0.71</v>
      </c>
    </row>
    <row r="235" spans="1:12">
      <c r="A235" s="9">
        <v>41838</v>
      </c>
      <c r="B235" s="7" t="s">
        <v>25</v>
      </c>
      <c r="C235">
        <v>14</v>
      </c>
      <c r="D235" t="s">
        <v>62</v>
      </c>
      <c r="E235">
        <v>200</v>
      </c>
      <c r="F235">
        <v>0.91</v>
      </c>
    </row>
    <row r="236" spans="1:12">
      <c r="A236" s="9">
        <v>41838</v>
      </c>
      <c r="B236" s="7" t="s">
        <v>25</v>
      </c>
      <c r="C236">
        <v>14</v>
      </c>
      <c r="D236" t="s">
        <v>62</v>
      </c>
      <c r="E236">
        <v>294</v>
      </c>
      <c r="F236">
        <v>0.6</v>
      </c>
    </row>
    <row r="237" spans="1:12">
      <c r="A237" s="9">
        <v>41838</v>
      </c>
      <c r="B237" s="7" t="s">
        <v>25</v>
      </c>
      <c r="C237">
        <v>14</v>
      </c>
      <c r="D237" t="s">
        <v>19</v>
      </c>
      <c r="E237">
        <v>320</v>
      </c>
      <c r="F237">
        <v>3.2</v>
      </c>
      <c r="H237">
        <v>24</v>
      </c>
      <c r="I237">
        <v>2</v>
      </c>
    </row>
    <row r="238" spans="1:12">
      <c r="A238" s="9">
        <v>41838</v>
      </c>
      <c r="B238" s="7" t="s">
        <v>25</v>
      </c>
      <c r="C238">
        <v>14</v>
      </c>
      <c r="D238" t="s">
        <v>60</v>
      </c>
      <c r="E238">
        <v>262</v>
      </c>
      <c r="F238">
        <v>2.16</v>
      </c>
      <c r="H238">
        <v>22</v>
      </c>
      <c r="I238">
        <v>2.5</v>
      </c>
    </row>
    <row r="239" spans="1:12">
      <c r="A239" s="9">
        <v>41838</v>
      </c>
      <c r="B239" s="7" t="s">
        <v>25</v>
      </c>
      <c r="C239">
        <v>14</v>
      </c>
      <c r="D239" t="s">
        <v>60</v>
      </c>
      <c r="E239">
        <v>244</v>
      </c>
      <c r="F239">
        <v>1.85</v>
      </c>
      <c r="H239">
        <v>20</v>
      </c>
      <c r="I239">
        <v>2</v>
      </c>
    </row>
    <row r="240" spans="1:12">
      <c r="A240" s="9">
        <v>41838</v>
      </c>
      <c r="B240" s="7" t="s">
        <v>25</v>
      </c>
      <c r="C240">
        <v>14</v>
      </c>
      <c r="D240" t="s">
        <v>19</v>
      </c>
      <c r="F240">
        <v>3</v>
      </c>
      <c r="J240">
        <f>112+196+235+270+275+313+337+364</f>
        <v>2102</v>
      </c>
      <c r="K240">
        <v>8</v>
      </c>
      <c r="L240">
        <v>364</v>
      </c>
    </row>
    <row r="241" spans="1:12">
      <c r="A241" s="9">
        <v>41838</v>
      </c>
      <c r="B241" s="7" t="s">
        <v>25</v>
      </c>
      <c r="C241">
        <v>14</v>
      </c>
      <c r="D241" t="s">
        <v>19</v>
      </c>
      <c r="F241">
        <v>2.87</v>
      </c>
      <c r="J241">
        <f>141+145+205+218+253+295+296+316</f>
        <v>1869</v>
      </c>
      <c r="K241">
        <v>8</v>
      </c>
      <c r="L241">
        <v>316</v>
      </c>
    </row>
    <row r="242" spans="1:12">
      <c r="A242" s="9">
        <v>41838</v>
      </c>
      <c r="B242" s="7" t="s">
        <v>25</v>
      </c>
      <c r="C242">
        <v>14</v>
      </c>
      <c r="D242" t="s">
        <v>62</v>
      </c>
      <c r="E242">
        <v>185</v>
      </c>
      <c r="F242">
        <v>0.69</v>
      </c>
    </row>
    <row r="243" spans="1:12">
      <c r="A243" s="9">
        <v>41838</v>
      </c>
      <c r="B243" s="7" t="s">
        <v>25</v>
      </c>
      <c r="C243">
        <v>14</v>
      </c>
      <c r="D243" t="s">
        <v>62</v>
      </c>
      <c r="E243">
        <v>210</v>
      </c>
      <c r="F243">
        <v>0.78</v>
      </c>
    </row>
    <row r="244" spans="1:12">
      <c r="A244" s="9">
        <v>41838</v>
      </c>
      <c r="B244" s="7" t="s">
        <v>25</v>
      </c>
      <c r="C244">
        <v>14</v>
      </c>
      <c r="D244" t="s">
        <v>62</v>
      </c>
      <c r="E244">
        <v>205</v>
      </c>
      <c r="F244">
        <v>0.71</v>
      </c>
    </row>
    <row r="245" spans="1:12">
      <c r="A245" s="9">
        <v>41838</v>
      </c>
      <c r="B245" s="7" t="s">
        <v>25</v>
      </c>
      <c r="C245">
        <v>14</v>
      </c>
      <c r="D245" t="s">
        <v>19</v>
      </c>
      <c r="F245">
        <v>2.06</v>
      </c>
      <c r="J245">
        <f>212+252+270+280+150</f>
        <v>1164</v>
      </c>
      <c r="K245">
        <v>5</v>
      </c>
      <c r="L245">
        <v>280</v>
      </c>
    </row>
    <row r="246" spans="1:12">
      <c r="A246" s="9">
        <v>41838</v>
      </c>
      <c r="B246" s="7" t="s">
        <v>25</v>
      </c>
      <c r="C246">
        <v>14</v>
      </c>
      <c r="D246" t="s">
        <v>62</v>
      </c>
      <c r="E246">
        <v>88</v>
      </c>
      <c r="F246">
        <v>0.48</v>
      </c>
    </row>
    <row r="247" spans="1:12">
      <c r="A247" s="9">
        <v>41838</v>
      </c>
      <c r="B247" s="7" t="s">
        <v>26</v>
      </c>
    </row>
    <row r="248" spans="1:12">
      <c r="A248" s="9">
        <v>41838</v>
      </c>
      <c r="B248" s="7" t="s">
        <v>26</v>
      </c>
      <c r="C248">
        <v>17</v>
      </c>
      <c r="D248" t="s">
        <v>60</v>
      </c>
      <c r="E248">
        <v>208</v>
      </c>
      <c r="F248">
        <v>3.97</v>
      </c>
      <c r="H248">
        <v>30</v>
      </c>
      <c r="I248">
        <v>2.5</v>
      </c>
    </row>
    <row r="249" spans="1:12">
      <c r="A249" s="9">
        <v>41838</v>
      </c>
      <c r="B249" s="7" t="s">
        <v>26</v>
      </c>
      <c r="C249">
        <v>14</v>
      </c>
      <c r="D249" t="s">
        <v>19</v>
      </c>
      <c r="E249">
        <v>205</v>
      </c>
      <c r="F249">
        <v>5.01</v>
      </c>
      <c r="H249">
        <v>30</v>
      </c>
      <c r="I249">
        <v>2.5</v>
      </c>
    </row>
    <row r="250" spans="1:12">
      <c r="A250" s="9">
        <v>41838</v>
      </c>
      <c r="B250" s="7" t="s">
        <v>26</v>
      </c>
      <c r="C250">
        <v>14</v>
      </c>
      <c r="D250" t="s">
        <v>19</v>
      </c>
      <c r="F250">
        <v>5.05</v>
      </c>
      <c r="J250">
        <f>166+197+198+215+220+241+241+243</f>
        <v>1721</v>
      </c>
      <c r="K250">
        <v>8</v>
      </c>
      <c r="L250">
        <v>243</v>
      </c>
    </row>
    <row r="251" spans="1:12">
      <c r="A251" s="9">
        <v>41838</v>
      </c>
      <c r="B251" s="7" t="s">
        <v>26</v>
      </c>
      <c r="C251">
        <v>14</v>
      </c>
      <c r="D251" t="s">
        <v>19</v>
      </c>
      <c r="F251">
        <v>1.23</v>
      </c>
      <c r="J251">
        <f>37+42+41</f>
        <v>120</v>
      </c>
      <c r="K251">
        <v>3</v>
      </c>
      <c r="L251">
        <v>42</v>
      </c>
    </row>
    <row r="252" spans="1:12">
      <c r="A252" s="9">
        <v>41838</v>
      </c>
      <c r="B252" s="7" t="s">
        <v>26</v>
      </c>
      <c r="C252">
        <v>14</v>
      </c>
      <c r="D252" t="s">
        <v>19</v>
      </c>
      <c r="F252">
        <v>1.0900000000000001</v>
      </c>
      <c r="J252">
        <f>97+122</f>
        <v>219</v>
      </c>
      <c r="K252">
        <v>2</v>
      </c>
      <c r="L252">
        <v>122</v>
      </c>
    </row>
    <row r="253" spans="1:12">
      <c r="A253" s="9">
        <v>41838</v>
      </c>
      <c r="B253" s="7" t="s">
        <v>26</v>
      </c>
      <c r="C253">
        <v>14</v>
      </c>
      <c r="D253" t="s">
        <v>19</v>
      </c>
      <c r="F253">
        <v>4.95</v>
      </c>
      <c r="J253">
        <f>98+110+152+156+167+200+212+215</f>
        <v>1310</v>
      </c>
      <c r="K253">
        <v>8</v>
      </c>
      <c r="L253">
        <v>215</v>
      </c>
    </row>
    <row r="254" spans="1:12">
      <c r="A254" s="9">
        <v>41838</v>
      </c>
      <c r="B254" s="7" t="s">
        <v>26</v>
      </c>
      <c r="C254">
        <v>14</v>
      </c>
      <c r="D254" t="s">
        <v>19</v>
      </c>
      <c r="F254">
        <v>6.04</v>
      </c>
      <c r="J254">
        <f>69+129+140+152+170+212+230+213+244+263+275</f>
        <v>2097</v>
      </c>
      <c r="K254">
        <v>11</v>
      </c>
      <c r="L254">
        <v>275</v>
      </c>
    </row>
    <row r="255" spans="1:12">
      <c r="A255" s="9">
        <v>41838</v>
      </c>
      <c r="B255" s="7" t="s">
        <v>26</v>
      </c>
      <c r="C255">
        <v>14</v>
      </c>
      <c r="D255" t="s">
        <v>19</v>
      </c>
      <c r="F255">
        <v>3.98</v>
      </c>
      <c r="J255">
        <f>75+130+166+208+211+237+241+250</f>
        <v>1518</v>
      </c>
      <c r="K255">
        <v>8</v>
      </c>
      <c r="L255">
        <v>250</v>
      </c>
    </row>
    <row r="256" spans="1:12">
      <c r="A256" s="9">
        <v>41838</v>
      </c>
      <c r="B256" s="7" t="s">
        <v>26</v>
      </c>
      <c r="C256">
        <v>14</v>
      </c>
      <c r="D256" t="s">
        <v>19</v>
      </c>
      <c r="F256">
        <v>3.92</v>
      </c>
      <c r="J256">
        <f>94+156+181+194+236+238+249</f>
        <v>1348</v>
      </c>
      <c r="K256">
        <v>7</v>
      </c>
      <c r="L256">
        <v>249</v>
      </c>
    </row>
    <row r="257" spans="1:12">
      <c r="A257" s="9">
        <v>41838</v>
      </c>
      <c r="B257" s="7" t="s">
        <v>26</v>
      </c>
      <c r="C257">
        <v>14</v>
      </c>
      <c r="D257" t="s">
        <v>19</v>
      </c>
      <c r="F257">
        <v>4.72</v>
      </c>
      <c r="J257">
        <f>114+188+199+228+252+250+267+274+279</f>
        <v>2051</v>
      </c>
      <c r="K257">
        <v>9</v>
      </c>
      <c r="L257">
        <v>279</v>
      </c>
    </row>
    <row r="258" spans="1:12">
      <c r="A258" s="9">
        <v>41838</v>
      </c>
      <c r="B258" s="7" t="s">
        <v>26</v>
      </c>
      <c r="C258">
        <v>12</v>
      </c>
      <c r="D258" t="s">
        <v>19</v>
      </c>
      <c r="F258">
        <v>5.85</v>
      </c>
      <c r="J258">
        <f>141+167+195+220+222+229+240+257+260+277</f>
        <v>2208</v>
      </c>
      <c r="K258">
        <v>10</v>
      </c>
      <c r="L258">
        <v>277</v>
      </c>
    </row>
    <row r="259" spans="1:12">
      <c r="A259" s="9">
        <v>41838</v>
      </c>
      <c r="B259" s="7" t="s">
        <v>26</v>
      </c>
      <c r="C259">
        <v>12</v>
      </c>
      <c r="D259" t="s">
        <v>19</v>
      </c>
      <c r="E259">
        <v>225</v>
      </c>
      <c r="F259">
        <v>3.41</v>
      </c>
      <c r="H259">
        <v>24.5</v>
      </c>
      <c r="I259">
        <v>2.5</v>
      </c>
    </row>
    <row r="260" spans="1:12">
      <c r="A260" s="9">
        <v>41838</v>
      </c>
      <c r="B260" s="7" t="s">
        <v>26</v>
      </c>
      <c r="C260">
        <v>12</v>
      </c>
      <c r="D260" t="s">
        <v>60</v>
      </c>
      <c r="F260">
        <v>4.32</v>
      </c>
      <c r="J260">
        <f>97+143+178+215+238+239+252+141+177+238</f>
        <v>1918</v>
      </c>
      <c r="K260">
        <v>10</v>
      </c>
      <c r="L260">
        <v>252</v>
      </c>
    </row>
    <row r="261" spans="1:12">
      <c r="A261" s="9">
        <v>41838</v>
      </c>
      <c r="B261" s="7" t="s">
        <v>26</v>
      </c>
      <c r="C261">
        <v>12</v>
      </c>
      <c r="D261" t="s">
        <v>19</v>
      </c>
      <c r="F261">
        <v>4.6500000000000004</v>
      </c>
      <c r="J261">
        <f>100+104+153+220+236+240+256+262</f>
        <v>1571</v>
      </c>
      <c r="K261">
        <v>8</v>
      </c>
      <c r="L261">
        <v>262</v>
      </c>
    </row>
    <row r="262" spans="1:12">
      <c r="A262" s="9">
        <v>41838</v>
      </c>
      <c r="B262" s="7" t="s">
        <v>26</v>
      </c>
      <c r="C262">
        <v>12</v>
      </c>
      <c r="D262" t="s">
        <v>60</v>
      </c>
      <c r="E262">
        <v>217</v>
      </c>
      <c r="F262">
        <v>3.98</v>
      </c>
      <c r="H262">
        <v>24</v>
      </c>
      <c r="I262">
        <v>2.5</v>
      </c>
    </row>
    <row r="263" spans="1:12">
      <c r="A263" s="9">
        <v>41838</v>
      </c>
      <c r="B263" s="7" t="s">
        <v>26</v>
      </c>
      <c r="C263">
        <v>12</v>
      </c>
      <c r="D263" t="s">
        <v>19</v>
      </c>
      <c r="F263">
        <v>0.75</v>
      </c>
      <c r="J263">
        <f>27+53+78</f>
        <v>158</v>
      </c>
      <c r="K263">
        <v>3</v>
      </c>
      <c r="L263">
        <v>78</v>
      </c>
    </row>
    <row r="264" spans="1:12">
      <c r="A264" s="9">
        <v>41838</v>
      </c>
      <c r="B264" s="7" t="s">
        <v>26</v>
      </c>
      <c r="C264">
        <v>12</v>
      </c>
      <c r="D264" t="s">
        <v>19</v>
      </c>
      <c r="F264">
        <v>5.04</v>
      </c>
      <c r="J264">
        <f>78+139+140+147+178+212+233+233+257+259+260+268</f>
        <v>2404</v>
      </c>
      <c r="K264">
        <v>12</v>
      </c>
      <c r="L264">
        <v>268</v>
      </c>
    </row>
    <row r="265" spans="1:12">
      <c r="A265" s="9">
        <v>41838</v>
      </c>
      <c r="B265" s="7" t="s">
        <v>26</v>
      </c>
      <c r="C265">
        <v>12</v>
      </c>
      <c r="D265" t="s">
        <v>60</v>
      </c>
      <c r="F265">
        <v>2.9</v>
      </c>
      <c r="J265">
        <f>148+205+216+235+251+235+235+245+243+250</f>
        <v>2263</v>
      </c>
      <c r="K265">
        <v>9</v>
      </c>
      <c r="L265">
        <v>251</v>
      </c>
    </row>
    <row r="266" spans="1:12">
      <c r="A266" s="9">
        <v>41838</v>
      </c>
      <c r="B266" s="7" t="s">
        <v>26</v>
      </c>
      <c r="C266">
        <v>12</v>
      </c>
      <c r="D266" t="s">
        <v>19</v>
      </c>
      <c r="F266">
        <v>7.14</v>
      </c>
      <c r="J266">
        <f>130+171+198+188+211+218+233+244+257+260+278+108+187+178+219</f>
        <v>3080</v>
      </c>
      <c r="K266">
        <v>15</v>
      </c>
      <c r="L266">
        <v>278</v>
      </c>
    </row>
    <row r="267" spans="1:12">
      <c r="A267" s="9">
        <v>41838</v>
      </c>
      <c r="B267" s="7" t="s">
        <v>26</v>
      </c>
      <c r="C267">
        <v>12</v>
      </c>
      <c r="D267" t="s">
        <v>19</v>
      </c>
      <c r="F267">
        <v>0.9</v>
      </c>
      <c r="J267">
        <f>44+61+78</f>
        <v>183</v>
      </c>
      <c r="K267">
        <v>3</v>
      </c>
      <c r="L267">
        <v>78</v>
      </c>
    </row>
    <row r="268" spans="1:12">
      <c r="A268" s="9">
        <v>41838</v>
      </c>
      <c r="B268" s="7" t="s">
        <v>26</v>
      </c>
      <c r="C268">
        <v>12</v>
      </c>
      <c r="D268" t="s">
        <v>19</v>
      </c>
      <c r="F268">
        <v>0.74</v>
      </c>
      <c r="J268">
        <f>32+51+54</f>
        <v>137</v>
      </c>
      <c r="K268">
        <v>3</v>
      </c>
      <c r="L268">
        <v>54</v>
      </c>
    </row>
    <row r="269" spans="1:12">
      <c r="A269" s="9">
        <v>41838</v>
      </c>
      <c r="B269" s="7" t="s">
        <v>26</v>
      </c>
      <c r="C269">
        <v>12</v>
      </c>
      <c r="D269" t="s">
        <v>19</v>
      </c>
      <c r="F269">
        <v>0.96</v>
      </c>
      <c r="J269">
        <f>44+57+67+77+90+91+115</f>
        <v>541</v>
      </c>
      <c r="K269">
        <v>7</v>
      </c>
      <c r="L269">
        <v>115</v>
      </c>
    </row>
    <row r="270" spans="1:12">
      <c r="A270" s="9">
        <v>41838</v>
      </c>
      <c r="B270" s="7" t="s">
        <v>26</v>
      </c>
      <c r="C270">
        <v>12</v>
      </c>
      <c r="D270" t="s">
        <v>19</v>
      </c>
      <c r="F270">
        <v>1.1299999999999999</v>
      </c>
      <c r="J270">
        <f>57+129+135+159+189</f>
        <v>669</v>
      </c>
      <c r="K270">
        <v>5</v>
      </c>
      <c r="L270">
        <v>189</v>
      </c>
    </row>
    <row r="271" spans="1:12">
      <c r="A271" s="9">
        <v>41838</v>
      </c>
      <c r="B271" s="7" t="s">
        <v>26</v>
      </c>
      <c r="C271">
        <v>12</v>
      </c>
      <c r="D271" t="s">
        <v>19</v>
      </c>
      <c r="F271">
        <v>1.83</v>
      </c>
      <c r="J271">
        <f>63+97+125+127+143+154</f>
        <v>709</v>
      </c>
      <c r="K271">
        <v>6</v>
      </c>
      <c r="L271">
        <v>154</v>
      </c>
    </row>
    <row r="272" spans="1:12">
      <c r="A272" s="10">
        <v>41841</v>
      </c>
      <c r="B272" s="7" t="s">
        <v>20</v>
      </c>
      <c r="C272">
        <v>57</v>
      </c>
      <c r="D272" t="s">
        <v>19</v>
      </c>
      <c r="F272">
        <v>10.25</v>
      </c>
      <c r="J272">
        <f>268+310+361+375+420+371+162+370+471+470+478+434+454+477</f>
        <v>5421</v>
      </c>
      <c r="K272">
        <v>14</v>
      </c>
      <c r="L272">
        <v>478</v>
      </c>
    </row>
    <row r="273" spans="1:12">
      <c r="A273" s="10">
        <v>41841</v>
      </c>
      <c r="B273" s="7" t="s">
        <v>20</v>
      </c>
      <c r="C273">
        <v>57</v>
      </c>
      <c r="D273" t="s">
        <v>19</v>
      </c>
      <c r="E273">
        <v>280</v>
      </c>
      <c r="F273">
        <v>3</v>
      </c>
      <c r="H273">
        <v>29</v>
      </c>
      <c r="I273">
        <v>2.5</v>
      </c>
    </row>
    <row r="274" spans="1:12">
      <c r="A274" s="10">
        <v>41841</v>
      </c>
      <c r="B274" s="7" t="s">
        <v>20</v>
      </c>
      <c r="C274">
        <v>57</v>
      </c>
      <c r="D274" t="s">
        <v>19</v>
      </c>
      <c r="E274">
        <v>2.58</v>
      </c>
      <c r="F274">
        <v>2.12</v>
      </c>
      <c r="H274">
        <v>21.5</v>
      </c>
      <c r="I274">
        <v>2.5</v>
      </c>
    </row>
    <row r="275" spans="1:12">
      <c r="A275" s="10">
        <v>41841</v>
      </c>
      <c r="B275" s="7" t="s">
        <v>20</v>
      </c>
      <c r="C275">
        <v>57</v>
      </c>
      <c r="D275" t="s">
        <v>19</v>
      </c>
      <c r="F275">
        <v>10.68</v>
      </c>
      <c r="J275">
        <f>165+197+264+292+290+312+322+335+354+376+379+304</f>
        <v>3590</v>
      </c>
      <c r="K275">
        <v>12</v>
      </c>
      <c r="L275">
        <v>379</v>
      </c>
    </row>
    <row r="276" spans="1:12">
      <c r="A276" s="10">
        <v>41841</v>
      </c>
      <c r="B276" s="7" t="s">
        <v>20</v>
      </c>
      <c r="C276">
        <v>57</v>
      </c>
      <c r="D276" t="s">
        <v>19</v>
      </c>
      <c r="F276">
        <v>2</v>
      </c>
      <c r="J276">
        <v>359</v>
      </c>
      <c r="K276">
        <v>1</v>
      </c>
      <c r="L276">
        <v>359</v>
      </c>
    </row>
    <row r="277" spans="1:12">
      <c r="A277" s="10">
        <v>41841</v>
      </c>
      <c r="B277" s="7" t="s">
        <v>20</v>
      </c>
      <c r="C277">
        <v>57</v>
      </c>
      <c r="D277" t="s">
        <v>19</v>
      </c>
      <c r="F277">
        <v>9.1999999999999993</v>
      </c>
      <c r="J277">
        <f>201+223+283+287+308+341+344+345+352+352+355+174</f>
        <v>3565</v>
      </c>
      <c r="K277">
        <v>12</v>
      </c>
      <c r="L277">
        <v>355</v>
      </c>
    </row>
    <row r="278" spans="1:12">
      <c r="A278" s="10">
        <v>41841</v>
      </c>
      <c r="B278" s="7" t="s">
        <v>20</v>
      </c>
      <c r="C278">
        <v>57</v>
      </c>
      <c r="D278" t="s">
        <v>19</v>
      </c>
      <c r="F278">
        <v>1.45</v>
      </c>
      <c r="J278">
        <f>53+72+103+102+122+136+245+224</f>
        <v>1057</v>
      </c>
      <c r="K278">
        <v>8</v>
      </c>
      <c r="L278">
        <v>245</v>
      </c>
    </row>
    <row r="279" spans="1:12">
      <c r="A279" s="10">
        <v>41841</v>
      </c>
      <c r="B279" s="7" t="s">
        <v>20</v>
      </c>
      <c r="C279">
        <v>57</v>
      </c>
      <c r="D279" t="s">
        <v>19</v>
      </c>
      <c r="F279">
        <v>1.3</v>
      </c>
      <c r="J279">
        <f>173+261+273+271+190+192</f>
        <v>1360</v>
      </c>
      <c r="K279">
        <v>6</v>
      </c>
      <c r="L279">
        <v>273</v>
      </c>
    </row>
    <row r="280" spans="1:12">
      <c r="A280" s="10">
        <v>41841</v>
      </c>
      <c r="B280" s="7" t="s">
        <v>20</v>
      </c>
      <c r="C280">
        <v>57</v>
      </c>
      <c r="D280" t="s">
        <v>19</v>
      </c>
      <c r="F280">
        <v>0.92</v>
      </c>
      <c r="J280">
        <f>43+85+63+85</f>
        <v>276</v>
      </c>
      <c r="K280">
        <v>4</v>
      </c>
      <c r="L280">
        <v>85</v>
      </c>
    </row>
    <row r="281" spans="1:12">
      <c r="A281" s="10">
        <v>41841</v>
      </c>
      <c r="B281" s="7" t="s">
        <v>20</v>
      </c>
      <c r="C281">
        <v>57</v>
      </c>
      <c r="D281" t="s">
        <v>19</v>
      </c>
      <c r="F281">
        <v>0.5</v>
      </c>
      <c r="J281">
        <v>151</v>
      </c>
      <c r="K281">
        <v>1</v>
      </c>
      <c r="L281">
        <v>151</v>
      </c>
    </row>
    <row r="282" spans="1:12">
      <c r="A282" s="10">
        <v>41841</v>
      </c>
      <c r="B282" s="7" t="s">
        <v>20</v>
      </c>
      <c r="C282">
        <v>57</v>
      </c>
      <c r="D282" t="s">
        <v>19</v>
      </c>
      <c r="F282">
        <v>2.68</v>
      </c>
      <c r="J282">
        <f>47+78+113+144+185+199</f>
        <v>766</v>
      </c>
      <c r="K282">
        <v>6</v>
      </c>
      <c r="L282">
        <v>199</v>
      </c>
    </row>
    <row r="283" spans="1:12">
      <c r="A283" s="10">
        <v>41841</v>
      </c>
      <c r="B283" s="7" t="s">
        <v>20</v>
      </c>
      <c r="C283">
        <v>57</v>
      </c>
      <c r="D283" t="s">
        <v>19</v>
      </c>
      <c r="F283">
        <v>1.85</v>
      </c>
      <c r="J283">
        <f>264+286+277+287+318</f>
        <v>1432</v>
      </c>
      <c r="K283">
        <v>5</v>
      </c>
      <c r="L283">
        <v>318</v>
      </c>
    </row>
    <row r="284" spans="1:12">
      <c r="A284" s="10">
        <v>41841</v>
      </c>
      <c r="B284" s="7" t="s">
        <v>20</v>
      </c>
      <c r="C284">
        <v>57</v>
      </c>
      <c r="D284" t="s">
        <v>19</v>
      </c>
      <c r="E284">
        <v>286</v>
      </c>
      <c r="F284">
        <v>3.64</v>
      </c>
      <c r="H284">
        <v>26</v>
      </c>
      <c r="I284">
        <v>2.5</v>
      </c>
    </row>
    <row r="285" spans="1:12">
      <c r="A285" s="10">
        <v>41841</v>
      </c>
      <c r="B285" s="7" t="s">
        <v>20</v>
      </c>
      <c r="C285">
        <v>57</v>
      </c>
      <c r="D285" t="s">
        <v>19</v>
      </c>
      <c r="F285">
        <v>3.56</v>
      </c>
      <c r="J285">
        <f>357+336+391+387+400+410+460+465+425</f>
        <v>3631</v>
      </c>
      <c r="K285">
        <v>9</v>
      </c>
      <c r="L285">
        <v>465</v>
      </c>
    </row>
    <row r="286" spans="1:12">
      <c r="A286" s="10">
        <v>41841</v>
      </c>
      <c r="B286" s="7" t="s">
        <v>20</v>
      </c>
      <c r="C286">
        <v>57</v>
      </c>
      <c r="D286" t="s">
        <v>19</v>
      </c>
      <c r="F286">
        <v>6.13</v>
      </c>
      <c r="J286">
        <f>156+376+406+412+427+184+366+417</f>
        <v>2744</v>
      </c>
      <c r="K286">
        <v>8</v>
      </c>
      <c r="L286">
        <v>427</v>
      </c>
    </row>
    <row r="287" spans="1:12">
      <c r="A287" s="10">
        <v>41841</v>
      </c>
      <c r="B287" s="7" t="s">
        <v>20</v>
      </c>
      <c r="C287">
        <v>57</v>
      </c>
      <c r="D287" t="s">
        <v>19</v>
      </c>
      <c r="F287">
        <v>0.55000000000000004</v>
      </c>
      <c r="J287">
        <f>23+39+37</f>
        <v>99</v>
      </c>
      <c r="K287">
        <v>3</v>
      </c>
      <c r="L287">
        <v>39</v>
      </c>
    </row>
    <row r="288" spans="1:12">
      <c r="A288" s="10">
        <v>41841</v>
      </c>
      <c r="B288" s="7" t="s">
        <v>20</v>
      </c>
      <c r="C288">
        <v>57</v>
      </c>
      <c r="D288" t="s">
        <v>19</v>
      </c>
      <c r="F288">
        <v>1.87</v>
      </c>
      <c r="J288">
        <f>72+81+121+126+163+173</f>
        <v>736</v>
      </c>
      <c r="K288">
        <v>6</v>
      </c>
      <c r="L288">
        <v>173</v>
      </c>
    </row>
    <row r="289" spans="1:12">
      <c r="A289" s="10">
        <v>41841</v>
      </c>
      <c r="B289" s="7" t="s">
        <v>20</v>
      </c>
      <c r="C289">
        <v>57</v>
      </c>
      <c r="D289" t="s">
        <v>19</v>
      </c>
      <c r="F289">
        <v>4.6500000000000004</v>
      </c>
      <c r="J289">
        <f>157+293+323+325+349+363+380+393+391</f>
        <v>2974</v>
      </c>
      <c r="K289">
        <v>9</v>
      </c>
      <c r="L289">
        <v>393</v>
      </c>
    </row>
    <row r="290" spans="1:12">
      <c r="A290" s="10">
        <v>41841</v>
      </c>
      <c r="B290" s="7" t="s">
        <v>20</v>
      </c>
      <c r="C290">
        <v>44</v>
      </c>
      <c r="D290" t="s">
        <v>19</v>
      </c>
      <c r="F290">
        <v>3.85</v>
      </c>
      <c r="J290">
        <f>361+391+417+429</f>
        <v>1598</v>
      </c>
      <c r="K290">
        <v>4</v>
      </c>
      <c r="L290">
        <v>429</v>
      </c>
    </row>
    <row r="291" spans="1:12">
      <c r="A291" s="10">
        <v>41841</v>
      </c>
      <c r="B291" s="7" t="s">
        <v>20</v>
      </c>
      <c r="C291">
        <v>44</v>
      </c>
      <c r="D291" t="s">
        <v>19</v>
      </c>
      <c r="E291">
        <v>315</v>
      </c>
      <c r="F291">
        <v>4.3099999999999996</v>
      </c>
      <c r="H291">
        <v>49</v>
      </c>
      <c r="I291">
        <v>2.5</v>
      </c>
    </row>
    <row r="292" spans="1:12">
      <c r="A292" s="10">
        <v>41841</v>
      </c>
      <c r="B292" s="7" t="s">
        <v>20</v>
      </c>
      <c r="C292">
        <v>44</v>
      </c>
      <c r="D292" t="s">
        <v>19</v>
      </c>
      <c r="F292">
        <v>2.17</v>
      </c>
      <c r="J292">
        <f>323+355+392+431+448</f>
        <v>1949</v>
      </c>
      <c r="K292">
        <v>5</v>
      </c>
      <c r="L292">
        <v>448</v>
      </c>
    </row>
    <row r="293" spans="1:12">
      <c r="A293" s="10">
        <v>41841</v>
      </c>
      <c r="B293" s="7" t="s">
        <v>20</v>
      </c>
      <c r="C293">
        <v>44</v>
      </c>
      <c r="D293" t="s">
        <v>19</v>
      </c>
      <c r="E293">
        <v>340</v>
      </c>
      <c r="F293">
        <v>4.18</v>
      </c>
      <c r="H293">
        <v>24</v>
      </c>
      <c r="I293">
        <v>2.5</v>
      </c>
    </row>
    <row r="294" spans="1:12">
      <c r="A294" s="10">
        <v>41841</v>
      </c>
      <c r="B294" s="7" t="s">
        <v>20</v>
      </c>
      <c r="C294">
        <v>44</v>
      </c>
      <c r="D294" t="s">
        <v>19</v>
      </c>
      <c r="E294">
        <v>437</v>
      </c>
      <c r="F294">
        <v>4.8</v>
      </c>
      <c r="H294">
        <v>51</v>
      </c>
      <c r="I294">
        <v>2</v>
      </c>
    </row>
    <row r="295" spans="1:12">
      <c r="A295" s="10">
        <v>41841</v>
      </c>
      <c r="B295" s="7" t="s">
        <v>20</v>
      </c>
      <c r="C295">
        <v>44</v>
      </c>
      <c r="D295" t="s">
        <v>19</v>
      </c>
      <c r="E295">
        <v>333</v>
      </c>
      <c r="F295">
        <v>5.6</v>
      </c>
      <c r="H295">
        <v>42</v>
      </c>
      <c r="I295">
        <v>3</v>
      </c>
    </row>
    <row r="296" spans="1:12">
      <c r="A296" s="10">
        <v>41841</v>
      </c>
      <c r="B296" s="7" t="s">
        <v>20</v>
      </c>
      <c r="C296">
        <v>44</v>
      </c>
      <c r="D296" t="s">
        <v>19</v>
      </c>
      <c r="F296">
        <v>4.5999999999999996</v>
      </c>
      <c r="J296">
        <f>363+413+452+481+495+501</f>
        <v>2705</v>
      </c>
      <c r="K296">
        <v>6</v>
      </c>
      <c r="L296">
        <v>501</v>
      </c>
    </row>
    <row r="297" spans="1:12">
      <c r="A297" s="10">
        <v>41841</v>
      </c>
      <c r="B297" s="7" t="s">
        <v>20</v>
      </c>
      <c r="C297">
        <v>44</v>
      </c>
      <c r="D297" t="s">
        <v>19</v>
      </c>
      <c r="F297">
        <v>2.94</v>
      </c>
      <c r="J297">
        <f>250+253+218+238+259</f>
        <v>1218</v>
      </c>
      <c r="K297">
        <v>5</v>
      </c>
      <c r="L297">
        <v>259</v>
      </c>
    </row>
    <row r="298" spans="1:12">
      <c r="A298" s="10">
        <v>41841</v>
      </c>
      <c r="B298" s="7" t="s">
        <v>20</v>
      </c>
      <c r="C298">
        <v>44</v>
      </c>
      <c r="D298" t="s">
        <v>19</v>
      </c>
      <c r="F298">
        <v>2.61</v>
      </c>
      <c r="J298">
        <f>370+399+427+466+456+474</f>
        <v>2592</v>
      </c>
      <c r="K298">
        <v>6</v>
      </c>
      <c r="L298">
        <v>474</v>
      </c>
    </row>
    <row r="299" spans="1:12">
      <c r="A299" s="10">
        <v>41841</v>
      </c>
      <c r="B299" s="7" t="s">
        <v>20</v>
      </c>
      <c r="C299">
        <v>44</v>
      </c>
      <c r="D299" t="s">
        <v>19</v>
      </c>
      <c r="F299">
        <v>3.89</v>
      </c>
      <c r="J299">
        <f>277+301+332+356+358+382</f>
        <v>2006</v>
      </c>
      <c r="K299">
        <v>6</v>
      </c>
      <c r="L299">
        <v>382</v>
      </c>
    </row>
    <row r="300" spans="1:12">
      <c r="A300" s="10">
        <v>41841</v>
      </c>
      <c r="B300" s="7" t="s">
        <v>20</v>
      </c>
      <c r="C300">
        <v>44</v>
      </c>
      <c r="D300" t="s">
        <v>19</v>
      </c>
      <c r="E300">
        <v>438</v>
      </c>
      <c r="F300">
        <v>3.75</v>
      </c>
      <c r="H300">
        <v>33</v>
      </c>
      <c r="I300">
        <v>2</v>
      </c>
    </row>
    <row r="301" spans="1:12">
      <c r="A301" s="10">
        <v>41841</v>
      </c>
      <c r="B301" s="7" t="s">
        <v>20</v>
      </c>
      <c r="C301">
        <v>44</v>
      </c>
      <c r="D301" t="s">
        <v>19</v>
      </c>
      <c r="F301">
        <v>2.92</v>
      </c>
      <c r="J301">
        <f>299+345+350+383+386+389</f>
        <v>2152</v>
      </c>
      <c r="K301">
        <v>6</v>
      </c>
      <c r="L301">
        <v>389</v>
      </c>
    </row>
    <row r="302" spans="1:12">
      <c r="A302" s="10">
        <v>41841</v>
      </c>
      <c r="B302" s="7" t="s">
        <v>20</v>
      </c>
      <c r="C302">
        <v>44</v>
      </c>
      <c r="D302" t="s">
        <v>19</v>
      </c>
      <c r="E302">
        <v>446</v>
      </c>
      <c r="F302">
        <v>3.38</v>
      </c>
      <c r="H302">
        <v>34</v>
      </c>
      <c r="I302">
        <v>2</v>
      </c>
    </row>
    <row r="303" spans="1:12">
      <c r="A303" s="10">
        <v>41841</v>
      </c>
      <c r="B303" s="7" t="s">
        <v>20</v>
      </c>
      <c r="C303">
        <v>44</v>
      </c>
      <c r="D303" t="s">
        <v>19</v>
      </c>
      <c r="F303">
        <v>1.96</v>
      </c>
      <c r="J303">
        <f>45+84+114+122+138</f>
        <v>503</v>
      </c>
      <c r="K303">
        <v>5</v>
      </c>
      <c r="L303">
        <v>138</v>
      </c>
    </row>
    <row r="304" spans="1:12">
      <c r="A304" s="10">
        <v>41841</v>
      </c>
      <c r="B304" s="7" t="s">
        <v>20</v>
      </c>
      <c r="C304">
        <v>44</v>
      </c>
      <c r="D304" t="s">
        <v>19</v>
      </c>
      <c r="F304">
        <v>4.5</v>
      </c>
      <c r="J304">
        <f>334+364+398+428+458+480+479</f>
        <v>2941</v>
      </c>
      <c r="K304">
        <v>7</v>
      </c>
      <c r="L304">
        <v>480</v>
      </c>
    </row>
    <row r="305" spans="1:12">
      <c r="A305" s="10">
        <v>41841</v>
      </c>
      <c r="B305" s="7" t="s">
        <v>20</v>
      </c>
      <c r="C305">
        <v>44</v>
      </c>
      <c r="D305" t="s">
        <v>19</v>
      </c>
      <c r="F305">
        <v>2.61</v>
      </c>
      <c r="J305">
        <f>222+229+253+277+323+312</f>
        <v>1616</v>
      </c>
      <c r="K305">
        <v>6</v>
      </c>
      <c r="L305">
        <v>323</v>
      </c>
    </row>
    <row r="306" spans="1:12">
      <c r="A306" s="10">
        <v>41841</v>
      </c>
      <c r="B306" s="7" t="s">
        <v>20</v>
      </c>
      <c r="C306">
        <v>44</v>
      </c>
      <c r="D306" t="s">
        <v>19</v>
      </c>
      <c r="F306">
        <v>2.09</v>
      </c>
      <c r="J306">
        <f>153+223+287+294+331</f>
        <v>1288</v>
      </c>
      <c r="K306">
        <v>5</v>
      </c>
      <c r="L306">
        <v>331</v>
      </c>
    </row>
    <row r="307" spans="1:12">
      <c r="A307" s="10">
        <v>41841</v>
      </c>
      <c r="B307" s="7" t="s">
        <v>20</v>
      </c>
      <c r="C307">
        <v>44</v>
      </c>
      <c r="D307" t="s">
        <v>19</v>
      </c>
      <c r="F307">
        <v>3.44</v>
      </c>
      <c r="J307">
        <f>242+305+305+318+325+336</f>
        <v>1831</v>
      </c>
      <c r="K307">
        <v>6</v>
      </c>
      <c r="L307">
        <v>336</v>
      </c>
    </row>
    <row r="308" spans="1:12">
      <c r="A308" s="10">
        <v>41841</v>
      </c>
      <c r="B308" s="7" t="s">
        <v>20</v>
      </c>
      <c r="C308">
        <v>44</v>
      </c>
      <c r="D308" t="s">
        <v>19</v>
      </c>
      <c r="E308">
        <v>333</v>
      </c>
      <c r="F308">
        <v>3.81</v>
      </c>
      <c r="H308">
        <v>36</v>
      </c>
      <c r="I308">
        <v>2.5</v>
      </c>
    </row>
    <row r="309" spans="1:12">
      <c r="A309" s="10">
        <v>41841</v>
      </c>
      <c r="B309" s="7" t="s">
        <v>20</v>
      </c>
      <c r="C309">
        <v>44</v>
      </c>
      <c r="D309" t="s">
        <v>19</v>
      </c>
      <c r="E309">
        <v>280</v>
      </c>
      <c r="F309">
        <v>3.27</v>
      </c>
      <c r="H309">
        <v>39</v>
      </c>
      <c r="I309">
        <v>2.5</v>
      </c>
    </row>
    <row r="310" spans="1:12">
      <c r="A310" s="10">
        <v>41841</v>
      </c>
      <c r="B310" s="7" t="s">
        <v>20</v>
      </c>
      <c r="C310">
        <v>30</v>
      </c>
      <c r="D310" t="s">
        <v>19</v>
      </c>
      <c r="F310">
        <v>8.6</v>
      </c>
      <c r="J310">
        <f>195+214+262+311+334+383+396+226+297+367+405</f>
        <v>3390</v>
      </c>
      <c r="K310">
        <v>11</v>
      </c>
      <c r="L310">
        <v>405</v>
      </c>
    </row>
    <row r="311" spans="1:12">
      <c r="A311" s="10">
        <v>41841</v>
      </c>
      <c r="B311" s="7" t="s">
        <v>20</v>
      </c>
      <c r="C311">
        <v>30</v>
      </c>
      <c r="D311" t="s">
        <v>62</v>
      </c>
      <c r="E311">
        <v>241</v>
      </c>
      <c r="F311">
        <v>1.5</v>
      </c>
    </row>
    <row r="312" spans="1:12">
      <c r="A312" s="10">
        <v>41841</v>
      </c>
      <c r="B312" s="7" t="s">
        <v>20</v>
      </c>
      <c r="C312">
        <v>30</v>
      </c>
      <c r="D312" t="s">
        <v>62</v>
      </c>
      <c r="E312">
        <v>260</v>
      </c>
      <c r="F312">
        <v>2.09</v>
      </c>
    </row>
    <row r="313" spans="1:12">
      <c r="A313" s="10">
        <v>41841</v>
      </c>
      <c r="B313" s="7" t="s">
        <v>20</v>
      </c>
      <c r="C313">
        <v>30</v>
      </c>
      <c r="D313" t="s">
        <v>62</v>
      </c>
      <c r="E313">
        <v>193</v>
      </c>
      <c r="F313">
        <v>1.5</v>
      </c>
      <c r="G313">
        <v>5</v>
      </c>
    </row>
    <row r="314" spans="1:12">
      <c r="A314" s="10">
        <v>41841</v>
      </c>
      <c r="B314" s="7" t="s">
        <v>20</v>
      </c>
      <c r="C314">
        <v>30</v>
      </c>
      <c r="D314" t="s">
        <v>19</v>
      </c>
      <c r="F314">
        <v>7.59</v>
      </c>
      <c r="J314">
        <f>107+161+166+200+204+277+282+321+337+346+378+382+298</f>
        <v>3459</v>
      </c>
      <c r="K314">
        <v>13</v>
      </c>
      <c r="L314">
        <v>382</v>
      </c>
    </row>
    <row r="315" spans="1:12">
      <c r="A315" s="10">
        <v>41841</v>
      </c>
      <c r="B315" s="7" t="s">
        <v>20</v>
      </c>
      <c r="C315">
        <v>30</v>
      </c>
      <c r="D315" t="s">
        <v>62</v>
      </c>
      <c r="E315">
        <v>122</v>
      </c>
      <c r="F315">
        <v>1.3</v>
      </c>
    </row>
    <row r="316" spans="1:12">
      <c r="A316" s="10">
        <v>41841</v>
      </c>
      <c r="B316" s="7" t="s">
        <v>20</v>
      </c>
      <c r="C316">
        <v>30</v>
      </c>
      <c r="D316" t="s">
        <v>62</v>
      </c>
      <c r="E316">
        <v>275</v>
      </c>
      <c r="F316">
        <v>1.88</v>
      </c>
    </row>
    <row r="317" spans="1:12">
      <c r="A317" s="10">
        <v>41841</v>
      </c>
      <c r="B317" s="7" t="s">
        <v>20</v>
      </c>
      <c r="C317">
        <v>30</v>
      </c>
      <c r="D317" t="s">
        <v>19</v>
      </c>
      <c r="E317">
        <v>306</v>
      </c>
      <c r="F317">
        <v>8.51</v>
      </c>
      <c r="H317">
        <v>30</v>
      </c>
      <c r="I317">
        <v>2.5</v>
      </c>
    </row>
    <row r="318" spans="1:12">
      <c r="A318" s="10">
        <v>41841</v>
      </c>
      <c r="B318" s="7" t="s">
        <v>20</v>
      </c>
      <c r="C318">
        <v>30</v>
      </c>
      <c r="D318" t="s">
        <v>62</v>
      </c>
      <c r="E318">
        <v>209</v>
      </c>
      <c r="F318">
        <v>1.24</v>
      </c>
    </row>
    <row r="319" spans="1:12">
      <c r="A319" s="10">
        <v>41841</v>
      </c>
      <c r="B319" s="7" t="s">
        <v>20</v>
      </c>
      <c r="C319">
        <v>30</v>
      </c>
      <c r="D319" t="s">
        <v>62</v>
      </c>
      <c r="E319">
        <v>1276</v>
      </c>
      <c r="F319">
        <v>1.3</v>
      </c>
      <c r="G319">
        <v>1</v>
      </c>
    </row>
    <row r="320" spans="1:12">
      <c r="A320" s="10">
        <v>41841</v>
      </c>
      <c r="B320" s="7" t="s">
        <v>20</v>
      </c>
      <c r="C320">
        <v>30</v>
      </c>
      <c r="D320" t="s">
        <v>62</v>
      </c>
      <c r="E320">
        <v>199</v>
      </c>
      <c r="F320">
        <v>0.94</v>
      </c>
    </row>
    <row r="321" spans="1:12">
      <c r="A321" s="10">
        <v>41841</v>
      </c>
      <c r="B321" s="7" t="s">
        <v>20</v>
      </c>
      <c r="C321">
        <v>30</v>
      </c>
      <c r="D321" t="s">
        <v>62</v>
      </c>
      <c r="E321">
        <v>284</v>
      </c>
      <c r="F321">
        <v>1.97</v>
      </c>
      <c r="G321">
        <v>6</v>
      </c>
    </row>
    <row r="322" spans="1:12">
      <c r="A322" s="10">
        <v>41841</v>
      </c>
      <c r="B322" s="7" t="s">
        <v>20</v>
      </c>
      <c r="C322">
        <v>30</v>
      </c>
      <c r="D322" t="s">
        <v>19</v>
      </c>
      <c r="F322">
        <v>2.84</v>
      </c>
      <c r="J322">
        <f>156+172+203+204+233</f>
        <v>968</v>
      </c>
      <c r="K322">
        <v>5</v>
      </c>
      <c r="L322">
        <v>233</v>
      </c>
    </row>
    <row r="323" spans="1:12">
      <c r="A323" s="10">
        <v>41841</v>
      </c>
      <c r="B323" s="7" t="s">
        <v>20</v>
      </c>
      <c r="C323">
        <v>30</v>
      </c>
      <c r="D323" t="s">
        <v>62</v>
      </c>
      <c r="E323">
        <v>165</v>
      </c>
      <c r="F323">
        <v>1.67</v>
      </c>
    </row>
    <row r="324" spans="1:12">
      <c r="A324" s="10">
        <v>41841</v>
      </c>
      <c r="B324" s="7" t="s">
        <v>20</v>
      </c>
      <c r="C324">
        <v>30</v>
      </c>
      <c r="D324" t="s">
        <v>19</v>
      </c>
      <c r="F324">
        <v>4.34</v>
      </c>
      <c r="J324">
        <f>134+78+223+231+281+281+314+326</f>
        <v>1868</v>
      </c>
      <c r="K324">
        <v>8</v>
      </c>
      <c r="L324">
        <v>326</v>
      </c>
    </row>
    <row r="325" spans="1:12">
      <c r="A325" s="10">
        <v>41841</v>
      </c>
      <c r="B325" s="7" t="s">
        <v>20</v>
      </c>
      <c r="C325">
        <v>30</v>
      </c>
      <c r="D325" t="s">
        <v>62</v>
      </c>
      <c r="E325">
        <v>283</v>
      </c>
      <c r="F325">
        <v>1.98</v>
      </c>
      <c r="G325">
        <v>3</v>
      </c>
    </row>
    <row r="326" spans="1:12">
      <c r="A326" s="10">
        <v>41841</v>
      </c>
      <c r="B326" s="7" t="s">
        <v>20</v>
      </c>
      <c r="C326">
        <v>30</v>
      </c>
      <c r="D326" t="s">
        <v>19</v>
      </c>
      <c r="F326">
        <v>2.72</v>
      </c>
      <c r="J326">
        <f>171+203</f>
        <v>374</v>
      </c>
      <c r="K326">
        <v>2</v>
      </c>
      <c r="L326">
        <v>203</v>
      </c>
    </row>
    <row r="327" spans="1:12">
      <c r="A327" s="10">
        <v>41841</v>
      </c>
      <c r="B327" s="7" t="s">
        <v>20</v>
      </c>
      <c r="C327">
        <v>30</v>
      </c>
      <c r="D327" t="s">
        <v>62</v>
      </c>
      <c r="E327">
        <v>243</v>
      </c>
      <c r="F327">
        <v>2.1</v>
      </c>
    </row>
    <row r="328" spans="1:12">
      <c r="A328" s="10">
        <v>41841</v>
      </c>
      <c r="B328" s="7" t="s">
        <v>20</v>
      </c>
      <c r="C328">
        <v>30</v>
      </c>
      <c r="D328" t="s">
        <v>62</v>
      </c>
      <c r="E328">
        <v>232</v>
      </c>
      <c r="F328">
        <v>1.75</v>
      </c>
    </row>
    <row r="329" spans="1:12">
      <c r="A329" s="10">
        <v>41841</v>
      </c>
      <c r="B329" s="7" t="s">
        <v>20</v>
      </c>
      <c r="C329">
        <v>30</v>
      </c>
      <c r="D329" t="s">
        <v>62</v>
      </c>
      <c r="E329">
        <v>303</v>
      </c>
      <c r="F329">
        <v>1.4</v>
      </c>
      <c r="G329">
        <v>2</v>
      </c>
    </row>
    <row r="330" spans="1:12">
      <c r="A330" s="10">
        <v>41841</v>
      </c>
      <c r="B330" s="7" t="s">
        <v>20</v>
      </c>
      <c r="C330">
        <v>30</v>
      </c>
      <c r="D330" t="s">
        <v>62</v>
      </c>
      <c r="E330">
        <v>219</v>
      </c>
      <c r="F330">
        <v>1.5</v>
      </c>
    </row>
    <row r="331" spans="1:12">
      <c r="A331" s="10">
        <v>41841</v>
      </c>
      <c r="B331" s="7" t="s">
        <v>20</v>
      </c>
      <c r="C331">
        <v>30</v>
      </c>
      <c r="D331" t="s">
        <v>62</v>
      </c>
      <c r="E331">
        <v>296</v>
      </c>
      <c r="F331">
        <v>1.51</v>
      </c>
    </row>
    <row r="332" spans="1:12">
      <c r="A332" s="10">
        <v>41841</v>
      </c>
      <c r="B332" s="7" t="s">
        <v>20</v>
      </c>
      <c r="C332">
        <v>30</v>
      </c>
      <c r="D332" t="s">
        <v>62</v>
      </c>
      <c r="E332">
        <v>222</v>
      </c>
      <c r="F332">
        <v>1.76</v>
      </c>
    </row>
    <row r="333" spans="1:12">
      <c r="A333" s="10">
        <v>41841</v>
      </c>
      <c r="B333" s="7" t="s">
        <v>20</v>
      </c>
      <c r="C333">
        <v>30</v>
      </c>
      <c r="D333" t="s">
        <v>62</v>
      </c>
      <c r="E333">
        <v>253</v>
      </c>
      <c r="F333">
        <v>1.9</v>
      </c>
    </row>
    <row r="334" spans="1:12">
      <c r="A334" s="10">
        <v>41841</v>
      </c>
      <c r="B334" s="7" t="s">
        <v>20</v>
      </c>
      <c r="C334">
        <v>30</v>
      </c>
      <c r="D334" t="s">
        <v>62</v>
      </c>
      <c r="E334">
        <v>342</v>
      </c>
      <c r="F334">
        <v>1.38</v>
      </c>
      <c r="G334">
        <v>12</v>
      </c>
    </row>
    <row r="335" spans="1:12">
      <c r="A335" s="10">
        <v>41841</v>
      </c>
      <c r="B335" s="7" t="s">
        <v>20</v>
      </c>
      <c r="C335">
        <v>30</v>
      </c>
      <c r="D335" t="s">
        <v>62</v>
      </c>
      <c r="E335">
        <v>277</v>
      </c>
      <c r="F335">
        <v>1.63</v>
      </c>
    </row>
    <row r="336" spans="1:12">
      <c r="A336" s="10">
        <v>41841</v>
      </c>
      <c r="B336" s="7" t="s">
        <v>20</v>
      </c>
      <c r="C336">
        <v>30</v>
      </c>
      <c r="D336" t="s">
        <v>62</v>
      </c>
      <c r="E336">
        <v>276</v>
      </c>
      <c r="F336">
        <v>2.06</v>
      </c>
    </row>
    <row r="337" spans="1:12">
      <c r="A337" s="10">
        <v>41841</v>
      </c>
      <c r="B337" s="7" t="s">
        <v>20</v>
      </c>
      <c r="C337">
        <v>30</v>
      </c>
      <c r="D337" t="s">
        <v>62</v>
      </c>
      <c r="E337">
        <v>305</v>
      </c>
      <c r="F337">
        <v>1.43</v>
      </c>
      <c r="G337">
        <v>3</v>
      </c>
    </row>
    <row r="338" spans="1:12">
      <c r="A338" s="10">
        <v>41841</v>
      </c>
      <c r="B338" s="7" t="s">
        <v>20</v>
      </c>
      <c r="C338">
        <v>30</v>
      </c>
      <c r="D338" t="s">
        <v>62</v>
      </c>
      <c r="E338">
        <v>246</v>
      </c>
      <c r="F338">
        <v>1.33</v>
      </c>
    </row>
    <row r="339" spans="1:12">
      <c r="A339" s="10">
        <v>41841</v>
      </c>
      <c r="B339" s="7" t="s">
        <v>20</v>
      </c>
      <c r="C339">
        <v>30</v>
      </c>
      <c r="D339" t="s">
        <v>62</v>
      </c>
      <c r="E339">
        <v>187</v>
      </c>
      <c r="F339">
        <v>1.19</v>
      </c>
    </row>
    <row r="340" spans="1:12">
      <c r="A340" s="10">
        <v>41841</v>
      </c>
      <c r="B340" s="7" t="s">
        <v>20</v>
      </c>
      <c r="C340">
        <v>30</v>
      </c>
      <c r="D340" t="s">
        <v>19</v>
      </c>
      <c r="F340">
        <v>6.23</v>
      </c>
      <c r="J340">
        <f>84+226+227+296+303+344+365+374+145</f>
        <v>2364</v>
      </c>
      <c r="K340">
        <v>9</v>
      </c>
      <c r="L340">
        <v>374</v>
      </c>
    </row>
    <row r="341" spans="1:12">
      <c r="A341" s="10">
        <v>41841</v>
      </c>
      <c r="B341" s="7" t="s">
        <v>20</v>
      </c>
      <c r="C341">
        <v>30</v>
      </c>
      <c r="D341" t="s">
        <v>62</v>
      </c>
      <c r="E341">
        <v>193</v>
      </c>
      <c r="F341">
        <v>1.27</v>
      </c>
    </row>
    <row r="342" spans="1:12">
      <c r="A342" s="10">
        <v>41841</v>
      </c>
      <c r="B342" s="7" t="s">
        <v>20</v>
      </c>
      <c r="C342">
        <v>30</v>
      </c>
      <c r="D342" t="s">
        <v>62</v>
      </c>
      <c r="E342">
        <v>96</v>
      </c>
      <c r="F342">
        <v>1.2</v>
      </c>
    </row>
    <row r="343" spans="1:12">
      <c r="A343" s="10">
        <v>41841</v>
      </c>
      <c r="B343" s="7" t="s">
        <v>20</v>
      </c>
      <c r="C343">
        <v>30</v>
      </c>
      <c r="D343" t="s">
        <v>62</v>
      </c>
      <c r="E343">
        <v>42</v>
      </c>
      <c r="F343">
        <v>0.7</v>
      </c>
    </row>
    <row r="344" spans="1:12">
      <c r="A344" s="10">
        <v>41841</v>
      </c>
      <c r="B344" s="7" t="s">
        <v>20</v>
      </c>
      <c r="C344">
        <v>20</v>
      </c>
      <c r="D344" t="s">
        <v>19</v>
      </c>
      <c r="F344">
        <v>4.9800000000000004</v>
      </c>
      <c r="J344">
        <f>190+204+216+242+236+243+237+232</f>
        <v>1800</v>
      </c>
      <c r="K344">
        <v>8</v>
      </c>
      <c r="L344">
        <v>243</v>
      </c>
    </row>
    <row r="345" spans="1:12">
      <c r="A345" s="10">
        <v>41841</v>
      </c>
      <c r="B345" s="7" t="s">
        <v>20</v>
      </c>
      <c r="C345">
        <v>20</v>
      </c>
      <c r="D345" t="s">
        <v>19</v>
      </c>
      <c r="F345">
        <v>0.1</v>
      </c>
      <c r="J345">
        <f>165+190+211+230+264+277+287+288+299</f>
        <v>2211</v>
      </c>
      <c r="K345">
        <v>9</v>
      </c>
      <c r="L345">
        <v>299</v>
      </c>
    </row>
    <row r="346" spans="1:12">
      <c r="A346" s="10">
        <v>41841</v>
      </c>
      <c r="B346" s="7" t="s">
        <v>20</v>
      </c>
      <c r="C346">
        <v>20</v>
      </c>
      <c r="D346" t="s">
        <v>19</v>
      </c>
      <c r="F346">
        <v>5.95</v>
      </c>
      <c r="J346">
        <f>97+137+163+166+220+239+239+262+276+298</f>
        <v>2097</v>
      </c>
      <c r="K346">
        <v>10</v>
      </c>
      <c r="L346">
        <v>298</v>
      </c>
    </row>
    <row r="347" spans="1:12">
      <c r="A347" s="10">
        <v>41841</v>
      </c>
      <c r="B347" s="7" t="s">
        <v>20</v>
      </c>
      <c r="C347">
        <v>20</v>
      </c>
      <c r="D347" t="s">
        <v>19</v>
      </c>
      <c r="F347">
        <v>5.12</v>
      </c>
      <c r="J347">
        <f>114+148+169+186+189+215+237+258+255+272+283</f>
        <v>2326</v>
      </c>
      <c r="K347">
        <v>11</v>
      </c>
      <c r="L347">
        <v>283</v>
      </c>
    </row>
    <row r="348" spans="1:12">
      <c r="A348" s="10">
        <v>41841</v>
      </c>
      <c r="B348" s="7" t="s">
        <v>20</v>
      </c>
      <c r="C348">
        <v>20</v>
      </c>
      <c r="D348" t="s">
        <v>19</v>
      </c>
      <c r="F348">
        <v>8.1999999999999993</v>
      </c>
      <c r="J348">
        <f>92+135+174+182+209+236+257+280+282</f>
        <v>1847</v>
      </c>
      <c r="K348">
        <v>9</v>
      </c>
      <c r="L348">
        <v>282</v>
      </c>
    </row>
    <row r="349" spans="1:12">
      <c r="A349" s="10">
        <v>41841</v>
      </c>
      <c r="B349" s="7" t="s">
        <v>20</v>
      </c>
      <c r="C349">
        <v>20</v>
      </c>
      <c r="D349" t="s">
        <v>19</v>
      </c>
      <c r="F349">
        <v>2.7</v>
      </c>
      <c r="J349">
        <f>88+110+130+142+151+158+165</f>
        <v>944</v>
      </c>
      <c r="K349">
        <v>7</v>
      </c>
      <c r="L349">
        <v>165</v>
      </c>
    </row>
    <row r="350" spans="1:12">
      <c r="A350" s="10">
        <v>41841</v>
      </c>
      <c r="B350" s="7" t="s">
        <v>20</v>
      </c>
      <c r="C350">
        <v>20</v>
      </c>
      <c r="D350" t="s">
        <v>19</v>
      </c>
      <c r="F350">
        <v>4.8899999999999997</v>
      </c>
      <c r="J350">
        <f>135+147+163+177+196+213+237+241+257+248+134+154</f>
        <v>2302</v>
      </c>
      <c r="K350">
        <v>12</v>
      </c>
      <c r="L350">
        <v>257</v>
      </c>
    </row>
    <row r="351" spans="1:12">
      <c r="A351" s="10">
        <v>41841</v>
      </c>
      <c r="B351" s="7" t="s">
        <v>20</v>
      </c>
      <c r="C351">
        <v>20</v>
      </c>
      <c r="D351" t="s">
        <v>19</v>
      </c>
      <c r="F351">
        <v>3.35</v>
      </c>
      <c r="J351">
        <f>129+149+161+180+202+220+225</f>
        <v>1266</v>
      </c>
      <c r="K351">
        <v>7</v>
      </c>
      <c r="L351">
        <v>225</v>
      </c>
    </row>
    <row r="352" spans="1:12">
      <c r="A352" s="10">
        <v>41841</v>
      </c>
      <c r="B352" s="7" t="s">
        <v>20</v>
      </c>
      <c r="C352">
        <v>13</v>
      </c>
      <c r="D352" t="s">
        <v>19</v>
      </c>
      <c r="F352">
        <v>4.04</v>
      </c>
      <c r="J352">
        <f>118+173+197+204+252+253+282</f>
        <v>1479</v>
      </c>
      <c r="K352">
        <v>7</v>
      </c>
      <c r="L352">
        <v>282</v>
      </c>
    </row>
    <row r="353" spans="1:12">
      <c r="A353" s="10">
        <v>41841</v>
      </c>
      <c r="B353" s="7" t="s">
        <v>20</v>
      </c>
      <c r="C353">
        <v>13</v>
      </c>
      <c r="D353" t="s">
        <v>62</v>
      </c>
      <c r="E353">
        <f>187</f>
        <v>187</v>
      </c>
      <c r="F353">
        <v>0.98</v>
      </c>
    </row>
    <row r="354" spans="1:12">
      <c r="A354" s="10">
        <v>41841</v>
      </c>
      <c r="B354" s="7" t="s">
        <v>20</v>
      </c>
      <c r="C354">
        <v>13</v>
      </c>
      <c r="D354" t="s">
        <v>62</v>
      </c>
      <c r="E354">
        <v>131</v>
      </c>
      <c r="F354">
        <v>0.78</v>
      </c>
    </row>
    <row r="355" spans="1:12">
      <c r="A355" s="10">
        <v>41841</v>
      </c>
      <c r="B355" s="7" t="s">
        <v>20</v>
      </c>
      <c r="C355">
        <v>13</v>
      </c>
      <c r="D355" t="s">
        <v>19</v>
      </c>
      <c r="F355">
        <v>0.9</v>
      </c>
      <c r="J355">
        <f>56+99+112+128</f>
        <v>395</v>
      </c>
      <c r="K355">
        <v>4</v>
      </c>
      <c r="L355">
        <v>128</v>
      </c>
    </row>
    <row r="356" spans="1:12">
      <c r="A356" s="10">
        <v>41841</v>
      </c>
      <c r="B356" s="7" t="s">
        <v>20</v>
      </c>
      <c r="C356">
        <v>13</v>
      </c>
      <c r="D356" t="s">
        <v>62</v>
      </c>
      <c r="E356">
        <v>214</v>
      </c>
      <c r="F356">
        <v>1.06</v>
      </c>
    </row>
    <row r="357" spans="1:12">
      <c r="A357" s="10">
        <v>41841</v>
      </c>
      <c r="B357" s="7" t="s">
        <v>20</v>
      </c>
      <c r="C357">
        <v>13</v>
      </c>
      <c r="D357" t="s">
        <v>19</v>
      </c>
      <c r="F357">
        <v>2.65</v>
      </c>
      <c r="J357">
        <f>79+148+165+187+197+216+245+270+232</f>
        <v>1739</v>
      </c>
      <c r="K357">
        <v>9</v>
      </c>
      <c r="L357">
        <v>270</v>
      </c>
    </row>
    <row r="358" spans="1:12">
      <c r="A358" s="10">
        <v>41841</v>
      </c>
      <c r="B358" s="7" t="s">
        <v>20</v>
      </c>
      <c r="C358">
        <v>13</v>
      </c>
      <c r="D358" t="s">
        <v>62</v>
      </c>
      <c r="E358">
        <v>240</v>
      </c>
      <c r="F358">
        <v>1.6</v>
      </c>
    </row>
    <row r="359" spans="1:12">
      <c r="A359" s="10">
        <v>41841</v>
      </c>
      <c r="B359" s="7" t="s">
        <v>20</v>
      </c>
      <c r="C359">
        <v>13</v>
      </c>
      <c r="D359" t="s">
        <v>62</v>
      </c>
      <c r="E359">
        <v>238</v>
      </c>
      <c r="F359">
        <v>1.39</v>
      </c>
    </row>
    <row r="360" spans="1:12">
      <c r="A360" s="10">
        <v>41841</v>
      </c>
      <c r="B360" s="7" t="s">
        <v>20</v>
      </c>
      <c r="C360">
        <v>13</v>
      </c>
      <c r="D360" t="s">
        <v>62</v>
      </c>
      <c r="E360">
        <v>204</v>
      </c>
      <c r="F360">
        <v>1.35</v>
      </c>
    </row>
    <row r="361" spans="1:12">
      <c r="A361" s="10">
        <v>41841</v>
      </c>
      <c r="B361" s="7" t="s">
        <v>20</v>
      </c>
      <c r="C361">
        <v>13</v>
      </c>
      <c r="D361" t="s">
        <v>19</v>
      </c>
      <c r="E361">
        <v>369</v>
      </c>
      <c r="F361">
        <v>3.12</v>
      </c>
      <c r="H361">
        <v>27</v>
      </c>
      <c r="I361">
        <v>2.7</v>
      </c>
    </row>
    <row r="362" spans="1:12">
      <c r="A362" s="10">
        <v>41841</v>
      </c>
      <c r="B362" s="7" t="s">
        <v>20</v>
      </c>
      <c r="C362">
        <v>13</v>
      </c>
      <c r="D362" t="s">
        <v>62</v>
      </c>
      <c r="E362">
        <v>111</v>
      </c>
      <c r="F362">
        <v>0.92</v>
      </c>
    </row>
    <row r="363" spans="1:12">
      <c r="A363" s="10">
        <v>41841</v>
      </c>
      <c r="B363" s="7" t="s">
        <v>20</v>
      </c>
      <c r="C363">
        <v>13</v>
      </c>
      <c r="D363" t="s">
        <v>62</v>
      </c>
      <c r="E363">
        <v>295</v>
      </c>
      <c r="F363">
        <v>1.29</v>
      </c>
    </row>
    <row r="364" spans="1:12">
      <c r="A364" s="10">
        <v>41841</v>
      </c>
      <c r="B364" s="7" t="s">
        <v>20</v>
      </c>
      <c r="C364">
        <v>13</v>
      </c>
      <c r="D364" t="s">
        <v>19</v>
      </c>
      <c r="F364">
        <v>2.64</v>
      </c>
      <c r="J364">
        <f>164+196+231+224</f>
        <v>815</v>
      </c>
      <c r="K364">
        <v>4</v>
      </c>
      <c r="L364">
        <v>231</v>
      </c>
    </row>
    <row r="365" spans="1:12">
      <c r="A365" s="10">
        <v>41841</v>
      </c>
      <c r="B365" s="7" t="s">
        <v>20</v>
      </c>
      <c r="C365">
        <v>13</v>
      </c>
      <c r="D365" t="s">
        <v>19</v>
      </c>
      <c r="F365">
        <v>1</v>
      </c>
      <c r="J365">
        <f>75+142+218+220</f>
        <v>655</v>
      </c>
      <c r="K365">
        <v>4</v>
      </c>
      <c r="L365">
        <v>220</v>
      </c>
    </row>
    <row r="366" spans="1:12">
      <c r="A366" s="10">
        <v>41841</v>
      </c>
      <c r="B366" s="7" t="s">
        <v>20</v>
      </c>
      <c r="C366">
        <v>13</v>
      </c>
      <c r="D366" t="s">
        <v>19</v>
      </c>
      <c r="E366">
        <v>267</v>
      </c>
      <c r="F366">
        <v>1.64</v>
      </c>
      <c r="H366">
        <v>23</v>
      </c>
      <c r="I366">
        <v>2.5</v>
      </c>
    </row>
    <row r="367" spans="1:12">
      <c r="A367" s="10">
        <v>41841</v>
      </c>
      <c r="B367" s="7" t="s">
        <v>20</v>
      </c>
      <c r="C367">
        <v>13</v>
      </c>
      <c r="D367" t="s">
        <v>19</v>
      </c>
      <c r="F367">
        <v>3.35</v>
      </c>
      <c r="J367">
        <f>200+268+278+332</f>
        <v>1078</v>
      </c>
      <c r="K367">
        <v>4</v>
      </c>
      <c r="L367">
        <v>332</v>
      </c>
    </row>
    <row r="368" spans="1:12">
      <c r="A368" s="10">
        <v>41841</v>
      </c>
      <c r="B368" s="7" t="s">
        <v>20</v>
      </c>
      <c r="C368">
        <v>13</v>
      </c>
      <c r="D368" t="s">
        <v>19</v>
      </c>
      <c r="E368">
        <v>265</v>
      </c>
      <c r="F368">
        <v>1.96</v>
      </c>
      <c r="H368">
        <v>24</v>
      </c>
      <c r="I368">
        <v>2.1</v>
      </c>
    </row>
    <row r="369" spans="1:12">
      <c r="A369" s="10">
        <v>41841</v>
      </c>
      <c r="B369" s="7" t="s">
        <v>20</v>
      </c>
      <c r="C369">
        <v>13</v>
      </c>
      <c r="D369" t="s">
        <v>19</v>
      </c>
      <c r="F369">
        <v>1.38</v>
      </c>
      <c r="J369">
        <f>64+63+67+82+82+83+86+84+119</f>
        <v>730</v>
      </c>
      <c r="K369">
        <v>9</v>
      </c>
      <c r="L369">
        <v>119</v>
      </c>
    </row>
    <row r="370" spans="1:12">
      <c r="A370" s="10">
        <v>41841</v>
      </c>
      <c r="B370" s="7" t="s">
        <v>20</v>
      </c>
      <c r="C370">
        <v>13</v>
      </c>
      <c r="D370" t="s">
        <v>19</v>
      </c>
      <c r="F370">
        <v>1.1499999999999999</v>
      </c>
      <c r="J370">
        <f>126+213+244+255</f>
        <v>838</v>
      </c>
      <c r="K370">
        <v>4</v>
      </c>
      <c r="L370">
        <v>255</v>
      </c>
    </row>
    <row r="371" spans="1:12">
      <c r="A371" s="10">
        <v>41841</v>
      </c>
      <c r="B371" s="7" t="s">
        <v>20</v>
      </c>
      <c r="C371">
        <v>13</v>
      </c>
      <c r="D371" t="s">
        <v>19</v>
      </c>
      <c r="F371">
        <v>0.62</v>
      </c>
      <c r="J371">
        <f>27+30+38</f>
        <v>95</v>
      </c>
      <c r="K371">
        <v>3</v>
      </c>
      <c r="L371">
        <v>38</v>
      </c>
    </row>
    <row r="372" spans="1:12">
      <c r="A372" s="10">
        <v>41841</v>
      </c>
      <c r="B372" s="7" t="s">
        <v>20</v>
      </c>
      <c r="C372">
        <v>13</v>
      </c>
      <c r="D372" t="s">
        <v>19</v>
      </c>
      <c r="F372">
        <v>1.53</v>
      </c>
      <c r="J372">
        <f>133+192+225+253+266</f>
        <v>1069</v>
      </c>
      <c r="K372">
        <v>5</v>
      </c>
      <c r="L372">
        <v>266</v>
      </c>
    </row>
    <row r="373" spans="1:12">
      <c r="A373" s="10">
        <v>41841</v>
      </c>
      <c r="B373" s="7" t="s">
        <v>20</v>
      </c>
      <c r="C373">
        <v>13</v>
      </c>
      <c r="D373" t="s">
        <v>19</v>
      </c>
      <c r="F373">
        <v>1.24</v>
      </c>
      <c r="J373">
        <f>117+159+207</f>
        <v>483</v>
      </c>
      <c r="K373">
        <v>3</v>
      </c>
      <c r="L373">
        <v>207</v>
      </c>
    </row>
    <row r="374" spans="1:12">
      <c r="A374" s="10">
        <v>41841</v>
      </c>
      <c r="B374" s="7" t="s">
        <v>20</v>
      </c>
      <c r="C374">
        <v>13</v>
      </c>
      <c r="D374" t="s">
        <v>19</v>
      </c>
      <c r="F374">
        <v>1.17</v>
      </c>
      <c r="J374">
        <f>157+185+197+107</f>
        <v>646</v>
      </c>
      <c r="K374">
        <v>4</v>
      </c>
      <c r="L374">
        <v>197</v>
      </c>
    </row>
    <row r="375" spans="1:12">
      <c r="A375" s="10">
        <v>41841</v>
      </c>
      <c r="B375" s="7" t="s">
        <v>20</v>
      </c>
      <c r="C375">
        <v>13</v>
      </c>
      <c r="D375" t="s">
        <v>19</v>
      </c>
      <c r="F375">
        <v>1.22</v>
      </c>
      <c r="J375">
        <v>227</v>
      </c>
      <c r="K375">
        <v>1</v>
      </c>
      <c r="L375">
        <v>227</v>
      </c>
    </row>
    <row r="376" spans="1:12">
      <c r="A376" s="10">
        <v>41841</v>
      </c>
      <c r="B376" s="7" t="s">
        <v>20</v>
      </c>
      <c r="C376">
        <v>13</v>
      </c>
      <c r="D376" t="s">
        <v>19</v>
      </c>
      <c r="F376">
        <v>1.0900000000000001</v>
      </c>
      <c r="J376">
        <f>129+192+302+340</f>
        <v>963</v>
      </c>
      <c r="K376">
        <v>4</v>
      </c>
      <c r="L376">
        <v>340</v>
      </c>
    </row>
    <row r="377" spans="1:12">
      <c r="A377" s="10">
        <v>41841</v>
      </c>
      <c r="B377" s="7" t="s">
        <v>20</v>
      </c>
      <c r="C377">
        <v>13</v>
      </c>
      <c r="D377" t="s">
        <v>19</v>
      </c>
      <c r="F377">
        <v>1.33</v>
      </c>
      <c r="J377">
        <f>140+239+279</f>
        <v>658</v>
      </c>
      <c r="K377">
        <v>3</v>
      </c>
      <c r="L377">
        <v>279</v>
      </c>
    </row>
    <row r="378" spans="1:12">
      <c r="A378" s="10">
        <v>41841</v>
      </c>
      <c r="B378" s="7" t="s">
        <v>20</v>
      </c>
      <c r="C378">
        <v>13</v>
      </c>
      <c r="D378" t="s">
        <v>19</v>
      </c>
      <c r="F378">
        <v>3.44</v>
      </c>
      <c r="J378">
        <f>183+251+286+293+314+322+353+356</f>
        <v>2358</v>
      </c>
      <c r="K378">
        <v>8</v>
      </c>
      <c r="L378">
        <v>356</v>
      </c>
    </row>
    <row r="379" spans="1:12">
      <c r="A379" s="10">
        <v>41841</v>
      </c>
      <c r="B379" s="7" t="s">
        <v>20</v>
      </c>
      <c r="C379">
        <v>13</v>
      </c>
      <c r="D379" t="s">
        <v>62</v>
      </c>
      <c r="E379">
        <v>201</v>
      </c>
      <c r="F379">
        <v>0.81</v>
      </c>
    </row>
    <row r="380" spans="1:12">
      <c r="A380" s="10">
        <v>41841</v>
      </c>
      <c r="B380" s="7" t="s">
        <v>20</v>
      </c>
      <c r="C380">
        <v>13</v>
      </c>
      <c r="D380" t="s">
        <v>62</v>
      </c>
      <c r="E380">
        <v>283</v>
      </c>
      <c r="F380">
        <v>1.41</v>
      </c>
    </row>
    <row r="381" spans="1:12">
      <c r="A381" s="10">
        <v>41841</v>
      </c>
      <c r="B381" s="7" t="s">
        <v>20</v>
      </c>
      <c r="C381">
        <v>13</v>
      </c>
      <c r="D381" t="s">
        <v>19</v>
      </c>
      <c r="F381">
        <v>1.81</v>
      </c>
      <c r="J381">
        <f>136+169+197+200+211+215</f>
        <v>1128</v>
      </c>
      <c r="K381">
        <v>6</v>
      </c>
      <c r="L381">
        <v>215</v>
      </c>
    </row>
    <row r="382" spans="1:12">
      <c r="A382" s="10">
        <v>41841</v>
      </c>
      <c r="B382" s="7" t="s">
        <v>20</v>
      </c>
      <c r="C382">
        <v>13</v>
      </c>
      <c r="D382" t="s">
        <v>19</v>
      </c>
      <c r="F382">
        <v>1.1200000000000001</v>
      </c>
      <c r="J382">
        <f>161+164+209+241</f>
        <v>775</v>
      </c>
      <c r="K382">
        <v>4</v>
      </c>
      <c r="L382">
        <v>241</v>
      </c>
    </row>
    <row r="383" spans="1:12">
      <c r="A383" s="10">
        <v>41841</v>
      </c>
      <c r="B383" s="7" t="s">
        <v>28</v>
      </c>
      <c r="C383">
        <v>59</v>
      </c>
      <c r="D383" t="s">
        <v>19</v>
      </c>
      <c r="E383">
        <v>369</v>
      </c>
      <c r="F383">
        <v>3.85</v>
      </c>
      <c r="H383">
        <v>29</v>
      </c>
      <c r="I383">
        <v>2</v>
      </c>
    </row>
    <row r="384" spans="1:12">
      <c r="A384" s="10">
        <v>41841</v>
      </c>
      <c r="B384" s="7" t="s">
        <v>28</v>
      </c>
      <c r="C384">
        <v>59</v>
      </c>
      <c r="D384" t="s">
        <v>19</v>
      </c>
      <c r="F384">
        <v>4.03</v>
      </c>
      <c r="J384">
        <f>243+269+282+282</f>
        <v>1076</v>
      </c>
      <c r="K384">
        <v>4</v>
      </c>
      <c r="L384">
        <v>282</v>
      </c>
    </row>
    <row r="385" spans="1:12">
      <c r="A385" s="10">
        <v>41841</v>
      </c>
      <c r="B385" s="7" t="s">
        <v>28</v>
      </c>
      <c r="C385">
        <v>59</v>
      </c>
      <c r="D385" t="s">
        <v>19</v>
      </c>
      <c r="F385">
        <v>4.49</v>
      </c>
      <c r="J385">
        <f>59+82+94</f>
        <v>235</v>
      </c>
      <c r="K385">
        <v>3</v>
      </c>
      <c r="L385">
        <v>94</v>
      </c>
    </row>
    <row r="386" spans="1:12">
      <c r="A386" s="10">
        <v>41841</v>
      </c>
      <c r="B386" s="7" t="s">
        <v>28</v>
      </c>
      <c r="C386">
        <v>59</v>
      </c>
      <c r="D386" t="s">
        <v>19</v>
      </c>
      <c r="F386">
        <v>3.25</v>
      </c>
      <c r="J386">
        <f>328+374</f>
        <v>702</v>
      </c>
      <c r="K386">
        <v>2</v>
      </c>
      <c r="L386">
        <v>374</v>
      </c>
    </row>
    <row r="387" spans="1:12">
      <c r="A387" s="10">
        <v>41841</v>
      </c>
      <c r="B387" s="7" t="s">
        <v>28</v>
      </c>
      <c r="C387">
        <v>59</v>
      </c>
      <c r="D387" t="s">
        <v>19</v>
      </c>
      <c r="F387">
        <v>1.1000000000000001</v>
      </c>
      <c r="J387">
        <f>199+130+170+188+220</f>
        <v>907</v>
      </c>
      <c r="K387">
        <v>5</v>
      </c>
      <c r="L387">
        <v>220</v>
      </c>
    </row>
    <row r="388" spans="1:12">
      <c r="A388" s="10">
        <v>41841</v>
      </c>
      <c r="B388" s="7" t="s">
        <v>28</v>
      </c>
      <c r="C388">
        <v>59</v>
      </c>
      <c r="D388" t="s">
        <v>19</v>
      </c>
      <c r="E388">
        <v>349</v>
      </c>
      <c r="F388">
        <v>9.2200000000000006</v>
      </c>
      <c r="H388">
        <v>29.5</v>
      </c>
      <c r="I388">
        <v>2.5</v>
      </c>
    </row>
    <row r="389" spans="1:12">
      <c r="A389" s="10">
        <v>41841</v>
      </c>
      <c r="B389" s="7" t="s">
        <v>28</v>
      </c>
      <c r="C389">
        <v>59</v>
      </c>
      <c r="D389" t="s">
        <v>19</v>
      </c>
      <c r="F389">
        <v>3.95</v>
      </c>
      <c r="J389">
        <f>183+184+260+274+322+324</f>
        <v>1547</v>
      </c>
      <c r="K389">
        <v>6</v>
      </c>
      <c r="L389">
        <v>324</v>
      </c>
    </row>
    <row r="390" spans="1:12">
      <c r="A390" s="10">
        <v>41841</v>
      </c>
      <c r="B390" s="7" t="s">
        <v>28</v>
      </c>
      <c r="C390">
        <v>59</v>
      </c>
      <c r="D390" t="s">
        <v>19</v>
      </c>
      <c r="F390">
        <v>2.4900000000000002</v>
      </c>
      <c r="J390">
        <f>204+281+310+309</f>
        <v>1104</v>
      </c>
      <c r="K390">
        <v>4</v>
      </c>
      <c r="L390">
        <v>310</v>
      </c>
    </row>
    <row r="391" spans="1:12">
      <c r="A391" s="10">
        <v>41841</v>
      </c>
      <c r="B391" s="7" t="s">
        <v>28</v>
      </c>
      <c r="C391">
        <v>59</v>
      </c>
      <c r="D391" t="s">
        <v>19</v>
      </c>
      <c r="F391">
        <v>4.34</v>
      </c>
      <c r="J391">
        <f>321+324+376+400</f>
        <v>1421</v>
      </c>
      <c r="K391">
        <v>4</v>
      </c>
      <c r="L391">
        <v>400</v>
      </c>
    </row>
    <row r="392" spans="1:12">
      <c r="A392" s="10">
        <v>41841</v>
      </c>
      <c r="B392" s="7" t="s">
        <v>28</v>
      </c>
      <c r="C392">
        <v>59</v>
      </c>
      <c r="D392" t="s">
        <v>19</v>
      </c>
      <c r="F392">
        <v>2</v>
      </c>
      <c r="J392">
        <f>194+271+285+293</f>
        <v>1043</v>
      </c>
      <c r="K392">
        <v>4</v>
      </c>
      <c r="L392">
        <v>293</v>
      </c>
    </row>
    <row r="393" spans="1:12">
      <c r="A393" s="10">
        <v>41841</v>
      </c>
      <c r="B393" s="7" t="s">
        <v>28</v>
      </c>
      <c r="C393">
        <v>56</v>
      </c>
      <c r="D393" t="s">
        <v>19</v>
      </c>
      <c r="F393">
        <v>14.88</v>
      </c>
      <c r="J393">
        <f>341+351+462+490+495+513+521+523+527+535+532+542</f>
        <v>5832</v>
      </c>
      <c r="K393">
        <v>12</v>
      </c>
      <c r="L393">
        <v>542</v>
      </c>
    </row>
    <row r="394" spans="1:12">
      <c r="A394" s="10">
        <v>41841</v>
      </c>
      <c r="B394" s="7" t="s">
        <v>28</v>
      </c>
      <c r="C394">
        <v>56</v>
      </c>
      <c r="D394" t="s">
        <v>19</v>
      </c>
      <c r="F394">
        <v>6.71</v>
      </c>
      <c r="J394">
        <f>170+218+284+292+222+242+254+294</f>
        <v>1976</v>
      </c>
      <c r="K394">
        <v>8</v>
      </c>
      <c r="L394">
        <v>294</v>
      </c>
    </row>
    <row r="395" spans="1:12">
      <c r="A395" s="10">
        <v>41841</v>
      </c>
      <c r="B395" s="7" t="s">
        <v>28</v>
      </c>
      <c r="C395">
        <v>56</v>
      </c>
      <c r="D395" t="s">
        <v>19</v>
      </c>
      <c r="F395">
        <v>2.76</v>
      </c>
      <c r="J395">
        <f>87+115+139+197+225+239+260</f>
        <v>1262</v>
      </c>
      <c r="K395">
        <v>7</v>
      </c>
      <c r="L395">
        <v>260</v>
      </c>
    </row>
    <row r="396" spans="1:12">
      <c r="A396" s="10">
        <v>41842</v>
      </c>
      <c r="B396" s="7" t="s">
        <v>28</v>
      </c>
      <c r="C396">
        <v>46</v>
      </c>
      <c r="D396" t="s">
        <v>62</v>
      </c>
      <c r="E396">
        <f>302</f>
        <v>302</v>
      </c>
      <c r="F396">
        <v>2.1800000000000002</v>
      </c>
    </row>
    <row r="397" spans="1:12">
      <c r="A397" s="10">
        <v>41842</v>
      </c>
      <c r="B397" s="7" t="s">
        <v>28</v>
      </c>
      <c r="C397">
        <v>46</v>
      </c>
      <c r="D397" t="s">
        <v>62</v>
      </c>
      <c r="E397">
        <f>190</f>
        <v>190</v>
      </c>
      <c r="F397">
        <v>2.09</v>
      </c>
    </row>
    <row r="398" spans="1:12">
      <c r="A398" s="10">
        <v>41842</v>
      </c>
      <c r="B398" s="7" t="s">
        <v>28</v>
      </c>
      <c r="C398">
        <v>46</v>
      </c>
      <c r="D398" t="s">
        <v>62</v>
      </c>
      <c r="E398">
        <f>83</f>
        <v>83</v>
      </c>
      <c r="F398">
        <v>0.78</v>
      </c>
    </row>
    <row r="399" spans="1:12">
      <c r="A399" s="10">
        <v>41842</v>
      </c>
      <c r="B399" s="7" t="s">
        <v>28</v>
      </c>
      <c r="C399">
        <v>46</v>
      </c>
      <c r="D399" t="s">
        <v>62</v>
      </c>
      <c r="E399">
        <f>87</f>
        <v>87</v>
      </c>
      <c r="F399">
        <v>1.5</v>
      </c>
    </row>
    <row r="400" spans="1:12">
      <c r="A400" s="10">
        <v>41842</v>
      </c>
      <c r="B400" s="7" t="s">
        <v>28</v>
      </c>
      <c r="C400">
        <v>46</v>
      </c>
      <c r="D400" t="s">
        <v>62</v>
      </c>
      <c r="E400">
        <f>247</f>
        <v>247</v>
      </c>
      <c r="F400">
        <v>2.02</v>
      </c>
    </row>
    <row r="401" spans="1:12">
      <c r="A401" s="10">
        <v>41842</v>
      </c>
      <c r="B401" s="7" t="s">
        <v>28</v>
      </c>
      <c r="C401">
        <v>46</v>
      </c>
      <c r="D401" t="s">
        <v>62</v>
      </c>
      <c r="E401">
        <f>241</f>
        <v>241</v>
      </c>
      <c r="F401">
        <v>3.37</v>
      </c>
    </row>
    <row r="402" spans="1:12">
      <c r="A402" s="10">
        <v>41842</v>
      </c>
      <c r="B402" s="7" t="s">
        <v>28</v>
      </c>
      <c r="C402">
        <v>46</v>
      </c>
      <c r="D402" t="s">
        <v>62</v>
      </c>
      <c r="E402">
        <v>285</v>
      </c>
      <c r="F402">
        <v>2.64</v>
      </c>
      <c r="G402">
        <v>6</v>
      </c>
    </row>
    <row r="403" spans="1:12">
      <c r="A403" s="10">
        <v>41842</v>
      </c>
      <c r="B403" s="7" t="s">
        <v>28</v>
      </c>
      <c r="C403">
        <v>46</v>
      </c>
      <c r="D403" t="s">
        <v>62</v>
      </c>
      <c r="E403">
        <f>140</f>
        <v>140</v>
      </c>
      <c r="F403">
        <v>1.58</v>
      </c>
    </row>
    <row r="404" spans="1:12">
      <c r="A404" s="10">
        <v>41842</v>
      </c>
      <c r="B404" s="7" t="s">
        <v>28</v>
      </c>
      <c r="C404">
        <v>46</v>
      </c>
      <c r="D404" t="s">
        <v>62</v>
      </c>
      <c r="E404">
        <f>292</f>
        <v>292</v>
      </c>
      <c r="F404">
        <v>2.46</v>
      </c>
    </row>
    <row r="405" spans="1:12">
      <c r="A405" s="10">
        <v>41842</v>
      </c>
      <c r="B405" s="7" t="s">
        <v>28</v>
      </c>
      <c r="C405">
        <v>46</v>
      </c>
      <c r="D405" t="s">
        <v>62</v>
      </c>
      <c r="E405">
        <f>260</f>
        <v>260</v>
      </c>
      <c r="F405">
        <v>1.74</v>
      </c>
    </row>
    <row r="406" spans="1:12">
      <c r="A406" s="10">
        <v>41842</v>
      </c>
      <c r="B406" s="7" t="s">
        <v>28</v>
      </c>
      <c r="C406">
        <v>46</v>
      </c>
      <c r="D406" t="s">
        <v>19</v>
      </c>
      <c r="F406">
        <v>6.8</v>
      </c>
      <c r="J406">
        <f>20+116+156+177+160+143+147+195+200</f>
        <v>1314</v>
      </c>
      <c r="K406">
        <v>9</v>
      </c>
      <c r="L406">
        <v>200</v>
      </c>
    </row>
    <row r="407" spans="1:12">
      <c r="A407" s="10">
        <v>41842</v>
      </c>
      <c r="B407" s="7" t="s">
        <v>28</v>
      </c>
      <c r="C407">
        <v>46</v>
      </c>
      <c r="D407" t="s">
        <v>62</v>
      </c>
      <c r="E407">
        <v>204</v>
      </c>
      <c r="F407">
        <v>2.2599999999999998</v>
      </c>
    </row>
    <row r="408" spans="1:12">
      <c r="A408" s="10">
        <v>41842</v>
      </c>
      <c r="B408" s="7" t="s">
        <v>28</v>
      </c>
      <c r="C408">
        <v>46</v>
      </c>
      <c r="D408" t="s">
        <v>62</v>
      </c>
      <c r="E408">
        <v>247</v>
      </c>
      <c r="F408">
        <v>1.28</v>
      </c>
    </row>
    <row r="409" spans="1:12">
      <c r="A409" s="10">
        <v>41842</v>
      </c>
      <c r="B409" s="7" t="s">
        <v>28</v>
      </c>
      <c r="C409">
        <v>46</v>
      </c>
      <c r="D409" t="s">
        <v>62</v>
      </c>
      <c r="E409">
        <v>321</v>
      </c>
      <c r="F409">
        <v>2.2599999999999998</v>
      </c>
    </row>
    <row r="410" spans="1:12">
      <c r="A410" s="10">
        <v>41842</v>
      </c>
      <c r="B410" s="7" t="s">
        <v>28</v>
      </c>
      <c r="C410">
        <v>46</v>
      </c>
      <c r="D410" t="s">
        <v>62</v>
      </c>
      <c r="E410">
        <v>211</v>
      </c>
      <c r="F410">
        <v>2.12</v>
      </c>
    </row>
    <row r="411" spans="1:12">
      <c r="A411" s="10">
        <v>41842</v>
      </c>
      <c r="B411" s="7" t="s">
        <v>28</v>
      </c>
      <c r="C411">
        <v>46</v>
      </c>
      <c r="D411" t="s">
        <v>62</v>
      </c>
      <c r="E411">
        <v>164</v>
      </c>
      <c r="F411">
        <v>1.53</v>
      </c>
    </row>
    <row r="412" spans="1:12">
      <c r="A412" s="10">
        <v>41842</v>
      </c>
      <c r="B412" s="7" t="s">
        <v>28</v>
      </c>
      <c r="C412">
        <v>46</v>
      </c>
      <c r="D412" t="s">
        <v>19</v>
      </c>
      <c r="F412">
        <v>1.48</v>
      </c>
      <c r="J412">
        <f>96+47</f>
        <v>143</v>
      </c>
      <c r="K412">
        <v>2</v>
      </c>
      <c r="L412">
        <v>96</v>
      </c>
    </row>
    <row r="413" spans="1:12">
      <c r="A413" s="10">
        <v>41842</v>
      </c>
      <c r="B413" s="7" t="s">
        <v>28</v>
      </c>
      <c r="C413">
        <v>46</v>
      </c>
      <c r="D413" t="s">
        <v>19</v>
      </c>
      <c r="F413">
        <v>3.98</v>
      </c>
      <c r="J413">
        <f>43+170+194+220+250+260+274</f>
        <v>1411</v>
      </c>
      <c r="K413">
        <v>7</v>
      </c>
      <c r="L413">
        <v>274</v>
      </c>
    </row>
    <row r="414" spans="1:12">
      <c r="A414" s="10">
        <v>41842</v>
      </c>
      <c r="B414" s="7" t="s">
        <v>28</v>
      </c>
      <c r="C414">
        <v>46</v>
      </c>
      <c r="D414" t="s">
        <v>62</v>
      </c>
      <c r="E414">
        <v>206</v>
      </c>
      <c r="F414">
        <v>2.13</v>
      </c>
    </row>
    <row r="415" spans="1:12">
      <c r="A415" s="10">
        <v>41842</v>
      </c>
      <c r="B415" s="7" t="s">
        <v>28</v>
      </c>
      <c r="C415">
        <v>46</v>
      </c>
      <c r="D415" t="s">
        <v>62</v>
      </c>
      <c r="E415">
        <v>38</v>
      </c>
      <c r="F415">
        <v>2.89</v>
      </c>
    </row>
    <row r="416" spans="1:12">
      <c r="A416" s="10">
        <v>41842</v>
      </c>
      <c r="B416" s="7" t="s">
        <v>28</v>
      </c>
      <c r="C416">
        <v>46</v>
      </c>
      <c r="D416" t="s">
        <v>62</v>
      </c>
      <c r="E416">
        <v>229</v>
      </c>
      <c r="F416">
        <v>2.42</v>
      </c>
    </row>
    <row r="417" spans="1:12">
      <c r="A417" s="10">
        <v>41842</v>
      </c>
      <c r="B417" s="7" t="s">
        <v>28</v>
      </c>
      <c r="C417">
        <v>46</v>
      </c>
      <c r="D417" t="s">
        <v>62</v>
      </c>
      <c r="E417">
        <v>264</v>
      </c>
      <c r="F417">
        <v>3.45</v>
      </c>
    </row>
    <row r="418" spans="1:12">
      <c r="A418" s="10">
        <v>41842</v>
      </c>
      <c r="B418" s="7" t="s">
        <v>28</v>
      </c>
      <c r="C418">
        <v>46</v>
      </c>
      <c r="D418" t="s">
        <v>62</v>
      </c>
      <c r="E418">
        <v>236</v>
      </c>
      <c r="F418">
        <v>2.1</v>
      </c>
    </row>
    <row r="419" spans="1:12">
      <c r="A419" s="10">
        <v>41842</v>
      </c>
      <c r="B419" s="7" t="s">
        <v>28</v>
      </c>
      <c r="C419">
        <v>46</v>
      </c>
      <c r="D419" t="s">
        <v>62</v>
      </c>
      <c r="E419">
        <v>248</v>
      </c>
      <c r="F419">
        <v>1.79</v>
      </c>
    </row>
    <row r="420" spans="1:12">
      <c r="A420" s="10">
        <v>41842</v>
      </c>
      <c r="B420" s="7" t="s">
        <v>28</v>
      </c>
      <c r="C420">
        <v>46</v>
      </c>
      <c r="D420" t="s">
        <v>19</v>
      </c>
      <c r="F420">
        <v>2.6</v>
      </c>
      <c r="J420">
        <f>44+48+70+43+122+185+180+205+207+210</f>
        <v>1314</v>
      </c>
      <c r="K420">
        <v>10</v>
      </c>
      <c r="L420">
        <v>210</v>
      </c>
    </row>
    <row r="421" spans="1:12">
      <c r="A421" s="10">
        <v>41842</v>
      </c>
      <c r="B421" s="7" t="s">
        <v>28</v>
      </c>
      <c r="C421">
        <v>39</v>
      </c>
      <c r="D421" t="s">
        <v>62</v>
      </c>
      <c r="E421">
        <v>78</v>
      </c>
      <c r="F421">
        <v>0.61</v>
      </c>
    </row>
    <row r="422" spans="1:12">
      <c r="A422" s="10">
        <v>41842</v>
      </c>
      <c r="B422" s="7" t="s">
        <v>28</v>
      </c>
      <c r="C422">
        <v>39</v>
      </c>
      <c r="D422" t="s">
        <v>62</v>
      </c>
      <c r="E422">
        <v>187</v>
      </c>
      <c r="F422">
        <v>1.35</v>
      </c>
    </row>
    <row r="423" spans="1:12">
      <c r="A423" s="10">
        <v>41842</v>
      </c>
      <c r="B423" s="7" t="s">
        <v>28</v>
      </c>
      <c r="C423">
        <v>39</v>
      </c>
      <c r="D423" t="s">
        <v>62</v>
      </c>
      <c r="E423">
        <v>75</v>
      </c>
      <c r="F423">
        <v>0.77</v>
      </c>
    </row>
    <row r="424" spans="1:12">
      <c r="A424" s="10">
        <v>41842</v>
      </c>
      <c r="B424" s="7" t="s">
        <v>28</v>
      </c>
      <c r="C424">
        <v>39</v>
      </c>
      <c r="D424" t="s">
        <v>62</v>
      </c>
      <c r="E424">
        <v>266</v>
      </c>
      <c r="F424">
        <v>1.59</v>
      </c>
      <c r="G424">
        <v>5</v>
      </c>
    </row>
    <row r="425" spans="1:12">
      <c r="A425" s="10">
        <v>41842</v>
      </c>
      <c r="B425" s="7" t="s">
        <v>28</v>
      </c>
      <c r="C425">
        <v>39</v>
      </c>
      <c r="D425" t="s">
        <v>62</v>
      </c>
      <c r="E425">
        <v>270</v>
      </c>
      <c r="F425">
        <v>1.96</v>
      </c>
    </row>
    <row r="426" spans="1:12">
      <c r="A426" s="10">
        <v>41842</v>
      </c>
      <c r="B426" s="7" t="s">
        <v>28</v>
      </c>
      <c r="C426">
        <v>39</v>
      </c>
      <c r="D426" t="s">
        <v>62</v>
      </c>
      <c r="E426">
        <v>39</v>
      </c>
      <c r="F426">
        <v>0.48</v>
      </c>
    </row>
    <row r="427" spans="1:12">
      <c r="A427" s="10">
        <v>41842</v>
      </c>
      <c r="B427" s="7" t="s">
        <v>28</v>
      </c>
      <c r="C427">
        <v>39</v>
      </c>
      <c r="D427" t="s">
        <v>62</v>
      </c>
      <c r="E427">
        <v>44</v>
      </c>
      <c r="F427">
        <v>0.67</v>
      </c>
    </row>
    <row r="428" spans="1:12">
      <c r="A428" s="10">
        <v>41842</v>
      </c>
      <c r="B428" s="7" t="s">
        <v>28</v>
      </c>
      <c r="C428">
        <v>39</v>
      </c>
      <c r="D428" t="s">
        <v>62</v>
      </c>
      <c r="E428">
        <v>198</v>
      </c>
      <c r="F428">
        <v>1.93</v>
      </c>
      <c r="G428">
        <v>9</v>
      </c>
    </row>
    <row r="429" spans="1:12">
      <c r="A429" s="10">
        <v>41842</v>
      </c>
      <c r="B429" s="7" t="s">
        <v>28</v>
      </c>
      <c r="C429">
        <v>39</v>
      </c>
      <c r="D429" t="s">
        <v>62</v>
      </c>
      <c r="E429">
        <v>121</v>
      </c>
      <c r="F429" s="41">
        <v>1.39</v>
      </c>
    </row>
    <row r="430" spans="1:12">
      <c r="A430" s="10">
        <v>41842</v>
      </c>
      <c r="B430" s="7" t="s">
        <v>28</v>
      </c>
      <c r="C430">
        <v>39</v>
      </c>
      <c r="D430" t="s">
        <v>62</v>
      </c>
      <c r="E430">
        <v>283</v>
      </c>
      <c r="F430">
        <v>2.25</v>
      </c>
      <c r="G430">
        <v>7</v>
      </c>
    </row>
    <row r="431" spans="1:12">
      <c r="A431" s="10">
        <v>41842</v>
      </c>
      <c r="B431" s="7" t="s">
        <v>28</v>
      </c>
      <c r="C431">
        <v>39</v>
      </c>
      <c r="D431" t="s">
        <v>62</v>
      </c>
      <c r="E431">
        <v>116</v>
      </c>
      <c r="F431">
        <v>1.28</v>
      </c>
    </row>
    <row r="432" spans="1:12">
      <c r="A432" s="10">
        <v>41842</v>
      </c>
      <c r="B432" s="7" t="s">
        <v>28</v>
      </c>
      <c r="C432">
        <v>39</v>
      </c>
      <c r="D432" t="s">
        <v>62</v>
      </c>
      <c r="E432">
        <v>180</v>
      </c>
      <c r="F432">
        <v>1.5</v>
      </c>
    </row>
    <row r="433" spans="1:7">
      <c r="A433" s="10">
        <v>41842</v>
      </c>
      <c r="B433" s="7" t="s">
        <v>28</v>
      </c>
      <c r="C433">
        <v>39</v>
      </c>
      <c r="D433" t="s">
        <v>62</v>
      </c>
      <c r="E433">
        <v>97</v>
      </c>
      <c r="F433">
        <v>0.9</v>
      </c>
      <c r="G433">
        <v>4</v>
      </c>
    </row>
    <row r="434" spans="1:7">
      <c r="A434" s="10">
        <v>41842</v>
      </c>
      <c r="B434" s="7" t="s">
        <v>28</v>
      </c>
      <c r="C434">
        <v>39</v>
      </c>
      <c r="D434" t="s">
        <v>62</v>
      </c>
      <c r="E434">
        <v>273</v>
      </c>
      <c r="F434">
        <v>1.84</v>
      </c>
      <c r="G434">
        <v>3</v>
      </c>
    </row>
    <row r="435" spans="1:7">
      <c r="A435" s="10">
        <v>41842</v>
      </c>
      <c r="B435" s="7" t="s">
        <v>28</v>
      </c>
      <c r="C435">
        <v>39</v>
      </c>
      <c r="D435" t="s">
        <v>62</v>
      </c>
      <c r="E435">
        <v>230</v>
      </c>
      <c r="F435">
        <v>1.1399999999999999</v>
      </c>
      <c r="G435">
        <v>7</v>
      </c>
    </row>
    <row r="436" spans="1:7">
      <c r="A436" s="10">
        <v>41842</v>
      </c>
      <c r="B436" s="7" t="s">
        <v>28</v>
      </c>
      <c r="C436">
        <v>39</v>
      </c>
      <c r="D436" t="s">
        <v>62</v>
      </c>
      <c r="E436">
        <v>100</v>
      </c>
      <c r="F436">
        <v>1.04</v>
      </c>
      <c r="G436">
        <v>6</v>
      </c>
    </row>
    <row r="437" spans="1:7">
      <c r="A437" s="10">
        <v>41842</v>
      </c>
      <c r="B437" s="7" t="s">
        <v>28</v>
      </c>
      <c r="C437">
        <v>39</v>
      </c>
      <c r="D437" t="s">
        <v>62</v>
      </c>
      <c r="E437">
        <v>171</v>
      </c>
      <c r="F437">
        <v>0.99</v>
      </c>
    </row>
    <row r="438" spans="1:7">
      <c r="A438" s="10">
        <v>41842</v>
      </c>
      <c r="B438" s="7" t="s">
        <v>28</v>
      </c>
      <c r="C438">
        <v>39</v>
      </c>
      <c r="D438" t="s">
        <v>62</v>
      </c>
      <c r="E438">
        <v>122</v>
      </c>
      <c r="F438">
        <v>0.65</v>
      </c>
    </row>
    <row r="439" spans="1:7">
      <c r="A439" s="10">
        <v>41842</v>
      </c>
      <c r="B439" s="7" t="s">
        <v>28</v>
      </c>
      <c r="C439">
        <v>39</v>
      </c>
      <c r="D439" t="s">
        <v>62</v>
      </c>
      <c r="E439">
        <v>160</v>
      </c>
      <c r="F439">
        <v>1.34</v>
      </c>
      <c r="G439">
        <v>5</v>
      </c>
    </row>
    <row r="440" spans="1:7">
      <c r="A440" s="10">
        <v>41842</v>
      </c>
      <c r="B440" s="7" t="s">
        <v>28</v>
      </c>
      <c r="C440">
        <v>39</v>
      </c>
      <c r="D440" t="s">
        <v>62</v>
      </c>
      <c r="E440">
        <v>38</v>
      </c>
      <c r="F440">
        <v>0.5</v>
      </c>
    </row>
    <row r="441" spans="1:7">
      <c r="A441" s="10">
        <v>41842</v>
      </c>
      <c r="B441" s="7" t="s">
        <v>28</v>
      </c>
      <c r="C441">
        <v>39</v>
      </c>
      <c r="D441" t="s">
        <v>62</v>
      </c>
      <c r="E441">
        <v>182</v>
      </c>
      <c r="F441">
        <v>1.26</v>
      </c>
    </row>
    <row r="442" spans="1:7">
      <c r="A442" s="10">
        <v>41842</v>
      </c>
      <c r="B442" s="7" t="s">
        <v>28</v>
      </c>
      <c r="C442">
        <v>39</v>
      </c>
      <c r="D442" t="s">
        <v>62</v>
      </c>
      <c r="E442">
        <v>211</v>
      </c>
      <c r="F442">
        <v>1.2</v>
      </c>
    </row>
    <row r="443" spans="1:7">
      <c r="A443" s="10">
        <v>41842</v>
      </c>
      <c r="B443" s="7" t="s">
        <v>28</v>
      </c>
      <c r="C443">
        <v>39</v>
      </c>
      <c r="D443" t="s">
        <v>62</v>
      </c>
      <c r="E443">
        <v>27</v>
      </c>
      <c r="F443">
        <v>0.74</v>
      </c>
    </row>
    <row r="444" spans="1:7">
      <c r="A444" s="10">
        <v>41842</v>
      </c>
      <c r="B444" s="7" t="s">
        <v>28</v>
      </c>
      <c r="C444">
        <v>39</v>
      </c>
      <c r="D444" t="s">
        <v>62</v>
      </c>
      <c r="E444">
        <v>46</v>
      </c>
      <c r="F444">
        <v>0.52</v>
      </c>
    </row>
    <row r="445" spans="1:7">
      <c r="A445" s="10">
        <v>41842</v>
      </c>
      <c r="B445" s="7" t="s">
        <v>28</v>
      </c>
      <c r="C445">
        <v>39</v>
      </c>
      <c r="D445" t="s">
        <v>62</v>
      </c>
      <c r="E445">
        <v>159</v>
      </c>
      <c r="F445">
        <v>1.42</v>
      </c>
      <c r="G445">
        <v>16</v>
      </c>
    </row>
    <row r="446" spans="1:7">
      <c r="A446" s="10">
        <v>41842</v>
      </c>
      <c r="B446" s="7" t="s">
        <v>28</v>
      </c>
      <c r="C446">
        <v>39</v>
      </c>
      <c r="D446" t="s">
        <v>62</v>
      </c>
      <c r="E446">
        <v>61</v>
      </c>
      <c r="F446">
        <v>1.2</v>
      </c>
    </row>
    <row r="447" spans="1:7">
      <c r="A447" s="10">
        <v>41842</v>
      </c>
      <c r="B447" s="7" t="s">
        <v>28</v>
      </c>
      <c r="C447">
        <v>39</v>
      </c>
      <c r="D447" t="s">
        <v>62</v>
      </c>
      <c r="E447">
        <v>227</v>
      </c>
      <c r="F447">
        <v>2.79</v>
      </c>
    </row>
    <row r="448" spans="1:7">
      <c r="A448" s="10">
        <v>41842</v>
      </c>
      <c r="B448" s="7" t="s">
        <v>28</v>
      </c>
      <c r="C448">
        <v>39</v>
      </c>
      <c r="D448" t="s">
        <v>62</v>
      </c>
      <c r="E448">
        <v>268</v>
      </c>
      <c r="F448">
        <v>1.66</v>
      </c>
      <c r="G448">
        <v>2</v>
      </c>
    </row>
    <row r="449" spans="1:7">
      <c r="A449" s="10">
        <v>41842</v>
      </c>
      <c r="B449" s="7" t="s">
        <v>28</v>
      </c>
      <c r="C449">
        <v>39</v>
      </c>
      <c r="D449" t="s">
        <v>62</v>
      </c>
      <c r="E449">
        <v>65</v>
      </c>
      <c r="F449">
        <v>0.68</v>
      </c>
    </row>
    <row r="450" spans="1:7">
      <c r="A450" s="10">
        <v>41842</v>
      </c>
      <c r="B450" s="7" t="s">
        <v>28</v>
      </c>
      <c r="C450">
        <v>39</v>
      </c>
      <c r="D450" t="s">
        <v>62</v>
      </c>
      <c r="E450">
        <v>99</v>
      </c>
      <c r="F450">
        <v>0.96</v>
      </c>
    </row>
    <row r="451" spans="1:7">
      <c r="A451" s="10">
        <v>41842</v>
      </c>
      <c r="B451" s="7" t="s">
        <v>28</v>
      </c>
      <c r="C451">
        <v>39</v>
      </c>
      <c r="D451" t="s">
        <v>62</v>
      </c>
      <c r="E451">
        <v>194</v>
      </c>
      <c r="F451">
        <v>1.86</v>
      </c>
      <c r="G451">
        <v>1</v>
      </c>
    </row>
    <row r="452" spans="1:7">
      <c r="A452" s="10">
        <v>41842</v>
      </c>
      <c r="B452" s="7" t="s">
        <v>28</v>
      </c>
      <c r="C452">
        <v>39</v>
      </c>
      <c r="D452" t="s">
        <v>62</v>
      </c>
      <c r="E452">
        <v>92</v>
      </c>
      <c r="F452">
        <v>1.1499999999999999</v>
      </c>
    </row>
    <row r="453" spans="1:7">
      <c r="A453" s="10">
        <v>41842</v>
      </c>
      <c r="B453" s="7" t="s">
        <v>28</v>
      </c>
      <c r="C453">
        <v>39</v>
      </c>
      <c r="D453" t="s">
        <v>62</v>
      </c>
      <c r="E453">
        <v>212</v>
      </c>
      <c r="F453">
        <v>2.15</v>
      </c>
    </row>
    <row r="454" spans="1:7">
      <c r="A454" s="10">
        <v>41842</v>
      </c>
      <c r="B454" s="7" t="s">
        <v>28</v>
      </c>
      <c r="C454">
        <v>39</v>
      </c>
      <c r="D454" t="s">
        <v>62</v>
      </c>
      <c r="E454">
        <v>187</v>
      </c>
      <c r="F454">
        <v>1.97</v>
      </c>
    </row>
    <row r="455" spans="1:7">
      <c r="A455" s="10">
        <v>41842</v>
      </c>
      <c r="B455" s="7" t="s">
        <v>28</v>
      </c>
      <c r="C455">
        <v>39</v>
      </c>
      <c r="D455" t="s">
        <v>62</v>
      </c>
      <c r="E455">
        <v>176</v>
      </c>
      <c r="F455">
        <v>1.7</v>
      </c>
    </row>
    <row r="456" spans="1:7">
      <c r="A456" s="10">
        <v>41842</v>
      </c>
      <c r="B456" s="7" t="s">
        <v>28</v>
      </c>
      <c r="C456">
        <v>39</v>
      </c>
      <c r="D456" t="s">
        <v>62</v>
      </c>
      <c r="E456">
        <v>75</v>
      </c>
      <c r="F456">
        <v>1.07</v>
      </c>
    </row>
    <row r="457" spans="1:7">
      <c r="A457" s="10">
        <v>41842</v>
      </c>
      <c r="B457" s="7" t="s">
        <v>28</v>
      </c>
      <c r="C457">
        <v>39</v>
      </c>
      <c r="D457" t="s">
        <v>62</v>
      </c>
      <c r="E457">
        <v>210</v>
      </c>
      <c r="F457">
        <v>2.54</v>
      </c>
      <c r="G457">
        <v>6</v>
      </c>
    </row>
    <row r="458" spans="1:7">
      <c r="A458" s="10">
        <v>41842</v>
      </c>
      <c r="B458" s="7" t="s">
        <v>28</v>
      </c>
      <c r="C458">
        <v>39</v>
      </c>
      <c r="D458" t="s">
        <v>62</v>
      </c>
      <c r="E458">
        <v>243</v>
      </c>
      <c r="F458">
        <v>2.06</v>
      </c>
      <c r="G458">
        <v>12</v>
      </c>
    </row>
    <row r="459" spans="1:7">
      <c r="A459" s="10">
        <v>41842</v>
      </c>
      <c r="B459" s="7" t="s">
        <v>28</v>
      </c>
      <c r="C459">
        <v>39</v>
      </c>
      <c r="D459" t="s">
        <v>62</v>
      </c>
      <c r="E459">
        <v>264</v>
      </c>
      <c r="F459">
        <v>2.66</v>
      </c>
      <c r="G459">
        <v>5</v>
      </c>
    </row>
    <row r="460" spans="1:7">
      <c r="A460" s="10">
        <v>41842</v>
      </c>
      <c r="B460" s="7" t="s">
        <v>28</v>
      </c>
      <c r="C460">
        <v>39</v>
      </c>
      <c r="D460" t="s">
        <v>62</v>
      </c>
      <c r="E460">
        <v>130</v>
      </c>
      <c r="F460">
        <v>1.69</v>
      </c>
    </row>
    <row r="461" spans="1:7">
      <c r="A461" s="10">
        <v>41842</v>
      </c>
      <c r="B461" s="7" t="s">
        <v>28</v>
      </c>
      <c r="C461">
        <v>39</v>
      </c>
      <c r="D461" t="s">
        <v>62</v>
      </c>
      <c r="E461">
        <v>131</v>
      </c>
      <c r="F461">
        <v>1.41</v>
      </c>
      <c r="G461">
        <v>11</v>
      </c>
    </row>
    <row r="462" spans="1:7">
      <c r="A462" s="10">
        <v>41842</v>
      </c>
      <c r="B462" s="7" t="s">
        <v>28</v>
      </c>
      <c r="C462">
        <v>38</v>
      </c>
      <c r="D462" t="s">
        <v>62</v>
      </c>
      <c r="E462">
        <v>272</v>
      </c>
      <c r="F462">
        <v>2.4</v>
      </c>
      <c r="G462">
        <v>2</v>
      </c>
    </row>
    <row r="463" spans="1:7">
      <c r="A463" s="10">
        <v>41842</v>
      </c>
      <c r="B463" s="7" t="s">
        <v>28</v>
      </c>
      <c r="C463">
        <v>38</v>
      </c>
      <c r="D463" t="s">
        <v>62</v>
      </c>
      <c r="E463">
        <v>151</v>
      </c>
      <c r="F463">
        <v>1.01</v>
      </c>
    </row>
    <row r="464" spans="1:7">
      <c r="A464" s="10">
        <v>41842</v>
      </c>
      <c r="B464" s="7" t="s">
        <v>28</v>
      </c>
      <c r="C464">
        <v>38</v>
      </c>
      <c r="D464" t="s">
        <v>62</v>
      </c>
      <c r="E464">
        <v>136</v>
      </c>
      <c r="F464">
        <v>0.8</v>
      </c>
    </row>
    <row r="465" spans="1:12">
      <c r="A465" s="10">
        <v>41842</v>
      </c>
      <c r="B465" s="7" t="s">
        <v>28</v>
      </c>
      <c r="C465">
        <v>38</v>
      </c>
      <c r="D465" t="s">
        <v>62</v>
      </c>
      <c r="E465">
        <v>154</v>
      </c>
      <c r="F465">
        <v>1</v>
      </c>
    </row>
    <row r="466" spans="1:12">
      <c r="A466" s="10">
        <v>41842</v>
      </c>
      <c r="B466" s="7" t="s">
        <v>28</v>
      </c>
      <c r="C466">
        <v>38</v>
      </c>
      <c r="D466" t="s">
        <v>19</v>
      </c>
      <c r="F466">
        <v>2.82</v>
      </c>
      <c r="J466">
        <f>179+228+229+239+254+279</f>
        <v>1408</v>
      </c>
      <c r="K466">
        <v>6</v>
      </c>
      <c r="L466">
        <v>279</v>
      </c>
    </row>
    <row r="467" spans="1:12">
      <c r="A467" s="10">
        <v>41842</v>
      </c>
      <c r="B467" s="7" t="s">
        <v>28</v>
      </c>
      <c r="C467">
        <v>38</v>
      </c>
      <c r="D467" t="s">
        <v>62</v>
      </c>
      <c r="E467">
        <v>74</v>
      </c>
      <c r="F467">
        <v>0.78</v>
      </c>
    </row>
    <row r="468" spans="1:12">
      <c r="A468" s="10">
        <v>41842</v>
      </c>
      <c r="B468" s="7" t="s">
        <v>28</v>
      </c>
      <c r="C468">
        <v>38</v>
      </c>
      <c r="D468" t="s">
        <v>62</v>
      </c>
      <c r="E468">
        <v>117</v>
      </c>
      <c r="F468">
        <v>1.7</v>
      </c>
      <c r="G468">
        <v>5</v>
      </c>
    </row>
    <row r="469" spans="1:12">
      <c r="A469" s="10">
        <v>41843</v>
      </c>
      <c r="B469" s="7" t="s">
        <v>23</v>
      </c>
      <c r="C469">
        <v>40</v>
      </c>
      <c r="D469" t="s">
        <v>19</v>
      </c>
      <c r="F469">
        <v>4.47</v>
      </c>
      <c r="J469">
        <f>137+155+186+187+205+235+231</f>
        <v>1336</v>
      </c>
      <c r="K469">
        <v>7</v>
      </c>
      <c r="L469">
        <v>235</v>
      </c>
    </row>
    <row r="470" spans="1:12">
      <c r="A470" s="10">
        <v>41843</v>
      </c>
      <c r="B470" s="7" t="s">
        <v>23</v>
      </c>
      <c r="C470">
        <v>40</v>
      </c>
      <c r="D470" t="s">
        <v>19</v>
      </c>
      <c r="F470">
        <v>0.35</v>
      </c>
      <c r="J470">
        <f>121+164+192+60</f>
        <v>537</v>
      </c>
      <c r="K470">
        <v>4</v>
      </c>
      <c r="L470">
        <v>192</v>
      </c>
    </row>
    <row r="471" spans="1:12">
      <c r="A471" s="10">
        <v>41843</v>
      </c>
      <c r="B471" s="7" t="s">
        <v>23</v>
      </c>
      <c r="C471">
        <v>40</v>
      </c>
      <c r="D471" t="s">
        <v>19</v>
      </c>
      <c r="F471">
        <v>6.45</v>
      </c>
      <c r="J471">
        <f>63+130+230+250+273+285+291+296</f>
        <v>1818</v>
      </c>
      <c r="K471">
        <v>8</v>
      </c>
      <c r="L471">
        <v>296</v>
      </c>
    </row>
    <row r="472" spans="1:12">
      <c r="A472" s="10">
        <v>41843</v>
      </c>
      <c r="B472" s="7" t="s">
        <v>23</v>
      </c>
      <c r="C472">
        <v>40</v>
      </c>
      <c r="D472" t="s">
        <v>19</v>
      </c>
      <c r="F472">
        <v>6.68</v>
      </c>
      <c r="J472">
        <f>84+137+220+263+283+284+298</f>
        <v>1569</v>
      </c>
      <c r="K472">
        <v>7</v>
      </c>
      <c r="L472">
        <v>298</v>
      </c>
    </row>
    <row r="473" spans="1:12">
      <c r="A473" s="10">
        <v>41843</v>
      </c>
      <c r="B473" s="7" t="s">
        <v>23</v>
      </c>
      <c r="C473">
        <v>40</v>
      </c>
      <c r="D473" t="s">
        <v>19</v>
      </c>
      <c r="F473">
        <v>7.56</v>
      </c>
      <c r="J473">
        <f>98+125+160+268+298+314+331</f>
        <v>1594</v>
      </c>
      <c r="K473">
        <v>7</v>
      </c>
      <c r="L473">
        <v>331</v>
      </c>
    </row>
    <row r="474" spans="1:12">
      <c r="A474" s="10">
        <v>41843</v>
      </c>
      <c r="B474" s="7" t="s">
        <v>23</v>
      </c>
      <c r="C474">
        <v>30</v>
      </c>
      <c r="D474" t="s">
        <v>19</v>
      </c>
      <c r="F474">
        <v>5.69</v>
      </c>
      <c r="J474">
        <f>87+93+139+139+137+193+210+219</f>
        <v>1217</v>
      </c>
      <c r="K474">
        <v>8</v>
      </c>
      <c r="L474">
        <v>219</v>
      </c>
    </row>
    <row r="475" spans="1:12">
      <c r="A475" s="10">
        <v>41843</v>
      </c>
      <c r="B475" s="7" t="s">
        <v>23</v>
      </c>
      <c r="C475">
        <v>17</v>
      </c>
      <c r="D475" t="s">
        <v>19</v>
      </c>
      <c r="F475">
        <v>6.3</v>
      </c>
      <c r="J475">
        <f>141+160+169+172+198+197+197+194</f>
        <v>1428</v>
      </c>
      <c r="K475">
        <v>8</v>
      </c>
      <c r="L475">
        <v>198</v>
      </c>
    </row>
    <row r="476" spans="1:12">
      <c r="A476" s="10">
        <v>41843</v>
      </c>
      <c r="B476" s="7" t="s">
        <v>23</v>
      </c>
      <c r="C476">
        <v>17</v>
      </c>
      <c r="D476" t="s">
        <v>19</v>
      </c>
      <c r="F476">
        <v>2.76</v>
      </c>
      <c r="J476">
        <f>77+97+132+140</f>
        <v>446</v>
      </c>
      <c r="K476">
        <v>4</v>
      </c>
      <c r="L476">
        <v>140</v>
      </c>
    </row>
    <row r="477" spans="1:12">
      <c r="A477" s="10">
        <v>41843</v>
      </c>
      <c r="B477" s="7" t="s">
        <v>23</v>
      </c>
      <c r="C477">
        <v>17</v>
      </c>
      <c r="D477" t="s">
        <v>19</v>
      </c>
      <c r="F477">
        <v>1.67</v>
      </c>
      <c r="J477">
        <f>33+20+99</f>
        <v>152</v>
      </c>
      <c r="K477">
        <v>3</v>
      </c>
      <c r="L477">
        <v>99</v>
      </c>
    </row>
    <row r="478" spans="1:12">
      <c r="A478" s="10">
        <v>41843</v>
      </c>
      <c r="B478" s="7" t="s">
        <v>23</v>
      </c>
      <c r="C478">
        <v>17</v>
      </c>
      <c r="D478" t="s">
        <v>19</v>
      </c>
      <c r="F478">
        <v>1.43</v>
      </c>
      <c r="J478">
        <v>170</v>
      </c>
      <c r="K478">
        <v>1</v>
      </c>
      <c r="L478">
        <v>170</v>
      </c>
    </row>
    <row r="479" spans="1:12">
      <c r="A479" s="10">
        <v>41843</v>
      </c>
      <c r="B479" s="7" t="s">
        <v>23</v>
      </c>
      <c r="C479">
        <v>14</v>
      </c>
      <c r="D479" t="s">
        <v>19</v>
      </c>
      <c r="F479">
        <v>2.48</v>
      </c>
      <c r="J479">
        <f>92+127+146+161+176+189+194</f>
        <v>1085</v>
      </c>
      <c r="K479">
        <v>7</v>
      </c>
      <c r="L479">
        <v>194</v>
      </c>
    </row>
    <row r="480" spans="1:12">
      <c r="A480" s="10">
        <v>41843</v>
      </c>
      <c r="B480" s="7" t="s">
        <v>23</v>
      </c>
      <c r="C480">
        <v>14</v>
      </c>
      <c r="D480" t="s">
        <v>19</v>
      </c>
      <c r="F480">
        <v>3.99</v>
      </c>
      <c r="J480">
        <f>124+216+265+264+294+224+262+280+284</f>
        <v>2213</v>
      </c>
      <c r="K480">
        <v>9</v>
      </c>
      <c r="L480">
        <v>294</v>
      </c>
    </row>
    <row r="481" spans="1:12">
      <c r="A481" s="10">
        <v>41843</v>
      </c>
      <c r="B481" s="7" t="s">
        <v>23</v>
      </c>
      <c r="C481">
        <v>14</v>
      </c>
      <c r="D481" t="s">
        <v>19</v>
      </c>
      <c r="F481">
        <v>3.8</v>
      </c>
      <c r="J481">
        <f>57+158+205+222+311+321</f>
        <v>1274</v>
      </c>
      <c r="K481">
        <v>6</v>
      </c>
      <c r="L481">
        <v>321</v>
      </c>
    </row>
    <row r="482" spans="1:12">
      <c r="A482" s="10">
        <v>41843</v>
      </c>
      <c r="B482" s="7" t="s">
        <v>23</v>
      </c>
      <c r="C482">
        <v>14</v>
      </c>
      <c r="D482" t="s">
        <v>19</v>
      </c>
      <c r="F482">
        <v>2.38</v>
      </c>
      <c r="J482">
        <f>90+65+171+170+214</f>
        <v>710</v>
      </c>
      <c r="K482">
        <v>5</v>
      </c>
      <c r="L482">
        <v>214</v>
      </c>
    </row>
    <row r="483" spans="1:12">
      <c r="A483" s="10">
        <v>41843</v>
      </c>
      <c r="B483" s="7" t="s">
        <v>23</v>
      </c>
      <c r="C483">
        <v>14</v>
      </c>
      <c r="D483" t="s">
        <v>19</v>
      </c>
      <c r="F483">
        <v>4.87</v>
      </c>
      <c r="J483">
        <f>118+199+268+256+265+313+317+311</f>
        <v>2047</v>
      </c>
      <c r="K483">
        <v>8</v>
      </c>
      <c r="L483">
        <v>317</v>
      </c>
    </row>
    <row r="484" spans="1:12">
      <c r="A484" s="10">
        <v>41843</v>
      </c>
      <c r="B484" s="7" t="s">
        <v>23</v>
      </c>
      <c r="C484">
        <v>14</v>
      </c>
      <c r="D484" t="s">
        <v>19</v>
      </c>
      <c r="F484">
        <v>1.98</v>
      </c>
      <c r="J484">
        <f>76+147+215</f>
        <v>438</v>
      </c>
      <c r="K484">
        <v>3</v>
      </c>
      <c r="L484">
        <v>215</v>
      </c>
    </row>
    <row r="485" spans="1:12">
      <c r="A485" s="10">
        <v>41843</v>
      </c>
      <c r="B485" s="7" t="s">
        <v>23</v>
      </c>
      <c r="C485">
        <v>14</v>
      </c>
      <c r="D485" t="s">
        <v>19</v>
      </c>
      <c r="F485">
        <v>6.68</v>
      </c>
      <c r="J485">
        <f>148+214+260+282+284+309+332+328</f>
        <v>2157</v>
      </c>
      <c r="K485">
        <v>8</v>
      </c>
      <c r="L485">
        <v>332</v>
      </c>
    </row>
    <row r="486" spans="1:12">
      <c r="A486" s="10">
        <v>41843</v>
      </c>
      <c r="B486" s="7" t="s">
        <v>23</v>
      </c>
      <c r="C486">
        <v>14</v>
      </c>
      <c r="D486" t="s">
        <v>19</v>
      </c>
      <c r="F486">
        <v>5.78</v>
      </c>
      <c r="J486">
        <f>86+182+204+258+257+272+294+305+320+326</f>
        <v>2504</v>
      </c>
      <c r="K486">
        <v>10</v>
      </c>
      <c r="L486">
        <v>326</v>
      </c>
    </row>
    <row r="487" spans="1:12">
      <c r="A487" s="10">
        <v>41843</v>
      </c>
      <c r="B487" s="7" t="s">
        <v>23</v>
      </c>
      <c r="C487">
        <v>14</v>
      </c>
      <c r="D487" t="s">
        <v>60</v>
      </c>
      <c r="E487">
        <v>243</v>
      </c>
      <c r="F487">
        <v>2.68</v>
      </c>
      <c r="H487">
        <v>41.5</v>
      </c>
      <c r="I487">
        <v>2.5</v>
      </c>
    </row>
    <row r="488" spans="1:12">
      <c r="A488" s="10">
        <v>41843</v>
      </c>
      <c r="B488" s="7" t="s">
        <v>23</v>
      </c>
      <c r="C488">
        <v>7</v>
      </c>
      <c r="D488" t="s">
        <v>62</v>
      </c>
      <c r="E488">
        <v>166</v>
      </c>
      <c r="F488">
        <v>1.74</v>
      </c>
    </row>
    <row r="489" spans="1:12">
      <c r="A489" s="10">
        <v>41843</v>
      </c>
      <c r="B489" s="7" t="s">
        <v>23</v>
      </c>
      <c r="C489">
        <v>7</v>
      </c>
      <c r="D489" t="s">
        <v>62</v>
      </c>
      <c r="E489">
        <v>48</v>
      </c>
      <c r="F489">
        <v>1.35</v>
      </c>
    </row>
    <row r="490" spans="1:12">
      <c r="A490" s="10">
        <v>41843</v>
      </c>
      <c r="B490" s="7" t="s">
        <v>23</v>
      </c>
      <c r="C490">
        <v>7</v>
      </c>
      <c r="D490" t="s">
        <v>62</v>
      </c>
      <c r="E490">
        <v>227</v>
      </c>
      <c r="F490">
        <v>1.42</v>
      </c>
    </row>
    <row r="491" spans="1:12">
      <c r="A491" s="10">
        <v>41843</v>
      </c>
      <c r="B491" s="7" t="s">
        <v>23</v>
      </c>
      <c r="C491">
        <v>7</v>
      </c>
      <c r="D491" t="s">
        <v>62</v>
      </c>
      <c r="E491">
        <v>237</v>
      </c>
      <c r="F491">
        <v>1.84</v>
      </c>
    </row>
    <row r="492" spans="1:12">
      <c r="A492" s="10">
        <v>41843</v>
      </c>
      <c r="B492" s="7" t="s">
        <v>23</v>
      </c>
      <c r="C492">
        <v>7</v>
      </c>
      <c r="D492" t="s">
        <v>62</v>
      </c>
      <c r="E492">
        <v>146</v>
      </c>
      <c r="F492">
        <v>1.83</v>
      </c>
    </row>
    <row r="493" spans="1:12">
      <c r="A493" s="10">
        <v>41843</v>
      </c>
      <c r="B493" s="7" t="s">
        <v>23</v>
      </c>
      <c r="C493">
        <v>7</v>
      </c>
      <c r="D493" t="s">
        <v>19</v>
      </c>
      <c r="F493">
        <v>4.74</v>
      </c>
      <c r="J493">
        <f>66+124+183+196+240+260</f>
        <v>1069</v>
      </c>
      <c r="K493">
        <v>6</v>
      </c>
      <c r="L493">
        <v>260</v>
      </c>
    </row>
    <row r="494" spans="1:12">
      <c r="A494" s="10">
        <v>41843</v>
      </c>
      <c r="B494" s="7" t="s">
        <v>23</v>
      </c>
      <c r="C494">
        <v>7</v>
      </c>
      <c r="D494" t="s">
        <v>62</v>
      </c>
      <c r="E494">
        <v>129</v>
      </c>
      <c r="F494">
        <v>1.24</v>
      </c>
    </row>
    <row r="495" spans="1:12">
      <c r="A495" s="10">
        <v>41843</v>
      </c>
      <c r="B495" s="7" t="s">
        <v>23</v>
      </c>
      <c r="C495">
        <v>7</v>
      </c>
      <c r="D495" t="s">
        <v>62</v>
      </c>
      <c r="E495">
        <v>158</v>
      </c>
      <c r="F495">
        <v>1.1499999999999999</v>
      </c>
    </row>
    <row r="496" spans="1:12">
      <c r="A496" s="10">
        <v>41843</v>
      </c>
      <c r="B496" s="7" t="s">
        <v>23</v>
      </c>
      <c r="C496">
        <v>7</v>
      </c>
      <c r="D496" t="s">
        <v>62</v>
      </c>
      <c r="E496">
        <v>140</v>
      </c>
      <c r="F496">
        <v>2.1</v>
      </c>
      <c r="G496">
        <v>6</v>
      </c>
    </row>
    <row r="497" spans="1:12">
      <c r="A497" s="9">
        <v>41850</v>
      </c>
      <c r="B497" s="7" t="s">
        <v>24</v>
      </c>
      <c r="C497">
        <v>54</v>
      </c>
      <c r="D497" t="s">
        <v>60</v>
      </c>
      <c r="F497">
        <v>3.79</v>
      </c>
      <c r="J497">
        <f>200+231+269+282+297+307+320</f>
        <v>1906</v>
      </c>
      <c r="K497">
        <v>7</v>
      </c>
      <c r="L497">
        <v>320</v>
      </c>
    </row>
    <row r="498" spans="1:12">
      <c r="A498" s="9">
        <v>41850</v>
      </c>
      <c r="B498" s="7" t="s">
        <v>24</v>
      </c>
      <c r="C498">
        <v>54</v>
      </c>
      <c r="D498" t="s">
        <v>19</v>
      </c>
      <c r="F498">
        <v>5.68</v>
      </c>
      <c r="J498">
        <f>294+329+359+384+398+403+481</f>
        <v>2648</v>
      </c>
      <c r="K498">
        <v>7</v>
      </c>
      <c r="L498">
        <v>481</v>
      </c>
    </row>
    <row r="499" spans="1:12">
      <c r="A499" s="9">
        <v>41850</v>
      </c>
      <c r="B499" s="7" t="s">
        <v>24</v>
      </c>
      <c r="C499">
        <v>54</v>
      </c>
      <c r="D499" t="s">
        <v>60</v>
      </c>
      <c r="F499">
        <v>2.67</v>
      </c>
      <c r="J499">
        <f>230+290</f>
        <v>520</v>
      </c>
      <c r="K499">
        <v>2</v>
      </c>
      <c r="L499">
        <v>290</v>
      </c>
    </row>
    <row r="500" spans="1:12">
      <c r="A500" s="9">
        <v>41850</v>
      </c>
      <c r="B500" s="7" t="s">
        <v>24</v>
      </c>
      <c r="C500">
        <v>54</v>
      </c>
      <c r="D500" t="s">
        <v>19</v>
      </c>
      <c r="F500">
        <v>1.4</v>
      </c>
      <c r="J500">
        <f>21+46</f>
        <v>67</v>
      </c>
      <c r="K500">
        <v>2</v>
      </c>
      <c r="L500">
        <v>46</v>
      </c>
    </row>
    <row r="501" spans="1:12">
      <c r="A501" s="9">
        <v>41850</v>
      </c>
      <c r="B501" s="7" t="s">
        <v>24</v>
      </c>
      <c r="C501">
        <v>54</v>
      </c>
      <c r="D501" t="s">
        <v>62</v>
      </c>
      <c r="F501">
        <v>1.5</v>
      </c>
      <c r="J501">
        <f>78</f>
        <v>78</v>
      </c>
      <c r="K501">
        <v>1</v>
      </c>
      <c r="L501">
        <v>78</v>
      </c>
    </row>
    <row r="502" spans="1:12">
      <c r="A502" s="9">
        <v>41850</v>
      </c>
      <c r="B502" s="7" t="s">
        <v>24</v>
      </c>
      <c r="C502">
        <v>54</v>
      </c>
      <c r="D502" t="s">
        <v>19</v>
      </c>
      <c r="F502">
        <v>4.5</v>
      </c>
      <c r="J502">
        <f>130+192+210+223+258+269+311</f>
        <v>1593</v>
      </c>
      <c r="K502">
        <v>7</v>
      </c>
      <c r="L502">
        <v>311</v>
      </c>
    </row>
    <row r="503" spans="1:12">
      <c r="A503" s="9">
        <v>41850</v>
      </c>
      <c r="B503" s="7" t="s">
        <v>24</v>
      </c>
      <c r="C503">
        <v>54</v>
      </c>
      <c r="D503" t="s">
        <v>62</v>
      </c>
      <c r="E503">
        <v>203</v>
      </c>
      <c r="F503">
        <v>2.2799999999999998</v>
      </c>
    </row>
    <row r="504" spans="1:12">
      <c r="A504" s="9">
        <v>41850</v>
      </c>
      <c r="B504" s="7" t="s">
        <v>24</v>
      </c>
      <c r="C504">
        <v>54</v>
      </c>
      <c r="D504" t="s">
        <v>62</v>
      </c>
      <c r="E504">
        <v>290</v>
      </c>
      <c r="F504">
        <v>2.8</v>
      </c>
      <c r="G504">
        <v>2</v>
      </c>
    </row>
    <row r="505" spans="1:12">
      <c r="A505" s="9">
        <v>41850</v>
      </c>
      <c r="B505" s="7" t="s">
        <v>24</v>
      </c>
      <c r="C505">
        <v>54</v>
      </c>
      <c r="D505" t="s">
        <v>19</v>
      </c>
      <c r="F505">
        <v>2.38</v>
      </c>
      <c r="J505">
        <f>63+116+131+147+228</f>
        <v>685</v>
      </c>
      <c r="K505">
        <v>5</v>
      </c>
      <c r="L505">
        <v>228</v>
      </c>
    </row>
    <row r="506" spans="1:12">
      <c r="A506" s="9">
        <v>41850</v>
      </c>
      <c r="B506" s="7" t="s">
        <v>24</v>
      </c>
      <c r="C506">
        <v>54</v>
      </c>
      <c r="D506" t="s">
        <v>19</v>
      </c>
      <c r="F506">
        <v>2.31</v>
      </c>
      <c r="J506">
        <f>69+131</f>
        <v>200</v>
      </c>
      <c r="K506">
        <v>2</v>
      </c>
      <c r="L506">
        <v>131</v>
      </c>
    </row>
    <row r="507" spans="1:12">
      <c r="A507" s="9">
        <v>41850</v>
      </c>
      <c r="B507" s="7" t="s">
        <v>24</v>
      </c>
      <c r="C507">
        <v>54</v>
      </c>
      <c r="D507" t="s">
        <v>60</v>
      </c>
      <c r="F507">
        <v>3.97</v>
      </c>
      <c r="J507">
        <f>83+121+191+188+191+226+189+270</f>
        <v>1459</v>
      </c>
      <c r="K507">
        <v>8</v>
      </c>
      <c r="L507">
        <v>270</v>
      </c>
    </row>
    <row r="508" spans="1:12">
      <c r="A508" s="9">
        <v>41850</v>
      </c>
      <c r="B508" s="7" t="s">
        <v>24</v>
      </c>
      <c r="C508">
        <v>54</v>
      </c>
      <c r="D508" t="s">
        <v>60</v>
      </c>
      <c r="F508">
        <v>2.65</v>
      </c>
      <c r="J508">
        <f>81+138+230</f>
        <v>449</v>
      </c>
      <c r="K508">
        <v>3</v>
      </c>
      <c r="L508">
        <v>230</v>
      </c>
    </row>
    <row r="509" spans="1:12">
      <c r="A509" s="9">
        <v>41850</v>
      </c>
      <c r="B509" s="7" t="s">
        <v>24</v>
      </c>
      <c r="C509">
        <v>54</v>
      </c>
      <c r="D509" t="s">
        <v>19</v>
      </c>
      <c r="F509">
        <v>2.1800000000000002</v>
      </c>
      <c r="J509">
        <f>24+123+164+116+248+253</f>
        <v>928</v>
      </c>
      <c r="K509">
        <v>6</v>
      </c>
      <c r="L509">
        <v>253</v>
      </c>
    </row>
    <row r="510" spans="1:12">
      <c r="A510" s="9">
        <v>41850</v>
      </c>
      <c r="B510" s="7" t="s">
        <v>24</v>
      </c>
      <c r="C510">
        <v>54</v>
      </c>
      <c r="D510" t="s">
        <v>19</v>
      </c>
      <c r="F510">
        <v>1.8</v>
      </c>
      <c r="J510">
        <f>114+252+268+303</f>
        <v>937</v>
      </c>
      <c r="K510">
        <v>4</v>
      </c>
      <c r="L510">
        <v>303</v>
      </c>
    </row>
    <row r="511" spans="1:12">
      <c r="A511" s="9">
        <v>41850</v>
      </c>
      <c r="B511" s="7" t="s">
        <v>24</v>
      </c>
      <c r="C511">
        <v>54</v>
      </c>
      <c r="D511" t="s">
        <v>62</v>
      </c>
      <c r="E511">
        <v>331</v>
      </c>
      <c r="F511">
        <v>1.8</v>
      </c>
      <c r="G511">
        <v>5</v>
      </c>
    </row>
    <row r="512" spans="1:12">
      <c r="A512" s="9">
        <v>41850</v>
      </c>
      <c r="B512" s="7" t="s">
        <v>24</v>
      </c>
      <c r="C512">
        <v>54</v>
      </c>
      <c r="D512" t="s">
        <v>19</v>
      </c>
      <c r="F512">
        <v>3.9</v>
      </c>
      <c r="J512">
        <f>292+323+342+364+378</f>
        <v>1699</v>
      </c>
      <c r="K512">
        <v>5</v>
      </c>
      <c r="L512">
        <v>378</v>
      </c>
    </row>
    <row r="513" spans="1:12">
      <c r="A513" s="9">
        <v>41850</v>
      </c>
      <c r="B513" s="7" t="s">
        <v>24</v>
      </c>
      <c r="C513">
        <v>54</v>
      </c>
      <c r="D513" t="s">
        <v>19</v>
      </c>
      <c r="F513">
        <v>3.78</v>
      </c>
      <c r="J513">
        <f>169+221+248+312+325+353+367+388+383</f>
        <v>2766</v>
      </c>
      <c r="K513">
        <v>9</v>
      </c>
      <c r="L513">
        <v>388</v>
      </c>
    </row>
    <row r="514" spans="1:12">
      <c r="A514" s="9">
        <v>41850</v>
      </c>
      <c r="B514" s="7" t="s">
        <v>24</v>
      </c>
      <c r="C514">
        <v>54</v>
      </c>
      <c r="D514" t="s">
        <v>19</v>
      </c>
      <c r="F514">
        <v>3.78</v>
      </c>
      <c r="J514">
        <f>70+135+137+207+243+276</f>
        <v>1068</v>
      </c>
      <c r="K514">
        <v>6</v>
      </c>
      <c r="L514">
        <v>276</v>
      </c>
    </row>
    <row r="515" spans="1:12">
      <c r="A515" s="9">
        <v>41850</v>
      </c>
      <c r="B515" s="7" t="s">
        <v>24</v>
      </c>
      <c r="C515">
        <v>54</v>
      </c>
      <c r="D515" t="s">
        <v>19</v>
      </c>
      <c r="F515">
        <v>2.23</v>
      </c>
      <c r="J515">
        <f>174+171+234+302+315</f>
        <v>1196</v>
      </c>
      <c r="K515">
        <v>5</v>
      </c>
      <c r="L515">
        <v>315</v>
      </c>
    </row>
    <row r="516" spans="1:12">
      <c r="A516" s="9">
        <v>41850</v>
      </c>
      <c r="B516" s="7" t="s">
        <v>24</v>
      </c>
      <c r="C516">
        <v>54</v>
      </c>
      <c r="D516" t="s">
        <v>19</v>
      </c>
      <c r="F516">
        <v>2.94</v>
      </c>
      <c r="J516">
        <f>37+38+73+146+160+194+210</f>
        <v>858</v>
      </c>
      <c r="K516">
        <v>7</v>
      </c>
      <c r="L516">
        <v>210</v>
      </c>
    </row>
    <row r="517" spans="1:12">
      <c r="A517" s="9">
        <v>41850</v>
      </c>
      <c r="B517" s="7" t="s">
        <v>24</v>
      </c>
      <c r="C517">
        <v>54</v>
      </c>
      <c r="D517" t="s">
        <v>62</v>
      </c>
      <c r="E517">
        <v>150</v>
      </c>
      <c r="F517">
        <v>1.31</v>
      </c>
    </row>
    <row r="518" spans="1:12">
      <c r="A518" s="9">
        <v>41850</v>
      </c>
      <c r="B518" s="7" t="s">
        <v>24</v>
      </c>
      <c r="C518">
        <v>54</v>
      </c>
      <c r="D518" t="s">
        <v>60</v>
      </c>
      <c r="F518">
        <v>1.35</v>
      </c>
      <c r="J518">
        <f>122+168+209</f>
        <v>499</v>
      </c>
      <c r="K518">
        <v>3</v>
      </c>
      <c r="L518">
        <v>209</v>
      </c>
    </row>
    <row r="519" spans="1:12">
      <c r="A519" s="9">
        <v>41850</v>
      </c>
      <c r="B519" s="7" t="s">
        <v>24</v>
      </c>
      <c r="C519">
        <v>54</v>
      </c>
      <c r="D519" t="s">
        <v>19</v>
      </c>
      <c r="F519">
        <v>0.97</v>
      </c>
      <c r="J519">
        <f>36+71+123+125</f>
        <v>355</v>
      </c>
      <c r="K519">
        <v>4</v>
      </c>
      <c r="L519">
        <v>125</v>
      </c>
    </row>
    <row r="520" spans="1:12">
      <c r="A520" s="9">
        <v>41850</v>
      </c>
      <c r="B520" s="7" t="s">
        <v>24</v>
      </c>
      <c r="C520">
        <v>54</v>
      </c>
      <c r="D520" t="s">
        <v>19</v>
      </c>
      <c r="F520">
        <v>1.31</v>
      </c>
      <c r="J520">
        <f>82+98+121+123</f>
        <v>424</v>
      </c>
      <c r="K520">
        <v>4</v>
      </c>
      <c r="L520">
        <v>123</v>
      </c>
    </row>
    <row r="521" spans="1:12">
      <c r="A521" s="9">
        <v>41850</v>
      </c>
      <c r="B521" s="7" t="s">
        <v>24</v>
      </c>
      <c r="C521">
        <v>54</v>
      </c>
      <c r="D521" t="s">
        <v>19</v>
      </c>
      <c r="F521">
        <v>0.93</v>
      </c>
      <c r="J521">
        <f>175+216</f>
        <v>391</v>
      </c>
      <c r="K521">
        <v>2</v>
      </c>
      <c r="L521">
        <v>216</v>
      </c>
    </row>
    <row r="522" spans="1:12">
      <c r="A522" s="9">
        <v>41850</v>
      </c>
      <c r="B522" s="7" t="s">
        <v>24</v>
      </c>
      <c r="C522">
        <v>54</v>
      </c>
      <c r="D522" t="s">
        <v>19</v>
      </c>
      <c r="F522">
        <v>2.98</v>
      </c>
      <c r="J522">
        <f>111+136+217+272+317+377</f>
        <v>1430</v>
      </c>
      <c r="K522">
        <v>6</v>
      </c>
      <c r="L522">
        <v>377</v>
      </c>
    </row>
    <row r="523" spans="1:12">
      <c r="A523" s="9">
        <v>41850</v>
      </c>
      <c r="B523" s="7" t="s">
        <v>24</v>
      </c>
      <c r="C523">
        <v>54</v>
      </c>
      <c r="D523" t="s">
        <v>19</v>
      </c>
      <c r="F523">
        <v>3.96</v>
      </c>
      <c r="J523">
        <f>54+97+100+146+153+195+209+348</f>
        <v>1302</v>
      </c>
      <c r="K523">
        <v>8</v>
      </c>
      <c r="L523">
        <v>348</v>
      </c>
    </row>
    <row r="524" spans="1:12">
      <c r="A524" s="9">
        <v>41850</v>
      </c>
      <c r="B524" s="7" t="s">
        <v>24</v>
      </c>
      <c r="C524">
        <v>54</v>
      </c>
      <c r="D524" t="s">
        <v>19</v>
      </c>
      <c r="F524">
        <v>1.52</v>
      </c>
      <c r="J524">
        <f>179+179+233+282</f>
        <v>873</v>
      </c>
      <c r="K524">
        <v>4</v>
      </c>
      <c r="L524">
        <v>282</v>
      </c>
    </row>
    <row r="525" spans="1:12">
      <c r="A525" s="9">
        <v>41850</v>
      </c>
      <c r="B525" s="7" t="s">
        <v>24</v>
      </c>
      <c r="C525">
        <v>54</v>
      </c>
      <c r="D525" t="s">
        <v>19</v>
      </c>
      <c r="F525">
        <v>3.69</v>
      </c>
      <c r="J525">
        <f>267+281+294+308+322</f>
        <v>1472</v>
      </c>
      <c r="K525">
        <v>5</v>
      </c>
      <c r="L525">
        <v>322</v>
      </c>
    </row>
    <row r="526" spans="1:12">
      <c r="A526" s="9">
        <v>41850</v>
      </c>
      <c r="B526" s="7" t="s">
        <v>24</v>
      </c>
      <c r="C526">
        <v>33</v>
      </c>
      <c r="D526" t="s">
        <v>19</v>
      </c>
      <c r="E526">
        <v>163</v>
      </c>
      <c r="F526">
        <v>4.3899999999999997</v>
      </c>
      <c r="H526">
        <v>41</v>
      </c>
      <c r="I526">
        <v>2.5</v>
      </c>
    </row>
    <row r="527" spans="1:12">
      <c r="A527" s="9">
        <v>41850</v>
      </c>
      <c r="B527" s="7" t="s">
        <v>24</v>
      </c>
      <c r="C527">
        <v>33</v>
      </c>
      <c r="D527" t="s">
        <v>19</v>
      </c>
      <c r="F527">
        <v>1.58</v>
      </c>
      <c r="J527">
        <f>60+82+86+86</f>
        <v>314</v>
      </c>
      <c r="K527">
        <v>4</v>
      </c>
      <c r="L527">
        <v>86</v>
      </c>
    </row>
    <row r="528" spans="1:12">
      <c r="A528" s="9">
        <v>41850</v>
      </c>
      <c r="B528" s="7" t="s">
        <v>24</v>
      </c>
      <c r="C528">
        <v>33</v>
      </c>
      <c r="D528" t="s">
        <v>19</v>
      </c>
      <c r="F528">
        <v>4.5</v>
      </c>
      <c r="J528">
        <f>99+137+167+184+186+201</f>
        <v>974</v>
      </c>
      <c r="K528">
        <v>5</v>
      </c>
      <c r="L528">
        <v>201</v>
      </c>
    </row>
    <row r="529" spans="1:12">
      <c r="A529" s="9">
        <v>41850</v>
      </c>
      <c r="B529" s="7" t="s">
        <v>24</v>
      </c>
      <c r="C529">
        <v>33</v>
      </c>
      <c r="D529" t="s">
        <v>19</v>
      </c>
      <c r="F529">
        <v>3.8</v>
      </c>
      <c r="J529">
        <f>40+68+108+138+153+156</f>
        <v>663</v>
      </c>
      <c r="K529">
        <v>6</v>
      </c>
      <c r="L529">
        <v>156</v>
      </c>
    </row>
    <row r="530" spans="1:12">
      <c r="A530" s="9">
        <v>41850</v>
      </c>
      <c r="B530" s="7" t="s">
        <v>24</v>
      </c>
      <c r="C530">
        <v>32</v>
      </c>
      <c r="D530" t="s">
        <v>19</v>
      </c>
      <c r="F530">
        <v>3.17</v>
      </c>
      <c r="J530">
        <f>56+201+228+229+260+241+285+319</f>
        <v>1819</v>
      </c>
      <c r="K530">
        <v>8</v>
      </c>
      <c r="L530">
        <v>319</v>
      </c>
    </row>
    <row r="531" spans="1:12">
      <c r="A531" s="9">
        <v>41850</v>
      </c>
      <c r="B531" s="7" t="s">
        <v>24</v>
      </c>
      <c r="C531">
        <v>32</v>
      </c>
      <c r="D531" t="s">
        <v>19</v>
      </c>
      <c r="F531">
        <v>4.68</v>
      </c>
      <c r="J531">
        <f>171+189+217+247+270+275+282+50</f>
        <v>1701</v>
      </c>
      <c r="K531">
        <v>8</v>
      </c>
      <c r="L531">
        <v>282</v>
      </c>
    </row>
    <row r="532" spans="1:12">
      <c r="A532" s="9">
        <v>41850</v>
      </c>
      <c r="B532" s="7" t="s">
        <v>24</v>
      </c>
      <c r="C532">
        <v>32</v>
      </c>
      <c r="D532" t="s">
        <v>19</v>
      </c>
      <c r="F532">
        <v>1.94</v>
      </c>
      <c r="J532">
        <f>28+44+44+65</f>
        <v>181</v>
      </c>
      <c r="K532">
        <v>4</v>
      </c>
      <c r="L532">
        <v>65</v>
      </c>
    </row>
    <row r="533" spans="1:12">
      <c r="A533" s="9">
        <v>41850</v>
      </c>
      <c r="B533" s="7" t="s">
        <v>24</v>
      </c>
      <c r="C533">
        <v>32</v>
      </c>
      <c r="D533" t="s">
        <v>19</v>
      </c>
      <c r="F533">
        <v>4.8499999999999996</v>
      </c>
      <c r="J533">
        <f>79+104+178+203+234+235+245+267+288+280</f>
        <v>2113</v>
      </c>
      <c r="K533">
        <v>10</v>
      </c>
      <c r="L533">
        <v>288</v>
      </c>
    </row>
    <row r="534" spans="1:12">
      <c r="A534" s="9">
        <v>41850</v>
      </c>
      <c r="B534" s="7" t="s">
        <v>24</v>
      </c>
      <c r="C534">
        <v>32</v>
      </c>
      <c r="D534" t="s">
        <v>19</v>
      </c>
      <c r="F534">
        <v>2.56</v>
      </c>
      <c r="J534">
        <f>109+125+170+191</f>
        <v>595</v>
      </c>
      <c r="K534">
        <v>4</v>
      </c>
      <c r="L534">
        <v>191</v>
      </c>
    </row>
    <row r="535" spans="1:12">
      <c r="A535" s="9">
        <v>41850</v>
      </c>
      <c r="B535" s="7" t="s">
        <v>24</v>
      </c>
      <c r="C535">
        <v>32</v>
      </c>
      <c r="D535" t="s">
        <v>19</v>
      </c>
      <c r="F535">
        <v>4.26</v>
      </c>
      <c r="J535">
        <f>120+156+178+177+207+229+227+235+67</f>
        <v>1596</v>
      </c>
      <c r="K535">
        <v>9</v>
      </c>
      <c r="L535">
        <v>235</v>
      </c>
    </row>
    <row r="536" spans="1:12">
      <c r="A536" s="9">
        <v>41850</v>
      </c>
      <c r="B536" s="7" t="s">
        <v>24</v>
      </c>
      <c r="C536">
        <v>32</v>
      </c>
      <c r="D536" t="s">
        <v>19</v>
      </c>
      <c r="F536">
        <v>2.71</v>
      </c>
      <c r="J536">
        <f>73+150+204+228+251+253</f>
        <v>1159</v>
      </c>
      <c r="K536">
        <v>6</v>
      </c>
      <c r="L536">
        <v>253</v>
      </c>
    </row>
    <row r="537" spans="1:12">
      <c r="A537" s="9">
        <v>41850</v>
      </c>
      <c r="B537" s="7" t="s">
        <v>24</v>
      </c>
      <c r="C537">
        <v>27</v>
      </c>
      <c r="D537" t="s">
        <v>62</v>
      </c>
      <c r="E537">
        <v>228</v>
      </c>
      <c r="F537">
        <v>2.15</v>
      </c>
      <c r="G537">
        <v>4</v>
      </c>
    </row>
    <row r="538" spans="1:12">
      <c r="A538" s="9">
        <v>41850</v>
      </c>
      <c r="B538" s="7" t="s">
        <v>24</v>
      </c>
      <c r="C538">
        <v>27</v>
      </c>
      <c r="D538" t="s">
        <v>19</v>
      </c>
      <c r="F538">
        <v>3.85</v>
      </c>
      <c r="J538">
        <f>96+96</f>
        <v>192</v>
      </c>
      <c r="K538">
        <v>2</v>
      </c>
      <c r="L538">
        <v>96</v>
      </c>
    </row>
    <row r="539" spans="1:12">
      <c r="A539" s="9">
        <v>41850</v>
      </c>
      <c r="B539" s="7" t="s">
        <v>24</v>
      </c>
      <c r="C539">
        <v>27</v>
      </c>
      <c r="D539" t="s">
        <v>19</v>
      </c>
      <c r="F539">
        <v>1.98</v>
      </c>
      <c r="J539">
        <f>90+219+221+227+229</f>
        <v>986</v>
      </c>
      <c r="K539">
        <v>5</v>
      </c>
      <c r="L539">
        <v>229</v>
      </c>
    </row>
    <row r="540" spans="1:12">
      <c r="A540" s="9">
        <v>41850</v>
      </c>
      <c r="B540" s="7" t="s">
        <v>24</v>
      </c>
      <c r="C540">
        <v>27</v>
      </c>
      <c r="D540" t="s">
        <v>62</v>
      </c>
      <c r="E540">
        <v>85</v>
      </c>
      <c r="F540">
        <v>0.89</v>
      </c>
      <c r="G540">
        <v>5</v>
      </c>
    </row>
    <row r="541" spans="1:12">
      <c r="A541" s="9">
        <v>41850</v>
      </c>
      <c r="B541" s="7" t="s">
        <v>24</v>
      </c>
      <c r="C541">
        <v>27</v>
      </c>
      <c r="D541" t="s">
        <v>62</v>
      </c>
      <c r="E541">
        <v>170</v>
      </c>
      <c r="F541">
        <v>1.83</v>
      </c>
    </row>
    <row r="542" spans="1:12">
      <c r="A542" s="9">
        <v>41850</v>
      </c>
      <c r="B542" s="7" t="s">
        <v>24</v>
      </c>
      <c r="C542">
        <v>27</v>
      </c>
      <c r="D542" t="s">
        <v>62</v>
      </c>
      <c r="E542">
        <v>102</v>
      </c>
      <c r="F542">
        <v>1.8</v>
      </c>
    </row>
    <row r="543" spans="1:12">
      <c r="A543" s="9">
        <v>41850</v>
      </c>
      <c r="B543" s="7" t="s">
        <v>24</v>
      </c>
      <c r="C543">
        <v>27</v>
      </c>
      <c r="D543" t="s">
        <v>62</v>
      </c>
      <c r="E543">
        <v>45</v>
      </c>
      <c r="F543">
        <v>0.79</v>
      </c>
    </row>
    <row r="544" spans="1:12">
      <c r="A544" s="9">
        <v>41850</v>
      </c>
      <c r="B544" s="7" t="s">
        <v>24</v>
      </c>
      <c r="C544">
        <v>27</v>
      </c>
      <c r="D544" t="s">
        <v>62</v>
      </c>
      <c r="E544">
        <v>242</v>
      </c>
      <c r="F544">
        <v>1.68</v>
      </c>
      <c r="G544">
        <v>3</v>
      </c>
    </row>
    <row r="545" spans="1:7">
      <c r="A545" s="9">
        <v>41850</v>
      </c>
      <c r="B545" s="7" t="s">
        <v>24</v>
      </c>
      <c r="C545">
        <v>27</v>
      </c>
      <c r="D545" t="s">
        <v>62</v>
      </c>
      <c r="E545">
        <v>40</v>
      </c>
      <c r="F545">
        <v>0.77</v>
      </c>
    </row>
    <row r="546" spans="1:7">
      <c r="A546" s="9">
        <v>41850</v>
      </c>
      <c r="B546" s="7" t="s">
        <v>24</v>
      </c>
      <c r="C546">
        <v>27</v>
      </c>
      <c r="D546" t="s">
        <v>62</v>
      </c>
      <c r="E546">
        <v>312</v>
      </c>
      <c r="F546">
        <v>2.34</v>
      </c>
      <c r="G546">
        <v>2</v>
      </c>
    </row>
    <row r="547" spans="1:7">
      <c r="A547" s="9">
        <v>41850</v>
      </c>
      <c r="B547" s="7" t="s">
        <v>24</v>
      </c>
      <c r="C547">
        <v>27</v>
      </c>
      <c r="D547" t="s">
        <v>62</v>
      </c>
      <c r="E547">
        <v>118</v>
      </c>
      <c r="F547">
        <v>1.05</v>
      </c>
    </row>
    <row r="548" spans="1:7">
      <c r="A548" s="9">
        <v>41850</v>
      </c>
      <c r="B548" s="7" t="s">
        <v>24</v>
      </c>
      <c r="C548">
        <v>10</v>
      </c>
      <c r="D548" t="s">
        <v>62</v>
      </c>
      <c r="E548">
        <v>227</v>
      </c>
      <c r="F548">
        <v>1.29</v>
      </c>
    </row>
    <row r="549" spans="1:7">
      <c r="A549" s="9">
        <v>41850</v>
      </c>
      <c r="B549" s="7" t="s">
        <v>24</v>
      </c>
      <c r="C549">
        <v>10</v>
      </c>
      <c r="D549" t="s">
        <v>62</v>
      </c>
      <c r="E549">
        <v>217</v>
      </c>
      <c r="F549">
        <v>1.7</v>
      </c>
    </row>
    <row r="550" spans="1:7">
      <c r="A550" s="9">
        <v>41850</v>
      </c>
      <c r="B550" s="7" t="s">
        <v>24</v>
      </c>
      <c r="C550">
        <v>10</v>
      </c>
      <c r="D550" t="s">
        <v>62</v>
      </c>
      <c r="E550">
        <v>337</v>
      </c>
      <c r="F550">
        <v>2.21</v>
      </c>
    </row>
    <row r="551" spans="1:7">
      <c r="A551" s="9">
        <v>41850</v>
      </c>
      <c r="B551" s="7" t="s">
        <v>24</v>
      </c>
      <c r="C551">
        <v>10</v>
      </c>
      <c r="D551" t="s">
        <v>62</v>
      </c>
      <c r="E551">
        <v>149</v>
      </c>
      <c r="F551">
        <v>0.94</v>
      </c>
    </row>
    <row r="552" spans="1:7">
      <c r="A552" s="9">
        <v>41850</v>
      </c>
      <c r="B552" s="7" t="s">
        <v>24</v>
      </c>
      <c r="C552">
        <v>10</v>
      </c>
      <c r="D552" t="s">
        <v>62</v>
      </c>
      <c r="E552">
        <v>135</v>
      </c>
      <c r="F552">
        <v>1</v>
      </c>
    </row>
    <row r="553" spans="1:7">
      <c r="A553" s="9">
        <v>41850</v>
      </c>
      <c r="B553" s="7" t="s">
        <v>24</v>
      </c>
      <c r="C553">
        <v>10</v>
      </c>
      <c r="D553" t="s">
        <v>62</v>
      </c>
      <c r="E553">
        <v>294</v>
      </c>
      <c r="F553">
        <v>1.82</v>
      </c>
      <c r="G553">
        <v>5</v>
      </c>
    </row>
    <row r="554" spans="1:7">
      <c r="A554" s="9">
        <v>41850</v>
      </c>
      <c r="B554" s="7" t="s">
        <v>24</v>
      </c>
      <c r="C554">
        <v>10</v>
      </c>
      <c r="D554" t="s">
        <v>62</v>
      </c>
      <c r="E554">
        <v>204</v>
      </c>
      <c r="F554">
        <v>1.5</v>
      </c>
    </row>
    <row r="555" spans="1:7">
      <c r="A555" s="9">
        <v>41850</v>
      </c>
      <c r="B555" s="7" t="s">
        <v>24</v>
      </c>
      <c r="C555">
        <v>10</v>
      </c>
      <c r="D555" t="s">
        <v>62</v>
      </c>
      <c r="E555">
        <v>125</v>
      </c>
      <c r="F555">
        <v>0.83</v>
      </c>
    </row>
    <row r="556" spans="1:7">
      <c r="A556" s="9">
        <v>41850</v>
      </c>
      <c r="B556" s="7" t="s">
        <v>24</v>
      </c>
      <c r="C556">
        <v>10</v>
      </c>
      <c r="D556" t="s">
        <v>62</v>
      </c>
      <c r="E556">
        <v>64</v>
      </c>
      <c r="F556">
        <v>1.52</v>
      </c>
    </row>
    <row r="557" spans="1:7">
      <c r="A557" s="9">
        <v>41850</v>
      </c>
      <c r="B557" s="7" t="s">
        <v>24</v>
      </c>
      <c r="C557">
        <v>10</v>
      </c>
      <c r="D557" t="s">
        <v>62</v>
      </c>
      <c r="E557">
        <v>171</v>
      </c>
      <c r="F557">
        <v>2.14</v>
      </c>
      <c r="G557">
        <v>3</v>
      </c>
    </row>
    <row r="558" spans="1:7">
      <c r="A558" s="9">
        <v>41850</v>
      </c>
      <c r="B558" s="7" t="s">
        <v>24</v>
      </c>
      <c r="C558">
        <v>10</v>
      </c>
      <c r="D558" t="s">
        <v>62</v>
      </c>
      <c r="E558">
        <v>90</v>
      </c>
      <c r="F558">
        <v>2.4</v>
      </c>
    </row>
    <row r="559" spans="1:7">
      <c r="A559" s="9">
        <v>41850</v>
      </c>
      <c r="B559" s="7" t="s">
        <v>24</v>
      </c>
      <c r="C559">
        <v>10</v>
      </c>
      <c r="D559" t="s">
        <v>62</v>
      </c>
      <c r="E559">
        <v>71</v>
      </c>
      <c r="F559">
        <v>2.21</v>
      </c>
    </row>
    <row r="560" spans="1:7">
      <c r="A560" s="9">
        <v>41850</v>
      </c>
      <c r="B560" s="7" t="s">
        <v>24</v>
      </c>
      <c r="C560">
        <v>10</v>
      </c>
      <c r="D560" t="s">
        <v>62</v>
      </c>
      <c r="E560">
        <v>146</v>
      </c>
      <c r="F560">
        <v>1.38</v>
      </c>
    </row>
    <row r="561" spans="1:6">
      <c r="A561" s="9">
        <v>41850</v>
      </c>
      <c r="B561" s="7" t="s">
        <v>24</v>
      </c>
      <c r="C561">
        <v>10</v>
      </c>
      <c r="D561" t="s">
        <v>62</v>
      </c>
      <c r="E561">
        <v>79</v>
      </c>
      <c r="F561">
        <v>1</v>
      </c>
    </row>
    <row r="562" spans="1:6">
      <c r="A562" s="9">
        <v>41850</v>
      </c>
      <c r="B562" s="7" t="s">
        <v>24</v>
      </c>
      <c r="C562">
        <v>10</v>
      </c>
      <c r="D562" t="s">
        <v>62</v>
      </c>
      <c r="E562">
        <v>242</v>
      </c>
      <c r="F562">
        <v>1.88</v>
      </c>
    </row>
    <row r="563" spans="1:6">
      <c r="A563" s="9">
        <v>41850</v>
      </c>
      <c r="B563" s="7" t="s">
        <v>24</v>
      </c>
      <c r="C563">
        <v>10</v>
      </c>
      <c r="D563" t="s">
        <v>62</v>
      </c>
      <c r="E563">
        <v>345</v>
      </c>
      <c r="F563">
        <v>1.42</v>
      </c>
    </row>
    <row r="564" spans="1:6">
      <c r="A564" s="6"/>
    </row>
    <row r="565" spans="1:6">
      <c r="A565" s="9"/>
    </row>
    <row r="566" spans="1:6">
      <c r="A566" s="6"/>
    </row>
    <row r="567" spans="1:6">
      <c r="A567" s="9"/>
    </row>
    <row r="568" spans="1:6">
      <c r="A568" s="6"/>
    </row>
    <row r="569" spans="1:6">
      <c r="A569" s="10"/>
    </row>
    <row r="570" spans="1:6">
      <c r="A570" s="6"/>
    </row>
    <row r="571" spans="1:6">
      <c r="A571" s="10"/>
    </row>
    <row r="572" spans="1:6">
      <c r="A572" s="6"/>
    </row>
    <row r="573" spans="1:6">
      <c r="A573" s="6"/>
    </row>
    <row r="574" spans="1:6">
      <c r="A574" s="10"/>
    </row>
    <row r="575" spans="1:6">
      <c r="A575" s="10"/>
    </row>
    <row r="576" spans="1:6">
      <c r="A576" s="10"/>
    </row>
    <row r="577" spans="1:1">
      <c r="A577" s="6"/>
    </row>
    <row r="578" spans="1:1">
      <c r="A578" s="10"/>
    </row>
    <row r="579" spans="1:1">
      <c r="A579" s="6"/>
    </row>
    <row r="580" spans="1:1">
      <c r="A580" s="10"/>
    </row>
    <row r="581" spans="1:1">
      <c r="A581" s="6"/>
    </row>
    <row r="582" spans="1:1">
      <c r="A582" s="10"/>
    </row>
    <row r="583" spans="1:1">
      <c r="A583" s="6"/>
    </row>
    <row r="584" spans="1:1">
      <c r="A584" s="10"/>
    </row>
    <row r="585" spans="1:1">
      <c r="A585" s="10"/>
    </row>
    <row r="586" spans="1:1">
      <c r="A586" s="6"/>
    </row>
    <row r="587" spans="1:1">
      <c r="A587" s="10"/>
    </row>
    <row r="588" spans="1:1">
      <c r="A588" s="6"/>
    </row>
    <row r="589" spans="1:1">
      <c r="A589" s="6"/>
    </row>
    <row r="590" spans="1:1">
      <c r="A590" s="10"/>
    </row>
    <row r="591" spans="1:1">
      <c r="A591" s="6"/>
    </row>
    <row r="592" spans="1:1">
      <c r="A592" s="10"/>
    </row>
    <row r="593" spans="1:1">
      <c r="A593" s="6"/>
    </row>
    <row r="594" spans="1:1">
      <c r="A594" s="10"/>
    </row>
    <row r="595" spans="1:1">
      <c r="A595" s="6"/>
    </row>
    <row r="596" spans="1:1">
      <c r="A596" s="10"/>
    </row>
    <row r="597" spans="1:1">
      <c r="A597" s="9"/>
    </row>
    <row r="598" spans="1:1">
      <c r="A598" s="9"/>
    </row>
    <row r="599" spans="1:1">
      <c r="A599" s="9"/>
    </row>
    <row r="600" spans="1:1">
      <c r="A600" s="9"/>
    </row>
    <row r="601" spans="1:1">
      <c r="A601" s="9"/>
    </row>
    <row r="602" spans="1:1">
      <c r="A602" s="9"/>
    </row>
    <row r="603" spans="1:1">
      <c r="A603" s="9"/>
    </row>
    <row r="604" spans="1:1">
      <c r="A604" s="9"/>
    </row>
    <row r="605" spans="1:1">
      <c r="A605" s="9"/>
    </row>
    <row r="606" spans="1:1">
      <c r="A606" s="9"/>
    </row>
    <row r="607" spans="1:1">
      <c r="A607" s="9"/>
    </row>
    <row r="608" spans="1:1">
      <c r="A608" s="9"/>
    </row>
    <row r="609" spans="1:4">
      <c r="A609" s="9"/>
    </row>
    <row r="610" spans="1:4">
      <c r="A610" s="9"/>
    </row>
    <row r="611" spans="1:4">
      <c r="A611" s="9"/>
    </row>
    <row r="612" spans="1:4">
      <c r="A612" s="9"/>
    </row>
    <row r="613" spans="1:4">
      <c r="A613" s="9"/>
    </row>
    <row r="614" spans="1:4">
      <c r="A614" s="9"/>
    </row>
    <row r="615" spans="1:4">
      <c r="A615" s="9"/>
    </row>
    <row r="616" spans="1:4">
      <c r="A616" s="9"/>
    </row>
    <row r="617" spans="1:4">
      <c r="A617" s="9"/>
      <c r="D617" s="8"/>
    </row>
    <row r="618" spans="1:4">
      <c r="A618" s="9"/>
    </row>
    <row r="619" spans="1:4">
      <c r="A619" s="9"/>
    </row>
    <row r="620" spans="1:4">
      <c r="A620" s="9"/>
      <c r="D620" s="8"/>
    </row>
    <row r="621" spans="1:4">
      <c r="A621" s="9"/>
    </row>
    <row r="622" spans="1:4">
      <c r="A622" s="9"/>
    </row>
    <row r="623" spans="1:4">
      <c r="A623" s="9"/>
    </row>
    <row r="624" spans="1:4">
      <c r="A624" s="9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</sheetData>
  <sortState ref="A4:O625">
    <sortCondition ref="B4:B625"/>
    <sortCondition ref="C4:C625"/>
    <sortCondition ref="D4:D625"/>
  </sortState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workbookViewId="0">
      <selection activeCell="S52" sqref="S52"/>
    </sheetView>
  </sheetViews>
  <sheetFormatPr baseColWidth="10" defaultRowHeight="15" x14ac:dyDescent="0"/>
  <sheetData>
    <row r="1" spans="1:34" ht="20" thickBot="1">
      <c r="A1" s="44" t="s">
        <v>30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1"/>
      <c r="AA1" s="11"/>
    </row>
    <row r="2" spans="1:34" ht="99" thickTop="1">
      <c r="A2" s="12" t="s">
        <v>31</v>
      </c>
      <c r="B2" s="12" t="s">
        <v>4</v>
      </c>
      <c r="C2" s="4" t="s">
        <v>32</v>
      </c>
      <c r="D2" s="13" t="s">
        <v>33</v>
      </c>
      <c r="E2" s="12" t="s">
        <v>34</v>
      </c>
      <c r="F2" s="4" t="s">
        <v>35</v>
      </c>
      <c r="G2" s="4" t="s">
        <v>33</v>
      </c>
      <c r="H2" s="12" t="s">
        <v>36</v>
      </c>
      <c r="I2" s="4" t="s">
        <v>37</v>
      </c>
      <c r="J2" s="4" t="s">
        <v>33</v>
      </c>
      <c r="K2" s="12" t="s">
        <v>38</v>
      </c>
      <c r="L2" s="4" t="s">
        <v>39</v>
      </c>
      <c r="M2" s="14" t="s">
        <v>33</v>
      </c>
      <c r="N2" s="12" t="s">
        <v>40</v>
      </c>
      <c r="O2" s="4" t="s">
        <v>41</v>
      </c>
      <c r="P2" s="4" t="s">
        <v>33</v>
      </c>
      <c r="Q2" s="12" t="s">
        <v>42</v>
      </c>
      <c r="R2" s="4" t="s">
        <v>43</v>
      </c>
      <c r="S2" s="14" t="s">
        <v>33</v>
      </c>
      <c r="T2" s="12" t="s">
        <v>44</v>
      </c>
      <c r="U2" s="4" t="s">
        <v>45</v>
      </c>
      <c r="V2" s="4" t="s">
        <v>33</v>
      </c>
      <c r="W2" s="12" t="s">
        <v>46</v>
      </c>
      <c r="X2" s="12" t="s">
        <v>47</v>
      </c>
      <c r="Y2" s="12" t="s">
        <v>48</v>
      </c>
      <c r="Z2" s="12" t="s">
        <v>49</v>
      </c>
      <c r="AA2" s="12" t="s">
        <v>50</v>
      </c>
      <c r="AB2" s="12" t="s">
        <v>51</v>
      </c>
      <c r="AC2" s="12" t="s">
        <v>52</v>
      </c>
      <c r="AD2" s="12" t="s">
        <v>53</v>
      </c>
      <c r="AE2" s="12" t="s">
        <v>54</v>
      </c>
      <c r="AF2" s="15" t="s">
        <v>55</v>
      </c>
      <c r="AG2" s="15" t="s">
        <v>56</v>
      </c>
      <c r="AH2" s="15" t="s">
        <v>57</v>
      </c>
    </row>
    <row r="3" spans="1:34">
      <c r="A3" s="16" t="s">
        <v>25</v>
      </c>
      <c r="B3" s="17">
        <f>'Plant Measurments'!C4</f>
        <v>40</v>
      </c>
      <c r="C3" s="18">
        <f>('Plant Measurments'!O4)</f>
        <v>0</v>
      </c>
      <c r="D3" s="19"/>
      <c r="E3" s="17">
        <f>C3*4</f>
        <v>0</v>
      </c>
      <c r="F3" s="18"/>
      <c r="G3" s="20"/>
      <c r="H3" s="17">
        <f>F3*4</f>
        <v>0</v>
      </c>
      <c r="I3" s="18"/>
      <c r="J3" s="20"/>
      <c r="K3" s="17">
        <f>I3*4</f>
        <v>0</v>
      </c>
      <c r="L3" s="18"/>
      <c r="M3" s="20"/>
      <c r="N3" s="17">
        <f>L3*4</f>
        <v>0</v>
      </c>
      <c r="O3" s="18"/>
      <c r="P3" s="20"/>
      <c r="Q3" s="17">
        <f>O3*4</f>
        <v>0</v>
      </c>
      <c r="R3" s="18">
        <f>SUM('Plant Measurments'!O6:O40)</f>
        <v>0</v>
      </c>
      <c r="S3" s="20"/>
      <c r="T3" s="17">
        <f>R3*4</f>
        <v>0</v>
      </c>
      <c r="U3" s="18">
        <f>SUM('Plant Measurments'!O5)</f>
        <v>0</v>
      </c>
      <c r="V3" s="20"/>
      <c r="W3" s="17">
        <f>U3*4</f>
        <v>0</v>
      </c>
      <c r="X3" s="17">
        <f>SUM(W3,T3,Q3,N3,K3,H3,E3)</f>
        <v>0</v>
      </c>
      <c r="Y3" s="21">
        <f>AVERAGE(X3:X7)</f>
        <v>0</v>
      </c>
      <c r="Z3" s="22">
        <f>E3+Q3</f>
        <v>0</v>
      </c>
      <c r="AA3" s="22">
        <f>W3+T3</f>
        <v>0</v>
      </c>
      <c r="AB3" t="str">
        <f>IF(X3&gt;0,(Q3+E3)/X3," ")</f>
        <v xml:space="preserve"> </v>
      </c>
      <c r="AC3" t="str">
        <f>IF(X3&gt;0,H3/X3," ")</f>
        <v xml:space="preserve"> </v>
      </c>
      <c r="AD3" t="str">
        <f>IF(X3&gt;0,K3/X3," ")</f>
        <v xml:space="preserve"> </v>
      </c>
      <c r="AE3" t="str">
        <f>IF(X3&gt;0,(W3+T3)/X3," ")</f>
        <v xml:space="preserve"> </v>
      </c>
      <c r="AF3">
        <f>210336.2801/10</f>
        <v>21033.62801</v>
      </c>
      <c r="AG3">
        <f>AF3/5</f>
        <v>4206.7256020000004</v>
      </c>
      <c r="AH3">
        <f>(AG3*X3)/1000</f>
        <v>0</v>
      </c>
    </row>
    <row r="4" spans="1:34">
      <c r="A4" s="23" t="s">
        <v>25</v>
      </c>
      <c r="B4" s="24">
        <f>'Plant Measurments'!C41</f>
        <v>24</v>
      </c>
      <c r="C4" s="25">
        <f>SUM('Plant Measurments'!O41:O49)</f>
        <v>0</v>
      </c>
      <c r="D4" s="26"/>
      <c r="E4" s="17">
        <f t="shared" ref="E4:E52" si="0">C4*4</f>
        <v>0</v>
      </c>
      <c r="F4" s="25"/>
      <c r="G4" s="27"/>
      <c r="H4" s="17">
        <f t="shared" ref="H4:H7" si="1">F4*4</f>
        <v>0</v>
      </c>
      <c r="I4" s="25"/>
      <c r="J4" s="27"/>
      <c r="K4" s="17">
        <f t="shared" ref="K4:K52" si="2">I4*4</f>
        <v>0</v>
      </c>
      <c r="L4" s="25"/>
      <c r="M4" s="27"/>
      <c r="N4" s="17">
        <f t="shared" ref="N4:N52" si="3">L4*4</f>
        <v>0</v>
      </c>
      <c r="O4" s="25"/>
      <c r="P4" s="27"/>
      <c r="Q4" s="17">
        <f t="shared" ref="Q4:Q52" si="4">O4*4</f>
        <v>0</v>
      </c>
      <c r="R4" s="25">
        <f>SUM('Plant Measurments'!O50:O58)</f>
        <v>0</v>
      </c>
      <c r="S4" s="27"/>
      <c r="T4" s="17">
        <f t="shared" ref="T4:T52" si="5">R4*4</f>
        <v>0</v>
      </c>
      <c r="U4" s="25"/>
      <c r="V4" s="27"/>
      <c r="W4" s="17">
        <f t="shared" ref="W4:W52" si="6">U4*4</f>
        <v>0</v>
      </c>
      <c r="X4" s="24">
        <f t="shared" ref="X4:X52" si="7">SUM(W4,T4,Q4,N4,K4,H4,E4)</f>
        <v>0</v>
      </c>
      <c r="Y4" s="28"/>
      <c r="Z4" s="22">
        <f t="shared" ref="Z4:Z52" si="8">E4+Q4</f>
        <v>0</v>
      </c>
      <c r="AA4" s="22">
        <f t="shared" ref="AA4:AA52" si="9">W4+T4</f>
        <v>0</v>
      </c>
      <c r="AB4" t="str">
        <f t="shared" ref="AB4:AB52" si="10">IF(X4&gt;0,(Q4+E4)/X4," ")</f>
        <v xml:space="preserve"> </v>
      </c>
      <c r="AC4" t="str">
        <f t="shared" ref="AC4:AC52" si="11">IF(X4&gt;0,H4/X4," ")</f>
        <v xml:space="preserve"> </v>
      </c>
      <c r="AD4" t="str">
        <f t="shared" ref="AD4:AD52" si="12">IF(X4&gt;0,K4/X4," ")</f>
        <v xml:space="preserve"> </v>
      </c>
      <c r="AE4" t="str">
        <f t="shared" ref="AE4:AE52" si="13">IF(X4&gt;0,(W4+T4)/X4," ")</f>
        <v xml:space="preserve"> </v>
      </c>
      <c r="AF4">
        <f t="shared" ref="AF4:AF52" si="14">210336.2801/10</f>
        <v>21033.62801</v>
      </c>
      <c r="AG4">
        <f t="shared" ref="AG4:AG52" si="15">AF4/5</f>
        <v>4206.7256020000004</v>
      </c>
      <c r="AH4">
        <f t="shared" ref="AH4:AH52" si="16">(AG4*X4)/1000</f>
        <v>0</v>
      </c>
    </row>
    <row r="5" spans="1:34">
      <c r="A5" s="23" t="s">
        <v>25</v>
      </c>
      <c r="B5" s="24">
        <f>'Plant Measurments'!C59</f>
        <v>23</v>
      </c>
      <c r="C5" s="25"/>
      <c r="D5" s="26"/>
      <c r="E5" s="17">
        <f t="shared" si="0"/>
        <v>0</v>
      </c>
      <c r="F5" s="25"/>
      <c r="G5" s="27"/>
      <c r="H5" s="17">
        <f t="shared" si="1"/>
        <v>0</v>
      </c>
      <c r="I5" s="25"/>
      <c r="J5" s="27"/>
      <c r="K5" s="17">
        <f t="shared" si="2"/>
        <v>0</v>
      </c>
      <c r="L5" s="25"/>
      <c r="M5" s="27"/>
      <c r="N5" s="17">
        <f t="shared" si="3"/>
        <v>0</v>
      </c>
      <c r="O5" s="25"/>
      <c r="P5" s="27"/>
      <c r="Q5" s="17">
        <f t="shared" si="4"/>
        <v>0</v>
      </c>
      <c r="R5" s="25">
        <f>SUM('Plant Measurments'!O63:O77)</f>
        <v>0</v>
      </c>
      <c r="S5" s="27"/>
      <c r="T5" s="17">
        <f t="shared" si="5"/>
        <v>0</v>
      </c>
      <c r="U5" s="25">
        <f>SUM('Plant Measurments'!O59:O62)</f>
        <v>0</v>
      </c>
      <c r="V5" s="27"/>
      <c r="W5" s="17">
        <f t="shared" si="6"/>
        <v>0</v>
      </c>
      <c r="X5" s="24">
        <f t="shared" si="7"/>
        <v>0</v>
      </c>
      <c r="Y5" s="28"/>
      <c r="Z5" s="22">
        <f t="shared" si="8"/>
        <v>0</v>
      </c>
      <c r="AA5" s="22">
        <f t="shared" si="9"/>
        <v>0</v>
      </c>
      <c r="AB5" t="str">
        <f t="shared" si="10"/>
        <v xml:space="preserve"> </v>
      </c>
      <c r="AC5" t="str">
        <f t="shared" si="11"/>
        <v xml:space="preserve"> </v>
      </c>
      <c r="AD5" t="str">
        <f t="shared" si="12"/>
        <v xml:space="preserve"> </v>
      </c>
      <c r="AE5" t="str">
        <f t="shared" si="13"/>
        <v xml:space="preserve"> </v>
      </c>
      <c r="AF5">
        <f t="shared" si="14"/>
        <v>21033.62801</v>
      </c>
      <c r="AG5">
        <f t="shared" si="15"/>
        <v>4206.7256020000004</v>
      </c>
      <c r="AH5">
        <f t="shared" si="16"/>
        <v>0</v>
      </c>
    </row>
    <row r="6" spans="1:34">
      <c r="A6" s="23" t="s">
        <v>25</v>
      </c>
      <c r="B6" s="24">
        <f>'Plant Measurments'!C78</f>
        <v>55</v>
      </c>
      <c r="C6" s="25"/>
      <c r="D6" s="26"/>
      <c r="E6" s="17">
        <f t="shared" si="0"/>
        <v>0</v>
      </c>
      <c r="F6" s="25"/>
      <c r="G6" s="27"/>
      <c r="H6" s="17">
        <f t="shared" si="1"/>
        <v>0</v>
      </c>
      <c r="I6" s="25"/>
      <c r="J6" s="27"/>
      <c r="K6" s="17">
        <f t="shared" si="2"/>
        <v>0</v>
      </c>
      <c r="L6" s="25"/>
      <c r="M6" s="27"/>
      <c r="N6" s="17">
        <f t="shared" si="3"/>
        <v>0</v>
      </c>
      <c r="O6" s="25"/>
      <c r="P6" s="27"/>
      <c r="Q6" s="17">
        <f t="shared" si="4"/>
        <v>0</v>
      </c>
      <c r="R6" s="25">
        <f>SUM('Plant Measurments'!O80:O92)</f>
        <v>0</v>
      </c>
      <c r="S6" s="27"/>
      <c r="T6" s="17">
        <f t="shared" si="5"/>
        <v>0</v>
      </c>
      <c r="U6" s="25">
        <f>SUM('Plant Measurments'!O78:O79)</f>
        <v>0</v>
      </c>
      <c r="V6" s="27"/>
      <c r="W6" s="17">
        <f t="shared" si="6"/>
        <v>0</v>
      </c>
      <c r="X6" s="24">
        <f t="shared" si="7"/>
        <v>0</v>
      </c>
      <c r="Y6" s="28"/>
      <c r="Z6" s="22">
        <f t="shared" si="8"/>
        <v>0</v>
      </c>
      <c r="AA6" s="22">
        <f t="shared" si="9"/>
        <v>0</v>
      </c>
      <c r="AB6" t="str">
        <f t="shared" si="10"/>
        <v xml:space="preserve"> </v>
      </c>
      <c r="AC6" t="str">
        <f t="shared" si="11"/>
        <v xml:space="preserve"> </v>
      </c>
      <c r="AD6" t="str">
        <f t="shared" si="12"/>
        <v xml:space="preserve"> </v>
      </c>
      <c r="AE6" t="str">
        <f t="shared" si="13"/>
        <v xml:space="preserve"> </v>
      </c>
      <c r="AF6">
        <f t="shared" si="14"/>
        <v>21033.62801</v>
      </c>
      <c r="AG6">
        <f>AF6/5</f>
        <v>4206.7256020000004</v>
      </c>
      <c r="AH6">
        <f t="shared" si="16"/>
        <v>0</v>
      </c>
    </row>
    <row r="7" spans="1:34">
      <c r="A7" s="29" t="s">
        <v>25</v>
      </c>
      <c r="B7" s="30" t="e">
        <f>'Plant Measurments'!#REF!</f>
        <v>#REF!</v>
      </c>
      <c r="C7" s="31"/>
      <c r="D7" s="32"/>
      <c r="E7" s="17">
        <f t="shared" si="0"/>
        <v>0</v>
      </c>
      <c r="F7" s="31"/>
      <c r="G7" s="33"/>
      <c r="H7" s="17">
        <f t="shared" si="1"/>
        <v>0</v>
      </c>
      <c r="I7" s="31"/>
      <c r="J7" s="33"/>
      <c r="K7" s="17">
        <f t="shared" si="2"/>
        <v>0</v>
      </c>
      <c r="L7" s="31"/>
      <c r="M7" s="33"/>
      <c r="N7" s="17">
        <f t="shared" si="3"/>
        <v>0</v>
      </c>
      <c r="O7" s="31"/>
      <c r="P7" s="33"/>
      <c r="Q7" s="17">
        <f t="shared" si="4"/>
        <v>0</v>
      </c>
      <c r="R7" s="31">
        <f>SUM('Plant Measurments'!O102:O104)</f>
        <v>0</v>
      </c>
      <c r="S7" s="33"/>
      <c r="T7" s="17">
        <f t="shared" si="5"/>
        <v>0</v>
      </c>
      <c r="U7" s="31">
        <f>SUM('Plant Measurments'!O93:O101)</f>
        <v>0</v>
      </c>
      <c r="V7" s="33"/>
      <c r="W7" s="17">
        <f t="shared" si="6"/>
        <v>0</v>
      </c>
      <c r="X7" s="30">
        <f t="shared" si="7"/>
        <v>0</v>
      </c>
      <c r="Y7" s="34"/>
      <c r="Z7" s="22">
        <f t="shared" si="8"/>
        <v>0</v>
      </c>
      <c r="AA7" s="22">
        <f t="shared" si="9"/>
        <v>0</v>
      </c>
      <c r="AB7" t="str">
        <f t="shared" si="10"/>
        <v xml:space="preserve"> </v>
      </c>
      <c r="AC7" t="str">
        <f t="shared" si="11"/>
        <v xml:space="preserve"> </v>
      </c>
      <c r="AD7" t="str">
        <f t="shared" si="12"/>
        <v xml:space="preserve"> </v>
      </c>
      <c r="AE7" t="str">
        <f t="shared" si="13"/>
        <v xml:space="preserve"> </v>
      </c>
      <c r="AF7">
        <f t="shared" si="14"/>
        <v>21033.62801</v>
      </c>
      <c r="AG7">
        <f t="shared" si="15"/>
        <v>4206.7256020000004</v>
      </c>
      <c r="AH7">
        <f t="shared" si="16"/>
        <v>0</v>
      </c>
    </row>
    <row r="8" spans="1:34">
      <c r="A8" s="16" t="s">
        <v>28</v>
      </c>
      <c r="B8" s="17">
        <f>'Plant Measurments'!C105</f>
        <v>53</v>
      </c>
      <c r="C8" s="18">
        <f>SUM('Plant Measurments'!O105:O111)</f>
        <v>0</v>
      </c>
      <c r="D8" s="19"/>
      <c r="E8" s="17">
        <f t="shared" si="0"/>
        <v>0</v>
      </c>
      <c r="F8" s="18"/>
      <c r="G8" s="20"/>
      <c r="H8" s="17"/>
      <c r="I8" s="18"/>
      <c r="J8" s="20"/>
      <c r="K8" s="17">
        <f t="shared" si="2"/>
        <v>0</v>
      </c>
      <c r="L8" s="18"/>
      <c r="M8" s="20"/>
      <c r="N8" s="17">
        <f t="shared" si="3"/>
        <v>0</v>
      </c>
      <c r="O8" s="18"/>
      <c r="P8" s="20"/>
      <c r="Q8" s="17">
        <f t="shared" si="4"/>
        <v>0</v>
      </c>
      <c r="R8" s="18">
        <f>SUM('Plant Measurments'!O112:O128)</f>
        <v>0</v>
      </c>
      <c r="S8" s="20"/>
      <c r="T8" s="17">
        <f t="shared" si="5"/>
        <v>0</v>
      </c>
      <c r="U8" s="18"/>
      <c r="V8" s="20"/>
      <c r="W8" s="17">
        <f t="shared" si="6"/>
        <v>0</v>
      </c>
      <c r="X8" s="17">
        <f t="shared" si="7"/>
        <v>0</v>
      </c>
      <c r="Y8" s="21">
        <f>AVERAGE(X8:X12)</f>
        <v>0</v>
      </c>
      <c r="Z8" s="22">
        <f t="shared" si="8"/>
        <v>0</v>
      </c>
      <c r="AA8" s="22">
        <f t="shared" si="9"/>
        <v>0</v>
      </c>
      <c r="AB8" t="str">
        <f t="shared" si="10"/>
        <v xml:space="preserve"> </v>
      </c>
      <c r="AC8" t="str">
        <f t="shared" si="11"/>
        <v xml:space="preserve"> </v>
      </c>
      <c r="AD8" t="str">
        <f t="shared" si="12"/>
        <v xml:space="preserve"> </v>
      </c>
      <c r="AE8" t="str">
        <f t="shared" si="13"/>
        <v xml:space="preserve"> </v>
      </c>
      <c r="AF8">
        <f t="shared" si="14"/>
        <v>21033.62801</v>
      </c>
      <c r="AG8">
        <f t="shared" si="15"/>
        <v>4206.7256020000004</v>
      </c>
      <c r="AH8">
        <f t="shared" si="16"/>
        <v>0</v>
      </c>
    </row>
    <row r="9" spans="1:34">
      <c r="A9" s="23" t="s">
        <v>28</v>
      </c>
      <c r="B9" s="24">
        <f>'Plant Measurments'!C129</f>
        <v>20</v>
      </c>
      <c r="C9" s="25"/>
      <c r="D9" s="26"/>
      <c r="E9" s="17">
        <f t="shared" si="0"/>
        <v>0</v>
      </c>
      <c r="F9" s="25"/>
      <c r="G9" s="27"/>
      <c r="H9" s="24">
        <f>F9*4</f>
        <v>0</v>
      </c>
      <c r="I9" s="25"/>
      <c r="J9" s="27"/>
      <c r="K9" s="17">
        <f t="shared" si="2"/>
        <v>0</v>
      </c>
      <c r="L9" s="25"/>
      <c r="M9" s="27"/>
      <c r="N9" s="17">
        <f t="shared" si="3"/>
        <v>0</v>
      </c>
      <c r="O9" s="25"/>
      <c r="P9" s="27"/>
      <c r="Q9" s="17">
        <f t="shared" si="4"/>
        <v>0</v>
      </c>
      <c r="R9" s="25">
        <f>SUM('Plant Measurments'!O129:O131)</f>
        <v>0</v>
      </c>
      <c r="S9" s="27"/>
      <c r="T9" s="17">
        <f t="shared" si="5"/>
        <v>0</v>
      </c>
      <c r="U9" s="25"/>
      <c r="V9" s="27"/>
      <c r="W9" s="17">
        <f t="shared" si="6"/>
        <v>0</v>
      </c>
      <c r="X9" s="24">
        <f>SUM(W9,T9,Q9,N9,K9,H9,E9)</f>
        <v>0</v>
      </c>
      <c r="Y9" s="28"/>
      <c r="Z9" s="22">
        <f t="shared" si="8"/>
        <v>0</v>
      </c>
      <c r="AA9" s="22">
        <f t="shared" si="9"/>
        <v>0</v>
      </c>
      <c r="AB9" t="str">
        <f t="shared" si="10"/>
        <v xml:space="preserve"> </v>
      </c>
      <c r="AC9" t="str">
        <f t="shared" si="11"/>
        <v xml:space="preserve"> </v>
      </c>
      <c r="AD9" t="str">
        <f t="shared" si="12"/>
        <v xml:space="preserve"> </v>
      </c>
      <c r="AE9" t="str">
        <f t="shared" si="13"/>
        <v xml:space="preserve"> </v>
      </c>
      <c r="AF9">
        <f t="shared" si="14"/>
        <v>21033.62801</v>
      </c>
      <c r="AG9">
        <f t="shared" si="15"/>
        <v>4206.7256020000004</v>
      </c>
      <c r="AH9">
        <f t="shared" si="16"/>
        <v>0</v>
      </c>
    </row>
    <row r="10" spans="1:34">
      <c r="A10" s="23" t="s">
        <v>28</v>
      </c>
      <c r="B10" s="24">
        <f>'Plant Measurments'!C132</f>
        <v>41</v>
      </c>
      <c r="C10" s="25"/>
      <c r="D10" s="26"/>
      <c r="E10" s="17">
        <f t="shared" si="0"/>
        <v>0</v>
      </c>
      <c r="F10" s="25"/>
      <c r="G10" s="27"/>
      <c r="H10" s="24">
        <f t="shared" ref="H10:H42" si="17">F10*4</f>
        <v>0</v>
      </c>
      <c r="I10" s="25"/>
      <c r="J10" s="27"/>
      <c r="K10" s="17">
        <f t="shared" si="2"/>
        <v>0</v>
      </c>
      <c r="L10" s="25"/>
      <c r="M10" s="27"/>
      <c r="N10" s="17">
        <f t="shared" si="3"/>
        <v>0</v>
      </c>
      <c r="O10" s="25"/>
      <c r="P10" s="27"/>
      <c r="Q10" s="17">
        <f t="shared" si="4"/>
        <v>0</v>
      </c>
      <c r="R10" s="25">
        <f>SUM('Plant Measurments'!O132:O139)</f>
        <v>0</v>
      </c>
      <c r="S10" s="27"/>
      <c r="T10" s="17">
        <f t="shared" si="5"/>
        <v>0</v>
      </c>
      <c r="U10" s="25"/>
      <c r="V10" s="27"/>
      <c r="W10" s="17">
        <f t="shared" si="6"/>
        <v>0</v>
      </c>
      <c r="X10" s="24">
        <f t="shared" si="7"/>
        <v>0</v>
      </c>
      <c r="Y10" s="28"/>
      <c r="Z10" s="22">
        <f t="shared" si="8"/>
        <v>0</v>
      </c>
      <c r="AA10" s="22">
        <f t="shared" si="9"/>
        <v>0</v>
      </c>
      <c r="AB10" t="str">
        <f t="shared" si="10"/>
        <v xml:space="preserve"> </v>
      </c>
      <c r="AC10" t="str">
        <f t="shared" si="11"/>
        <v xml:space="preserve"> </v>
      </c>
      <c r="AD10" t="str">
        <f t="shared" si="12"/>
        <v xml:space="preserve"> </v>
      </c>
      <c r="AE10" t="str">
        <f t="shared" si="13"/>
        <v xml:space="preserve"> </v>
      </c>
      <c r="AF10">
        <f t="shared" si="14"/>
        <v>21033.62801</v>
      </c>
      <c r="AG10">
        <f t="shared" si="15"/>
        <v>4206.7256020000004</v>
      </c>
      <c r="AH10">
        <f t="shared" si="16"/>
        <v>0</v>
      </c>
    </row>
    <row r="11" spans="1:34">
      <c r="A11" s="23" t="s">
        <v>28</v>
      </c>
      <c r="B11" s="24">
        <f>'Plant Measurments'!C140</f>
        <v>41</v>
      </c>
      <c r="C11" s="25"/>
      <c r="D11" s="26"/>
      <c r="E11" s="17">
        <f t="shared" si="0"/>
        <v>0</v>
      </c>
      <c r="F11" s="25"/>
      <c r="G11" s="27"/>
      <c r="H11" s="24">
        <f t="shared" si="17"/>
        <v>0</v>
      </c>
      <c r="I11" s="25"/>
      <c r="J11" s="27"/>
      <c r="K11" s="17">
        <f t="shared" si="2"/>
        <v>0</v>
      </c>
      <c r="L11" s="25"/>
      <c r="M11" s="27"/>
      <c r="N11" s="17">
        <f t="shared" si="3"/>
        <v>0</v>
      </c>
      <c r="O11" s="25"/>
      <c r="P11" s="27"/>
      <c r="Q11" s="17">
        <f t="shared" si="4"/>
        <v>0</v>
      </c>
      <c r="R11" s="25">
        <f>SUM('Plant Measurments'!O140:O149)</f>
        <v>0</v>
      </c>
      <c r="S11" s="27"/>
      <c r="T11" s="17">
        <f t="shared" si="5"/>
        <v>0</v>
      </c>
      <c r="U11" s="25"/>
      <c r="V11" s="27"/>
      <c r="W11" s="17">
        <f t="shared" si="6"/>
        <v>0</v>
      </c>
      <c r="X11" s="24">
        <f t="shared" si="7"/>
        <v>0</v>
      </c>
      <c r="Y11" s="28"/>
      <c r="Z11" s="22">
        <f t="shared" si="8"/>
        <v>0</v>
      </c>
      <c r="AA11" s="22">
        <f t="shared" si="9"/>
        <v>0</v>
      </c>
      <c r="AB11" t="str">
        <f t="shared" si="10"/>
        <v xml:space="preserve"> </v>
      </c>
      <c r="AC11" t="str">
        <f t="shared" si="11"/>
        <v xml:space="preserve"> </v>
      </c>
      <c r="AD11" t="str">
        <f t="shared" si="12"/>
        <v xml:space="preserve"> </v>
      </c>
      <c r="AE11" t="str">
        <f t="shared" si="13"/>
        <v xml:space="preserve"> </v>
      </c>
      <c r="AF11">
        <f t="shared" si="14"/>
        <v>21033.62801</v>
      </c>
      <c r="AG11">
        <f t="shared" si="15"/>
        <v>4206.7256020000004</v>
      </c>
      <c r="AH11">
        <f t="shared" si="16"/>
        <v>0</v>
      </c>
    </row>
    <row r="12" spans="1:34">
      <c r="A12" s="29" t="s">
        <v>28</v>
      </c>
      <c r="B12" s="30">
        <f>'Plant Measurments'!C150</f>
        <v>33</v>
      </c>
      <c r="C12" s="31"/>
      <c r="D12" s="32"/>
      <c r="E12" s="17">
        <f t="shared" si="0"/>
        <v>0</v>
      </c>
      <c r="F12" s="31"/>
      <c r="G12" s="33"/>
      <c r="H12" s="24">
        <f t="shared" si="17"/>
        <v>0</v>
      </c>
      <c r="I12" s="31"/>
      <c r="J12" s="33"/>
      <c r="K12" s="17">
        <f t="shared" si="2"/>
        <v>0</v>
      </c>
      <c r="L12" s="31"/>
      <c r="M12" s="33"/>
      <c r="N12" s="17">
        <f t="shared" si="3"/>
        <v>0</v>
      </c>
      <c r="O12" s="31"/>
      <c r="P12" s="33"/>
      <c r="Q12" s="17">
        <f t="shared" si="4"/>
        <v>0</v>
      </c>
      <c r="R12" s="31">
        <f>SUM('Plant Measurments'!O150:O156)</f>
        <v>0</v>
      </c>
      <c r="S12" s="33"/>
      <c r="T12" s="17">
        <f t="shared" si="5"/>
        <v>0</v>
      </c>
      <c r="U12" s="31"/>
      <c r="V12" s="33"/>
      <c r="W12" s="17">
        <f t="shared" si="6"/>
        <v>0</v>
      </c>
      <c r="X12" s="30">
        <f t="shared" si="7"/>
        <v>0</v>
      </c>
      <c r="Y12" s="34"/>
      <c r="Z12" s="22">
        <f t="shared" si="8"/>
        <v>0</v>
      </c>
      <c r="AA12" s="22">
        <f t="shared" si="9"/>
        <v>0</v>
      </c>
      <c r="AB12" t="str">
        <f t="shared" si="10"/>
        <v xml:space="preserve"> </v>
      </c>
      <c r="AC12" t="str">
        <f t="shared" si="11"/>
        <v xml:space="preserve"> </v>
      </c>
      <c r="AD12" t="str">
        <f t="shared" si="12"/>
        <v xml:space="preserve"> </v>
      </c>
      <c r="AE12" t="str">
        <f t="shared" si="13"/>
        <v xml:space="preserve"> </v>
      </c>
      <c r="AF12">
        <f t="shared" si="14"/>
        <v>21033.62801</v>
      </c>
      <c r="AG12">
        <f t="shared" si="15"/>
        <v>4206.7256020000004</v>
      </c>
      <c r="AH12">
        <f t="shared" si="16"/>
        <v>0</v>
      </c>
    </row>
    <row r="13" spans="1:34">
      <c r="A13" s="35" t="s">
        <v>20</v>
      </c>
      <c r="B13" s="36">
        <f>'Plant Measurments'!C157</f>
        <v>32</v>
      </c>
      <c r="C13" s="18"/>
      <c r="D13" s="19"/>
      <c r="E13" s="17">
        <f t="shared" si="0"/>
        <v>0</v>
      </c>
      <c r="F13" s="18"/>
      <c r="G13" s="20"/>
      <c r="H13" s="24">
        <f t="shared" si="17"/>
        <v>0</v>
      </c>
      <c r="I13" s="18"/>
      <c r="J13" s="20"/>
      <c r="K13" s="17">
        <f t="shared" si="2"/>
        <v>0</v>
      </c>
      <c r="L13" s="18"/>
      <c r="M13" s="20"/>
      <c r="N13" s="17">
        <f t="shared" si="3"/>
        <v>0</v>
      </c>
      <c r="O13" s="18"/>
      <c r="P13" s="20"/>
      <c r="Q13" s="17">
        <f t="shared" si="4"/>
        <v>0</v>
      </c>
      <c r="R13" s="18">
        <f>SUM('Plant Measurments'!O157)</f>
        <v>0</v>
      </c>
      <c r="S13" s="20"/>
      <c r="T13" s="17">
        <f t="shared" si="5"/>
        <v>0</v>
      </c>
      <c r="U13" s="18"/>
      <c r="V13" s="20"/>
      <c r="W13" s="17">
        <f t="shared" si="6"/>
        <v>0</v>
      </c>
      <c r="X13" s="17">
        <f t="shared" si="7"/>
        <v>0</v>
      </c>
      <c r="Y13" s="21">
        <f>AVERAGE(X13:X17)</f>
        <v>0</v>
      </c>
      <c r="Z13" s="22">
        <f t="shared" si="8"/>
        <v>0</v>
      </c>
      <c r="AA13" s="22">
        <f t="shared" si="9"/>
        <v>0</v>
      </c>
      <c r="AB13" t="str">
        <f t="shared" si="10"/>
        <v xml:space="preserve"> </v>
      </c>
      <c r="AC13" t="str">
        <f t="shared" si="11"/>
        <v xml:space="preserve"> </v>
      </c>
      <c r="AD13" t="str">
        <f t="shared" si="12"/>
        <v xml:space="preserve"> </v>
      </c>
      <c r="AE13" t="str">
        <f t="shared" si="13"/>
        <v xml:space="preserve"> </v>
      </c>
      <c r="AF13">
        <f t="shared" si="14"/>
        <v>21033.62801</v>
      </c>
      <c r="AG13">
        <f t="shared" si="15"/>
        <v>4206.7256020000004</v>
      </c>
      <c r="AH13">
        <f t="shared" si="16"/>
        <v>0</v>
      </c>
    </row>
    <row r="14" spans="1:34">
      <c r="A14" s="23" t="s">
        <v>20</v>
      </c>
      <c r="B14" s="24">
        <f>'Plant Measurments'!C158</f>
        <v>32</v>
      </c>
      <c r="C14" s="25"/>
      <c r="D14" s="26"/>
      <c r="E14" s="17">
        <f t="shared" si="0"/>
        <v>0</v>
      </c>
      <c r="F14" s="25"/>
      <c r="G14" s="27"/>
      <c r="H14" s="24">
        <f t="shared" si="17"/>
        <v>0</v>
      </c>
      <c r="I14" s="25">
        <f>SUM('Plant Measurments'!O158:O162)</f>
        <v>0</v>
      </c>
      <c r="J14" s="27"/>
      <c r="K14" s="17">
        <f t="shared" si="2"/>
        <v>0</v>
      </c>
      <c r="L14" s="25"/>
      <c r="M14" s="27"/>
      <c r="N14" s="17">
        <f t="shared" si="3"/>
        <v>0</v>
      </c>
      <c r="O14" s="25"/>
      <c r="P14" s="27"/>
      <c r="Q14" s="17">
        <f t="shared" si="4"/>
        <v>0</v>
      </c>
      <c r="R14" s="25"/>
      <c r="S14" s="27"/>
      <c r="T14" s="17">
        <f t="shared" si="5"/>
        <v>0</v>
      </c>
      <c r="U14" s="25"/>
      <c r="V14" s="27"/>
      <c r="W14" s="17">
        <f t="shared" si="6"/>
        <v>0</v>
      </c>
      <c r="X14" s="24">
        <f t="shared" si="7"/>
        <v>0</v>
      </c>
      <c r="Y14" s="28"/>
      <c r="Z14" s="22">
        <f t="shared" si="8"/>
        <v>0</v>
      </c>
      <c r="AA14" s="22">
        <f t="shared" si="9"/>
        <v>0</v>
      </c>
      <c r="AB14" t="str">
        <f t="shared" si="10"/>
        <v xml:space="preserve"> </v>
      </c>
      <c r="AC14" t="str">
        <f t="shared" si="11"/>
        <v xml:space="preserve"> </v>
      </c>
      <c r="AD14" t="str">
        <f t="shared" si="12"/>
        <v xml:space="preserve"> </v>
      </c>
      <c r="AE14" t="str">
        <f t="shared" si="13"/>
        <v xml:space="preserve"> </v>
      </c>
      <c r="AF14">
        <f t="shared" si="14"/>
        <v>21033.62801</v>
      </c>
      <c r="AG14">
        <f t="shared" si="15"/>
        <v>4206.7256020000004</v>
      </c>
      <c r="AH14">
        <f t="shared" si="16"/>
        <v>0</v>
      </c>
    </row>
    <row r="15" spans="1:34">
      <c r="A15" s="23" t="s">
        <v>20</v>
      </c>
      <c r="B15" s="24">
        <f>'Plant Measurments'!C163</f>
        <v>30</v>
      </c>
      <c r="C15" s="25"/>
      <c r="D15" s="26"/>
      <c r="E15" s="17">
        <f t="shared" si="0"/>
        <v>0</v>
      </c>
      <c r="F15" s="25"/>
      <c r="G15" s="27"/>
      <c r="H15" s="24">
        <f t="shared" si="17"/>
        <v>0</v>
      </c>
      <c r="I15" s="25"/>
      <c r="J15" s="27"/>
      <c r="K15" s="17">
        <f t="shared" si="2"/>
        <v>0</v>
      </c>
      <c r="L15" s="25"/>
      <c r="M15" s="27"/>
      <c r="N15" s="17">
        <f t="shared" si="3"/>
        <v>0</v>
      </c>
      <c r="O15" s="25"/>
      <c r="P15" s="27"/>
      <c r="Q15" s="17">
        <f t="shared" si="4"/>
        <v>0</v>
      </c>
      <c r="R15" s="25">
        <f>SUM('Plant Measurments'!O169:O171)</f>
        <v>0</v>
      </c>
      <c r="S15" s="27"/>
      <c r="T15" s="17">
        <f t="shared" si="5"/>
        <v>0</v>
      </c>
      <c r="U15" s="25">
        <f>SUM('Plant Measurments'!O163:O168)</f>
        <v>0</v>
      </c>
      <c r="V15" s="27"/>
      <c r="W15" s="17">
        <f t="shared" si="6"/>
        <v>0</v>
      </c>
      <c r="X15" s="24">
        <f t="shared" si="7"/>
        <v>0</v>
      </c>
      <c r="Y15" s="28"/>
      <c r="Z15" s="22">
        <f t="shared" si="8"/>
        <v>0</v>
      </c>
      <c r="AA15" s="22">
        <f t="shared" si="9"/>
        <v>0</v>
      </c>
      <c r="AB15" t="str">
        <f t="shared" si="10"/>
        <v xml:space="preserve"> </v>
      </c>
      <c r="AC15" t="str">
        <f t="shared" si="11"/>
        <v xml:space="preserve"> </v>
      </c>
      <c r="AD15" t="str">
        <f t="shared" si="12"/>
        <v xml:space="preserve"> </v>
      </c>
      <c r="AE15" t="str">
        <f t="shared" si="13"/>
        <v xml:space="preserve"> </v>
      </c>
      <c r="AF15">
        <f t="shared" si="14"/>
        <v>21033.62801</v>
      </c>
      <c r="AG15">
        <f t="shared" si="15"/>
        <v>4206.7256020000004</v>
      </c>
      <c r="AH15">
        <f t="shared" si="16"/>
        <v>0</v>
      </c>
    </row>
    <row r="16" spans="1:34">
      <c r="A16" s="23" t="s">
        <v>20</v>
      </c>
      <c r="B16" s="24">
        <f>'Plant Measurments'!C172</f>
        <v>14</v>
      </c>
      <c r="C16" s="25">
        <f>SUM('Plant Measurments'!O172)</f>
        <v>0</v>
      </c>
      <c r="D16" s="26"/>
      <c r="E16" s="17">
        <f t="shared" si="0"/>
        <v>0</v>
      </c>
      <c r="F16" s="25"/>
      <c r="G16" s="27"/>
      <c r="H16" s="24">
        <f t="shared" si="17"/>
        <v>0</v>
      </c>
      <c r="I16" s="25"/>
      <c r="J16" s="27"/>
      <c r="K16" s="17">
        <f t="shared" si="2"/>
        <v>0</v>
      </c>
      <c r="L16" s="25"/>
      <c r="M16" s="27"/>
      <c r="N16" s="17">
        <f t="shared" si="3"/>
        <v>0</v>
      </c>
      <c r="O16" s="25"/>
      <c r="P16" s="27"/>
      <c r="Q16" s="17">
        <f t="shared" si="4"/>
        <v>0</v>
      </c>
      <c r="R16" s="25">
        <f>SUM('Plant Measurments'!O176)</f>
        <v>0</v>
      </c>
      <c r="S16" s="27"/>
      <c r="T16" s="17">
        <f t="shared" si="5"/>
        <v>0</v>
      </c>
      <c r="U16" s="25">
        <f>SUM('Plant Measurments'!O173:O175)</f>
        <v>0</v>
      </c>
      <c r="V16" s="27"/>
      <c r="W16" s="17">
        <f t="shared" si="6"/>
        <v>0</v>
      </c>
      <c r="X16" s="24">
        <f t="shared" si="7"/>
        <v>0</v>
      </c>
      <c r="Y16" s="28"/>
      <c r="Z16" s="22">
        <f t="shared" si="8"/>
        <v>0</v>
      </c>
      <c r="AA16" s="22">
        <f t="shared" si="9"/>
        <v>0</v>
      </c>
      <c r="AB16" t="str">
        <f t="shared" si="10"/>
        <v xml:space="preserve"> </v>
      </c>
      <c r="AC16" t="str">
        <f t="shared" si="11"/>
        <v xml:space="preserve"> </v>
      </c>
      <c r="AD16" t="str">
        <f t="shared" si="12"/>
        <v xml:space="preserve"> </v>
      </c>
      <c r="AE16" t="str">
        <f t="shared" si="13"/>
        <v xml:space="preserve"> </v>
      </c>
      <c r="AF16">
        <f t="shared" si="14"/>
        <v>21033.62801</v>
      </c>
      <c r="AG16">
        <f t="shared" si="15"/>
        <v>4206.7256020000004</v>
      </c>
      <c r="AH16">
        <f t="shared" si="16"/>
        <v>0</v>
      </c>
    </row>
    <row r="17" spans="1:34">
      <c r="A17" s="29" t="s">
        <v>20</v>
      </c>
      <c r="B17" s="30">
        <f>'Plant Measurments'!C177</f>
        <v>14</v>
      </c>
      <c r="C17" s="31"/>
      <c r="D17" s="32"/>
      <c r="E17" s="17">
        <f t="shared" si="0"/>
        <v>0</v>
      </c>
      <c r="F17" s="31"/>
      <c r="G17" s="33"/>
      <c r="H17" s="24">
        <f t="shared" si="17"/>
        <v>0</v>
      </c>
      <c r="I17" s="31"/>
      <c r="J17" s="33"/>
      <c r="K17" s="17">
        <f t="shared" si="2"/>
        <v>0</v>
      </c>
      <c r="L17" s="31"/>
      <c r="M17" s="33"/>
      <c r="N17" s="17">
        <f t="shared" si="3"/>
        <v>0</v>
      </c>
      <c r="O17" s="31"/>
      <c r="P17" s="33"/>
      <c r="Q17" s="17">
        <f t="shared" si="4"/>
        <v>0</v>
      </c>
      <c r="R17" s="31">
        <f>SUM('Plant Measurments'!O177)</f>
        <v>0</v>
      </c>
      <c r="S17" s="33"/>
      <c r="T17" s="17">
        <f t="shared" si="5"/>
        <v>0</v>
      </c>
      <c r="U17" s="31"/>
      <c r="V17" s="33"/>
      <c r="W17" s="17">
        <f t="shared" si="6"/>
        <v>0</v>
      </c>
      <c r="X17" s="30">
        <f t="shared" si="7"/>
        <v>0</v>
      </c>
      <c r="Y17" s="34"/>
      <c r="Z17" s="22">
        <f t="shared" si="8"/>
        <v>0</v>
      </c>
      <c r="AA17" s="22">
        <f t="shared" si="9"/>
        <v>0</v>
      </c>
      <c r="AB17" t="str">
        <f t="shared" si="10"/>
        <v xml:space="preserve"> </v>
      </c>
      <c r="AC17" t="str">
        <f t="shared" si="11"/>
        <v xml:space="preserve"> </v>
      </c>
      <c r="AD17" t="str">
        <f t="shared" si="12"/>
        <v xml:space="preserve"> </v>
      </c>
      <c r="AE17" t="str">
        <f t="shared" si="13"/>
        <v xml:space="preserve"> </v>
      </c>
      <c r="AF17">
        <f t="shared" si="14"/>
        <v>21033.62801</v>
      </c>
      <c r="AG17">
        <f t="shared" si="15"/>
        <v>4206.7256020000004</v>
      </c>
      <c r="AH17">
        <f t="shared" si="16"/>
        <v>0</v>
      </c>
    </row>
    <row r="18" spans="1:34">
      <c r="A18" s="16" t="s">
        <v>22</v>
      </c>
      <c r="B18" s="17">
        <f>'Plant Measurments'!C178</f>
        <v>14</v>
      </c>
      <c r="C18" s="18"/>
      <c r="D18" s="19"/>
      <c r="E18" s="17">
        <f t="shared" si="0"/>
        <v>0</v>
      </c>
      <c r="F18" s="18"/>
      <c r="G18" s="20"/>
      <c r="H18" s="24">
        <f t="shared" si="17"/>
        <v>0</v>
      </c>
      <c r="I18" s="18">
        <f>SUM('Plant Measurments'!O178:O195)</f>
        <v>0</v>
      </c>
      <c r="J18" s="20"/>
      <c r="K18" s="17">
        <f t="shared" si="2"/>
        <v>0</v>
      </c>
      <c r="L18" s="18"/>
      <c r="M18" s="20"/>
      <c r="N18" s="17">
        <f t="shared" si="3"/>
        <v>0</v>
      </c>
      <c r="O18" s="18"/>
      <c r="P18" s="20"/>
      <c r="Q18" s="17">
        <f t="shared" si="4"/>
        <v>0</v>
      </c>
      <c r="R18" s="18"/>
      <c r="S18" s="20"/>
      <c r="T18" s="17">
        <f t="shared" si="5"/>
        <v>0</v>
      </c>
      <c r="U18" s="18"/>
      <c r="V18" s="20"/>
      <c r="W18" s="17">
        <f t="shared" si="6"/>
        <v>0</v>
      </c>
      <c r="X18" s="17">
        <f t="shared" si="7"/>
        <v>0</v>
      </c>
      <c r="Y18" s="21">
        <f>AVERAGE(X18:X22)</f>
        <v>0</v>
      </c>
      <c r="Z18" s="22">
        <f t="shared" si="8"/>
        <v>0</v>
      </c>
      <c r="AA18" s="22">
        <f t="shared" si="9"/>
        <v>0</v>
      </c>
      <c r="AB18" t="str">
        <f t="shared" si="10"/>
        <v xml:space="preserve"> </v>
      </c>
      <c r="AC18" t="str">
        <f t="shared" si="11"/>
        <v xml:space="preserve"> </v>
      </c>
      <c r="AD18" t="str">
        <f t="shared" si="12"/>
        <v xml:space="preserve"> </v>
      </c>
      <c r="AE18" t="str">
        <f t="shared" si="13"/>
        <v xml:space="preserve"> </v>
      </c>
      <c r="AF18">
        <f t="shared" si="14"/>
        <v>21033.62801</v>
      </c>
      <c r="AG18">
        <f t="shared" si="15"/>
        <v>4206.7256020000004</v>
      </c>
      <c r="AH18">
        <f t="shared" si="16"/>
        <v>0</v>
      </c>
    </row>
    <row r="19" spans="1:34">
      <c r="A19" s="23" t="s">
        <v>22</v>
      </c>
      <c r="B19" s="24">
        <f>'Plant Measurments'!C196</f>
        <v>41</v>
      </c>
      <c r="C19" s="25"/>
      <c r="D19" s="26"/>
      <c r="E19" s="17">
        <f t="shared" si="0"/>
        <v>0</v>
      </c>
      <c r="F19" s="25"/>
      <c r="G19" s="27"/>
      <c r="H19" s="24">
        <f t="shared" si="17"/>
        <v>0</v>
      </c>
      <c r="I19" s="25"/>
      <c r="J19" s="27"/>
      <c r="K19" s="17">
        <f t="shared" si="2"/>
        <v>0</v>
      </c>
      <c r="L19" s="25"/>
      <c r="M19" s="27"/>
      <c r="N19" s="17">
        <f t="shared" si="3"/>
        <v>0</v>
      </c>
      <c r="O19" s="25"/>
      <c r="P19" s="27"/>
      <c r="Q19" s="17">
        <f t="shared" si="4"/>
        <v>0</v>
      </c>
      <c r="R19" s="25">
        <f>SUM('Plant Measurments'!O196:O198)</f>
        <v>0</v>
      </c>
      <c r="S19" s="27"/>
      <c r="T19" s="17">
        <f t="shared" si="5"/>
        <v>0</v>
      </c>
      <c r="U19" s="25"/>
      <c r="V19" s="27"/>
      <c r="W19" s="17">
        <f t="shared" si="6"/>
        <v>0</v>
      </c>
      <c r="X19" s="24">
        <f t="shared" si="7"/>
        <v>0</v>
      </c>
      <c r="Y19" s="28"/>
      <c r="Z19" s="22">
        <f t="shared" si="8"/>
        <v>0</v>
      </c>
      <c r="AA19" s="22">
        <f t="shared" si="9"/>
        <v>0</v>
      </c>
      <c r="AB19" t="str">
        <f t="shared" si="10"/>
        <v xml:space="preserve"> </v>
      </c>
      <c r="AC19" t="str">
        <f t="shared" si="11"/>
        <v xml:space="preserve"> </v>
      </c>
      <c r="AD19" t="str">
        <f t="shared" si="12"/>
        <v xml:space="preserve"> </v>
      </c>
      <c r="AE19" t="str">
        <f t="shared" si="13"/>
        <v xml:space="preserve"> </v>
      </c>
      <c r="AF19">
        <f t="shared" si="14"/>
        <v>21033.62801</v>
      </c>
      <c r="AG19">
        <f t="shared" si="15"/>
        <v>4206.7256020000004</v>
      </c>
      <c r="AH19">
        <f t="shared" si="16"/>
        <v>0</v>
      </c>
    </row>
    <row r="20" spans="1:34">
      <c r="A20" s="23" t="s">
        <v>22</v>
      </c>
      <c r="B20" s="24">
        <f>'Plant Measurments'!C199</f>
        <v>33</v>
      </c>
      <c r="C20" s="25"/>
      <c r="D20" s="26"/>
      <c r="E20" s="17">
        <f t="shared" si="0"/>
        <v>0</v>
      </c>
      <c r="F20" s="25"/>
      <c r="G20" s="27"/>
      <c r="H20" s="24">
        <f t="shared" si="17"/>
        <v>0</v>
      </c>
      <c r="I20" s="25">
        <f>SUM('Plant Measurments'!O199:O207)</f>
        <v>0</v>
      </c>
      <c r="J20" s="27"/>
      <c r="K20" s="17">
        <f t="shared" si="2"/>
        <v>0</v>
      </c>
      <c r="L20" s="25"/>
      <c r="M20" s="27"/>
      <c r="N20" s="17">
        <f t="shared" si="3"/>
        <v>0</v>
      </c>
      <c r="O20" s="25"/>
      <c r="P20" s="27"/>
      <c r="Q20" s="17">
        <f t="shared" si="4"/>
        <v>0</v>
      </c>
      <c r="R20" s="25"/>
      <c r="S20" s="27"/>
      <c r="T20" s="17">
        <f t="shared" si="5"/>
        <v>0</v>
      </c>
      <c r="U20" s="25"/>
      <c r="V20" s="27"/>
      <c r="W20" s="17">
        <f t="shared" si="6"/>
        <v>0</v>
      </c>
      <c r="X20" s="24">
        <f t="shared" si="7"/>
        <v>0</v>
      </c>
      <c r="Y20" s="28"/>
      <c r="Z20" s="22">
        <f t="shared" si="8"/>
        <v>0</v>
      </c>
      <c r="AA20" s="22">
        <f t="shared" si="9"/>
        <v>0</v>
      </c>
      <c r="AB20" t="str">
        <f t="shared" si="10"/>
        <v xml:space="preserve"> </v>
      </c>
      <c r="AC20" t="str">
        <f t="shared" si="11"/>
        <v xml:space="preserve"> </v>
      </c>
      <c r="AD20" t="str">
        <f t="shared" si="12"/>
        <v xml:space="preserve"> </v>
      </c>
      <c r="AE20" t="str">
        <f t="shared" si="13"/>
        <v xml:space="preserve"> </v>
      </c>
      <c r="AF20">
        <f t="shared" si="14"/>
        <v>21033.62801</v>
      </c>
      <c r="AG20">
        <f t="shared" si="15"/>
        <v>4206.7256020000004</v>
      </c>
      <c r="AH20">
        <f t="shared" si="16"/>
        <v>0</v>
      </c>
    </row>
    <row r="21" spans="1:34">
      <c r="A21" s="23" t="s">
        <v>22</v>
      </c>
      <c r="B21" s="24">
        <f>'Plant Measurments'!C208</f>
        <v>30</v>
      </c>
      <c r="C21" s="25"/>
      <c r="D21" s="26"/>
      <c r="E21" s="17">
        <f t="shared" si="0"/>
        <v>0</v>
      </c>
      <c r="F21" s="25"/>
      <c r="G21" s="27"/>
      <c r="H21" s="24">
        <f t="shared" si="17"/>
        <v>0</v>
      </c>
      <c r="I21" s="25"/>
      <c r="J21" s="27"/>
      <c r="K21" s="17">
        <f t="shared" si="2"/>
        <v>0</v>
      </c>
      <c r="L21" s="25"/>
      <c r="M21" s="27"/>
      <c r="N21" s="17">
        <f t="shared" si="3"/>
        <v>0</v>
      </c>
      <c r="O21" s="25"/>
      <c r="P21" s="27"/>
      <c r="Q21" s="17">
        <f t="shared" si="4"/>
        <v>0</v>
      </c>
      <c r="R21" s="25">
        <f>SUM('Plant Measurments'!O211:O224)</f>
        <v>0</v>
      </c>
      <c r="S21" s="27"/>
      <c r="T21" s="17">
        <f t="shared" si="5"/>
        <v>0</v>
      </c>
      <c r="U21" s="25">
        <f>SUM('Plant Measurments'!O208:O210)</f>
        <v>0</v>
      </c>
      <c r="V21" s="27"/>
      <c r="W21" s="17">
        <f t="shared" si="6"/>
        <v>0</v>
      </c>
      <c r="X21" s="24">
        <f t="shared" si="7"/>
        <v>0</v>
      </c>
      <c r="Y21" s="28"/>
      <c r="Z21" s="22">
        <f t="shared" si="8"/>
        <v>0</v>
      </c>
      <c r="AA21" s="22">
        <f t="shared" si="9"/>
        <v>0</v>
      </c>
      <c r="AB21" t="str">
        <f t="shared" si="10"/>
        <v xml:space="preserve"> </v>
      </c>
      <c r="AC21" t="str">
        <f t="shared" si="11"/>
        <v xml:space="preserve"> </v>
      </c>
      <c r="AD21" t="str">
        <f t="shared" si="12"/>
        <v xml:space="preserve"> </v>
      </c>
      <c r="AE21" t="str">
        <f t="shared" si="13"/>
        <v xml:space="preserve"> </v>
      </c>
      <c r="AF21">
        <f t="shared" si="14"/>
        <v>21033.62801</v>
      </c>
      <c r="AG21">
        <f t="shared" si="15"/>
        <v>4206.7256020000004</v>
      </c>
      <c r="AH21">
        <f t="shared" si="16"/>
        <v>0</v>
      </c>
    </row>
    <row r="22" spans="1:34">
      <c r="A22" s="29" t="s">
        <v>22</v>
      </c>
      <c r="B22" s="30">
        <f>'Plant Measurments'!C225</f>
        <v>14</v>
      </c>
      <c r="C22" s="31"/>
      <c r="D22" s="32"/>
      <c r="E22" s="17">
        <f t="shared" si="0"/>
        <v>0</v>
      </c>
      <c r="F22" s="31"/>
      <c r="G22" s="33"/>
      <c r="H22" s="24">
        <f t="shared" si="17"/>
        <v>0</v>
      </c>
      <c r="I22" s="31"/>
      <c r="J22" s="33"/>
      <c r="K22" s="17">
        <f t="shared" si="2"/>
        <v>0</v>
      </c>
      <c r="L22" s="31"/>
      <c r="M22" s="33"/>
      <c r="N22" s="17">
        <f t="shared" si="3"/>
        <v>0</v>
      </c>
      <c r="O22" s="31"/>
      <c r="P22" s="33"/>
      <c r="Q22" s="17">
        <f t="shared" si="4"/>
        <v>0</v>
      </c>
      <c r="R22" s="31">
        <f>SUM('Plant Measurments'!O230:O233)</f>
        <v>0</v>
      </c>
      <c r="S22" s="33"/>
      <c r="T22" s="17">
        <f t="shared" si="5"/>
        <v>0</v>
      </c>
      <c r="U22" s="31">
        <f>SUM('Plant Measurments'!O225:O229)</f>
        <v>0</v>
      </c>
      <c r="V22" s="33"/>
      <c r="W22" s="17">
        <f t="shared" si="6"/>
        <v>0</v>
      </c>
      <c r="X22" s="30">
        <f t="shared" si="7"/>
        <v>0</v>
      </c>
      <c r="Y22" s="34"/>
      <c r="Z22" s="22">
        <f t="shared" si="8"/>
        <v>0</v>
      </c>
      <c r="AA22" s="22">
        <f t="shared" si="9"/>
        <v>0</v>
      </c>
      <c r="AB22" t="str">
        <f t="shared" si="10"/>
        <v xml:space="preserve"> </v>
      </c>
      <c r="AC22" t="str">
        <f t="shared" si="11"/>
        <v xml:space="preserve"> </v>
      </c>
      <c r="AD22" t="str">
        <f t="shared" si="12"/>
        <v xml:space="preserve"> </v>
      </c>
      <c r="AE22" t="str">
        <f t="shared" si="13"/>
        <v xml:space="preserve"> </v>
      </c>
      <c r="AF22">
        <f t="shared" si="14"/>
        <v>21033.62801</v>
      </c>
      <c r="AG22">
        <f t="shared" si="15"/>
        <v>4206.7256020000004</v>
      </c>
      <c r="AH22">
        <f t="shared" si="16"/>
        <v>0</v>
      </c>
    </row>
    <row r="23" spans="1:34">
      <c r="A23" s="16" t="s">
        <v>23</v>
      </c>
      <c r="B23" s="17">
        <f>'Plant Measurments'!C234</f>
        <v>14</v>
      </c>
      <c r="C23" s="18"/>
      <c r="D23" s="19"/>
      <c r="E23" s="17">
        <f t="shared" si="0"/>
        <v>0</v>
      </c>
      <c r="F23" s="18"/>
      <c r="G23" s="20"/>
      <c r="H23" s="24">
        <f t="shared" si="17"/>
        <v>0</v>
      </c>
      <c r="I23" s="18">
        <f>SUM('Plant Measurments'!O234:O246)</f>
        <v>0</v>
      </c>
      <c r="J23" s="20"/>
      <c r="K23" s="17">
        <f t="shared" si="2"/>
        <v>0</v>
      </c>
      <c r="L23" s="18"/>
      <c r="M23" s="20"/>
      <c r="N23" s="17">
        <f t="shared" si="3"/>
        <v>0</v>
      </c>
      <c r="O23" s="18"/>
      <c r="P23" s="20"/>
      <c r="Q23" s="17">
        <f t="shared" si="4"/>
        <v>0</v>
      </c>
      <c r="R23" s="18"/>
      <c r="S23" s="20"/>
      <c r="T23" s="17">
        <f t="shared" si="5"/>
        <v>0</v>
      </c>
      <c r="U23" s="18"/>
      <c r="V23" s="20"/>
      <c r="W23" s="17">
        <f t="shared" si="6"/>
        <v>0</v>
      </c>
      <c r="X23" s="17">
        <f t="shared" si="7"/>
        <v>0</v>
      </c>
      <c r="Y23" s="21">
        <f>AVERAGE(X23:X27)</f>
        <v>0</v>
      </c>
      <c r="Z23" s="22">
        <f t="shared" si="8"/>
        <v>0</v>
      </c>
      <c r="AA23" s="22">
        <f t="shared" si="9"/>
        <v>0</v>
      </c>
      <c r="AB23" t="str">
        <f t="shared" si="10"/>
        <v xml:space="preserve"> </v>
      </c>
      <c r="AC23" t="str">
        <f t="shared" si="11"/>
        <v xml:space="preserve"> </v>
      </c>
      <c r="AD23" t="str">
        <f t="shared" si="12"/>
        <v xml:space="preserve"> </v>
      </c>
      <c r="AE23" t="str">
        <f t="shared" si="13"/>
        <v xml:space="preserve"> </v>
      </c>
      <c r="AF23">
        <f t="shared" si="14"/>
        <v>21033.62801</v>
      </c>
      <c r="AG23">
        <f t="shared" si="15"/>
        <v>4206.7256020000004</v>
      </c>
      <c r="AH23">
        <f t="shared" si="16"/>
        <v>0</v>
      </c>
    </row>
    <row r="24" spans="1:34">
      <c r="A24" s="23" t="s">
        <v>23</v>
      </c>
      <c r="B24" s="24">
        <f>'Plant Measurments'!C247</f>
        <v>0</v>
      </c>
      <c r="C24" s="25"/>
      <c r="D24" s="26"/>
      <c r="E24" s="17">
        <f t="shared" si="0"/>
        <v>0</v>
      </c>
      <c r="F24" s="25"/>
      <c r="G24" s="27"/>
      <c r="H24" s="24">
        <f t="shared" si="17"/>
        <v>0</v>
      </c>
      <c r="I24" s="25">
        <f>SUM('Plant Measurments'!O247:O258)</f>
        <v>0</v>
      </c>
      <c r="J24" s="27"/>
      <c r="K24" s="17">
        <f t="shared" si="2"/>
        <v>0</v>
      </c>
      <c r="L24" s="25"/>
      <c r="M24" s="27"/>
      <c r="N24" s="17">
        <f t="shared" si="3"/>
        <v>0</v>
      </c>
      <c r="O24" s="25"/>
      <c r="P24" s="27"/>
      <c r="Q24" s="17">
        <f t="shared" si="4"/>
        <v>0</v>
      </c>
      <c r="R24" s="25">
        <f>SUM('Plant Measurments'!O260:O261)</f>
        <v>0</v>
      </c>
      <c r="S24" s="27"/>
      <c r="T24" s="17">
        <f t="shared" si="5"/>
        <v>0</v>
      </c>
      <c r="U24" s="25">
        <f>SUM('Plant Measurments'!O259)</f>
        <v>0</v>
      </c>
      <c r="V24" s="27"/>
      <c r="W24" s="17">
        <f t="shared" si="6"/>
        <v>0</v>
      </c>
      <c r="X24" s="24">
        <f t="shared" si="7"/>
        <v>0</v>
      </c>
      <c r="Y24" s="28"/>
      <c r="Z24" s="22">
        <f t="shared" si="8"/>
        <v>0</v>
      </c>
      <c r="AA24" s="22">
        <f t="shared" si="9"/>
        <v>0</v>
      </c>
      <c r="AB24" t="str">
        <f t="shared" si="10"/>
        <v xml:space="preserve"> </v>
      </c>
      <c r="AC24" t="str">
        <f t="shared" si="11"/>
        <v xml:space="preserve"> </v>
      </c>
      <c r="AD24" t="str">
        <f t="shared" si="12"/>
        <v xml:space="preserve"> </v>
      </c>
      <c r="AE24" t="str">
        <f t="shared" si="13"/>
        <v xml:space="preserve"> </v>
      </c>
      <c r="AF24">
        <f t="shared" si="14"/>
        <v>21033.62801</v>
      </c>
      <c r="AG24">
        <f t="shared" si="15"/>
        <v>4206.7256020000004</v>
      </c>
      <c r="AH24">
        <f t="shared" si="16"/>
        <v>0</v>
      </c>
    </row>
    <row r="25" spans="1:34">
      <c r="A25" s="23" t="s">
        <v>23</v>
      </c>
      <c r="B25" s="24">
        <f>'Plant Measurments'!C262</f>
        <v>12</v>
      </c>
      <c r="C25" s="25">
        <f>SUM('Plant Measurments'!O262:O277)</f>
        <v>0</v>
      </c>
      <c r="D25" s="26"/>
      <c r="E25" s="17">
        <f t="shared" si="0"/>
        <v>0</v>
      </c>
      <c r="F25" s="25"/>
      <c r="G25" s="27"/>
      <c r="H25" s="24">
        <f t="shared" si="17"/>
        <v>0</v>
      </c>
      <c r="I25" s="25"/>
      <c r="J25" s="27"/>
      <c r="K25" s="17">
        <f t="shared" si="2"/>
        <v>0</v>
      </c>
      <c r="L25" s="25"/>
      <c r="M25" s="27"/>
      <c r="N25" s="17">
        <f t="shared" si="3"/>
        <v>0</v>
      </c>
      <c r="O25" s="25"/>
      <c r="P25" s="27"/>
      <c r="Q25" s="17">
        <f t="shared" si="4"/>
        <v>0</v>
      </c>
      <c r="R25" s="25">
        <f>SUM('Plant Measurments'!O278:O282)</f>
        <v>0</v>
      </c>
      <c r="S25" s="27"/>
      <c r="T25" s="17">
        <f t="shared" si="5"/>
        <v>0</v>
      </c>
      <c r="U25" s="25"/>
      <c r="V25" s="27"/>
      <c r="W25" s="17">
        <f t="shared" si="6"/>
        <v>0</v>
      </c>
      <c r="X25" s="24">
        <f t="shared" si="7"/>
        <v>0</v>
      </c>
      <c r="Y25" s="28"/>
      <c r="Z25" s="22">
        <f t="shared" si="8"/>
        <v>0</v>
      </c>
      <c r="AA25" s="22">
        <f t="shared" si="9"/>
        <v>0</v>
      </c>
      <c r="AB25" t="str">
        <f t="shared" si="10"/>
        <v xml:space="preserve"> </v>
      </c>
      <c r="AC25" t="str">
        <f t="shared" si="11"/>
        <v xml:space="preserve"> </v>
      </c>
      <c r="AD25" t="str">
        <f t="shared" si="12"/>
        <v xml:space="preserve"> </v>
      </c>
      <c r="AE25" t="str">
        <f t="shared" si="13"/>
        <v xml:space="preserve"> </v>
      </c>
      <c r="AF25">
        <f t="shared" si="14"/>
        <v>21033.62801</v>
      </c>
      <c r="AG25">
        <f t="shared" si="15"/>
        <v>4206.7256020000004</v>
      </c>
      <c r="AH25">
        <f t="shared" si="16"/>
        <v>0</v>
      </c>
    </row>
    <row r="26" spans="1:34">
      <c r="A26" s="23" t="s">
        <v>23</v>
      </c>
      <c r="B26" s="24">
        <f>'Plant Measurments'!C283</f>
        <v>57</v>
      </c>
      <c r="C26" s="25">
        <f>SUM('Plant Measurments'!O283:O284)</f>
        <v>0</v>
      </c>
      <c r="D26" s="26"/>
      <c r="E26" s="17">
        <f t="shared" si="0"/>
        <v>0</v>
      </c>
      <c r="F26" s="25"/>
      <c r="G26" s="27"/>
      <c r="H26" s="24">
        <f t="shared" si="17"/>
        <v>0</v>
      </c>
      <c r="I26" s="25"/>
      <c r="J26" s="27"/>
      <c r="K26" s="17">
        <f t="shared" si="2"/>
        <v>0</v>
      </c>
      <c r="L26" s="25"/>
      <c r="M26" s="27"/>
      <c r="N26" s="17">
        <f t="shared" si="3"/>
        <v>0</v>
      </c>
      <c r="O26" s="25"/>
      <c r="P26" s="27"/>
      <c r="Q26" s="17">
        <f t="shared" si="4"/>
        <v>0</v>
      </c>
      <c r="R26" s="25">
        <f>SUM('Plant Measurments'!O285:O286)</f>
        <v>0</v>
      </c>
      <c r="S26" s="27"/>
      <c r="T26" s="17">
        <f t="shared" si="5"/>
        <v>0</v>
      </c>
      <c r="U26" s="25"/>
      <c r="V26" s="27"/>
      <c r="W26" s="17">
        <f t="shared" si="6"/>
        <v>0</v>
      </c>
      <c r="X26" s="24">
        <f t="shared" si="7"/>
        <v>0</v>
      </c>
      <c r="Y26" s="28"/>
      <c r="Z26" s="22">
        <f t="shared" si="8"/>
        <v>0</v>
      </c>
      <c r="AA26" s="22">
        <f t="shared" si="9"/>
        <v>0</v>
      </c>
      <c r="AB26" t="str">
        <f t="shared" si="10"/>
        <v xml:space="preserve"> </v>
      </c>
      <c r="AC26" t="str">
        <f t="shared" si="11"/>
        <v xml:space="preserve"> </v>
      </c>
      <c r="AD26" t="str">
        <f t="shared" si="12"/>
        <v xml:space="preserve"> </v>
      </c>
      <c r="AE26" t="str">
        <f t="shared" si="13"/>
        <v xml:space="preserve"> </v>
      </c>
      <c r="AF26">
        <f t="shared" si="14"/>
        <v>21033.62801</v>
      </c>
      <c r="AG26">
        <f t="shared" si="15"/>
        <v>4206.7256020000004</v>
      </c>
      <c r="AH26">
        <f t="shared" si="16"/>
        <v>0</v>
      </c>
    </row>
    <row r="27" spans="1:34">
      <c r="A27" s="29" t="s">
        <v>23</v>
      </c>
      <c r="B27" s="30">
        <f>'Plant Measurments'!C287</f>
        <v>57</v>
      </c>
      <c r="C27" s="31"/>
      <c r="D27" s="32"/>
      <c r="E27" s="17">
        <f t="shared" si="0"/>
        <v>0</v>
      </c>
      <c r="F27" s="31"/>
      <c r="G27" s="33"/>
      <c r="H27" s="24">
        <f t="shared" si="17"/>
        <v>0</v>
      </c>
      <c r="I27" s="31"/>
      <c r="J27" s="33"/>
      <c r="K27" s="17">
        <f t="shared" si="2"/>
        <v>0</v>
      </c>
      <c r="L27" s="31"/>
      <c r="M27" s="33"/>
      <c r="N27" s="17">
        <f t="shared" si="3"/>
        <v>0</v>
      </c>
      <c r="O27" s="31"/>
      <c r="P27" s="33"/>
      <c r="Q27" s="17">
        <f t="shared" si="4"/>
        <v>0</v>
      </c>
      <c r="R27" s="31">
        <f>SUM('Plant Measurments'!O288:O299)</f>
        <v>0</v>
      </c>
      <c r="S27" s="33"/>
      <c r="T27" s="17">
        <f t="shared" si="5"/>
        <v>0</v>
      </c>
      <c r="U27" s="31">
        <f>SUM('Plant Measurments'!O287)</f>
        <v>0</v>
      </c>
      <c r="V27" s="33"/>
      <c r="W27" s="17">
        <f t="shared" si="6"/>
        <v>0</v>
      </c>
      <c r="X27" s="30">
        <f t="shared" si="7"/>
        <v>0</v>
      </c>
      <c r="Y27" s="34"/>
      <c r="Z27" s="22">
        <f t="shared" si="8"/>
        <v>0</v>
      </c>
      <c r="AA27" s="22">
        <f t="shared" si="9"/>
        <v>0</v>
      </c>
      <c r="AB27" t="str">
        <f t="shared" si="10"/>
        <v xml:space="preserve"> </v>
      </c>
      <c r="AC27" t="str">
        <f t="shared" si="11"/>
        <v xml:space="preserve"> </v>
      </c>
      <c r="AD27" t="str">
        <f t="shared" si="12"/>
        <v xml:space="preserve"> </v>
      </c>
      <c r="AE27" t="str">
        <f t="shared" si="13"/>
        <v xml:space="preserve"> </v>
      </c>
      <c r="AF27">
        <f t="shared" si="14"/>
        <v>21033.62801</v>
      </c>
      <c r="AG27">
        <f t="shared" si="15"/>
        <v>4206.7256020000004</v>
      </c>
      <c r="AH27">
        <f t="shared" si="16"/>
        <v>0</v>
      </c>
    </row>
    <row r="28" spans="1:34">
      <c r="A28" s="16" t="s">
        <v>24</v>
      </c>
      <c r="B28" s="36">
        <f>'Plant Measurments'!C300</f>
        <v>44</v>
      </c>
      <c r="C28" s="18"/>
      <c r="D28" s="19"/>
      <c r="E28" s="17">
        <f t="shared" si="0"/>
        <v>0</v>
      </c>
      <c r="F28" s="18"/>
      <c r="G28" s="20"/>
      <c r="H28" s="24">
        <f t="shared" si="17"/>
        <v>0</v>
      </c>
      <c r="I28" s="18">
        <f>SUM('Plant Measurments'!O300:O319)</f>
        <v>0</v>
      </c>
      <c r="J28" s="20"/>
      <c r="K28" s="17">
        <f t="shared" si="2"/>
        <v>0</v>
      </c>
      <c r="L28" s="18"/>
      <c r="M28" s="20"/>
      <c r="N28" s="17">
        <f t="shared" si="3"/>
        <v>0</v>
      </c>
      <c r="O28" s="18"/>
      <c r="P28" s="20"/>
      <c r="Q28" s="17">
        <f t="shared" si="4"/>
        <v>0</v>
      </c>
      <c r="R28" s="18">
        <f>SUM('Plant Measurments'!O320:O321)</f>
        <v>0</v>
      </c>
      <c r="S28" s="20"/>
      <c r="T28" s="17">
        <f t="shared" si="5"/>
        <v>0</v>
      </c>
      <c r="U28" s="18"/>
      <c r="V28" s="20"/>
      <c r="W28" s="17">
        <f t="shared" si="6"/>
        <v>0</v>
      </c>
      <c r="X28" s="17">
        <f t="shared" si="7"/>
        <v>0</v>
      </c>
      <c r="Y28" s="21">
        <f>AVERAGE(X28:X32)</f>
        <v>0</v>
      </c>
      <c r="Z28" s="22">
        <f t="shared" si="8"/>
        <v>0</v>
      </c>
      <c r="AA28" s="22">
        <f t="shared" si="9"/>
        <v>0</v>
      </c>
      <c r="AB28" t="str">
        <f t="shared" si="10"/>
        <v xml:space="preserve"> </v>
      </c>
      <c r="AC28" t="str">
        <f t="shared" si="11"/>
        <v xml:space="preserve"> </v>
      </c>
      <c r="AD28" t="str">
        <f t="shared" si="12"/>
        <v xml:space="preserve"> </v>
      </c>
      <c r="AE28" t="str">
        <f t="shared" si="13"/>
        <v xml:space="preserve"> </v>
      </c>
      <c r="AF28">
        <f t="shared" si="14"/>
        <v>21033.62801</v>
      </c>
      <c r="AG28">
        <f t="shared" si="15"/>
        <v>4206.7256020000004</v>
      </c>
      <c r="AH28">
        <f t="shared" si="16"/>
        <v>0</v>
      </c>
    </row>
    <row r="29" spans="1:34">
      <c r="A29" s="23" t="s">
        <v>24</v>
      </c>
      <c r="B29" s="24">
        <f>'Plant Measurments'!C322</f>
        <v>30</v>
      </c>
      <c r="C29" s="25"/>
      <c r="D29" s="26"/>
      <c r="E29" s="17">
        <f t="shared" si="0"/>
        <v>0</v>
      </c>
      <c r="F29" s="25"/>
      <c r="G29" s="27"/>
      <c r="H29" s="24">
        <f t="shared" si="17"/>
        <v>0</v>
      </c>
      <c r="I29" s="25">
        <f>SUM('Plant Measurments'!O322:O323)</f>
        <v>0</v>
      </c>
      <c r="J29" s="27"/>
      <c r="K29" s="17">
        <f t="shared" si="2"/>
        <v>0</v>
      </c>
      <c r="L29" s="25"/>
      <c r="M29" s="27"/>
      <c r="N29" s="17">
        <f t="shared" si="3"/>
        <v>0</v>
      </c>
      <c r="O29" s="25"/>
      <c r="P29" s="27"/>
      <c r="Q29" s="17">
        <f t="shared" si="4"/>
        <v>0</v>
      </c>
      <c r="R29" s="25">
        <f>SUM('Plant Measurments'!O324:O330)</f>
        <v>0</v>
      </c>
      <c r="S29" s="27"/>
      <c r="T29" s="17">
        <f t="shared" si="5"/>
        <v>0</v>
      </c>
      <c r="U29" s="25"/>
      <c r="V29" s="27"/>
      <c r="W29" s="17">
        <f t="shared" si="6"/>
        <v>0</v>
      </c>
      <c r="X29" s="24">
        <f t="shared" si="7"/>
        <v>0</v>
      </c>
      <c r="Y29" s="28"/>
      <c r="Z29" s="22">
        <f t="shared" si="8"/>
        <v>0</v>
      </c>
      <c r="AA29" s="22">
        <f t="shared" si="9"/>
        <v>0</v>
      </c>
      <c r="AB29" t="str">
        <f t="shared" si="10"/>
        <v xml:space="preserve"> </v>
      </c>
      <c r="AC29" t="str">
        <f t="shared" si="11"/>
        <v xml:space="preserve"> </v>
      </c>
      <c r="AD29" t="str">
        <f t="shared" si="12"/>
        <v xml:space="preserve"> </v>
      </c>
      <c r="AE29" t="str">
        <f t="shared" si="13"/>
        <v xml:space="preserve"> </v>
      </c>
      <c r="AF29">
        <f t="shared" si="14"/>
        <v>21033.62801</v>
      </c>
      <c r="AG29">
        <f t="shared" si="15"/>
        <v>4206.7256020000004</v>
      </c>
      <c r="AH29">
        <f t="shared" si="16"/>
        <v>0</v>
      </c>
    </row>
    <row r="30" spans="1:34">
      <c r="A30" s="23" t="s">
        <v>24</v>
      </c>
      <c r="B30">
        <f>'Plant Measurments'!C331</f>
        <v>30</v>
      </c>
      <c r="C30" s="25"/>
      <c r="D30" s="26"/>
      <c r="E30" s="17">
        <f t="shared" si="0"/>
        <v>0</v>
      </c>
      <c r="F30" s="25"/>
      <c r="G30" s="27"/>
      <c r="H30" s="24">
        <f t="shared" si="17"/>
        <v>0</v>
      </c>
      <c r="I30" s="25">
        <f>SUM('Plant Measurments'!O331:O337)</f>
        <v>0</v>
      </c>
      <c r="J30" s="27"/>
      <c r="K30" s="17">
        <f t="shared" si="2"/>
        <v>0</v>
      </c>
      <c r="L30" s="25"/>
      <c r="M30" s="27"/>
      <c r="N30" s="17">
        <f t="shared" si="3"/>
        <v>0</v>
      </c>
      <c r="O30" s="25"/>
      <c r="P30" s="27"/>
      <c r="Q30" s="17">
        <f t="shared" si="4"/>
        <v>0</v>
      </c>
      <c r="R30" s="25"/>
      <c r="S30" s="27"/>
      <c r="T30" s="17">
        <f t="shared" si="5"/>
        <v>0</v>
      </c>
      <c r="U30" s="25"/>
      <c r="V30" s="27"/>
      <c r="W30" s="17">
        <f t="shared" si="6"/>
        <v>0</v>
      </c>
      <c r="X30" s="24">
        <f t="shared" si="7"/>
        <v>0</v>
      </c>
      <c r="Y30" s="28"/>
      <c r="Z30" s="22">
        <f t="shared" si="8"/>
        <v>0</v>
      </c>
      <c r="AA30" s="22">
        <f t="shared" si="9"/>
        <v>0</v>
      </c>
      <c r="AB30" t="str">
        <f t="shared" si="10"/>
        <v xml:space="preserve"> </v>
      </c>
      <c r="AC30" t="str">
        <f t="shared" si="11"/>
        <v xml:space="preserve"> </v>
      </c>
      <c r="AD30" t="str">
        <f t="shared" si="12"/>
        <v xml:space="preserve"> </v>
      </c>
      <c r="AE30" t="str">
        <f t="shared" si="13"/>
        <v xml:space="preserve"> </v>
      </c>
      <c r="AF30">
        <f t="shared" si="14"/>
        <v>21033.62801</v>
      </c>
      <c r="AG30">
        <f t="shared" si="15"/>
        <v>4206.7256020000004</v>
      </c>
      <c r="AH30">
        <f t="shared" si="16"/>
        <v>0</v>
      </c>
    </row>
    <row r="31" spans="1:34">
      <c r="A31" s="23" t="s">
        <v>24</v>
      </c>
      <c r="B31" s="24">
        <f>'Plant Measurments'!C338</f>
        <v>30</v>
      </c>
      <c r="C31" s="25">
        <f>SUM('Plant Measurments'!O338:O362)</f>
        <v>0</v>
      </c>
      <c r="D31" s="26"/>
      <c r="E31" s="17">
        <f t="shared" si="0"/>
        <v>0</v>
      </c>
      <c r="F31" s="25"/>
      <c r="G31" s="27"/>
      <c r="H31" s="24">
        <f t="shared" si="17"/>
        <v>0</v>
      </c>
      <c r="I31" s="25"/>
      <c r="J31" s="27"/>
      <c r="K31" s="17">
        <f t="shared" si="2"/>
        <v>0</v>
      </c>
      <c r="L31" s="25"/>
      <c r="M31" s="27"/>
      <c r="N31" s="17">
        <f t="shared" si="3"/>
        <v>0</v>
      </c>
      <c r="O31" s="25"/>
      <c r="P31" s="27"/>
      <c r="Q31" s="17">
        <f t="shared" si="4"/>
        <v>0</v>
      </c>
      <c r="R31" s="25">
        <f>SUM('Plant Measurments'!O369:O381)</f>
        <v>0</v>
      </c>
      <c r="S31" s="27"/>
      <c r="T31" s="17">
        <f t="shared" si="5"/>
        <v>0</v>
      </c>
      <c r="U31" s="25">
        <f>SUM('Plant Measurments'!O363:O368)</f>
        <v>0</v>
      </c>
      <c r="V31" s="27"/>
      <c r="W31" s="17">
        <f t="shared" si="6"/>
        <v>0</v>
      </c>
      <c r="X31" s="24">
        <f t="shared" si="7"/>
        <v>0</v>
      </c>
      <c r="Y31" s="28"/>
      <c r="Z31" s="22">
        <f t="shared" si="8"/>
        <v>0</v>
      </c>
      <c r="AA31" s="22">
        <f t="shared" si="9"/>
        <v>0</v>
      </c>
      <c r="AB31" t="str">
        <f t="shared" si="10"/>
        <v xml:space="preserve"> </v>
      </c>
      <c r="AC31" t="str">
        <f t="shared" si="11"/>
        <v xml:space="preserve"> </v>
      </c>
      <c r="AD31" t="str">
        <f t="shared" si="12"/>
        <v xml:space="preserve"> </v>
      </c>
      <c r="AE31" t="str">
        <f t="shared" si="13"/>
        <v xml:space="preserve"> </v>
      </c>
      <c r="AF31">
        <f t="shared" si="14"/>
        <v>21033.62801</v>
      </c>
      <c r="AG31">
        <f t="shared" si="15"/>
        <v>4206.7256020000004</v>
      </c>
      <c r="AH31">
        <f t="shared" si="16"/>
        <v>0</v>
      </c>
    </row>
    <row r="32" spans="1:34">
      <c r="A32" s="29" t="s">
        <v>24</v>
      </c>
      <c r="B32" s="24">
        <f>'Plant Measurments'!C382</f>
        <v>13</v>
      </c>
      <c r="C32" s="31"/>
      <c r="D32" s="32"/>
      <c r="E32" s="17">
        <f t="shared" si="0"/>
        <v>0</v>
      </c>
      <c r="F32" s="31"/>
      <c r="G32" s="33"/>
      <c r="H32" s="24">
        <f t="shared" si="17"/>
        <v>0</v>
      </c>
      <c r="I32" s="31"/>
      <c r="J32" s="33"/>
      <c r="K32" s="17">
        <f t="shared" si="2"/>
        <v>0</v>
      </c>
      <c r="L32" s="31"/>
      <c r="M32" s="33"/>
      <c r="N32" s="17">
        <f t="shared" si="3"/>
        <v>0</v>
      </c>
      <c r="O32" s="31"/>
      <c r="P32" s="33"/>
      <c r="Q32" s="17">
        <f t="shared" si="4"/>
        <v>0</v>
      </c>
      <c r="R32" s="31">
        <f>SUM('Plant Measurments'!O382:O387)</f>
        <v>0</v>
      </c>
      <c r="S32" s="33"/>
      <c r="T32" s="17">
        <f t="shared" si="5"/>
        <v>0</v>
      </c>
      <c r="U32" s="31"/>
      <c r="V32" s="33"/>
      <c r="W32" s="17">
        <f t="shared" si="6"/>
        <v>0</v>
      </c>
      <c r="X32" s="30">
        <f t="shared" si="7"/>
        <v>0</v>
      </c>
      <c r="Y32" s="34"/>
      <c r="Z32" s="22">
        <f t="shared" si="8"/>
        <v>0</v>
      </c>
      <c r="AA32" s="22">
        <f t="shared" si="9"/>
        <v>0</v>
      </c>
      <c r="AB32" t="str">
        <f t="shared" si="10"/>
        <v xml:space="preserve"> </v>
      </c>
      <c r="AC32" t="str">
        <f t="shared" si="11"/>
        <v xml:space="preserve"> </v>
      </c>
      <c r="AD32" t="str">
        <f t="shared" si="12"/>
        <v xml:space="preserve"> </v>
      </c>
      <c r="AE32" t="str">
        <f t="shared" si="13"/>
        <v xml:space="preserve"> </v>
      </c>
      <c r="AF32">
        <f t="shared" si="14"/>
        <v>21033.62801</v>
      </c>
      <c r="AG32">
        <f t="shared" si="15"/>
        <v>4206.7256020000004</v>
      </c>
      <c r="AH32">
        <f t="shared" si="16"/>
        <v>0</v>
      </c>
    </row>
    <row r="33" spans="1:34">
      <c r="A33" s="16" t="s">
        <v>29</v>
      </c>
      <c r="B33" s="17">
        <f>'Plant Measurments'!C388</f>
        <v>59</v>
      </c>
      <c r="C33" s="18">
        <f>SUM('Plant Measurments'!O388:O399)</f>
        <v>0</v>
      </c>
      <c r="D33" s="37"/>
      <c r="E33" s="17">
        <f t="shared" si="0"/>
        <v>0</v>
      </c>
      <c r="F33" s="18"/>
      <c r="G33" s="20"/>
      <c r="H33" s="24">
        <f t="shared" si="17"/>
        <v>0</v>
      </c>
      <c r="I33" s="18">
        <f>SUM('Plant Measurments'!O400:O403)</f>
        <v>0</v>
      </c>
      <c r="J33" s="20"/>
      <c r="K33" s="17">
        <f t="shared" si="2"/>
        <v>0</v>
      </c>
      <c r="L33" s="18"/>
      <c r="M33" s="20"/>
      <c r="N33" s="17">
        <f t="shared" si="3"/>
        <v>0</v>
      </c>
      <c r="O33" s="18"/>
      <c r="P33" s="20"/>
      <c r="Q33" s="17">
        <f t="shared" si="4"/>
        <v>0</v>
      </c>
      <c r="R33" s="18">
        <f>SUM('Plant Measurments'!O406:O409)</f>
        <v>0</v>
      </c>
      <c r="S33" s="20"/>
      <c r="T33" s="17">
        <f t="shared" si="5"/>
        <v>0</v>
      </c>
      <c r="U33" s="18">
        <f>SUM('Plant Measurments'!O404:O405)</f>
        <v>0</v>
      </c>
      <c r="V33" s="20"/>
      <c r="W33" s="17">
        <f t="shared" si="6"/>
        <v>0</v>
      </c>
      <c r="X33" s="17">
        <f t="shared" si="7"/>
        <v>0</v>
      </c>
      <c r="Y33" s="21">
        <f>AVERAGE(X33:X37)</f>
        <v>0</v>
      </c>
      <c r="Z33" s="22">
        <f t="shared" si="8"/>
        <v>0</v>
      </c>
      <c r="AA33" s="22">
        <f t="shared" si="9"/>
        <v>0</v>
      </c>
      <c r="AB33" t="str">
        <f t="shared" si="10"/>
        <v xml:space="preserve"> </v>
      </c>
      <c r="AC33" t="str">
        <f t="shared" si="11"/>
        <v xml:space="preserve"> </v>
      </c>
      <c r="AD33" t="str">
        <f t="shared" si="12"/>
        <v xml:space="preserve"> </v>
      </c>
      <c r="AE33" t="str">
        <f t="shared" si="13"/>
        <v xml:space="preserve"> </v>
      </c>
      <c r="AF33">
        <f t="shared" si="14"/>
        <v>21033.62801</v>
      </c>
      <c r="AG33">
        <f t="shared" si="15"/>
        <v>4206.7256020000004</v>
      </c>
      <c r="AH33">
        <f t="shared" si="16"/>
        <v>0</v>
      </c>
    </row>
    <row r="34" spans="1:34">
      <c r="A34" s="23" t="s">
        <v>29</v>
      </c>
      <c r="B34" s="24">
        <f>'Plant Measurments'!C410</f>
        <v>46</v>
      </c>
      <c r="C34" s="25">
        <f>SUM('Plant Measurments'!O410:O424)</f>
        <v>0</v>
      </c>
      <c r="D34" s="26"/>
      <c r="E34" s="17">
        <f t="shared" si="0"/>
        <v>0</v>
      </c>
      <c r="F34" s="25"/>
      <c r="G34" s="27"/>
      <c r="H34" s="24">
        <f t="shared" si="17"/>
        <v>0</v>
      </c>
      <c r="I34" s="25"/>
      <c r="J34" s="27"/>
      <c r="K34" s="17">
        <f t="shared" si="2"/>
        <v>0</v>
      </c>
      <c r="L34" s="25"/>
      <c r="M34" s="27"/>
      <c r="N34" s="17">
        <f t="shared" si="3"/>
        <v>0</v>
      </c>
      <c r="O34" s="25"/>
      <c r="P34" s="27"/>
      <c r="Q34" s="17">
        <f t="shared" si="4"/>
        <v>0</v>
      </c>
      <c r="R34" s="25"/>
      <c r="S34" s="27"/>
      <c r="T34" s="17">
        <f t="shared" si="5"/>
        <v>0</v>
      </c>
      <c r="U34" s="25"/>
      <c r="V34" s="27"/>
      <c r="W34" s="17">
        <f t="shared" si="6"/>
        <v>0</v>
      </c>
      <c r="X34" s="24">
        <f t="shared" si="7"/>
        <v>0</v>
      </c>
      <c r="Y34" s="28"/>
      <c r="Z34" s="22">
        <f t="shared" si="8"/>
        <v>0</v>
      </c>
      <c r="AA34" s="22">
        <f t="shared" si="9"/>
        <v>0</v>
      </c>
      <c r="AB34" t="str">
        <f t="shared" si="10"/>
        <v xml:space="preserve"> </v>
      </c>
      <c r="AC34" t="str">
        <f t="shared" si="11"/>
        <v xml:space="preserve"> </v>
      </c>
      <c r="AD34" t="str">
        <f t="shared" si="12"/>
        <v xml:space="preserve"> </v>
      </c>
      <c r="AE34" t="str">
        <f t="shared" si="13"/>
        <v xml:space="preserve"> </v>
      </c>
      <c r="AF34">
        <f t="shared" si="14"/>
        <v>21033.62801</v>
      </c>
      <c r="AG34">
        <f t="shared" si="15"/>
        <v>4206.7256020000004</v>
      </c>
      <c r="AH34">
        <f t="shared" si="16"/>
        <v>0</v>
      </c>
    </row>
    <row r="35" spans="1:34">
      <c r="A35" s="23" t="s">
        <v>29</v>
      </c>
      <c r="B35" s="24">
        <f>'Plant Measurments'!C425</f>
        <v>39</v>
      </c>
      <c r="C35" s="25">
        <f>SUM('Plant Measurments'!O425:O428)</f>
        <v>0</v>
      </c>
      <c r="D35" s="26"/>
      <c r="E35" s="17">
        <f t="shared" si="0"/>
        <v>0</v>
      </c>
      <c r="F35" s="25"/>
      <c r="G35" s="27"/>
      <c r="H35" s="24">
        <f t="shared" si="17"/>
        <v>0</v>
      </c>
      <c r="I35" s="25"/>
      <c r="J35" s="27"/>
      <c r="K35" s="17">
        <f t="shared" si="2"/>
        <v>0</v>
      </c>
      <c r="L35" s="25"/>
      <c r="M35" s="27"/>
      <c r="N35" s="17">
        <f t="shared" si="3"/>
        <v>0</v>
      </c>
      <c r="O35" s="25"/>
      <c r="P35" s="27"/>
      <c r="Q35" s="17">
        <f t="shared" si="4"/>
        <v>0</v>
      </c>
      <c r="R35" s="25"/>
      <c r="S35" s="27"/>
      <c r="T35" s="17">
        <f t="shared" si="5"/>
        <v>0</v>
      </c>
      <c r="U35" s="25"/>
      <c r="V35" s="27"/>
      <c r="W35" s="17">
        <f t="shared" si="6"/>
        <v>0</v>
      </c>
      <c r="X35" s="24">
        <f t="shared" si="7"/>
        <v>0</v>
      </c>
      <c r="Y35" s="28"/>
      <c r="Z35" s="22">
        <f t="shared" si="8"/>
        <v>0</v>
      </c>
      <c r="AA35" s="22">
        <f t="shared" si="9"/>
        <v>0</v>
      </c>
      <c r="AB35" t="str">
        <f t="shared" si="10"/>
        <v xml:space="preserve"> </v>
      </c>
      <c r="AC35" t="str">
        <f t="shared" si="11"/>
        <v xml:space="preserve"> </v>
      </c>
      <c r="AD35" t="str">
        <f t="shared" si="12"/>
        <v xml:space="preserve"> </v>
      </c>
      <c r="AE35" t="str">
        <f t="shared" si="13"/>
        <v xml:space="preserve"> </v>
      </c>
      <c r="AF35">
        <f t="shared" si="14"/>
        <v>21033.62801</v>
      </c>
      <c r="AG35">
        <f t="shared" si="15"/>
        <v>4206.7256020000004</v>
      </c>
      <c r="AH35">
        <f t="shared" si="16"/>
        <v>0</v>
      </c>
    </row>
    <row r="36" spans="1:34">
      <c r="A36" s="23" t="s">
        <v>29</v>
      </c>
      <c r="B36" s="24">
        <f>'Plant Measurments'!C429</f>
        <v>39</v>
      </c>
      <c r="C36" s="25"/>
      <c r="D36" s="26"/>
      <c r="E36" s="17">
        <f t="shared" si="0"/>
        <v>0</v>
      </c>
      <c r="F36" s="25"/>
      <c r="G36" s="27"/>
      <c r="H36" s="24">
        <f t="shared" si="17"/>
        <v>0</v>
      </c>
      <c r="I36" s="25"/>
      <c r="J36" s="27"/>
      <c r="K36" s="17">
        <f t="shared" si="2"/>
        <v>0</v>
      </c>
      <c r="L36" s="25"/>
      <c r="M36" s="27"/>
      <c r="N36" s="17">
        <f t="shared" si="3"/>
        <v>0</v>
      </c>
      <c r="O36" s="25"/>
      <c r="P36" s="27"/>
      <c r="Q36" s="17">
        <f t="shared" si="4"/>
        <v>0</v>
      </c>
      <c r="R36" s="25"/>
      <c r="S36" s="27"/>
      <c r="T36" s="17">
        <f t="shared" si="5"/>
        <v>0</v>
      </c>
      <c r="U36" s="25"/>
      <c r="V36" s="27"/>
      <c r="W36" s="17">
        <f t="shared" si="6"/>
        <v>0</v>
      </c>
      <c r="X36" s="24">
        <f t="shared" si="7"/>
        <v>0</v>
      </c>
      <c r="Y36" s="28"/>
      <c r="Z36" s="22">
        <f t="shared" si="8"/>
        <v>0</v>
      </c>
      <c r="AA36" s="22">
        <f t="shared" si="9"/>
        <v>0</v>
      </c>
      <c r="AB36" t="str">
        <f t="shared" si="10"/>
        <v xml:space="preserve"> </v>
      </c>
      <c r="AC36" t="str">
        <f t="shared" si="11"/>
        <v xml:space="preserve"> </v>
      </c>
      <c r="AD36" t="str">
        <f t="shared" si="12"/>
        <v xml:space="preserve"> </v>
      </c>
      <c r="AE36" t="str">
        <f t="shared" si="13"/>
        <v xml:space="preserve"> </v>
      </c>
      <c r="AF36">
        <f t="shared" si="14"/>
        <v>21033.62801</v>
      </c>
      <c r="AG36">
        <f t="shared" si="15"/>
        <v>4206.7256020000004</v>
      </c>
      <c r="AH36">
        <f t="shared" si="16"/>
        <v>0</v>
      </c>
    </row>
    <row r="37" spans="1:34">
      <c r="A37" s="29" t="s">
        <v>29</v>
      </c>
      <c r="B37" s="30">
        <f>'Plant Measurments'!C430</f>
        <v>39</v>
      </c>
      <c r="C37" s="31"/>
      <c r="D37" s="32"/>
      <c r="E37" s="17">
        <f t="shared" si="0"/>
        <v>0</v>
      </c>
      <c r="F37" s="31"/>
      <c r="G37" s="33"/>
      <c r="H37" s="24">
        <f t="shared" si="17"/>
        <v>0</v>
      </c>
      <c r="I37" s="31"/>
      <c r="J37" s="33"/>
      <c r="K37" s="17">
        <f t="shared" si="2"/>
        <v>0</v>
      </c>
      <c r="L37" s="31"/>
      <c r="M37" s="33"/>
      <c r="N37" s="17">
        <f t="shared" si="3"/>
        <v>0</v>
      </c>
      <c r="O37" s="31"/>
      <c r="P37" s="33"/>
      <c r="Q37" s="17">
        <f t="shared" si="4"/>
        <v>0</v>
      </c>
      <c r="R37" s="31">
        <f>SUM('Plant Measurments'!O431:O440)</f>
        <v>0</v>
      </c>
      <c r="S37" s="33"/>
      <c r="T37" s="17">
        <f t="shared" si="5"/>
        <v>0</v>
      </c>
      <c r="U37" s="31">
        <f>SUM('Plant Measurments'!O430)</f>
        <v>0</v>
      </c>
      <c r="V37" s="33"/>
      <c r="W37" s="17">
        <f t="shared" si="6"/>
        <v>0</v>
      </c>
      <c r="X37" s="30">
        <f t="shared" si="7"/>
        <v>0</v>
      </c>
      <c r="Y37" s="34"/>
      <c r="Z37" s="22">
        <f t="shared" si="8"/>
        <v>0</v>
      </c>
      <c r="AA37" s="22">
        <f t="shared" si="9"/>
        <v>0</v>
      </c>
      <c r="AB37" t="str">
        <f t="shared" si="10"/>
        <v xml:space="preserve"> </v>
      </c>
      <c r="AC37" t="str">
        <f t="shared" si="11"/>
        <v xml:space="preserve"> </v>
      </c>
      <c r="AD37" t="str">
        <f t="shared" si="12"/>
        <v xml:space="preserve"> </v>
      </c>
      <c r="AE37" t="str">
        <f t="shared" si="13"/>
        <v xml:space="preserve"> </v>
      </c>
      <c r="AF37">
        <f t="shared" si="14"/>
        <v>21033.62801</v>
      </c>
      <c r="AG37">
        <f t="shared" si="15"/>
        <v>4206.7256020000004</v>
      </c>
      <c r="AH37">
        <f t="shared" si="16"/>
        <v>0</v>
      </c>
    </row>
    <row r="38" spans="1:34">
      <c r="A38" s="16" t="s">
        <v>27</v>
      </c>
      <c r="B38" s="17">
        <f>'Plant Measurments'!C441</f>
        <v>39</v>
      </c>
      <c r="C38" s="18"/>
      <c r="D38" s="19"/>
      <c r="E38" s="17">
        <f t="shared" si="0"/>
        <v>0</v>
      </c>
      <c r="F38" s="18"/>
      <c r="G38" s="20"/>
      <c r="H38" s="24">
        <f t="shared" si="17"/>
        <v>0</v>
      </c>
      <c r="I38" s="18"/>
      <c r="J38" s="20"/>
      <c r="K38" s="17">
        <f t="shared" si="2"/>
        <v>0</v>
      </c>
      <c r="L38" s="18"/>
      <c r="M38" s="20"/>
      <c r="N38" s="17">
        <f t="shared" si="3"/>
        <v>0</v>
      </c>
      <c r="O38" s="18"/>
      <c r="P38" s="20"/>
      <c r="Q38" s="17">
        <f t="shared" si="4"/>
        <v>0</v>
      </c>
      <c r="R38" s="18">
        <f>SUM('Plant Measurments'!O441:O455)</f>
        <v>0</v>
      </c>
      <c r="S38" s="20"/>
      <c r="T38" s="17">
        <f t="shared" si="5"/>
        <v>0</v>
      </c>
      <c r="U38" s="18"/>
      <c r="V38" s="20"/>
      <c r="W38" s="17">
        <f t="shared" si="6"/>
        <v>0</v>
      </c>
      <c r="X38" s="17">
        <f t="shared" si="7"/>
        <v>0</v>
      </c>
      <c r="Y38" s="21">
        <f>AVERAGE(X38:X42)</f>
        <v>0</v>
      </c>
      <c r="Z38" s="22">
        <f t="shared" si="8"/>
        <v>0</v>
      </c>
      <c r="AA38" s="22">
        <f t="shared" si="9"/>
        <v>0</v>
      </c>
      <c r="AB38" t="str">
        <f t="shared" si="10"/>
        <v xml:space="preserve"> </v>
      </c>
      <c r="AC38" t="str">
        <f t="shared" si="11"/>
        <v xml:space="preserve"> </v>
      </c>
      <c r="AD38" t="str">
        <f t="shared" si="12"/>
        <v xml:space="preserve"> </v>
      </c>
      <c r="AE38" t="str">
        <f t="shared" si="13"/>
        <v xml:space="preserve"> </v>
      </c>
      <c r="AF38">
        <f t="shared" si="14"/>
        <v>21033.62801</v>
      </c>
      <c r="AG38">
        <f t="shared" si="15"/>
        <v>4206.7256020000004</v>
      </c>
      <c r="AH38">
        <f t="shared" si="16"/>
        <v>0</v>
      </c>
    </row>
    <row r="39" spans="1:34">
      <c r="A39" s="23" t="s">
        <v>27</v>
      </c>
      <c r="B39" s="24">
        <f>'Plant Measurments'!C456</f>
        <v>39</v>
      </c>
      <c r="C39" s="25">
        <f>SUM('Plant Measurments'!O456:O465)</f>
        <v>0</v>
      </c>
      <c r="D39" s="26"/>
      <c r="E39" s="17">
        <f t="shared" si="0"/>
        <v>0</v>
      </c>
      <c r="F39" s="25"/>
      <c r="G39" s="27"/>
      <c r="H39" s="24">
        <f t="shared" si="17"/>
        <v>0</v>
      </c>
      <c r="I39" s="25"/>
      <c r="J39" s="27"/>
      <c r="K39" s="17">
        <f t="shared" si="2"/>
        <v>0</v>
      </c>
      <c r="L39" s="25"/>
      <c r="M39" s="27"/>
      <c r="N39" s="17">
        <f t="shared" si="3"/>
        <v>0</v>
      </c>
      <c r="O39" s="25"/>
      <c r="P39" s="27"/>
      <c r="Q39" s="17">
        <f t="shared" si="4"/>
        <v>0</v>
      </c>
      <c r="R39" s="25">
        <f>SUM('Plant Measurments'!O466:O468)</f>
        <v>0</v>
      </c>
      <c r="S39" s="27"/>
      <c r="T39" s="17">
        <f t="shared" si="5"/>
        <v>0</v>
      </c>
      <c r="U39" s="25"/>
      <c r="V39" s="27"/>
      <c r="W39" s="17">
        <f t="shared" si="6"/>
        <v>0</v>
      </c>
      <c r="X39" s="24">
        <f t="shared" si="7"/>
        <v>0</v>
      </c>
      <c r="Y39" s="28"/>
      <c r="Z39" s="22">
        <f t="shared" si="8"/>
        <v>0</v>
      </c>
      <c r="AA39" s="22">
        <f t="shared" si="9"/>
        <v>0</v>
      </c>
      <c r="AB39" t="str">
        <f t="shared" si="10"/>
        <v xml:space="preserve"> </v>
      </c>
      <c r="AC39" t="str">
        <f t="shared" si="11"/>
        <v xml:space="preserve"> </v>
      </c>
      <c r="AD39" t="str">
        <f t="shared" si="12"/>
        <v xml:space="preserve"> </v>
      </c>
      <c r="AE39" t="str">
        <f t="shared" si="13"/>
        <v xml:space="preserve"> </v>
      </c>
      <c r="AF39">
        <f t="shared" si="14"/>
        <v>21033.62801</v>
      </c>
      <c r="AG39">
        <f t="shared" si="15"/>
        <v>4206.7256020000004</v>
      </c>
      <c r="AH39">
        <f t="shared" si="16"/>
        <v>0</v>
      </c>
    </row>
    <row r="40" spans="1:34">
      <c r="A40" s="23" t="s">
        <v>27</v>
      </c>
      <c r="B40" s="24">
        <f>'Plant Measurments'!C469</f>
        <v>40</v>
      </c>
      <c r="C40" s="25"/>
      <c r="D40" s="26"/>
      <c r="E40" s="17">
        <f t="shared" si="0"/>
        <v>0</v>
      </c>
      <c r="F40" s="25"/>
      <c r="G40" s="27"/>
      <c r="H40" s="24">
        <f t="shared" si="17"/>
        <v>0</v>
      </c>
      <c r="I40" s="25"/>
      <c r="J40" s="27"/>
      <c r="K40" s="17">
        <f t="shared" si="2"/>
        <v>0</v>
      </c>
      <c r="L40" s="25"/>
      <c r="M40" s="27"/>
      <c r="N40" s="17">
        <f t="shared" si="3"/>
        <v>0</v>
      </c>
      <c r="O40" s="25"/>
      <c r="P40" s="27"/>
      <c r="Q40" s="17">
        <f t="shared" si="4"/>
        <v>0</v>
      </c>
      <c r="R40" s="25">
        <f>SUM('Plant Measurments'!O469:O485)</f>
        <v>0</v>
      </c>
      <c r="S40" s="27"/>
      <c r="T40" s="17">
        <f t="shared" si="5"/>
        <v>0</v>
      </c>
      <c r="U40" s="25"/>
      <c r="V40" s="27"/>
      <c r="W40" s="17">
        <f t="shared" si="6"/>
        <v>0</v>
      </c>
      <c r="X40" s="24">
        <f t="shared" si="7"/>
        <v>0</v>
      </c>
      <c r="Y40" s="28"/>
      <c r="Z40" s="22">
        <f t="shared" si="8"/>
        <v>0</v>
      </c>
      <c r="AA40" s="22">
        <f t="shared" si="9"/>
        <v>0</v>
      </c>
      <c r="AB40" t="str">
        <f t="shared" si="10"/>
        <v xml:space="preserve"> </v>
      </c>
      <c r="AC40" t="str">
        <f t="shared" si="11"/>
        <v xml:space="preserve"> </v>
      </c>
      <c r="AD40" t="str">
        <f t="shared" si="12"/>
        <v xml:space="preserve"> </v>
      </c>
      <c r="AE40" t="str">
        <f t="shared" si="13"/>
        <v xml:space="preserve"> </v>
      </c>
      <c r="AF40">
        <f t="shared" si="14"/>
        <v>21033.62801</v>
      </c>
      <c r="AG40">
        <f t="shared" si="15"/>
        <v>4206.7256020000004</v>
      </c>
      <c r="AH40">
        <f t="shared" si="16"/>
        <v>0</v>
      </c>
    </row>
    <row r="41" spans="1:34">
      <c r="A41" s="23" t="s">
        <v>27</v>
      </c>
      <c r="B41" s="24">
        <f>'Plant Measurments'!C486</f>
        <v>14</v>
      </c>
      <c r="C41" s="25"/>
      <c r="D41" s="26"/>
      <c r="E41" s="17">
        <f t="shared" si="0"/>
        <v>0</v>
      </c>
      <c r="F41" s="25"/>
      <c r="G41" s="27"/>
      <c r="H41" s="24">
        <f t="shared" si="17"/>
        <v>0</v>
      </c>
      <c r="I41" s="25"/>
      <c r="J41" s="27"/>
      <c r="K41" s="17">
        <f t="shared" si="2"/>
        <v>0</v>
      </c>
      <c r="L41" s="25"/>
      <c r="M41" s="27"/>
      <c r="N41" s="17">
        <f t="shared" si="3"/>
        <v>0</v>
      </c>
      <c r="O41" s="25"/>
      <c r="P41" s="27"/>
      <c r="Q41" s="17">
        <f t="shared" si="4"/>
        <v>0</v>
      </c>
      <c r="R41" s="25">
        <f>SUM('Plant Measurments'!O486:O492)</f>
        <v>0</v>
      </c>
      <c r="S41" s="27"/>
      <c r="T41" s="17">
        <f t="shared" si="5"/>
        <v>0</v>
      </c>
      <c r="U41" s="25"/>
      <c r="V41" s="27"/>
      <c r="W41" s="17">
        <f t="shared" si="6"/>
        <v>0</v>
      </c>
      <c r="X41" s="24">
        <f t="shared" si="7"/>
        <v>0</v>
      </c>
      <c r="Y41" s="28"/>
      <c r="Z41" s="22">
        <f t="shared" si="8"/>
        <v>0</v>
      </c>
      <c r="AA41" s="22">
        <f t="shared" si="9"/>
        <v>0</v>
      </c>
      <c r="AB41" t="str">
        <f t="shared" si="10"/>
        <v xml:space="preserve"> </v>
      </c>
      <c r="AC41" t="str">
        <f t="shared" si="11"/>
        <v xml:space="preserve"> </v>
      </c>
      <c r="AD41" t="str">
        <f t="shared" si="12"/>
        <v xml:space="preserve"> </v>
      </c>
      <c r="AE41" t="str">
        <f t="shared" si="13"/>
        <v xml:space="preserve"> </v>
      </c>
      <c r="AF41">
        <f t="shared" si="14"/>
        <v>21033.62801</v>
      </c>
      <c r="AG41">
        <f t="shared" si="15"/>
        <v>4206.7256020000004</v>
      </c>
      <c r="AH41">
        <f t="shared" si="16"/>
        <v>0</v>
      </c>
    </row>
    <row r="42" spans="1:34">
      <c r="A42" s="29" t="s">
        <v>27</v>
      </c>
      <c r="B42" s="30">
        <f>'Plant Measurments'!C493</f>
        <v>7</v>
      </c>
      <c r="C42" s="31">
        <f>SUM('Plant Measurments'!O493:O503)</f>
        <v>0</v>
      </c>
      <c r="D42" s="32"/>
      <c r="E42" s="17">
        <f>C42*4</f>
        <v>0</v>
      </c>
      <c r="F42" s="31"/>
      <c r="G42" s="33"/>
      <c r="H42" s="24">
        <f t="shared" si="17"/>
        <v>0</v>
      </c>
      <c r="I42" s="31"/>
      <c r="J42" s="33"/>
      <c r="K42" s="17">
        <f t="shared" si="2"/>
        <v>0</v>
      </c>
      <c r="L42" s="31"/>
      <c r="M42" s="33"/>
      <c r="N42" s="17">
        <f t="shared" si="3"/>
        <v>0</v>
      </c>
      <c r="O42" s="31"/>
      <c r="P42" s="33"/>
      <c r="Q42" s="17">
        <f t="shared" si="4"/>
        <v>0</v>
      </c>
      <c r="R42" s="31">
        <f>SUM('Plant Measurments'!O504:O507)</f>
        <v>0</v>
      </c>
      <c r="S42" s="33"/>
      <c r="T42" s="17">
        <f t="shared" si="5"/>
        <v>0</v>
      </c>
      <c r="U42" s="31"/>
      <c r="V42" s="33"/>
      <c r="W42" s="17">
        <f t="shared" si="6"/>
        <v>0</v>
      </c>
      <c r="X42" s="30">
        <f t="shared" si="7"/>
        <v>0</v>
      </c>
      <c r="Y42" s="34"/>
      <c r="Z42" s="22">
        <f t="shared" si="8"/>
        <v>0</v>
      </c>
      <c r="AA42" s="22">
        <f t="shared" si="9"/>
        <v>0</v>
      </c>
      <c r="AB42" t="str">
        <f t="shared" si="10"/>
        <v xml:space="preserve"> </v>
      </c>
      <c r="AC42" t="str">
        <f t="shared" si="11"/>
        <v xml:space="preserve"> </v>
      </c>
      <c r="AD42" t="str">
        <f t="shared" si="12"/>
        <v xml:space="preserve"> </v>
      </c>
      <c r="AE42" t="str">
        <f t="shared" si="13"/>
        <v xml:space="preserve"> </v>
      </c>
      <c r="AF42">
        <f t="shared" si="14"/>
        <v>21033.62801</v>
      </c>
      <c r="AG42">
        <f t="shared" si="15"/>
        <v>4206.7256020000004</v>
      </c>
      <c r="AH42">
        <f t="shared" si="16"/>
        <v>0</v>
      </c>
    </row>
    <row r="43" spans="1:34">
      <c r="A43" s="16" t="s">
        <v>26</v>
      </c>
      <c r="B43" s="17">
        <f>'Plant Measurments'!C508</f>
        <v>54</v>
      </c>
      <c r="C43" s="18"/>
      <c r="D43" s="38"/>
      <c r="E43" s="17">
        <f t="shared" si="0"/>
        <v>0</v>
      </c>
      <c r="F43" s="18"/>
      <c r="G43" s="20"/>
      <c r="H43" s="17"/>
      <c r="I43" s="18"/>
      <c r="J43" s="20"/>
      <c r="K43" s="17">
        <f t="shared" si="2"/>
        <v>0</v>
      </c>
      <c r="L43" s="18"/>
      <c r="M43" s="20"/>
      <c r="N43" s="17">
        <f t="shared" si="3"/>
        <v>0</v>
      </c>
      <c r="O43" s="18"/>
      <c r="P43" s="20"/>
      <c r="Q43" s="17">
        <f t="shared" si="4"/>
        <v>0</v>
      </c>
      <c r="R43" s="18">
        <f>SUM('Plant Measurments'!O509)</f>
        <v>0</v>
      </c>
      <c r="S43" s="20"/>
      <c r="T43" s="17">
        <f t="shared" si="5"/>
        <v>0</v>
      </c>
      <c r="U43" s="18">
        <f>SUM('Plant Measurments'!O508)</f>
        <v>0</v>
      </c>
      <c r="V43" s="19"/>
      <c r="W43" s="17">
        <f t="shared" si="6"/>
        <v>0</v>
      </c>
      <c r="X43" s="17">
        <f t="shared" si="7"/>
        <v>0</v>
      </c>
      <c r="Y43" s="21">
        <f>AVERAGE(X43:X47)</f>
        <v>0</v>
      </c>
      <c r="Z43" s="22">
        <f t="shared" si="8"/>
        <v>0</v>
      </c>
      <c r="AA43" s="22">
        <f t="shared" si="9"/>
        <v>0</v>
      </c>
      <c r="AB43" t="str">
        <f t="shared" si="10"/>
        <v xml:space="preserve"> </v>
      </c>
      <c r="AC43" t="str">
        <f t="shared" si="11"/>
        <v xml:space="preserve"> </v>
      </c>
      <c r="AD43" t="str">
        <f t="shared" si="12"/>
        <v xml:space="preserve"> </v>
      </c>
      <c r="AE43" t="str">
        <f t="shared" si="13"/>
        <v xml:space="preserve"> </v>
      </c>
      <c r="AF43">
        <f t="shared" si="14"/>
        <v>21033.62801</v>
      </c>
      <c r="AG43">
        <f t="shared" si="15"/>
        <v>4206.7256020000004</v>
      </c>
      <c r="AH43">
        <f t="shared" si="16"/>
        <v>0</v>
      </c>
    </row>
    <row r="44" spans="1:34">
      <c r="A44" s="23" t="s">
        <v>26</v>
      </c>
      <c r="B44" s="24">
        <f>'Plant Measurments'!C510</f>
        <v>54</v>
      </c>
      <c r="C44" s="25">
        <f>SUM('Plant Measurments'!O510:O523)</f>
        <v>0</v>
      </c>
      <c r="D44" s="26"/>
      <c r="E44" s="17">
        <f t="shared" si="0"/>
        <v>0</v>
      </c>
      <c r="F44" s="25"/>
      <c r="G44" s="27"/>
      <c r="H44" s="24"/>
      <c r="I44" s="25"/>
      <c r="J44" s="27"/>
      <c r="K44" s="17">
        <f t="shared" si="2"/>
        <v>0</v>
      </c>
      <c r="L44" s="25"/>
      <c r="M44" s="27"/>
      <c r="N44" s="17">
        <f t="shared" si="3"/>
        <v>0</v>
      </c>
      <c r="O44" s="25"/>
      <c r="P44" s="27"/>
      <c r="Q44" s="17">
        <f t="shared" si="4"/>
        <v>0</v>
      </c>
      <c r="R44" s="25"/>
      <c r="S44" s="27"/>
      <c r="T44" s="17">
        <f t="shared" si="5"/>
        <v>0</v>
      </c>
      <c r="U44" s="25"/>
      <c r="V44" s="27"/>
      <c r="W44" s="17">
        <f t="shared" si="6"/>
        <v>0</v>
      </c>
      <c r="X44" s="24">
        <f t="shared" si="7"/>
        <v>0</v>
      </c>
      <c r="Y44" s="28"/>
      <c r="Z44" s="22">
        <f t="shared" si="8"/>
        <v>0</v>
      </c>
      <c r="AA44" s="22">
        <f t="shared" si="9"/>
        <v>0</v>
      </c>
      <c r="AB44" t="str">
        <f t="shared" si="10"/>
        <v xml:space="preserve"> </v>
      </c>
      <c r="AC44" t="str">
        <f t="shared" si="11"/>
        <v xml:space="preserve"> </v>
      </c>
      <c r="AD44" t="str">
        <f t="shared" si="12"/>
        <v xml:space="preserve"> </v>
      </c>
      <c r="AE44" t="str">
        <f t="shared" si="13"/>
        <v xml:space="preserve"> </v>
      </c>
      <c r="AF44">
        <f t="shared" si="14"/>
        <v>21033.62801</v>
      </c>
      <c r="AG44">
        <f t="shared" si="15"/>
        <v>4206.7256020000004</v>
      </c>
      <c r="AH44">
        <f t="shared" si="16"/>
        <v>0</v>
      </c>
    </row>
    <row r="45" spans="1:34">
      <c r="A45" s="23" t="s">
        <v>26</v>
      </c>
      <c r="B45" s="24">
        <f>'Plant Measurments'!C524</f>
        <v>54</v>
      </c>
      <c r="C45" s="25"/>
      <c r="D45" s="26"/>
      <c r="E45" s="17">
        <f t="shared" si="0"/>
        <v>0</v>
      </c>
      <c r="F45" s="25"/>
      <c r="G45" s="27"/>
      <c r="H45" s="24"/>
      <c r="I45" s="25"/>
      <c r="J45" s="27"/>
      <c r="K45" s="17">
        <f t="shared" si="2"/>
        <v>0</v>
      </c>
      <c r="L45" s="25"/>
      <c r="M45" s="27"/>
      <c r="N45" s="17">
        <f t="shared" si="3"/>
        <v>0</v>
      </c>
      <c r="O45" s="25"/>
      <c r="P45" s="27"/>
      <c r="Q45" s="17">
        <f t="shared" si="4"/>
        <v>0</v>
      </c>
      <c r="R45" s="25">
        <f>SUM('Plant Measurments'!O528:O535)</f>
        <v>0</v>
      </c>
      <c r="S45" s="27"/>
      <c r="T45" s="17">
        <f t="shared" si="5"/>
        <v>0</v>
      </c>
      <c r="U45" s="25">
        <f>SUM('Plant Measurments'!O524:O527)</f>
        <v>0</v>
      </c>
      <c r="V45" s="27"/>
      <c r="W45" s="17">
        <f t="shared" si="6"/>
        <v>0</v>
      </c>
      <c r="X45" s="24">
        <f t="shared" si="7"/>
        <v>0</v>
      </c>
      <c r="Y45" s="28"/>
      <c r="Z45" s="22">
        <f t="shared" si="8"/>
        <v>0</v>
      </c>
      <c r="AA45" s="22">
        <f t="shared" si="9"/>
        <v>0</v>
      </c>
      <c r="AB45" t="str">
        <f t="shared" si="10"/>
        <v xml:space="preserve"> </v>
      </c>
      <c r="AC45" t="str">
        <f t="shared" si="11"/>
        <v xml:space="preserve"> </v>
      </c>
      <c r="AD45" t="str">
        <f t="shared" si="12"/>
        <v xml:space="preserve"> </v>
      </c>
      <c r="AE45" t="str">
        <f t="shared" si="13"/>
        <v xml:space="preserve"> </v>
      </c>
      <c r="AF45">
        <f t="shared" si="14"/>
        <v>21033.62801</v>
      </c>
      <c r="AG45">
        <f t="shared" si="15"/>
        <v>4206.7256020000004</v>
      </c>
      <c r="AH45">
        <f t="shared" si="16"/>
        <v>0</v>
      </c>
    </row>
    <row r="46" spans="1:34">
      <c r="A46" s="23" t="s">
        <v>26</v>
      </c>
      <c r="B46" s="24">
        <f>'Plant Measurments'!C536</f>
        <v>32</v>
      </c>
      <c r="C46" s="25">
        <f>SUM('Plant Measurments'!O536)</f>
        <v>0</v>
      </c>
      <c r="D46" s="26"/>
      <c r="E46" s="17">
        <f t="shared" si="0"/>
        <v>0</v>
      </c>
      <c r="F46" s="25"/>
      <c r="G46" s="27"/>
      <c r="H46" s="24">
        <f>F46*4</f>
        <v>0</v>
      </c>
      <c r="I46" s="25"/>
      <c r="J46" s="27"/>
      <c r="K46" s="17">
        <f t="shared" si="2"/>
        <v>0</v>
      </c>
      <c r="L46" s="25"/>
      <c r="M46" s="27"/>
      <c r="N46" s="17">
        <f t="shared" si="3"/>
        <v>0</v>
      </c>
      <c r="O46" s="25"/>
      <c r="P46" s="27"/>
      <c r="Q46" s="17">
        <f t="shared" si="4"/>
        <v>0</v>
      </c>
      <c r="R46" s="25">
        <f>SUM('Plant Measurments'!O544:O546)</f>
        <v>0</v>
      </c>
      <c r="S46" s="27"/>
      <c r="T46" s="17">
        <f t="shared" si="5"/>
        <v>0</v>
      </c>
      <c r="U46" s="25">
        <f>SUM('Plant Measurments'!O537:O543)</f>
        <v>0</v>
      </c>
      <c r="V46" s="27"/>
      <c r="W46" s="17">
        <f t="shared" si="6"/>
        <v>0</v>
      </c>
      <c r="X46" s="24">
        <f t="shared" si="7"/>
        <v>0</v>
      </c>
      <c r="Y46" s="28"/>
      <c r="Z46" s="22">
        <f t="shared" si="8"/>
        <v>0</v>
      </c>
      <c r="AA46" s="22">
        <f t="shared" si="9"/>
        <v>0</v>
      </c>
      <c r="AB46" t="str">
        <f t="shared" si="10"/>
        <v xml:space="preserve"> </v>
      </c>
      <c r="AC46" t="str">
        <f t="shared" si="11"/>
        <v xml:space="preserve"> </v>
      </c>
      <c r="AD46" t="str">
        <f t="shared" si="12"/>
        <v xml:space="preserve"> </v>
      </c>
      <c r="AE46" t="str">
        <f t="shared" si="13"/>
        <v xml:space="preserve"> </v>
      </c>
      <c r="AF46">
        <f t="shared" si="14"/>
        <v>21033.62801</v>
      </c>
      <c r="AG46">
        <f t="shared" si="15"/>
        <v>4206.7256020000004</v>
      </c>
      <c r="AH46">
        <f t="shared" si="16"/>
        <v>0</v>
      </c>
    </row>
    <row r="47" spans="1:34">
      <c r="A47" s="29" t="s">
        <v>26</v>
      </c>
      <c r="B47" s="30">
        <f>'Plant Measurments'!C547</f>
        <v>27</v>
      </c>
      <c r="C47" s="31"/>
      <c r="D47" s="32"/>
      <c r="E47" s="17">
        <f t="shared" si="0"/>
        <v>0</v>
      </c>
      <c r="F47" s="31"/>
      <c r="G47" s="33"/>
      <c r="H47" s="30"/>
      <c r="I47" s="31">
        <f>SUM('Plant Measurments'!O547:O559)</f>
        <v>0</v>
      </c>
      <c r="J47" s="33"/>
      <c r="K47" s="17">
        <f t="shared" si="2"/>
        <v>0</v>
      </c>
      <c r="L47" s="31"/>
      <c r="M47" s="33"/>
      <c r="N47" s="17">
        <f t="shared" si="3"/>
        <v>0</v>
      </c>
      <c r="O47" s="31"/>
      <c r="P47" s="33"/>
      <c r="Q47" s="17">
        <f t="shared" si="4"/>
        <v>0</v>
      </c>
      <c r="R47" s="31">
        <f>SUM('Plant Measurments'!O562:O568)</f>
        <v>0</v>
      </c>
      <c r="S47" s="33"/>
      <c r="T47" s="17">
        <f t="shared" si="5"/>
        <v>0</v>
      </c>
      <c r="U47" s="31">
        <f>SUM('Plant Measurments'!O560:O561)</f>
        <v>0</v>
      </c>
      <c r="V47" s="33"/>
      <c r="W47" s="17">
        <f t="shared" si="6"/>
        <v>0</v>
      </c>
      <c r="X47" s="30">
        <f t="shared" si="7"/>
        <v>0</v>
      </c>
      <c r="Y47" s="34"/>
      <c r="Z47" s="22">
        <f t="shared" si="8"/>
        <v>0</v>
      </c>
      <c r="AA47" s="22">
        <f t="shared" si="9"/>
        <v>0</v>
      </c>
      <c r="AB47" t="str">
        <f t="shared" si="10"/>
        <v xml:space="preserve"> </v>
      </c>
      <c r="AC47" t="str">
        <f t="shared" si="11"/>
        <v xml:space="preserve"> </v>
      </c>
      <c r="AD47" t="str">
        <f t="shared" si="12"/>
        <v xml:space="preserve"> </v>
      </c>
      <c r="AE47" t="str">
        <f t="shared" si="13"/>
        <v xml:space="preserve"> </v>
      </c>
      <c r="AF47">
        <f t="shared" si="14"/>
        <v>21033.62801</v>
      </c>
      <c r="AG47">
        <f t="shared" si="15"/>
        <v>4206.7256020000004</v>
      </c>
      <c r="AH47">
        <f t="shared" si="16"/>
        <v>0</v>
      </c>
    </row>
    <row r="48" spans="1:34">
      <c r="A48" s="16" t="s">
        <v>21</v>
      </c>
      <c r="B48" s="17">
        <f>'Plant Measurments'!C569</f>
        <v>0</v>
      </c>
      <c r="C48" s="18"/>
      <c r="D48" s="19"/>
      <c r="E48" s="17">
        <f t="shared" si="0"/>
        <v>0</v>
      </c>
      <c r="F48" s="18"/>
      <c r="G48" s="20"/>
      <c r="H48" s="17"/>
      <c r="I48" s="18">
        <f>SUM('Plant Measurments'!O569:O574)</f>
        <v>0</v>
      </c>
      <c r="J48" s="20"/>
      <c r="K48" s="17">
        <f t="shared" si="2"/>
        <v>0</v>
      </c>
      <c r="L48" s="18"/>
      <c r="M48" s="20"/>
      <c r="N48" s="17">
        <f t="shared" si="3"/>
        <v>0</v>
      </c>
      <c r="O48" s="18"/>
      <c r="P48" s="20"/>
      <c r="Q48" s="17">
        <f t="shared" si="4"/>
        <v>0</v>
      </c>
      <c r="R48" s="18">
        <f>SUM('Plant Measurments'!O577:O583)</f>
        <v>0</v>
      </c>
      <c r="S48" s="20"/>
      <c r="T48" s="17">
        <f t="shared" si="5"/>
        <v>0</v>
      </c>
      <c r="U48" s="18">
        <f>SUM('Plant Measurments'!O575:O576)</f>
        <v>0</v>
      </c>
      <c r="V48" s="20"/>
      <c r="W48" s="17">
        <f t="shared" si="6"/>
        <v>0</v>
      </c>
      <c r="X48" s="17">
        <f t="shared" si="7"/>
        <v>0</v>
      </c>
      <c r="Y48" s="21">
        <f>AVERAGE(X48:X52)</f>
        <v>0</v>
      </c>
      <c r="Z48" s="22">
        <f>E48+Q48</f>
        <v>0</v>
      </c>
      <c r="AA48" s="22">
        <f t="shared" si="9"/>
        <v>0</v>
      </c>
      <c r="AB48" t="str">
        <f t="shared" si="10"/>
        <v xml:space="preserve"> </v>
      </c>
      <c r="AC48" t="str">
        <f t="shared" si="11"/>
        <v xml:space="preserve"> </v>
      </c>
      <c r="AD48" t="str">
        <f t="shared" si="12"/>
        <v xml:space="preserve"> </v>
      </c>
      <c r="AE48" t="str">
        <f t="shared" si="13"/>
        <v xml:space="preserve"> </v>
      </c>
      <c r="AF48">
        <f t="shared" si="14"/>
        <v>21033.62801</v>
      </c>
      <c r="AG48">
        <f t="shared" si="15"/>
        <v>4206.7256020000004</v>
      </c>
      <c r="AH48">
        <f t="shared" si="16"/>
        <v>0</v>
      </c>
    </row>
    <row r="49" spans="1:34">
      <c r="A49" s="23" t="s">
        <v>21</v>
      </c>
      <c r="B49" s="24">
        <f>'Plant Measurments'!C584</f>
        <v>0</v>
      </c>
      <c r="C49" s="25"/>
      <c r="D49" s="26"/>
      <c r="E49" s="17">
        <f t="shared" si="0"/>
        <v>0</v>
      </c>
      <c r="F49" s="25"/>
      <c r="G49" s="27"/>
      <c r="H49" s="24"/>
      <c r="I49" s="25"/>
      <c r="J49" s="27"/>
      <c r="K49" s="17">
        <f t="shared" si="2"/>
        <v>0</v>
      </c>
      <c r="L49" s="25"/>
      <c r="M49" s="27"/>
      <c r="N49" s="17">
        <f t="shared" si="3"/>
        <v>0</v>
      </c>
      <c r="O49" s="25"/>
      <c r="P49" s="27"/>
      <c r="Q49" s="17">
        <f t="shared" si="4"/>
        <v>0</v>
      </c>
      <c r="R49" s="25"/>
      <c r="S49" s="27"/>
      <c r="T49" s="17">
        <f t="shared" si="5"/>
        <v>0</v>
      </c>
      <c r="U49" s="25">
        <f>SUM('Plant Measurments'!O589:O596)</f>
        <v>0</v>
      </c>
      <c r="V49" s="27"/>
      <c r="W49" s="17">
        <f t="shared" si="6"/>
        <v>0</v>
      </c>
      <c r="X49" s="24">
        <f t="shared" si="7"/>
        <v>0</v>
      </c>
      <c r="Y49" s="28"/>
      <c r="Z49" s="22">
        <f t="shared" si="8"/>
        <v>0</v>
      </c>
      <c r="AA49" s="22">
        <f t="shared" si="9"/>
        <v>0</v>
      </c>
      <c r="AB49" t="str">
        <f t="shared" si="10"/>
        <v xml:space="preserve"> </v>
      </c>
      <c r="AC49" t="str">
        <f t="shared" si="11"/>
        <v xml:space="preserve"> </v>
      </c>
      <c r="AD49" t="str">
        <f t="shared" si="12"/>
        <v xml:space="preserve"> </v>
      </c>
      <c r="AE49" t="str">
        <f t="shared" si="13"/>
        <v xml:space="preserve"> </v>
      </c>
      <c r="AF49">
        <f t="shared" si="14"/>
        <v>21033.62801</v>
      </c>
      <c r="AG49">
        <f t="shared" si="15"/>
        <v>4206.7256020000004</v>
      </c>
      <c r="AH49">
        <f t="shared" si="16"/>
        <v>0</v>
      </c>
    </row>
    <row r="50" spans="1:34">
      <c r="A50" s="23" t="s">
        <v>21</v>
      </c>
      <c r="B50" s="24">
        <f>'Plant Measurments'!C597</f>
        <v>0</v>
      </c>
      <c r="C50" s="25"/>
      <c r="D50" s="26"/>
      <c r="E50" s="17">
        <f t="shared" si="0"/>
        <v>0</v>
      </c>
      <c r="F50" s="25"/>
      <c r="G50" s="27"/>
      <c r="H50" s="24">
        <f>F50*4</f>
        <v>0</v>
      </c>
      <c r="I50" s="25"/>
      <c r="J50" s="27"/>
      <c r="K50" s="17">
        <f t="shared" si="2"/>
        <v>0</v>
      </c>
      <c r="L50" s="25"/>
      <c r="M50" s="27"/>
      <c r="N50" s="17">
        <f t="shared" si="3"/>
        <v>0</v>
      </c>
      <c r="O50" s="25"/>
      <c r="P50" s="27"/>
      <c r="Q50" s="17">
        <f t="shared" si="4"/>
        <v>0</v>
      </c>
      <c r="R50" s="25"/>
      <c r="S50" s="27"/>
      <c r="T50" s="17">
        <f t="shared" si="5"/>
        <v>0</v>
      </c>
      <c r="U50" s="25">
        <f>SUM('Plant Measurments'!O597:O602)</f>
        <v>0</v>
      </c>
      <c r="V50" s="27"/>
      <c r="W50" s="17">
        <f t="shared" si="6"/>
        <v>0</v>
      </c>
      <c r="X50" s="24">
        <f t="shared" si="7"/>
        <v>0</v>
      </c>
      <c r="Y50" s="28"/>
      <c r="Z50" s="22">
        <f t="shared" si="8"/>
        <v>0</v>
      </c>
      <c r="AA50" s="22">
        <f t="shared" si="9"/>
        <v>0</v>
      </c>
      <c r="AB50" t="str">
        <f t="shared" si="10"/>
        <v xml:space="preserve"> </v>
      </c>
      <c r="AC50" t="str">
        <f t="shared" si="11"/>
        <v xml:space="preserve"> </v>
      </c>
      <c r="AD50" t="str">
        <f t="shared" si="12"/>
        <v xml:space="preserve"> </v>
      </c>
      <c r="AE50" t="str">
        <f t="shared" si="13"/>
        <v xml:space="preserve"> </v>
      </c>
      <c r="AF50">
        <f t="shared" si="14"/>
        <v>21033.62801</v>
      </c>
      <c r="AG50">
        <f t="shared" si="15"/>
        <v>4206.7256020000004</v>
      </c>
      <c r="AH50">
        <f t="shared" si="16"/>
        <v>0</v>
      </c>
    </row>
    <row r="51" spans="1:34">
      <c r="A51" s="23" t="s">
        <v>21</v>
      </c>
      <c r="B51" s="24">
        <f>'Plant Measurments'!C606</f>
        <v>0</v>
      </c>
      <c r="C51" s="25"/>
      <c r="D51" s="26"/>
      <c r="E51" s="17">
        <f t="shared" si="0"/>
        <v>0</v>
      </c>
      <c r="F51" s="25"/>
      <c r="G51" s="27"/>
      <c r="H51" s="24">
        <f>F51*4</f>
        <v>0</v>
      </c>
      <c r="I51" s="25"/>
      <c r="J51" s="27"/>
      <c r="K51" s="17">
        <f t="shared" si="2"/>
        <v>0</v>
      </c>
      <c r="L51" s="25"/>
      <c r="M51" s="27"/>
      <c r="N51" s="17">
        <f t="shared" si="3"/>
        <v>0</v>
      </c>
      <c r="O51" s="25"/>
      <c r="P51" s="27"/>
      <c r="Q51" s="17">
        <f t="shared" si="4"/>
        <v>0</v>
      </c>
      <c r="R51" s="25">
        <f>SUM('Plant Measurments'!O615:O617)</f>
        <v>0</v>
      </c>
      <c r="S51" s="27"/>
      <c r="T51" s="17">
        <f t="shared" si="5"/>
        <v>0</v>
      </c>
      <c r="U51" s="25"/>
      <c r="V51" s="27"/>
      <c r="W51" s="17">
        <f t="shared" si="6"/>
        <v>0</v>
      </c>
      <c r="X51" s="24">
        <f t="shared" si="7"/>
        <v>0</v>
      </c>
      <c r="Y51" s="28"/>
      <c r="Z51" s="22">
        <f t="shared" si="8"/>
        <v>0</v>
      </c>
      <c r="AA51" s="22">
        <f t="shared" si="9"/>
        <v>0</v>
      </c>
      <c r="AB51" t="str">
        <f t="shared" si="10"/>
        <v xml:space="preserve"> </v>
      </c>
      <c r="AC51" t="str">
        <f t="shared" si="11"/>
        <v xml:space="preserve"> </v>
      </c>
      <c r="AD51" t="str">
        <f t="shared" si="12"/>
        <v xml:space="preserve"> </v>
      </c>
      <c r="AE51" t="str">
        <f t="shared" si="13"/>
        <v xml:space="preserve"> </v>
      </c>
      <c r="AF51">
        <f t="shared" si="14"/>
        <v>21033.62801</v>
      </c>
      <c r="AG51">
        <f t="shared" si="15"/>
        <v>4206.7256020000004</v>
      </c>
      <c r="AH51">
        <f t="shared" si="16"/>
        <v>0</v>
      </c>
    </row>
    <row r="52" spans="1:34">
      <c r="A52" s="29" t="s">
        <v>21</v>
      </c>
      <c r="B52" s="30">
        <f>'Plant Measurments'!C617</f>
        <v>0</v>
      </c>
      <c r="C52" s="31"/>
      <c r="D52" s="32"/>
      <c r="E52" s="17">
        <f t="shared" si="0"/>
        <v>0</v>
      </c>
      <c r="F52" s="31"/>
      <c r="G52" s="33"/>
      <c r="H52" s="30"/>
      <c r="I52" s="31"/>
      <c r="J52" s="33"/>
      <c r="K52" s="17">
        <f t="shared" si="2"/>
        <v>0</v>
      </c>
      <c r="L52" s="31"/>
      <c r="M52" s="33"/>
      <c r="N52" s="17">
        <f t="shared" si="3"/>
        <v>0</v>
      </c>
      <c r="O52" s="31"/>
      <c r="P52" s="33"/>
      <c r="Q52" s="17">
        <f t="shared" si="4"/>
        <v>0</v>
      </c>
      <c r="R52" s="31">
        <f>SUM('Plant Measurments'!O620:O624)</f>
        <v>0</v>
      </c>
      <c r="S52" s="33"/>
      <c r="T52" s="17">
        <f t="shared" si="5"/>
        <v>0</v>
      </c>
      <c r="U52" s="31">
        <f>SUM('Plant Measurments'!O617:O619)</f>
        <v>0</v>
      </c>
      <c r="V52" s="33"/>
      <c r="W52" s="17">
        <f t="shared" si="6"/>
        <v>0</v>
      </c>
      <c r="X52" s="30">
        <f t="shared" si="7"/>
        <v>0</v>
      </c>
      <c r="Y52" s="34"/>
      <c r="Z52" s="22">
        <f t="shared" si="8"/>
        <v>0</v>
      </c>
      <c r="AA52" s="22">
        <f t="shared" si="9"/>
        <v>0</v>
      </c>
      <c r="AB52" t="str">
        <f t="shared" si="10"/>
        <v xml:space="preserve"> </v>
      </c>
      <c r="AC52" t="str">
        <f t="shared" si="11"/>
        <v xml:space="preserve"> </v>
      </c>
      <c r="AD52" t="str">
        <f t="shared" si="12"/>
        <v xml:space="preserve"> </v>
      </c>
      <c r="AE52" t="str">
        <f t="shared" si="13"/>
        <v xml:space="preserve"> </v>
      </c>
      <c r="AF52">
        <f t="shared" si="14"/>
        <v>21033.62801</v>
      </c>
      <c r="AG52">
        <f t="shared" si="15"/>
        <v>4206.7256020000004</v>
      </c>
      <c r="AH52">
        <f t="shared" si="16"/>
        <v>0</v>
      </c>
    </row>
    <row r="53" spans="1:34">
      <c r="Y53" t="s">
        <v>58</v>
      </c>
      <c r="AB53" t="e">
        <f>AVERAGE(AB3:AB52)</f>
        <v>#DIV/0!</v>
      </c>
      <c r="AC53" t="e">
        <f t="shared" ref="AC53:AE53" si="18">AVERAGE(AC3:AC52)</f>
        <v>#DIV/0!</v>
      </c>
      <c r="AD53" t="e">
        <f t="shared" si="18"/>
        <v>#DIV/0!</v>
      </c>
      <c r="AE53" t="e">
        <f t="shared" si="18"/>
        <v>#DIV/0!</v>
      </c>
      <c r="AG53" t="s">
        <v>59</v>
      </c>
      <c r="AH53">
        <f>SUM(AH3:AH52)</f>
        <v>0</v>
      </c>
    </row>
  </sheetData>
  <mergeCells count="1">
    <mergeCell ref="A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Measurments</vt:lpstr>
      <vt:lpstr>Quadrat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2013-06-17T16:19:05Z</dcterms:created>
  <dcterms:modified xsi:type="dcterms:W3CDTF">2014-12-03T21:01:23Z</dcterms:modified>
</cp:coreProperties>
</file>