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8860" yWindow="0" windowWidth="33760" windowHeight="25460" tabRatio="500" activeTab="1"/>
  </bookViews>
  <sheets>
    <sheet name="Plant Measurments" sheetId="1" r:id="rId1"/>
    <sheet name="Quadrat Totals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2" i="2" l="1"/>
  <c r="U52" i="2"/>
  <c r="R51" i="2"/>
  <c r="U50" i="2"/>
  <c r="U49" i="2"/>
  <c r="R48" i="2"/>
  <c r="U48" i="2"/>
  <c r="I48" i="2"/>
  <c r="R47" i="2"/>
  <c r="U47" i="2"/>
  <c r="I47" i="2"/>
  <c r="R46" i="2"/>
  <c r="U46" i="2"/>
  <c r="C46" i="2"/>
  <c r="R45" i="2"/>
  <c r="U45" i="2"/>
  <c r="C44" i="2"/>
  <c r="R43" i="2"/>
  <c r="U43" i="2"/>
  <c r="R42" i="2"/>
  <c r="C42" i="2"/>
  <c r="R41" i="2"/>
  <c r="R40" i="2"/>
  <c r="R39" i="2"/>
  <c r="C39" i="2"/>
  <c r="R38" i="2"/>
  <c r="R37" i="2"/>
  <c r="U37" i="2"/>
  <c r="C35" i="2"/>
  <c r="C34" i="2"/>
  <c r="R33" i="2"/>
  <c r="U33" i="2"/>
  <c r="I33" i="2"/>
  <c r="C33" i="2"/>
  <c r="R32" i="2"/>
  <c r="R31" i="2"/>
  <c r="U31" i="2"/>
  <c r="C31" i="2"/>
  <c r="I30" i="2"/>
  <c r="R29" i="2"/>
  <c r="I29" i="2"/>
  <c r="R28" i="2"/>
  <c r="I28" i="2"/>
  <c r="R27" i="2"/>
  <c r="U27" i="2"/>
  <c r="R26" i="2"/>
  <c r="C26" i="2"/>
  <c r="R25" i="2"/>
  <c r="C25" i="2"/>
  <c r="R24" i="2"/>
  <c r="U24" i="2"/>
  <c r="I24" i="2"/>
  <c r="I23" i="2"/>
  <c r="R22" i="2"/>
  <c r="U22" i="2"/>
  <c r="R21" i="2"/>
  <c r="U21" i="2"/>
  <c r="I20" i="2"/>
  <c r="R19" i="2"/>
  <c r="I18" i="2"/>
  <c r="R17" i="2"/>
  <c r="R16" i="2"/>
  <c r="U16" i="2"/>
  <c r="C16" i="2"/>
  <c r="R15" i="2"/>
  <c r="U15" i="2"/>
  <c r="I14" i="2"/>
  <c r="R13" i="2"/>
  <c r="R12" i="2"/>
  <c r="R11" i="2"/>
  <c r="R10" i="2"/>
  <c r="R9" i="2"/>
  <c r="R8" i="2"/>
  <c r="C8" i="2"/>
  <c r="R7" i="2"/>
  <c r="U7" i="2"/>
  <c r="R6" i="2"/>
  <c r="U6" i="2"/>
  <c r="R5" i="2"/>
  <c r="U5" i="2"/>
  <c r="R4" i="2"/>
  <c r="C4" i="2"/>
  <c r="R3" i="2"/>
  <c r="U3" i="2"/>
  <c r="C3" i="2"/>
  <c r="B30" i="2"/>
  <c r="B31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O4" i="1"/>
  <c r="N4" i="1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E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  <c r="J536" i="1"/>
  <c r="J535" i="1"/>
  <c r="J534" i="1"/>
  <c r="J533" i="1"/>
  <c r="J528" i="1"/>
  <c r="J527" i="1"/>
  <c r="J532" i="1"/>
  <c r="J526" i="1"/>
  <c r="J525" i="1"/>
  <c r="J531" i="1"/>
  <c r="J530" i="1"/>
  <c r="J529" i="1"/>
  <c r="J510" i="1"/>
  <c r="J509" i="1"/>
  <c r="J382" i="1"/>
  <c r="J381" i="1"/>
  <c r="J380" i="1"/>
  <c r="J379" i="1"/>
  <c r="J378" i="1"/>
  <c r="J369" i="1"/>
  <c r="J377" i="1"/>
  <c r="J376" i="1"/>
  <c r="J368" i="1"/>
  <c r="J367" i="1"/>
  <c r="J365" i="1"/>
  <c r="J366" i="1"/>
  <c r="J375" i="1"/>
  <c r="J374" i="1"/>
  <c r="J373" i="1"/>
  <c r="J372" i="1"/>
  <c r="J371" i="1"/>
  <c r="J370" i="1"/>
  <c r="J364" i="1"/>
  <c r="J388" i="1"/>
  <c r="J387" i="1"/>
  <c r="J386" i="1"/>
  <c r="J385" i="1"/>
  <c r="J384" i="1"/>
  <c r="J383" i="1"/>
  <c r="J283" i="1"/>
  <c r="J282" i="1"/>
  <c r="J281" i="1"/>
  <c r="J280" i="1"/>
  <c r="J279" i="1"/>
  <c r="J287" i="1"/>
  <c r="J286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34" i="1"/>
  <c r="J233" i="1"/>
  <c r="J225" i="1"/>
  <c r="J224" i="1"/>
  <c r="J211" i="1"/>
  <c r="J223" i="1"/>
  <c r="J222" i="1"/>
  <c r="J221" i="1"/>
  <c r="J220" i="1"/>
  <c r="J219" i="1"/>
  <c r="J218" i="1"/>
  <c r="J217" i="1"/>
  <c r="J216" i="1"/>
  <c r="J215" i="1"/>
  <c r="J210" i="1"/>
  <c r="J209" i="1"/>
  <c r="J214" i="1"/>
  <c r="J213" i="1"/>
  <c r="J212" i="1"/>
  <c r="J230" i="1"/>
  <c r="J232" i="1"/>
  <c r="J231" i="1"/>
  <c r="J229" i="1"/>
  <c r="J228" i="1"/>
  <c r="J227" i="1"/>
  <c r="J226" i="1"/>
  <c r="J589" i="1"/>
  <c r="J588" i="1"/>
  <c r="J597" i="1"/>
  <c r="J587" i="1"/>
  <c r="J586" i="1"/>
  <c r="J596" i="1"/>
  <c r="J595" i="1"/>
  <c r="J594" i="1"/>
  <c r="J593" i="1"/>
  <c r="J592" i="1"/>
  <c r="J591" i="1"/>
  <c r="J585" i="1"/>
  <c r="J590" i="1"/>
  <c r="J584" i="1"/>
  <c r="J583" i="1"/>
  <c r="J582" i="1"/>
  <c r="J581" i="1"/>
  <c r="J580" i="1"/>
  <c r="J577" i="1"/>
  <c r="J576" i="1"/>
  <c r="J579" i="1"/>
  <c r="J578" i="1"/>
  <c r="J169" i="1"/>
  <c r="J172" i="1"/>
  <c r="J171" i="1"/>
  <c r="J170" i="1"/>
  <c r="J168" i="1"/>
  <c r="J167" i="1"/>
  <c r="J166" i="1"/>
  <c r="J165" i="1"/>
  <c r="J164" i="1"/>
  <c r="J158" i="1"/>
  <c r="J410" i="1"/>
  <c r="J406" i="1"/>
  <c r="J409" i="1"/>
  <c r="J408" i="1"/>
  <c r="J407" i="1"/>
  <c r="J405" i="1"/>
  <c r="J441" i="1"/>
  <c r="J440" i="1"/>
  <c r="J439" i="1"/>
  <c r="J438" i="1"/>
  <c r="J437" i="1"/>
  <c r="J436" i="1"/>
  <c r="J435" i="1"/>
  <c r="J434" i="1"/>
  <c r="J433" i="1"/>
  <c r="J432" i="1"/>
  <c r="J129" i="1"/>
  <c r="J128" i="1"/>
  <c r="J127" i="1"/>
  <c r="J126" i="1"/>
  <c r="J125" i="1"/>
  <c r="J124" i="1"/>
  <c r="J123" i="1"/>
  <c r="J122" i="1"/>
  <c r="J121" i="1"/>
  <c r="J120" i="1"/>
  <c r="J119" i="1"/>
  <c r="J117" i="1"/>
  <c r="J118" i="1"/>
  <c r="J116" i="1"/>
  <c r="J115" i="1"/>
  <c r="J114" i="1"/>
  <c r="J113" i="1"/>
  <c r="J132" i="1"/>
  <c r="J131" i="1"/>
  <c r="J130" i="1"/>
  <c r="J140" i="1"/>
  <c r="J139" i="1"/>
  <c r="J138" i="1"/>
  <c r="J137" i="1"/>
  <c r="J136" i="1"/>
  <c r="J135" i="1"/>
  <c r="J134" i="1"/>
  <c r="J133" i="1"/>
  <c r="J150" i="1"/>
  <c r="J149" i="1"/>
  <c r="J148" i="1"/>
  <c r="J147" i="1"/>
  <c r="J146" i="1"/>
  <c r="J145" i="1"/>
  <c r="J144" i="1"/>
  <c r="J143" i="1"/>
  <c r="J142" i="1"/>
  <c r="J141" i="1"/>
  <c r="J157" i="1"/>
  <c r="J156" i="1"/>
  <c r="J155" i="1"/>
  <c r="J154" i="1"/>
  <c r="J153" i="1"/>
  <c r="J152" i="1"/>
  <c r="J151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69" i="1"/>
  <c r="J468" i="1"/>
  <c r="J46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93" i="1"/>
  <c r="J492" i="1"/>
  <c r="J491" i="1"/>
  <c r="J490" i="1"/>
  <c r="J489" i="1"/>
  <c r="J488" i="1"/>
  <c r="J487" i="1"/>
  <c r="J508" i="1"/>
  <c r="J507" i="1"/>
  <c r="J506" i="1"/>
  <c r="J505" i="1"/>
  <c r="J544" i="1"/>
  <c r="J543" i="1"/>
  <c r="J547" i="1"/>
  <c r="J541" i="1"/>
  <c r="J546" i="1"/>
  <c r="J540" i="1"/>
  <c r="J545" i="1"/>
  <c r="J569" i="1"/>
  <c r="J568" i="1"/>
  <c r="J567" i="1"/>
  <c r="J566" i="1"/>
  <c r="J565" i="1"/>
  <c r="J564" i="1"/>
  <c r="J563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58" i="1"/>
  <c r="J57" i="1"/>
  <c r="J56" i="1"/>
  <c r="J55" i="1"/>
  <c r="J54" i="1"/>
  <c r="J53" i="1"/>
  <c r="J52" i="1"/>
  <c r="J51" i="1"/>
  <c r="J50" i="1"/>
  <c r="J77" i="1"/>
  <c r="J76" i="1"/>
  <c r="J75" i="1"/>
  <c r="J74" i="1"/>
  <c r="J73" i="1"/>
  <c r="J72" i="1"/>
  <c r="J71" i="1"/>
  <c r="J70" i="1"/>
  <c r="J69" i="1"/>
  <c r="J68" i="1"/>
  <c r="J67" i="1"/>
  <c r="J62" i="1"/>
  <c r="J66" i="1"/>
  <c r="J61" i="1"/>
  <c r="J65" i="1"/>
  <c r="J60" i="1"/>
  <c r="J64" i="1"/>
  <c r="J59" i="1"/>
  <c r="J63" i="1"/>
  <c r="J92" i="1"/>
  <c r="J91" i="1"/>
  <c r="J90" i="1"/>
  <c r="J89" i="1"/>
  <c r="J88" i="1"/>
  <c r="J87" i="1"/>
  <c r="J86" i="1"/>
  <c r="J79" i="1"/>
  <c r="J85" i="1"/>
  <c r="J84" i="1"/>
  <c r="J83" i="1"/>
  <c r="J82" i="1"/>
  <c r="J78" i="1"/>
  <c r="J81" i="1"/>
  <c r="J80" i="1"/>
  <c r="J102" i="1"/>
  <c r="J101" i="1"/>
  <c r="J100" i="1"/>
  <c r="J99" i="1"/>
  <c r="J98" i="1"/>
  <c r="J97" i="1"/>
  <c r="J96" i="1"/>
  <c r="J104" i="1"/>
  <c r="J95" i="1"/>
  <c r="J94" i="1"/>
  <c r="J93" i="1"/>
  <c r="J103" i="1"/>
  <c r="J331" i="1"/>
  <c r="J330" i="1"/>
  <c r="J329" i="1"/>
  <c r="J328" i="1"/>
  <c r="J327" i="1"/>
  <c r="J326" i="1"/>
  <c r="J325" i="1"/>
  <c r="J322" i="1"/>
  <c r="J321" i="1"/>
  <c r="J260" i="1"/>
  <c r="J262" i="1"/>
  <c r="J261" i="1"/>
  <c r="J199" i="1"/>
  <c r="J198" i="1"/>
  <c r="J197" i="1"/>
  <c r="J603" i="1"/>
  <c r="J602" i="1"/>
  <c r="J601" i="1"/>
  <c r="J600" i="1"/>
  <c r="J599" i="1"/>
  <c r="J598" i="1"/>
  <c r="J606" i="1"/>
  <c r="J605" i="1"/>
  <c r="J604" i="1"/>
  <c r="J615" i="1"/>
  <c r="J614" i="1"/>
  <c r="J617" i="1"/>
  <c r="J616" i="1"/>
  <c r="J613" i="1"/>
  <c r="J612" i="1"/>
  <c r="J611" i="1"/>
  <c r="J610" i="1"/>
  <c r="J609" i="1"/>
  <c r="J620" i="1"/>
  <c r="J625" i="1"/>
  <c r="J624" i="1"/>
  <c r="J623" i="1"/>
  <c r="J619" i="1"/>
  <c r="J622" i="1"/>
  <c r="J621" i="1"/>
  <c r="J618" i="1"/>
  <c r="J176" i="1"/>
  <c r="J175" i="1"/>
  <c r="J174" i="1"/>
  <c r="J177" i="1"/>
  <c r="J178" i="1"/>
</calcChain>
</file>

<file path=xl/sharedStrings.xml><?xml version="1.0" encoding="utf-8"?>
<sst xmlns="http://schemas.openxmlformats.org/spreadsheetml/2006/main" count="1350" uniqueCount="64">
  <si>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</si>
  <si>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</si>
  <si>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</si>
  <si>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</si>
  <si>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</si>
  <si>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</si>
  <si>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</si>
  <si>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</si>
  <si>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</si>
  <si>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</si>
  <si>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</si>
  <si>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</si>
  <si>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</si>
  <si>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</si>
  <si>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</si>
  <si>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</si>
  <si>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</si>
  <si>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</si>
  <si>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</si>
  <si>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T. latifolia</t>
  </si>
  <si>
    <t>S. acutus</t>
  </si>
  <si>
    <t>M-1-E</t>
  </si>
  <si>
    <t>M-5</t>
  </si>
  <si>
    <t>T. Domingensis</t>
  </si>
  <si>
    <t>M-1-W</t>
  </si>
  <si>
    <t>S. californicus</t>
  </si>
  <si>
    <t>M-2</t>
  </si>
  <si>
    <t>M-3</t>
  </si>
  <si>
    <t>C-1</t>
  </si>
  <si>
    <t>M-4-S</t>
  </si>
  <si>
    <t>M-4-N</t>
  </si>
  <si>
    <t>C-2</t>
  </si>
  <si>
    <t>M-4-C</t>
  </si>
  <si>
    <t>THATCHED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</si>
  <si>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</si>
  <si>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</si>
  <si>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</si>
  <si>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</si>
  <si>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</si>
  <si>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</si>
  <si>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</si>
  <si>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</si>
  <si>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</si>
  <si>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</si>
  <si>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</si>
  <si>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</si>
  <si>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</si>
  <si>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</si>
  <si>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</si>
  <si>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</si>
  <si>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</si>
  <si>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</si>
  <si>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</si>
  <si>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</si>
  <si>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</si>
  <si>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</si>
  <si>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</si>
  <si>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</si>
  <si>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</si>
  <si>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</si>
  <si>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</si>
  <si>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</si>
  <si>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avg %</t>
  </si>
  <si>
    <t>total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</si>
</sst>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</borders>
  <cellStyleXfs count="14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14" fontId="0" fillId="0" borderId="0" xfId="0" applyNumberFormat="1" applyAlignment="1">
      <alignment horizontal="right"/>
    </xf>
    <xf numFmtId="14" fontId="5" fillId="0" borderId="0" xfId="0" applyNumberFormat="1" applyFont="1"/>
    <xf numFmtId="0" fontId="6" fillId="2" borderId="1" xfId="1439" applyFill="1" applyAlignment="1">
      <alignment horizontal="center"/>
    </xf>
    <xf numFmtId="0" fontId="7" fillId="2" borderId="2" xfId="1440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1449" applyBorder="1" applyAlignment="1">
      <alignment wrapText="1"/>
    </xf>
    <xf numFmtId="0" fontId="7" fillId="2" borderId="3" xfId="1440" applyBorder="1"/>
    <xf numFmtId="0" fontId="7" fillId="2" borderId="4" xfId="1440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1440" applyBorder="1"/>
    <xf numFmtId="0" fontId="7" fillId="2" borderId="0" xfId="1440" applyBorder="1"/>
    <xf numFmtId="0" fontId="7" fillId="2" borderId="8" xfId="1440" applyBorder="1"/>
    <xf numFmtId="0" fontId="7" fillId="2" borderId="2" xfId="1440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1440" applyBorder="1"/>
    <xf numFmtId="0" fontId="7" fillId="2" borderId="11" xfId="1440" applyBorder="1"/>
    <xf numFmtId="0" fontId="7" fillId="2" borderId="12" xfId="1440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1440" applyBorder="1"/>
    <xf numFmtId="0" fontId="7" fillId="0" borderId="3" xfId="1440" applyFill="1" applyBorder="1"/>
    <xf numFmtId="0" fontId="7" fillId="0" borderId="4" xfId="1440" applyFill="1" applyBorder="1"/>
    <xf numFmtId="12" fontId="0" fillId="0" borderId="6" xfId="0" applyNumberFormat="1" applyBorder="1"/>
    <xf numFmtId="164" fontId="0" fillId="0" borderId="6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1439" applyFill="1" applyAlignment="1">
      <alignment horizontal="center"/>
    </xf>
  </cellXfs>
  <cellStyles count="14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1" builtinId="9" hidden="1"/>
    <cellStyle name="Heading 1" xfId="1439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50" builtinId="8" hidden="1"/>
    <cellStyle name="Normal" xfId="0" builtinId="0"/>
    <cellStyle name="Output" xfId="1440" builtinId="21"/>
    <cellStyle name="Output 2" xfId="144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%20-%20Nich/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4"/>
  <sheetViews>
    <sheetView topLeftCell="A561" workbookViewId="0">
      <selection activeCell="O585" sqref="O585"/>
    </sheetView>
  </sheetViews>
  <sheetFormatPr baseColWidth="10" defaultRowHeight="15" x14ac:dyDescent="0"/>
  <cols>
    <col min="2" max="2" width="10.83203125" style="7"/>
    <col min="4" max="4" width="18.6640625" customWidth="1"/>
    <col min="5" max="5" width="0.33203125" customWidth="1"/>
    <col min="6" max="6" width="11" hidden="1" customWidth="1"/>
    <col min="7" max="7" width="15.5" hidden="1" customWidth="1"/>
    <col min="8" max="8" width="19.83203125" hidden="1" customWidth="1"/>
    <col min="9" max="9" width="12.83203125" hidden="1" customWidth="1"/>
    <col min="10" max="10" width="13.5" hidden="1" customWidth="1"/>
    <col min="11" max="11" width="14" hidden="1" customWidth="1"/>
    <col min="12" max="12" width="6" hidden="1" customWidth="1"/>
    <col min="13" max="13" width="13" hidden="1" customWidth="1"/>
    <col min="14" max="14" width="6.1640625" hidden="1" customWidth="1"/>
  </cols>
  <sheetData>
    <row r="1" spans="1:17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1"/>
      <c r="Q1" s="1"/>
    </row>
    <row r="2" spans="1:17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2"/>
      <c r="Q2" s="2"/>
    </row>
    <row r="3" spans="1:17" ht="330">
      <c r="A3" t="s">
        <v>2</v>
      </c>
      <c r="B3" s="7" t="s">
        <v>3</v>
      </c>
      <c r="C3" t="s">
        <v>4</v>
      </c>
      <c r="D3" s="3" t="s">
        <v>5</v>
      </c>
      <c r="E3" s="4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</row>
    <row r="4" spans="1:17">
      <c r="A4" s="9">
        <v>41768</v>
      </c>
      <c r="B4" s="7" t="s">
        <v>28</v>
      </c>
      <c r="C4">
        <v>1</v>
      </c>
      <c r="D4" t="s">
        <v>20</v>
      </c>
      <c r="E4">
        <v>65</v>
      </c>
      <c r="F4">
        <v>0.24</v>
      </c>
      <c r="N4">
        <f>IF(OR(D4="S. acutus", D4="S. tabernaemontani", D4="S. californicus"),(1/3)*(3.14159)*((F4/2)^2)*E4,"NA")</f>
        <v>0.98017607999999978</v>
      </c>
      <c r="O4">
        <f>IF(AND(OR(D4="S. acutus",D4="S. californicus",D4="S. tabernaemontani"),G4=0),E4*[1]Sheet1!$D$7+[1]Sheet1!$L$7,IF(AND(OR(D4="S. acutus",D4="S. tabernaemontani"),G4&gt;0),E4*[1]Sheet1!$D$8+N4*[1]Sheet1!$E$8,IF(AND(D4="S. californicus",G4&gt;0),E4*[1]Sheet1!$D$9+N4*[1]Sheet1!$E$9,IF(D4="S. maritimus",F4*[1]Sheet1!$C$10+E4*[1]Sheet1!$D$10+G4*[1]Sheet1!$F$10+[1]Sheet1!$L$10,IF(D4="S. americanus",F4*[1]Sheet1!$C$6+E4*[1]Sheet1!$D$6+[1]Sheet1!$L$6,IF(AND(OR(D4="T. domingensis",D4="T. latifolia"),E4&gt;0),F4*[1]Sheet1!$C$4+E4*[1]Sheet1!$D$4+H4*[1]Sheet1!$J$4+I4*[1]Sheet1!$K$4+[1]Sheet1!$L$4,IF(AND(OR(D4="T. domingensis",D4="T. latifolia"),J4&gt;0),J4*[1]Sheet1!$G$5+K4*[1]Sheet1!$H$5+L4*[1]Sheet1!$I$5+[1]Sheet1!$L$5,0)))))))</f>
        <v>-3.3771999999999913E-2</v>
      </c>
    </row>
    <row r="5" spans="1:17">
      <c r="A5" s="9">
        <v>41768</v>
      </c>
      <c r="B5" s="7" t="s">
        <v>28</v>
      </c>
      <c r="C5">
        <v>1</v>
      </c>
      <c r="D5" t="s">
        <v>23</v>
      </c>
      <c r="F5">
        <v>2.52</v>
      </c>
      <c r="J5">
        <f>84+130+161+170+188+192</f>
        <v>925</v>
      </c>
      <c r="K5">
        <v>6</v>
      </c>
      <c r="L5">
        <v>192</v>
      </c>
      <c r="N5" t="str">
        <f>IF(OR(D5="S. acutus", D5="S. tabernaemontani", D5="S. californicus"),(1/3)*(3.14159)*((F5/2)^2)*E5,"NA")</f>
        <v>NA</v>
      </c>
      <c r="O5">
        <f>IF(AND(OR(D5="S. acutus",D5="S. californicus",D5="S. tabernaemontani"),G5=0),E5*[1]Sheet1!$D$7+[1]Sheet1!$L$7,IF(AND(OR(D5="S. acutus",D5="S. tabernaemontani"),G5&gt;0),E5*[1]Sheet1!$D$8+N5*[1]Sheet1!$E$8,IF(AND(D5="S. californicus",G5&gt;0),E5*[1]Sheet1!$D$9+N5*[1]Sheet1!$E$9,IF(D5="S. maritimus",F5*[1]Sheet1!$C$10+E5*[1]Sheet1!$D$10+G5*[1]Sheet1!$F$10+[1]Sheet1!$L$10,IF(D5="S. americanus",F5*[1]Sheet1!$C$6+E5*[1]Sheet1!$D$6+[1]Sheet1!$L$6,IF(AND(OR(D5="T. domingensis",D5="T. latifolia"),E5&gt;0),F5*[1]Sheet1!$C$4+E5*[1]Sheet1!$D$4+H5*[1]Sheet1!$J$4+I5*[1]Sheet1!$K$4+[1]Sheet1!$L$4,IF(AND(OR(D5="T. domingensis",D5="T. latifolia"),J5&gt;0),J5*[1]Sheet1!$G$5+K5*[1]Sheet1!$H$5+L5*[1]Sheet1!$I$5+[1]Sheet1!$L$5,0)))))))</f>
        <v>19.787201000000003</v>
      </c>
    </row>
    <row r="6" spans="1:17">
      <c r="A6" s="9">
        <v>41768</v>
      </c>
      <c r="B6" s="7" t="s">
        <v>28</v>
      </c>
      <c r="C6">
        <v>1</v>
      </c>
      <c r="D6" t="s">
        <v>19</v>
      </c>
      <c r="F6">
        <v>1.1100000000000001</v>
      </c>
      <c r="J6">
        <f>40+71+75+81+22+25+122+125+142</f>
        <v>703</v>
      </c>
      <c r="K6">
        <v>9</v>
      </c>
      <c r="L6">
        <v>142</v>
      </c>
      <c r="N6" t="str">
        <f>IF(OR(D6="S. acutus", D6="S. tabernaemontani", D6="S. californicus"),(1/3)*(3.14159)*((F6/2)^2)*E6,"NA")</f>
        <v>NA</v>
      </c>
      <c r="O6">
        <f>IF(AND(OR(D6="S. acutus",D6="S. californicus",D6="S. tabernaemontani"),G6=0),E6*[1]Sheet1!$D$7+[1]Sheet1!$L$7,IF(AND(OR(D6="S. acutus",D6="S. tabernaemontani"),G6&gt;0),E6*[1]Sheet1!$D$8+N6*[1]Sheet1!$E$8,IF(AND(D6="S. californicus",G6&gt;0),E6*[1]Sheet1!$D$9+N6*[1]Sheet1!$E$9,IF(D6="S. maritimus",F6*[1]Sheet1!$C$10+E6*[1]Sheet1!$D$10+G6*[1]Sheet1!$F$10+[1]Sheet1!$L$10,IF(D6="S. americanus",F6*[1]Sheet1!$C$6+E6*[1]Sheet1!$D$6+[1]Sheet1!$L$6,IF(AND(OR(D6="T. domingensis",D6="T. latifolia"),E6&gt;0),F6*[1]Sheet1!$C$4+E6*[1]Sheet1!$D$4+H6*[1]Sheet1!$J$4+I6*[1]Sheet1!$K$4+[1]Sheet1!$L$4,IF(AND(OR(D6="T. domingensis",D6="T. latifolia"),J6&gt;0),J6*[1]Sheet1!$G$5+K6*[1]Sheet1!$H$5+L6*[1]Sheet1!$I$5+[1]Sheet1!$L$5,0)))))))</f>
        <v>-7.0312179999999955</v>
      </c>
    </row>
    <row r="7" spans="1:17">
      <c r="A7" s="9">
        <v>41768</v>
      </c>
      <c r="B7" s="7" t="s">
        <v>28</v>
      </c>
      <c r="C7">
        <v>1</v>
      </c>
      <c r="D7" t="s">
        <v>19</v>
      </c>
      <c r="F7">
        <v>1.47</v>
      </c>
      <c r="J7">
        <f>66+111+127+154+180</f>
        <v>638</v>
      </c>
      <c r="K7">
        <v>5</v>
      </c>
      <c r="L7">
        <v>180</v>
      </c>
      <c r="N7" t="str">
        <f>IF(OR(D7="S. acutus", D7="S. tabernaemontani", D7="S. californicus"),(1/3)*(3.14159)*((F7/2)^2)*E7,"NA")</f>
        <v>NA</v>
      </c>
      <c r="O7">
        <f>IF(AND(OR(D7="S. acutus",D7="S. californicus",D7="S. tabernaemontani"),G7=0),E7*[1]Sheet1!$D$7+[1]Sheet1!$L$7,IF(AND(OR(D7="S. acutus",D7="S. tabernaemontani"),G7&gt;0),E7*[1]Sheet1!$D$8+N7*[1]Sheet1!$E$8,IF(AND(D7="S. californicus",G7&gt;0),E7*[1]Sheet1!$D$9+N7*[1]Sheet1!$E$9,IF(D7="S. maritimus",F7*[1]Sheet1!$C$10+E7*[1]Sheet1!$D$10+G7*[1]Sheet1!$F$10+[1]Sheet1!$L$10,IF(D7="S. americanus",F7*[1]Sheet1!$C$6+E7*[1]Sheet1!$D$6+[1]Sheet1!$L$6,IF(AND(OR(D7="T. domingensis",D7="T. latifolia"),E7&gt;0),F7*[1]Sheet1!$C$4+E7*[1]Sheet1!$D$4+H7*[1]Sheet1!$J$4+I7*[1]Sheet1!$K$4+[1]Sheet1!$L$4,IF(AND(OR(D7="T. domingensis",D7="T. latifolia"),J7&gt;0),J7*[1]Sheet1!$G$5+K7*[1]Sheet1!$H$5+L7*[1]Sheet1!$I$5+[1]Sheet1!$L$5,0)))))))</f>
        <v>3.5168090000000021</v>
      </c>
    </row>
    <row r="8" spans="1:17">
      <c r="A8" s="9">
        <v>41768</v>
      </c>
      <c r="B8" s="7" t="s">
        <v>28</v>
      </c>
      <c r="C8">
        <v>1</v>
      </c>
      <c r="D8" t="s">
        <v>19</v>
      </c>
      <c r="F8">
        <v>2.66</v>
      </c>
      <c r="J8">
        <f>107+152+180</f>
        <v>439</v>
      </c>
      <c r="K8">
        <v>3</v>
      </c>
      <c r="L8">
        <v>180</v>
      </c>
      <c r="N8" t="str">
        <f>IF(OR(D8="S. acutus", D8="S. tabernaemontani", D8="S. californicus"),(1/3)*(3.14159)*((F8/2)^2)*E8,"NA")</f>
        <v>NA</v>
      </c>
      <c r="O8">
        <f>IF(AND(OR(D8="S. acutus",D8="S. californicus",D8="S. tabernaemontani"),G8=0),E8*[1]Sheet1!$D$7+[1]Sheet1!$L$7,IF(AND(OR(D8="S. acutus",D8="S. tabernaemontani"),G8&gt;0),E8*[1]Sheet1!$D$8+N8*[1]Sheet1!$E$8,IF(AND(D8="S. californicus",G8&gt;0),E8*[1]Sheet1!$D$9+N8*[1]Sheet1!$E$9,IF(D8="S. maritimus",F8*[1]Sheet1!$C$10+E8*[1]Sheet1!$D$10+G8*[1]Sheet1!$F$10+[1]Sheet1!$L$10,IF(D8="S. americanus",F8*[1]Sheet1!$C$6+E8*[1]Sheet1!$D$6+[1]Sheet1!$L$6,IF(AND(OR(D8="T. domingensis",D8="T. latifolia"),E8&gt;0),F8*[1]Sheet1!$C$4+E8*[1]Sheet1!$D$4+H8*[1]Sheet1!$J$4+I8*[1]Sheet1!$K$4+[1]Sheet1!$L$4,IF(AND(OR(D8="T. domingensis",D8="T. latifolia"),J8&gt;0),J8*[1]Sheet1!$G$5+K8*[1]Sheet1!$H$5+L8*[1]Sheet1!$I$5+[1]Sheet1!$L$5,0)))))))</f>
        <v>-1.0957300000000032</v>
      </c>
    </row>
    <row r="9" spans="1:17">
      <c r="A9" s="9">
        <v>41768</v>
      </c>
      <c r="B9" s="7" t="s">
        <v>28</v>
      </c>
      <c r="C9">
        <v>1</v>
      </c>
      <c r="D9" t="s">
        <v>19</v>
      </c>
      <c r="F9">
        <v>0.55000000000000004</v>
      </c>
      <c r="J9">
        <f>36+46+57+193+220+232+241+256+260+265</f>
        <v>1806</v>
      </c>
      <c r="K9">
        <v>10</v>
      </c>
      <c r="L9">
        <v>265</v>
      </c>
      <c r="N9" t="str">
        <f>IF(OR(D9="S. acutus", D9="S. tabernaemontani", D9="S. californicus"),(1/3)*(3.14159)*((F9/2)^2)*E9,"NA")</f>
        <v>NA</v>
      </c>
      <c r="O9">
        <f>IF(AND(OR(D9="S. acutus",D9="S. californicus",D9="S. tabernaemontani"),G9=0),E9*[1]Sheet1!$D$7+[1]Sheet1!$L$7,IF(AND(OR(D9="S. acutus",D9="S. tabernaemontani"),G9&gt;0),E9*[1]Sheet1!$D$8+N9*[1]Sheet1!$E$8,IF(AND(D9="S. californicus",G9&gt;0),E9*[1]Sheet1!$D$9+N9*[1]Sheet1!$E$9,IF(D9="S. maritimus",F9*[1]Sheet1!$C$10+E9*[1]Sheet1!$D$10+G9*[1]Sheet1!$F$10+[1]Sheet1!$L$10,IF(D9="S. americanus",F9*[1]Sheet1!$C$6+E9*[1]Sheet1!$D$6+[1]Sheet1!$L$6,IF(AND(OR(D9="T. domingensis",D9="T. latifolia"),E9&gt;0),F9*[1]Sheet1!$C$4+E9*[1]Sheet1!$D$4+H9*[1]Sheet1!$J$4+I9*[1]Sheet1!$K$4+[1]Sheet1!$L$4,IF(AND(OR(D9="T. domingensis",D9="T. latifolia"),J9&gt;0),J9*[1]Sheet1!$G$5+K9*[1]Sheet1!$H$5+L9*[1]Sheet1!$I$5+[1]Sheet1!$L$5,0)))))))</f>
        <v>52.305058999999993</v>
      </c>
    </row>
    <row r="10" spans="1:17">
      <c r="A10" s="9">
        <v>41768</v>
      </c>
      <c r="B10" s="7" t="s">
        <v>28</v>
      </c>
      <c r="C10">
        <v>1</v>
      </c>
      <c r="D10" t="s">
        <v>19</v>
      </c>
      <c r="F10">
        <v>1.08</v>
      </c>
      <c r="J10">
        <f>85+147+165+181</f>
        <v>578</v>
      </c>
      <c r="K10">
        <v>4</v>
      </c>
      <c r="L10">
        <v>181</v>
      </c>
      <c r="N10" t="str">
        <f>IF(OR(D10="S. acutus", D10="S. tabernaemontani", D10="S. californicus"),(1/3)*(3.14159)*((F10/2)^2)*E10,"NA")</f>
        <v>NA</v>
      </c>
      <c r="O10">
        <f>IF(AND(OR(D10="S. acutus",D10="S. californicus",D10="S. tabernaemontani"),G10=0),E10*[1]Sheet1!$D$7+[1]Sheet1!$L$7,IF(AND(OR(D10="S. acutus",D10="S. tabernaemontani"),G10&gt;0),E10*[1]Sheet1!$D$8+N10*[1]Sheet1!$E$8,IF(AND(D10="S. californicus",G10&gt;0),E10*[1]Sheet1!$D$9+N10*[1]Sheet1!$E$9,IF(D10="S.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latifolia"),E10&gt;0),F10*[1]Sheet1!$C$4+E10*[1]Sheet1!$D$4+H10*[1]Sheet1!$J$4+I10*[1]Sheet1!$K$4+[1]Sheet1!$L$4,IF(AND(OR(D10="T. domingensis",D10="T. latifolia"),J10&gt;0),J10*[1]Sheet1!$G$5+K10*[1]Sheet1!$H$5+L10*[1]Sheet1!$I$5+[1]Sheet1!$L$5,0)))))))</f>
        <v>4.6126170000000037</v>
      </c>
    </row>
    <row r="11" spans="1:17">
      <c r="A11" s="9">
        <v>41768</v>
      </c>
      <c r="B11" s="7" t="s">
        <v>28</v>
      </c>
      <c r="C11">
        <v>1</v>
      </c>
      <c r="D11" t="s">
        <v>19</v>
      </c>
      <c r="F11">
        <v>3.63</v>
      </c>
      <c r="J11">
        <f>101+139+165+187+189+212+231+242+270</f>
        <v>1736</v>
      </c>
      <c r="K11">
        <v>9</v>
      </c>
      <c r="L11">
        <v>270</v>
      </c>
      <c r="N11" t="str">
        <f>IF(OR(D11="S. acutus", D11="S. tabernaemontani", D11="S. californicus"),(1/3)*(3.14159)*((F11/2)^2)*E11,"NA")</f>
        <v>NA</v>
      </c>
      <c r="O11">
        <f>IF(AND(OR(D11="S. acutus",D11="S. californicus",D11="S. tabernaemontani"),G11=0),E11*[1]Sheet1!$D$7+[1]Sheet1!$L$7,IF(AND(OR(D11="S. acutus",D11="S. tabernaemontani"),G11&gt;0),E11*[1]Sheet1!$D$8+N11*[1]Sheet1!$E$8,IF(AND(D11="S. californicus",G11&gt;0),E11*[1]Sheet1!$D$9+N11*[1]Sheet1!$E$9,IF(D11="S.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latifolia"),E11&gt;0),F11*[1]Sheet1!$C$4+E11*[1]Sheet1!$D$4+H11*[1]Sheet1!$J$4+I11*[1]Sheet1!$K$4+[1]Sheet1!$L$4,IF(AND(OR(D11="T. domingensis",D11="T. latifolia"),J11&gt;0),J11*[1]Sheet1!$G$5+K11*[1]Sheet1!$H$5+L11*[1]Sheet1!$I$5+[1]Sheet1!$L$5,0)))))))</f>
        <v>51.258337000000004</v>
      </c>
    </row>
    <row r="12" spans="1:17">
      <c r="A12" s="9">
        <v>41768</v>
      </c>
      <c r="B12" s="7" t="s">
        <v>28</v>
      </c>
      <c r="C12">
        <v>1</v>
      </c>
      <c r="D12" t="s">
        <v>19</v>
      </c>
      <c r="F12">
        <v>1.01</v>
      </c>
      <c r="J12">
        <f>96+157+85+106+114</f>
        <v>558</v>
      </c>
      <c r="K12">
        <v>5</v>
      </c>
      <c r="L12">
        <v>157</v>
      </c>
      <c r="N12" t="str">
        <f>IF(OR(D12="S. acutus", D12="S. tabernaemontani", D12="S. californicus"),(1/3)*(3.14159)*((F12/2)^2)*E12,"NA")</f>
        <v>NA</v>
      </c>
      <c r="O12">
        <f>IF(AND(OR(D12="S. acutus",D12="S. californicus",D12="S. tabernaemontani"),G12=0),E12*[1]Sheet1!$D$7+[1]Sheet1!$L$7,IF(AND(OR(D12="S. acutus",D12="S. tabernaemontani"),G12&gt;0),E12*[1]Sheet1!$D$8+N12*[1]Sheet1!$E$8,IF(AND(D12="S. californicus",G12&gt;0),E12*[1]Sheet1!$D$9+N12*[1]Sheet1!$E$9,IF(D12="S.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latifolia"),E12&gt;0),F12*[1]Sheet1!$C$4+E12*[1]Sheet1!$D$4+H12*[1]Sheet1!$J$4+I12*[1]Sheet1!$K$4+[1]Sheet1!$L$4,IF(AND(OR(D12="T. domingensis",D12="T. latifolia"),J12&gt;0),J12*[1]Sheet1!$G$5+K12*[1]Sheet1!$H$5+L12*[1]Sheet1!$I$5+[1]Sheet1!$L$5,0)))))))</f>
        <v>2.9450440000000029</v>
      </c>
    </row>
    <row r="13" spans="1:17">
      <c r="A13" s="9">
        <v>41768</v>
      </c>
      <c r="B13" s="7" t="s">
        <v>28</v>
      </c>
      <c r="C13">
        <v>1</v>
      </c>
      <c r="D13" t="s">
        <v>19</v>
      </c>
      <c r="F13">
        <v>0.59</v>
      </c>
      <c r="J13">
        <f>26+42+79</f>
        <v>147</v>
      </c>
      <c r="K13">
        <v>3</v>
      </c>
      <c r="L13">
        <v>79</v>
      </c>
      <c r="N13" t="str">
        <f>IF(OR(D13="S. acutus", D13="S. tabernaemontani", D13="S. californicus"),(1/3)*(3.14159)*((F13/2)^2)*E13,"NA")</f>
        <v>NA</v>
      </c>
      <c r="O13">
        <f>IF(AND(OR(D13="S. acutus",D13="S. californicus",D13="S. tabernaemontani"),G13=0),E13*[1]Sheet1!$D$7+[1]Sheet1!$L$7,IF(AND(OR(D13="S. acutus",D13="S. tabernaemontani"),G13&gt;0),E13*[1]Sheet1!$D$8+N13*[1]Sheet1!$E$8,IF(AND(D13="S. californicus",G13&gt;0),E13*[1]Sheet1!$D$9+N13*[1]Sheet1!$E$9,IF(D13="S.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latifolia"),E13&gt;0),F13*[1]Sheet1!$C$4+E13*[1]Sheet1!$D$4+H13*[1]Sheet1!$J$4+I13*[1]Sheet1!$K$4+[1]Sheet1!$L$4,IF(AND(OR(D13="T. domingensis",D13="T. latifolia"),J13&gt;0),J13*[1]Sheet1!$G$5+K13*[1]Sheet1!$H$5+L13*[1]Sheet1!$I$5+[1]Sheet1!$L$5,0)))))))</f>
        <v>1.9535550000000015</v>
      </c>
    </row>
    <row r="14" spans="1:17">
      <c r="A14" s="9">
        <v>41768</v>
      </c>
      <c r="B14" s="7" t="s">
        <v>28</v>
      </c>
      <c r="C14">
        <v>1</v>
      </c>
      <c r="D14" t="s">
        <v>19</v>
      </c>
      <c r="F14">
        <v>0.74</v>
      </c>
      <c r="J14">
        <f>78+76+120+125</f>
        <v>399</v>
      </c>
      <c r="K14">
        <v>4</v>
      </c>
      <c r="L14">
        <v>125</v>
      </c>
      <c r="N14" t="str">
        <f>IF(OR(D14="S. acutus", D14="S. tabernaemontani", D14="S. californicus"),(1/3)*(3.14159)*((F14/2)^2)*E14,"NA")</f>
        <v>NA</v>
      </c>
      <c r="O14">
        <f>IF(AND(OR(D14="S. acutus",D14="S. californicus",D14="S. tabernaemontani"),G14=0),E14*[1]Sheet1!$D$7+[1]Sheet1!$L$7,IF(AND(OR(D14="S. acutus",D14="S. tabernaemontani"),G14&gt;0),E14*[1]Sheet1!$D$8+N14*[1]Sheet1!$E$8,IF(AND(D14="S. californicus",G14&gt;0),E14*[1]Sheet1!$D$9+N14*[1]Sheet1!$E$9,IF(D14="S.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latifolia"),E14&gt;0),F14*[1]Sheet1!$C$4+E14*[1]Sheet1!$D$4+H14*[1]Sheet1!$J$4+I14*[1]Sheet1!$K$4+[1]Sheet1!$L$4,IF(AND(OR(D14="T. domingensis",D14="T. latifolia"),J14&gt;0),J14*[1]Sheet1!$G$5+K14*[1]Sheet1!$H$5+L14*[1]Sheet1!$I$5+[1]Sheet1!$L$5,0)))))))</f>
        <v>4.7001919999999977</v>
      </c>
    </row>
    <row r="15" spans="1:17">
      <c r="A15" s="9">
        <v>41768</v>
      </c>
      <c r="B15" s="7" t="s">
        <v>28</v>
      </c>
      <c r="C15">
        <v>1</v>
      </c>
      <c r="D15" t="s">
        <v>19</v>
      </c>
      <c r="F15">
        <v>0.85</v>
      </c>
      <c r="J15">
        <f>58+90+113+137</f>
        <v>398</v>
      </c>
      <c r="K15">
        <v>4</v>
      </c>
      <c r="L15">
        <v>137</v>
      </c>
      <c r="N15" t="str">
        <f>IF(OR(D15="S. acutus", D15="S. tabernaemontani", D15="S. californicus"),(1/3)*(3.14159)*((F15/2)^2)*E15,"NA")</f>
        <v>NA</v>
      </c>
      <c r="O15">
        <f>IF(AND(OR(D15="S. acutus",D15="S. californicus",D15="S. tabernaemontani"),G15=0),E15*[1]Sheet1!$D$7+[1]Sheet1!$L$7,IF(AND(OR(D15="S. acutus",D15="S. tabernaemontani"),G15&gt;0),E15*[1]Sheet1!$D$8+N15*[1]Sheet1!$E$8,IF(AND(D15="S. californicus",G15&gt;0),E15*[1]Sheet1!$D$9+N15*[1]Sheet1!$E$9,IF(D15="S.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latifolia"),E15&gt;0),F15*[1]Sheet1!$C$4+E15*[1]Sheet1!$D$4+H15*[1]Sheet1!$J$4+I15*[1]Sheet1!$K$4+[1]Sheet1!$L$4,IF(AND(OR(D15="T. domingensis",D15="T. latifolia"),J15&gt;0),J15*[1]Sheet1!$G$5+K15*[1]Sheet1!$H$5+L15*[1]Sheet1!$I$5+[1]Sheet1!$L$5,0)))))))</f>
        <v>0.99149700000000252</v>
      </c>
    </row>
    <row r="16" spans="1:17">
      <c r="A16" s="9">
        <v>41768</v>
      </c>
      <c r="B16" s="7" t="s">
        <v>28</v>
      </c>
      <c r="C16">
        <v>1</v>
      </c>
      <c r="D16" t="s">
        <v>19</v>
      </c>
      <c r="F16">
        <v>0.44</v>
      </c>
      <c r="J16">
        <f>41+59</f>
        <v>100</v>
      </c>
      <c r="K16">
        <v>2</v>
      </c>
      <c r="L16">
        <v>59</v>
      </c>
      <c r="N16" t="str">
        <f>IF(OR(D16="S. acutus", D16="S. tabernaemontani", D16="S. californicus"),(1/3)*(3.14159)*((F16/2)^2)*E16,"NA")</f>
        <v>NA</v>
      </c>
      <c r="O16">
        <f>IF(AND(OR(D16="S. acutus",D16="S. californicus",D16="S. tabernaemontani"),G16=0),E16*[1]Sheet1!$D$7+[1]Sheet1!$L$7,IF(AND(OR(D16="S. acutus",D16="S. tabernaemontani"),G16&gt;0),E16*[1]Sheet1!$D$8+N16*[1]Sheet1!$E$8,IF(AND(D16="S. californicus",G16&gt;0),E16*[1]Sheet1!$D$9+N16*[1]Sheet1!$E$9,IF(D16="S.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latifolia"),E16&gt;0),F16*[1]Sheet1!$C$4+E16*[1]Sheet1!$D$4+H16*[1]Sheet1!$J$4+I16*[1]Sheet1!$K$4+[1]Sheet1!$L$4,IF(AND(OR(D16="T. domingensis",D16="T. latifolia"),J16&gt;0),J16*[1]Sheet1!$G$5+K16*[1]Sheet1!$H$5+L16*[1]Sheet1!$I$5+[1]Sheet1!$L$5,0)))))))</f>
        <v>10.594322999999999</v>
      </c>
    </row>
    <row r="17" spans="1:15">
      <c r="A17" s="9">
        <v>41768</v>
      </c>
      <c r="B17" s="7" t="s">
        <v>28</v>
      </c>
      <c r="C17">
        <v>1</v>
      </c>
      <c r="D17" t="s">
        <v>19</v>
      </c>
      <c r="F17">
        <v>1.55</v>
      </c>
      <c r="J17">
        <f>167+223+242+249+285+291+302</f>
        <v>1759</v>
      </c>
      <c r="K17">
        <v>7</v>
      </c>
      <c r="L17">
        <v>302</v>
      </c>
      <c r="N17" t="str">
        <f>IF(OR(D17="S. acutus", D17="S. tabernaemontani", D17="S. californicus"),(1/3)*(3.14159)*((F17/2)^2)*E17,"NA")</f>
        <v>NA</v>
      </c>
      <c r="O17">
        <f>IF(AND(OR(D17="S. acutus",D17="S. californicus",D17="S. tabernaemontani"),G17=0),E17*[1]Sheet1!$D$7+[1]Sheet1!$L$7,IF(AND(OR(D17="S. acutus",D17="S. tabernaemontani"),G17&gt;0),E17*[1]Sheet1!$D$8+N17*[1]Sheet1!$E$8,IF(AND(D17="S. californicus",G17&gt;0),E17*[1]Sheet1!$D$9+N17*[1]Sheet1!$E$9,IF(D17="S.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latifolia"),E17&gt;0),F17*[1]Sheet1!$C$4+E17*[1]Sheet1!$D$4+H17*[1]Sheet1!$J$4+I17*[1]Sheet1!$K$4+[1]Sheet1!$L$4,IF(AND(OR(D17="T. domingensis",D17="T. latifolia"),J17&gt;0),J17*[1]Sheet1!$G$5+K17*[1]Sheet1!$H$5+L17*[1]Sheet1!$I$5+[1]Sheet1!$L$5,0)))))))</f>
        <v>57.819568000000025</v>
      </c>
    </row>
    <row r="18" spans="1:15">
      <c r="A18" s="9">
        <v>41768</v>
      </c>
      <c r="B18" s="7" t="s">
        <v>28</v>
      </c>
      <c r="C18">
        <v>1</v>
      </c>
      <c r="D18" t="s">
        <v>19</v>
      </c>
      <c r="F18">
        <v>2.4</v>
      </c>
      <c r="J18">
        <f>94+145+170+192+215+225</f>
        <v>1041</v>
      </c>
      <c r="K18">
        <v>6</v>
      </c>
      <c r="L18">
        <v>225</v>
      </c>
      <c r="N18" t="str">
        <f>IF(OR(D18="S. acutus", D18="S. tabernaemontani", D18="S. californicus"),(1/3)*(3.14159)*((F18/2)^2)*E18,"NA")</f>
        <v>NA</v>
      </c>
      <c r="O18">
        <f>IF(AND(OR(D18="S. acutus",D18="S. californicus",D18="S. tabernaemontani"),G18=0),E18*[1]Sheet1!$D$7+[1]Sheet1!$L$7,IF(AND(OR(D18="S. acutus",D18="S. tabernaemontani"),G18&gt;0),E18*[1]Sheet1!$D$8+N18*[1]Sheet1!$E$8,IF(AND(D18="S. californicus",G18&gt;0),E18*[1]Sheet1!$D$9+N18*[1]Sheet1!$E$9,IF(D18="S.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latifolia"),E18&gt;0),F18*[1]Sheet1!$C$4+E18*[1]Sheet1!$D$4+H18*[1]Sheet1!$J$4+I18*[1]Sheet1!$K$4+[1]Sheet1!$L$4,IF(AND(OR(D18="T. domingensis",D18="T. latifolia"),J18&gt;0),J18*[1]Sheet1!$G$5+K18*[1]Sheet1!$H$5+L18*[1]Sheet1!$I$5+[1]Sheet1!$L$5,0)))))))</f>
        <v>20.721696000000001</v>
      </c>
    </row>
    <row r="19" spans="1:15">
      <c r="A19" s="9">
        <v>41768</v>
      </c>
      <c r="B19" s="7" t="s">
        <v>28</v>
      </c>
      <c r="C19">
        <v>1</v>
      </c>
      <c r="D19" t="s">
        <v>19</v>
      </c>
      <c r="F19">
        <v>1.6</v>
      </c>
      <c r="J19">
        <f>113+144+155+170+188+200</f>
        <v>970</v>
      </c>
      <c r="K19">
        <v>6</v>
      </c>
      <c r="L19">
        <v>200</v>
      </c>
      <c r="N19" t="str">
        <f>IF(OR(D19="S. acutus", D19="S. tabernaemontani", D19="S. californicus"),(1/3)*(3.14159)*((F19/2)^2)*E19,"NA")</f>
        <v>NA</v>
      </c>
      <c r="O19">
        <f>IF(AND(OR(D19="S. acutus",D19="S. californicus",D19="S. tabernaemontani"),G19=0),E19*[1]Sheet1!$D$7+[1]Sheet1!$L$7,IF(AND(OR(D19="S. acutus",D19="S. tabernaemontani"),G19&gt;0),E19*[1]Sheet1!$D$8+N19*[1]Sheet1!$E$8,IF(AND(D19="S. californicus",G19&gt;0),E19*[1]Sheet1!$D$9+N19*[1]Sheet1!$E$9,IF(D19="S.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latifolia"),E19&gt;0),F19*[1]Sheet1!$C$4+E19*[1]Sheet1!$D$4+H19*[1]Sheet1!$J$4+I19*[1]Sheet1!$K$4+[1]Sheet1!$L$4,IF(AND(OR(D19="T. domingensis",D19="T. latifolia"),J19&gt;0),J19*[1]Sheet1!$G$5+K19*[1]Sheet1!$H$5+L19*[1]Sheet1!$I$5+[1]Sheet1!$L$5,0)))))))</f>
        <v>21.596216000000005</v>
      </c>
    </row>
    <row r="20" spans="1:15">
      <c r="A20" s="9">
        <v>41768</v>
      </c>
      <c r="B20" s="7" t="s">
        <v>28</v>
      </c>
      <c r="C20">
        <v>1</v>
      </c>
      <c r="D20" t="s">
        <v>19</v>
      </c>
      <c r="F20">
        <v>1.78</v>
      </c>
      <c r="J20">
        <f>24+94+123+115+135+155+172+188+201</f>
        <v>1207</v>
      </c>
      <c r="K20">
        <v>9</v>
      </c>
      <c r="L20">
        <v>201</v>
      </c>
      <c r="N20" t="str">
        <f>IF(OR(D20="S. acutus", D20="S. tabernaemontani", D20="S. californicus"),(1/3)*(3.14159)*((F20/2)^2)*E20,"NA")</f>
        <v>NA</v>
      </c>
      <c r="O20">
        <f>IF(AND(OR(D20="S. acutus",D20="S. californicus",D20="S. tabernaemontani"),G20=0),E20*[1]Sheet1!$D$7+[1]Sheet1!$L$7,IF(AND(OR(D20="S. acutus",D20="S. tabernaemontani"),G20&gt;0),E20*[1]Sheet1!$D$8+N20*[1]Sheet1!$E$8,IF(AND(D20="S. californicus",G20&gt;0),E20*[1]Sheet1!$D$9+N20*[1]Sheet1!$E$9,IF(D20="S.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latifolia"),E20&gt;0),F20*[1]Sheet1!$C$4+E20*[1]Sheet1!$D$4+H20*[1]Sheet1!$J$4+I20*[1]Sheet1!$K$4+[1]Sheet1!$L$4,IF(AND(OR(D20="T. domingensis",D20="T. latifolia"),J20&gt;0),J20*[1]Sheet1!$G$5+K20*[1]Sheet1!$H$5+L20*[1]Sheet1!$I$5+[1]Sheet1!$L$5,0)))))))</f>
        <v>22.44784700000001</v>
      </c>
    </row>
    <row r="21" spans="1:15">
      <c r="A21" s="9">
        <v>41768</v>
      </c>
      <c r="B21" s="7" t="s">
        <v>28</v>
      </c>
      <c r="C21">
        <v>1</v>
      </c>
      <c r="D21" t="s">
        <v>19</v>
      </c>
      <c r="F21">
        <v>1.51</v>
      </c>
      <c r="J21">
        <f>80+114+140+185+189+209</f>
        <v>917</v>
      </c>
      <c r="K21">
        <v>6</v>
      </c>
      <c r="L21">
        <v>209</v>
      </c>
      <c r="N21" t="str">
        <f>IF(OR(D21="S. acutus", D21="S. tabernaemontani", D21="S. californicus"),(1/3)*(3.14159)*((F21/2)^2)*E21,"NA")</f>
        <v>NA</v>
      </c>
      <c r="O21">
        <f>IF(AND(OR(D21="S. acutus",D21="S. californicus",D21="S. tabernaemontani"),G21=0),E21*[1]Sheet1!$D$7+[1]Sheet1!$L$7,IF(AND(OR(D21="S. acutus",D21="S. tabernaemontani"),G21&gt;0),E21*[1]Sheet1!$D$8+N21*[1]Sheet1!$E$8,IF(AND(D21="S. californicus",G21&gt;0),E21*[1]Sheet1!$D$9+N21*[1]Sheet1!$E$9,IF(D21="S.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latifolia"),E21&gt;0),F21*[1]Sheet1!$C$4+E21*[1]Sheet1!$D$4+H21*[1]Sheet1!$J$4+I21*[1]Sheet1!$K$4+[1]Sheet1!$L$4,IF(AND(OR(D21="T. domingensis",D21="T. latifolia"),J21&gt;0),J21*[1]Sheet1!$G$5+K21*[1]Sheet1!$H$5+L21*[1]Sheet1!$I$5+[1]Sheet1!$L$5,0)))))))</f>
        <v>13.915996000000007</v>
      </c>
    </row>
    <row r="22" spans="1:15">
      <c r="A22" s="9">
        <v>41768</v>
      </c>
      <c r="B22" s="7" t="s">
        <v>28</v>
      </c>
      <c r="C22">
        <v>1</v>
      </c>
      <c r="D22" t="s">
        <v>19</v>
      </c>
      <c r="F22">
        <v>1.31</v>
      </c>
      <c r="J22">
        <f>74+87+136+151+171+182</f>
        <v>801</v>
      </c>
      <c r="K22">
        <v>6</v>
      </c>
      <c r="L22">
        <v>182</v>
      </c>
      <c r="N22" t="str">
        <f>IF(OR(D22="S. acutus", D22="S. tabernaemontani", D22="S. californicus"),(1/3)*(3.14159)*((F22/2)^2)*E22,"NA")</f>
        <v>NA</v>
      </c>
      <c r="O22">
        <f>IF(AND(OR(D22="S. acutus",D22="S. californicus",D22="S. tabernaemontani"),G22=0),E22*[1]Sheet1!$D$7+[1]Sheet1!$L$7,IF(AND(OR(D22="S. acutus",D22="S. tabernaemontani"),G22&gt;0),E22*[1]Sheet1!$D$8+N22*[1]Sheet1!$E$8,IF(AND(D22="S. californicus",G22&gt;0),E22*[1]Sheet1!$D$9+N22*[1]Sheet1!$E$9,IF(D22="S.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latifolia"),E22&gt;0),F22*[1]Sheet1!$C$4+E22*[1]Sheet1!$D$4+H22*[1]Sheet1!$J$4+I22*[1]Sheet1!$K$4+[1]Sheet1!$L$4,IF(AND(OR(D22="T. domingensis",D22="T. latifolia"),J22&gt;0),J22*[1]Sheet1!$G$5+K22*[1]Sheet1!$H$5+L22*[1]Sheet1!$I$5+[1]Sheet1!$L$5,0)))))))</f>
        <v>11.174031000000006</v>
      </c>
    </row>
    <row r="23" spans="1:15">
      <c r="A23" s="9">
        <v>41768</v>
      </c>
      <c r="B23" s="7" t="s">
        <v>28</v>
      </c>
      <c r="C23">
        <v>1</v>
      </c>
      <c r="D23" t="s">
        <v>19</v>
      </c>
      <c r="F23">
        <v>2.39</v>
      </c>
      <c r="J23">
        <f>54+146+190+217+232+263+264+283+284</f>
        <v>1933</v>
      </c>
      <c r="K23">
        <v>9</v>
      </c>
      <c r="L23">
        <v>284</v>
      </c>
      <c r="N23" t="str">
        <f>IF(OR(D23="S. acutus", D23="S. tabernaemontani", D23="S. californicus"),(1/3)*(3.14159)*((F23/2)^2)*E23,"NA")</f>
        <v>NA</v>
      </c>
      <c r="O23">
        <f>IF(AND(OR(D23="S. acutus",D23="S. californicus",D23="S. tabernaemontani"),G23=0),E23*[1]Sheet1!$D$7+[1]Sheet1!$L$7,IF(AND(OR(D23="S. acutus",D23="S. tabernaemontani"),G23&gt;0),E23*[1]Sheet1!$D$8+N23*[1]Sheet1!$E$8,IF(AND(D23="S. californicus",G23&gt;0),E23*[1]Sheet1!$D$9+N23*[1]Sheet1!$E$9,IF(D23="S.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latifolia"),E23&gt;0),F23*[1]Sheet1!$C$4+E23*[1]Sheet1!$D$4+H23*[1]Sheet1!$J$4+I23*[1]Sheet1!$K$4+[1]Sheet1!$L$4,IF(AND(OR(D23="T. domingensis",D23="T. latifolia"),J23&gt;0),J23*[1]Sheet1!$G$5+K23*[1]Sheet1!$H$5+L23*[1]Sheet1!$I$5+[1]Sheet1!$L$5,0)))))))</f>
        <v>65.510642000000018</v>
      </c>
    </row>
    <row r="24" spans="1:15">
      <c r="A24" s="9">
        <v>41768</v>
      </c>
      <c r="B24" s="7" t="s">
        <v>28</v>
      </c>
      <c r="C24">
        <v>1</v>
      </c>
      <c r="D24" t="s">
        <v>19</v>
      </c>
      <c r="F24">
        <v>1.1499999999999999</v>
      </c>
      <c r="J24">
        <f>148+95+109+125</f>
        <v>477</v>
      </c>
      <c r="K24">
        <v>4</v>
      </c>
      <c r="L24">
        <v>125</v>
      </c>
      <c r="N24" t="str">
        <f>IF(OR(D24="S. acutus", D24="S. tabernaemontani", D24="S. californicus"),(1/3)*(3.14159)*((F24/2)^2)*E24,"NA")</f>
        <v>NA</v>
      </c>
      <c r="O24">
        <f>IF(AND(OR(D24="S. acutus",D24="S. californicus",D24="S. tabernaemontani"),G24=0),E24*[1]Sheet1!$D$7+[1]Sheet1!$L$7,IF(AND(OR(D24="S. acutus",D24="S. tabernaemontani"),G24&gt;0),E24*[1]Sheet1!$D$8+N24*[1]Sheet1!$E$8,IF(AND(D24="S. californicus",G24&gt;0),E24*[1]Sheet1!$D$9+N24*[1]Sheet1!$E$9,IF(D24="S.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latifolia"),E24&gt;0),F24*[1]Sheet1!$C$4+E24*[1]Sheet1!$D$4+H24*[1]Sheet1!$J$4+I24*[1]Sheet1!$K$4+[1]Sheet1!$L$4,IF(AND(OR(D24="T. domingensis",D24="T. latifolia"),J24&gt;0),J24*[1]Sheet1!$G$5+K24*[1]Sheet1!$H$5+L24*[1]Sheet1!$I$5+[1]Sheet1!$L$5,0)))))))</f>
        <v>12.013082000000001</v>
      </c>
    </row>
    <row r="25" spans="1:15">
      <c r="A25" s="9">
        <v>41768</v>
      </c>
      <c r="B25" s="7" t="s">
        <v>28</v>
      </c>
      <c r="C25">
        <v>1</v>
      </c>
      <c r="D25" t="s">
        <v>19</v>
      </c>
      <c r="F25">
        <v>1.51</v>
      </c>
      <c r="J25">
        <f>107+135+139+172+175+199</f>
        <v>927</v>
      </c>
      <c r="K25">
        <v>6</v>
      </c>
      <c r="L25">
        <v>199</v>
      </c>
      <c r="N25" t="str">
        <f>IF(OR(D25="S. acutus", D25="S. tabernaemontani", D25="S. californicus"),(1/3)*(3.14159)*((F25/2)^2)*E25,"NA")</f>
        <v>NA</v>
      </c>
      <c r="O25">
        <f>IF(AND(OR(D25="S. acutus",D25="S. californicus",D25="S. tabernaemontani"),G25=0),E25*[1]Sheet1!$D$7+[1]Sheet1!$L$7,IF(AND(OR(D25="S. acutus",D25="S. tabernaemontani"),G25&gt;0),E25*[1]Sheet1!$D$8+N25*[1]Sheet1!$E$8,IF(AND(D25="S. californicus",G25&gt;0),E25*[1]Sheet1!$D$9+N25*[1]Sheet1!$E$9,IF(D25="S.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latifolia"),E25&gt;0),F25*[1]Sheet1!$C$4+E25*[1]Sheet1!$D$4+H25*[1]Sheet1!$J$4+I25*[1]Sheet1!$K$4+[1]Sheet1!$L$4,IF(AND(OR(D25="T. domingensis",D25="T. latifolia"),J25&gt;0),J25*[1]Sheet1!$G$5+K25*[1]Sheet1!$H$5+L25*[1]Sheet1!$I$5+[1]Sheet1!$L$5,0)))))))</f>
        <v>17.86599600000001</v>
      </c>
    </row>
    <row r="26" spans="1:15">
      <c r="A26" s="9">
        <v>41768</v>
      </c>
      <c r="B26" s="7" t="s">
        <v>28</v>
      </c>
      <c r="C26">
        <v>1</v>
      </c>
      <c r="D26" t="s">
        <v>19</v>
      </c>
      <c r="F26">
        <v>1.59</v>
      </c>
      <c r="J26">
        <f>101+110+151+165+179+203</f>
        <v>909</v>
      </c>
      <c r="K26">
        <v>6</v>
      </c>
      <c r="L26">
        <v>203</v>
      </c>
      <c r="N26" t="str">
        <f>IF(OR(D26="S. acutus", D26="S. tabernaemontani", D26="S. californicus"),(1/3)*(3.14159)*((F26/2)^2)*E26,"NA")</f>
        <v>NA</v>
      </c>
      <c r="O26">
        <f>IF(AND(OR(D26="S. acutus",D26="S. californicus",D26="S. tabernaemontani"),G26=0),E26*[1]Sheet1!$D$7+[1]Sheet1!$L$7,IF(AND(OR(D26="S. acutus",D26="S. tabernaemontani"),G26&gt;0),E26*[1]Sheet1!$D$8+N26*[1]Sheet1!$E$8,IF(AND(D26="S. californicus",G26&gt;0),E26*[1]Sheet1!$D$9+N26*[1]Sheet1!$E$9,IF(D26="S.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latifolia"),E26&gt;0),F26*[1]Sheet1!$C$4+E26*[1]Sheet1!$D$4+H26*[1]Sheet1!$J$4+I26*[1]Sheet1!$K$4+[1]Sheet1!$L$4,IF(AND(OR(D26="T. domingensis",D26="T. latifolia"),J26&gt;0),J26*[1]Sheet1!$G$5+K26*[1]Sheet1!$H$5+L26*[1]Sheet1!$I$5+[1]Sheet1!$L$5,0)))))))</f>
        <v>14.973426000000003</v>
      </c>
    </row>
    <row r="27" spans="1:15">
      <c r="A27" s="9">
        <v>41768</v>
      </c>
      <c r="B27" s="7" t="s">
        <v>28</v>
      </c>
      <c r="C27">
        <v>1</v>
      </c>
      <c r="D27" t="s">
        <v>19</v>
      </c>
      <c r="F27">
        <v>1.01</v>
      </c>
      <c r="J27">
        <f>116+148+150+190+204+222</f>
        <v>1030</v>
      </c>
      <c r="K27">
        <v>6</v>
      </c>
      <c r="L27">
        <v>222</v>
      </c>
      <c r="N27" t="str">
        <f>IF(OR(D27="S. acutus", D27="S. tabernaemontani", D27="S. californicus"),(1/3)*(3.14159)*((F27/2)^2)*E27,"NA")</f>
        <v>NA</v>
      </c>
      <c r="O27">
        <f>IF(AND(OR(D27="S. acutus",D27="S. californicus",D27="S. tabernaemontani"),G27=0),E27*[1]Sheet1!$D$7+[1]Sheet1!$L$7,IF(AND(OR(D27="S. acutus",D27="S. tabernaemontani"),G27&gt;0),E27*[1]Sheet1!$D$8+N27*[1]Sheet1!$E$8,IF(AND(D27="S. californicus",G27&gt;0),E27*[1]Sheet1!$D$9+N27*[1]Sheet1!$E$9,IF(D27="S.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latifolia"),E27&gt;0),F27*[1]Sheet1!$C$4+E27*[1]Sheet1!$D$4+H27*[1]Sheet1!$J$4+I27*[1]Sheet1!$K$4+[1]Sheet1!$L$4,IF(AND(OR(D27="T. domingensis",D27="T. latifolia"),J27&gt;0),J27*[1]Sheet1!$G$5+K27*[1]Sheet1!$H$5+L27*[1]Sheet1!$I$5+[1]Sheet1!$L$5,0)))))))</f>
        <v>20.594125999999996</v>
      </c>
    </row>
    <row r="28" spans="1:15">
      <c r="A28" s="9">
        <v>41768</v>
      </c>
      <c r="B28" s="7" t="s">
        <v>28</v>
      </c>
      <c r="C28">
        <v>1</v>
      </c>
      <c r="D28" t="s">
        <v>19</v>
      </c>
      <c r="F28">
        <v>1.69</v>
      </c>
      <c r="J28">
        <f>100+148+159+196+221+245+254</f>
        <v>1323</v>
      </c>
      <c r="K28">
        <v>7</v>
      </c>
      <c r="L28">
        <v>254</v>
      </c>
      <c r="N28" t="str">
        <f>IF(OR(D28="S. acutus", D28="S. tabernaemontani", D28="S. californicus"),(1/3)*(3.14159)*((F28/2)^2)*E28,"NA")</f>
        <v>NA</v>
      </c>
      <c r="O28">
        <f>IF(AND(OR(D28="S. acutus",D28="S. californicus",D28="S. tabernaemontani"),G28=0),E28*[1]Sheet1!$D$7+[1]Sheet1!$L$7,IF(AND(OR(D28="S. acutus",D28="S. tabernaemontani"),G28&gt;0),E28*[1]Sheet1!$D$8+N28*[1]Sheet1!$E$8,IF(AND(D28="S. californicus",G28&gt;0),E28*[1]Sheet1!$D$9+N28*[1]Sheet1!$E$9,IF(D28="S.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latifolia"),E28&gt;0),F28*[1]Sheet1!$C$4+E28*[1]Sheet1!$D$4+H28*[1]Sheet1!$J$4+I28*[1]Sheet1!$K$4+[1]Sheet1!$L$4,IF(AND(OR(D28="T. domingensis",D28="T. latifolia"),J28&gt;0),J28*[1]Sheet1!$G$5+K28*[1]Sheet1!$H$5+L28*[1]Sheet1!$I$5+[1]Sheet1!$L$5,0)))))))</f>
        <v>31.402148000000018</v>
      </c>
    </row>
    <row r="29" spans="1:15">
      <c r="A29" s="9">
        <v>41768</v>
      </c>
      <c r="B29" s="7" t="s">
        <v>28</v>
      </c>
      <c r="C29">
        <v>1</v>
      </c>
      <c r="D29" t="s">
        <v>19</v>
      </c>
      <c r="F29">
        <v>2.27</v>
      </c>
      <c r="J29">
        <f>94+151+193+171+230+240+253+258</f>
        <v>1590</v>
      </c>
      <c r="K29">
        <v>8</v>
      </c>
      <c r="L29">
        <v>258</v>
      </c>
      <c r="N29" t="str">
        <f>IF(OR(D29="S. acutus", D29="S. tabernaemontani", D29="S. californicus"),(1/3)*(3.14159)*((F29/2)^2)*E29,"NA")</f>
        <v>NA</v>
      </c>
      <c r="O29">
        <f>IF(AND(OR(D29="S. acutus",D29="S. californicus",D29="S. tabernaemontani"),G29=0),E29*[1]Sheet1!$D$7+[1]Sheet1!$L$7,IF(AND(OR(D29="S. acutus",D29="S. tabernaemontani"),G29&gt;0),E29*[1]Sheet1!$D$8+N29*[1]Sheet1!$E$8,IF(AND(D29="S. californicus",G29&gt;0),E29*[1]Sheet1!$D$9+N29*[1]Sheet1!$E$9,IF(D29="S.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latifolia"),E29&gt;0),F29*[1]Sheet1!$C$4+E29*[1]Sheet1!$D$4+H29*[1]Sheet1!$J$4+I29*[1]Sheet1!$K$4+[1]Sheet1!$L$4,IF(AND(OR(D29="T. domingensis",D29="T. latifolia"),J29&gt;0),J29*[1]Sheet1!$G$5+K29*[1]Sheet1!$H$5+L29*[1]Sheet1!$I$5+[1]Sheet1!$L$5,0)))))))</f>
        <v>48.2074</v>
      </c>
    </row>
    <row r="30" spans="1:15">
      <c r="A30" s="9">
        <v>41768</v>
      </c>
      <c r="B30" s="7" t="s">
        <v>28</v>
      </c>
      <c r="C30">
        <v>1</v>
      </c>
      <c r="D30" t="s">
        <v>19</v>
      </c>
      <c r="F30">
        <v>1.86</v>
      </c>
      <c r="J30">
        <f>181+184+117+148+146+195+213+215</f>
        <v>1399</v>
      </c>
      <c r="K30">
        <v>8</v>
      </c>
      <c r="L30">
        <v>215</v>
      </c>
      <c r="N30" t="str">
        <f>IF(OR(D30="S. acutus", D30="S. tabernaemontani", D30="S. californicus"),(1/3)*(3.14159)*((F30/2)^2)*E30,"NA")</f>
        <v>NA</v>
      </c>
      <c r="O30">
        <f>IF(AND(OR(D30="S. acutus",D30="S. californicus",D30="S. tabernaemontani"),G30=0),E30*[1]Sheet1!$D$7+[1]Sheet1!$L$7,IF(AND(OR(D30="S. acutus",D30="S. tabernaemontani"),G30&gt;0),E30*[1]Sheet1!$D$8+N30*[1]Sheet1!$E$8,IF(AND(D30="S. californicus",G30&gt;0),E30*[1]Sheet1!$D$9+N30*[1]Sheet1!$E$9,IF(D30="S.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latifolia"),E30&gt;0),F30*[1]Sheet1!$C$4+E30*[1]Sheet1!$D$4+H30*[1]Sheet1!$J$4+I30*[1]Sheet1!$K$4+[1]Sheet1!$L$4,IF(AND(OR(D30="T. domingensis",D30="T. latifolia"),J30&gt;0),J30*[1]Sheet1!$G$5+K30*[1]Sheet1!$H$5+L30*[1]Sheet1!$I$5+[1]Sheet1!$L$5,0)))))))</f>
        <v>43.253730000000026</v>
      </c>
    </row>
    <row r="31" spans="1:15">
      <c r="A31" s="9">
        <v>41768</v>
      </c>
      <c r="B31" s="7" t="s">
        <v>28</v>
      </c>
      <c r="C31">
        <v>1</v>
      </c>
      <c r="D31" t="s">
        <v>19</v>
      </c>
      <c r="F31">
        <v>1.1200000000000001</v>
      </c>
      <c r="J31">
        <f>41+76+107+110</f>
        <v>334</v>
      </c>
      <c r="K31">
        <v>4</v>
      </c>
      <c r="L31">
        <v>110</v>
      </c>
      <c r="N31" t="str">
        <f>IF(OR(D31="S. acutus", D31="S. tabernaemontani", D31="S. californicus"),(1/3)*(3.14159)*((F31/2)^2)*E31,"NA")</f>
        <v>NA</v>
      </c>
      <c r="O31">
        <f>IF(AND(OR(D31="S. acutus",D31="S. californicus",D31="S. tabernaemontani"),G31=0),E31*[1]Sheet1!$D$7+[1]Sheet1!$L$7,IF(AND(OR(D31="S. acutus",D31="S. tabernaemontani"),G31&gt;0),E31*[1]Sheet1!$D$8+N31*[1]Sheet1!$E$8,IF(AND(D31="S. californicus",G31&gt;0),E31*[1]Sheet1!$D$9+N31*[1]Sheet1!$E$9,IF(D31="S.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latifolia"),E31&gt;0),F31*[1]Sheet1!$C$4+E31*[1]Sheet1!$D$4+H31*[1]Sheet1!$J$4+I31*[1]Sheet1!$K$4+[1]Sheet1!$L$4,IF(AND(OR(D31="T. domingensis",D31="T. latifolia"),J31&gt;0),J31*[1]Sheet1!$G$5+K31*[1]Sheet1!$H$5+L31*[1]Sheet1!$I$5+[1]Sheet1!$L$5,0)))))))</f>
        <v>3.1247919999999993</v>
      </c>
    </row>
    <row r="32" spans="1:15">
      <c r="A32" s="9">
        <v>41768</v>
      </c>
      <c r="B32" s="7" t="s">
        <v>28</v>
      </c>
      <c r="C32">
        <v>1</v>
      </c>
      <c r="D32" t="s">
        <v>19</v>
      </c>
      <c r="F32">
        <v>1.34</v>
      </c>
      <c r="J32">
        <f>98+171+176+221+222</f>
        <v>888</v>
      </c>
      <c r="K32">
        <v>5</v>
      </c>
      <c r="L32">
        <v>222</v>
      </c>
      <c r="N32" t="str">
        <f>IF(OR(D32="S. acutus", D32="S. tabernaemontani", D32="S. californicus"),(1/3)*(3.14159)*((F32/2)^2)*E32,"NA")</f>
        <v>NA</v>
      </c>
      <c r="O32">
        <f>IF(AND(OR(D32="S. acutus",D32="S. californicus",D32="S. tabernaemontani"),G32=0),E32*[1]Sheet1!$D$7+[1]Sheet1!$L$7,IF(AND(OR(D32="S. acutus",D32="S. tabernaemontani"),G32&gt;0),E32*[1]Sheet1!$D$8+N32*[1]Sheet1!$E$8,IF(AND(D32="S. californicus",G32&gt;0),E32*[1]Sheet1!$D$9+N32*[1]Sheet1!$E$9,IF(D32="S.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latifolia"),E32&gt;0),F32*[1]Sheet1!$C$4+E32*[1]Sheet1!$D$4+H32*[1]Sheet1!$J$4+I32*[1]Sheet1!$K$4+[1]Sheet1!$L$4,IF(AND(OR(D32="T. domingensis",D32="T. latifolia"),J32&gt;0),J32*[1]Sheet1!$G$5+K32*[1]Sheet1!$H$5+L32*[1]Sheet1!$I$5+[1]Sheet1!$L$5,0)))))))</f>
        <v>14.303269</v>
      </c>
    </row>
    <row r="33" spans="1:15">
      <c r="A33" s="9">
        <v>41768</v>
      </c>
      <c r="B33" s="7" t="s">
        <v>28</v>
      </c>
      <c r="C33">
        <v>1</v>
      </c>
      <c r="D33" t="s">
        <v>19</v>
      </c>
      <c r="F33">
        <v>2.31</v>
      </c>
      <c r="J33">
        <f>72+160+173+179+230+238+283+289</f>
        <v>1624</v>
      </c>
      <c r="K33">
        <v>8</v>
      </c>
      <c r="L33">
        <v>289</v>
      </c>
      <c r="N33" t="str">
        <f>IF(OR(D33="S. acutus", D33="S. tabernaemontani", D33="S. californicus"),(1/3)*(3.14159)*((F33/2)^2)*E33,"NA")</f>
        <v>NA</v>
      </c>
      <c r="O33">
        <f>IF(AND(OR(D33="S. acutus",D33="S. californicus",D33="S. tabernaemontani"),G33=0),E33*[1]Sheet1!$D$7+[1]Sheet1!$L$7,IF(AND(OR(D33="S. acutus",D33="S. tabernaemontani"),G33&gt;0),E33*[1]Sheet1!$D$8+N33*[1]Sheet1!$E$8,IF(AND(D33="S. californicus",G33&gt;0),E33*[1]Sheet1!$D$9+N33*[1]Sheet1!$E$9,IF(D33="S.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latifolia"),E33&gt;0),F33*[1]Sheet1!$C$4+E33*[1]Sheet1!$D$4+H33*[1]Sheet1!$J$4+I33*[1]Sheet1!$K$4+[1]Sheet1!$L$4,IF(AND(OR(D33="T. domingensis",D33="T. latifolia"),J33&gt;0),J33*[1]Sheet1!$G$5+K33*[1]Sheet1!$H$5+L33*[1]Sheet1!$I$5+[1]Sheet1!$L$5,0)))))))</f>
        <v>42.056475000000027</v>
      </c>
    </row>
    <row r="34" spans="1:15">
      <c r="A34" s="9">
        <v>41768</v>
      </c>
      <c r="B34" s="7" t="s">
        <v>28</v>
      </c>
      <c r="C34">
        <v>1</v>
      </c>
      <c r="D34" t="s">
        <v>19</v>
      </c>
      <c r="F34">
        <v>1.49</v>
      </c>
      <c r="J34">
        <f>110+151+174+176+196+205</f>
        <v>1012</v>
      </c>
      <c r="K34">
        <v>6</v>
      </c>
      <c r="L34">
        <v>205</v>
      </c>
      <c r="N34" t="str">
        <f>IF(OR(D34="S. acutus", D34="S. tabernaemontani", D34="S. californicus"),(1/3)*(3.14159)*((F34/2)^2)*E34,"NA")</f>
        <v>NA</v>
      </c>
      <c r="O34">
        <f>IF(AND(OR(D34="S. acutus",D34="S. californicus",D34="S. tabernaemontani"),G34=0),E34*[1]Sheet1!$D$7+[1]Sheet1!$L$7,IF(AND(OR(D34="S. acutus",D34="S. tabernaemontani"),G34&gt;0),E34*[1]Sheet1!$D$8+N34*[1]Sheet1!$E$8,IF(AND(D34="S. californicus",G34&gt;0),E34*[1]Sheet1!$D$9+N34*[1]Sheet1!$E$9,IF(D34="S.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latifolia"),E34&gt;0),F34*[1]Sheet1!$C$4+E34*[1]Sheet1!$D$4+H34*[1]Sheet1!$J$4+I34*[1]Sheet1!$K$4+[1]Sheet1!$L$4,IF(AND(OR(D34="T. domingensis",D34="T. latifolia"),J34&gt;0),J34*[1]Sheet1!$G$5+K34*[1]Sheet1!$H$5+L34*[1]Sheet1!$I$5+[1]Sheet1!$L$5,0)))))))</f>
        <v>24.027701</v>
      </c>
    </row>
    <row r="35" spans="1:15">
      <c r="A35" s="9">
        <v>41768</v>
      </c>
      <c r="B35" s="7" t="s">
        <v>28</v>
      </c>
      <c r="C35">
        <v>1</v>
      </c>
      <c r="D35" t="s">
        <v>19</v>
      </c>
      <c r="F35">
        <v>1.65</v>
      </c>
      <c r="J35">
        <f>88+141+187+241+248+275</f>
        <v>1180</v>
      </c>
      <c r="K35">
        <v>6</v>
      </c>
      <c r="L35">
        <v>275</v>
      </c>
      <c r="N35" t="str">
        <f>IF(OR(D35="S. acutus", D35="S. tabernaemontani", D35="S. californicus"),(1/3)*(3.14159)*((F35/2)^2)*E35,"NA")</f>
        <v>NA</v>
      </c>
      <c r="O35">
        <f>IF(AND(OR(D35="S. acutus",D35="S. californicus",D35="S. tabernaemontani"),G35=0),E35*[1]Sheet1!$D$7+[1]Sheet1!$L$7,IF(AND(OR(D35="S. acutus",D35="S. tabernaemontani"),G35&gt;0),E35*[1]Sheet1!$D$8+N35*[1]Sheet1!$E$8,IF(AND(D35="S. californicus",G35&gt;0),E35*[1]Sheet1!$D$9+N35*[1]Sheet1!$E$9,IF(D35="S.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latifolia"),E35&gt;0),F35*[1]Sheet1!$C$4+E35*[1]Sheet1!$D$4+H35*[1]Sheet1!$J$4+I35*[1]Sheet1!$K$4+[1]Sheet1!$L$4,IF(AND(OR(D35="T. domingensis",D35="T. latifolia"),J35&gt;0),J35*[1]Sheet1!$G$5+K35*[1]Sheet1!$H$5+L35*[1]Sheet1!$I$5+[1]Sheet1!$L$5,0)))))))</f>
        <v>18.691391000000017</v>
      </c>
    </row>
    <row r="36" spans="1:15">
      <c r="A36" s="9">
        <v>41768</v>
      </c>
      <c r="B36" s="7" t="s">
        <v>28</v>
      </c>
      <c r="C36">
        <v>1</v>
      </c>
      <c r="D36" t="s">
        <v>19</v>
      </c>
      <c r="F36">
        <v>1.45</v>
      </c>
      <c r="J36">
        <f>39+37+81+118+133+136+145+147</f>
        <v>836</v>
      </c>
      <c r="K36">
        <v>8</v>
      </c>
      <c r="L36">
        <v>147</v>
      </c>
      <c r="N36" t="str">
        <f>IF(OR(D36="S. acutus", D36="S. tabernaemontani", D36="S. californicus"),(1/3)*(3.14159)*((F36/2)^2)*E36,"NA")</f>
        <v>NA</v>
      </c>
      <c r="O36">
        <f>IF(AND(OR(D36="S. acutus",D36="S. californicus",D36="S. tabernaemontani"),G36=0),E36*[1]Sheet1!$D$7+[1]Sheet1!$L$7,IF(AND(OR(D36="S. acutus",D36="S. tabernaemontani"),G36&gt;0),E36*[1]Sheet1!$D$8+N36*[1]Sheet1!$E$8,IF(AND(D36="S. californicus",G36&gt;0),E36*[1]Sheet1!$D$9+N36*[1]Sheet1!$E$9,IF(D36="S.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latifolia"),E36&gt;0),F36*[1]Sheet1!$C$4+E36*[1]Sheet1!$D$4+H36*[1]Sheet1!$J$4+I36*[1]Sheet1!$K$4+[1]Sheet1!$L$4,IF(AND(OR(D36="T. domingensis",D36="T. latifolia"),J36&gt;0),J36*[1]Sheet1!$G$5+K36*[1]Sheet1!$H$5+L36*[1]Sheet1!$I$5+[1]Sheet1!$L$5,0)))))))</f>
        <v>10.954325000000004</v>
      </c>
    </row>
    <row r="37" spans="1:15">
      <c r="A37" s="9">
        <v>41768</v>
      </c>
      <c r="B37" s="7" t="s">
        <v>28</v>
      </c>
      <c r="C37">
        <v>1</v>
      </c>
      <c r="D37" t="s">
        <v>19</v>
      </c>
      <c r="F37">
        <v>1.63</v>
      </c>
      <c r="J37">
        <f>75+78+132+140+147+157</f>
        <v>729</v>
      </c>
      <c r="K37">
        <v>6</v>
      </c>
      <c r="L37">
        <v>157</v>
      </c>
      <c r="N37" t="str">
        <f>IF(OR(D37="S. acutus", D37="S. tabernaemontani", D37="S. californicus"),(1/3)*(3.14159)*((F37/2)^2)*E37,"NA")</f>
        <v>NA</v>
      </c>
      <c r="O37">
        <f>IF(AND(OR(D37="S. acutus",D37="S. californicus",D37="S. tabernaemontani"),G37=0),E37*[1]Sheet1!$D$7+[1]Sheet1!$L$7,IF(AND(OR(D37="S. acutus",D37="S. tabernaemontani"),G37&gt;0),E37*[1]Sheet1!$D$8+N37*[1]Sheet1!$E$8,IF(AND(D37="S. californicus",G37&gt;0),E37*[1]Sheet1!$D$9+N37*[1]Sheet1!$E$9,IF(D37="S.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latifolia"),E37&gt;0),F37*[1]Sheet1!$C$4+E37*[1]Sheet1!$D$4+H37*[1]Sheet1!$J$4+I37*[1]Sheet1!$K$4+[1]Sheet1!$L$4,IF(AND(OR(D37="T. domingensis",D37="T. latifolia"),J37&gt;0),J37*[1]Sheet1!$G$5+K37*[1]Sheet1!$H$5+L37*[1]Sheet1!$I$5+[1]Sheet1!$L$5,0)))))))</f>
        <v>11.954796000000002</v>
      </c>
    </row>
    <row r="38" spans="1:15">
      <c r="A38" s="9">
        <v>41768</v>
      </c>
      <c r="B38" s="7" t="s">
        <v>28</v>
      </c>
      <c r="C38">
        <v>1</v>
      </c>
      <c r="D38" t="s">
        <v>19</v>
      </c>
      <c r="F38">
        <v>0.73</v>
      </c>
      <c r="J38">
        <f>23+63+90+216+139</f>
        <v>531</v>
      </c>
      <c r="K38">
        <v>5</v>
      </c>
      <c r="L38">
        <v>216</v>
      </c>
      <c r="N38" t="str">
        <f>IF(OR(D38="S. acutus", D38="S. tabernaemontani", D38="S. californicus"),(1/3)*(3.14159)*((F38/2)^2)*E38,"NA")</f>
        <v>NA</v>
      </c>
      <c r="O38">
        <f>IF(AND(OR(D38="S. acutus",D38="S. californicus",D38="S. tabernaemontani"),G38=0),E38*[1]Sheet1!$D$7+[1]Sheet1!$L$7,IF(AND(OR(D38="S. acutus",D38="S. tabernaemontani"),G38&gt;0),E38*[1]Sheet1!$D$8+N38*[1]Sheet1!$E$8,IF(AND(D38="S. californicus",G38&gt;0),E38*[1]Sheet1!$D$9+N38*[1]Sheet1!$E$9,IF(D38="S.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latifolia"),E38&gt;0),F38*[1]Sheet1!$C$4+E38*[1]Sheet1!$D$4+H38*[1]Sheet1!$J$4+I38*[1]Sheet1!$K$4+[1]Sheet1!$L$4,IF(AND(OR(D38="T. domingensis",D38="T. latifolia"),J38&gt;0),J38*[1]Sheet1!$G$5+K38*[1]Sheet1!$H$5+L38*[1]Sheet1!$I$5+[1]Sheet1!$L$5,0)))))))</f>
        <v>-17.359795999999989</v>
      </c>
    </row>
    <row r="39" spans="1:15">
      <c r="A39" s="9">
        <v>41768</v>
      </c>
      <c r="B39" s="7" t="s">
        <v>28</v>
      </c>
      <c r="C39">
        <v>1</v>
      </c>
      <c r="D39" t="s">
        <v>19</v>
      </c>
      <c r="F39">
        <v>1</v>
      </c>
      <c r="J39">
        <f>43+83+139+152+152</f>
        <v>569</v>
      </c>
      <c r="K39">
        <v>5</v>
      </c>
      <c r="L39">
        <v>152</v>
      </c>
      <c r="N39" t="str">
        <f>IF(OR(D39="S. acutus", D39="S. tabernaemontani", D39="S. californicus"),(1/3)*(3.14159)*((F39/2)^2)*E39,"NA")</f>
        <v>NA</v>
      </c>
      <c r="O39">
        <f>IF(AND(OR(D39="S. acutus",D39="S. californicus",D39="S. tabernaemontani"),G39=0),E39*[1]Sheet1!$D$7+[1]Sheet1!$L$7,IF(AND(OR(D39="S. acutus",D39="S. tabernaemontani"),G39&gt;0),E39*[1]Sheet1!$D$8+N39*[1]Sheet1!$E$8,IF(AND(D39="S. californicus",G39&gt;0),E39*[1]Sheet1!$D$9+N39*[1]Sheet1!$E$9,IF(D39="S.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latifolia"),E39&gt;0),F39*[1]Sheet1!$C$4+E39*[1]Sheet1!$D$4+H39*[1]Sheet1!$J$4+I39*[1]Sheet1!$K$4+[1]Sheet1!$L$4,IF(AND(OR(D39="T. domingensis",D39="T. latifolia"),J39&gt;0),J39*[1]Sheet1!$G$5+K39*[1]Sheet1!$H$5+L39*[1]Sheet1!$I$5+[1]Sheet1!$L$5,0)))))))</f>
        <v>5.4825739999999996</v>
      </c>
    </row>
    <row r="40" spans="1:15">
      <c r="A40" s="9">
        <v>41768</v>
      </c>
      <c r="B40" s="7" t="s">
        <v>28</v>
      </c>
      <c r="C40">
        <v>1</v>
      </c>
      <c r="D40" t="s">
        <v>19</v>
      </c>
      <c r="F40">
        <v>0.94</v>
      </c>
      <c r="J40">
        <f>30+54+55+64+134+121+109</f>
        <v>567</v>
      </c>
      <c r="K40">
        <v>7</v>
      </c>
      <c r="L40">
        <v>134</v>
      </c>
      <c r="N40" t="str">
        <f>IF(OR(D40="S. acutus", D40="S. tabernaemontani", D40="S. californicus"),(1/3)*(3.14159)*((F40/2)^2)*E40,"NA")</f>
        <v>NA</v>
      </c>
      <c r="O40">
        <f>IF(AND(OR(D40="S. acutus",D40="S. californicus",D40="S. tabernaemontani"),G40=0),E40*[1]Sheet1!$D$7+[1]Sheet1!$L$7,IF(AND(OR(D40="S. acutus",D40="S. tabernaemontani"),G40&gt;0),E40*[1]Sheet1!$D$8+N40*[1]Sheet1!$E$8,IF(AND(D40="S. californicus",G40&gt;0),E40*[1]Sheet1!$D$9+N40*[1]Sheet1!$E$9,IF(D40="S.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latifolia"),E40&gt;0),F40*[1]Sheet1!$C$4+E40*[1]Sheet1!$D$4+H40*[1]Sheet1!$J$4+I40*[1]Sheet1!$K$4+[1]Sheet1!$L$4,IF(AND(OR(D40="T. domingensis",D40="T. latifolia"),J40&gt;0),J40*[1]Sheet1!$G$5+K40*[1]Sheet1!$H$5+L40*[1]Sheet1!$I$5+[1]Sheet1!$L$5,0)))))))</f>
        <v>-3.3272319999999951</v>
      </c>
    </row>
    <row r="41" spans="1:15">
      <c r="A41" s="9">
        <v>41768</v>
      </c>
      <c r="B41" s="7" t="s">
        <v>28</v>
      </c>
      <c r="C41">
        <v>5</v>
      </c>
      <c r="D41" t="s">
        <v>20</v>
      </c>
      <c r="E41">
        <v>183</v>
      </c>
      <c r="F41">
        <v>0.53</v>
      </c>
      <c r="N41">
        <f>IF(OR(D41="S. acutus", D41="S. tabernaemontani", D41="S. californicus"),(1/3)*(3.14159)*((F41/2)^2)*E41,"NA")</f>
        <v>13.45770762275</v>
      </c>
      <c r="O41">
        <f>IF(AND(OR(D41="S. acutus",D41="S. californicus",D41="S. tabernaemontani"),G41=0),E41*[1]Sheet1!$D$7+[1]Sheet1!$L$7,IF(AND(OR(D41="S. acutus",D41="S. tabernaemontani"),G41&gt;0),E41*[1]Sheet1!$D$8+N41*[1]Sheet1!$E$8,IF(AND(D41="S. californicus",G41&gt;0),E41*[1]Sheet1!$D$9+N41*[1]Sheet1!$E$9,IF(D41="S.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latifolia"),E41&gt;0),F41*[1]Sheet1!$C$4+E41*[1]Sheet1!$D$4+H41*[1]Sheet1!$J$4+I41*[1]Sheet1!$K$4+[1]Sheet1!$L$4,IF(AND(OR(D41="T. domingensis",D41="T. latifolia"),J41&gt;0),J41*[1]Sheet1!$G$5+K41*[1]Sheet1!$H$5+L41*[1]Sheet1!$I$5+[1]Sheet1!$L$5,0)))))))</f>
        <v>8.2386179999999989</v>
      </c>
    </row>
    <row r="42" spans="1:15">
      <c r="A42" s="9">
        <v>41768</v>
      </c>
      <c r="B42" s="7" t="s">
        <v>28</v>
      </c>
      <c r="C42">
        <v>5</v>
      </c>
      <c r="D42" t="s">
        <v>20</v>
      </c>
      <c r="E42">
        <v>147</v>
      </c>
      <c r="F42">
        <v>0.53</v>
      </c>
      <c r="N42">
        <f>IF(OR(D42="S. acutus", D42="S. tabernaemontani", D42="S. californicus"),(1/3)*(3.14159)*((F42/2)^2)*E42,"NA")</f>
        <v>10.81028972975</v>
      </c>
      <c r="O42">
        <f>IF(AND(OR(D42="S. acutus",D42="S. californicus",D42="S. tabernaemontani"),G42=0),E42*[1]Sheet1!$D$7+[1]Sheet1!$L$7,IF(AND(OR(D42="S. acutus",D42="S. tabernaemontani"),G42&gt;0),E42*[1]Sheet1!$D$8+N42*[1]Sheet1!$E$8,IF(AND(D42="S. californicus",G42&gt;0),E42*[1]Sheet1!$D$9+N42*[1]Sheet1!$E$9,IF(D42="S.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latifolia"),E42&gt;0),F42*[1]Sheet1!$C$4+E42*[1]Sheet1!$D$4+H42*[1]Sheet1!$J$4+I42*[1]Sheet1!$K$4+[1]Sheet1!$L$4,IF(AND(OR(D42="T. domingensis",D42="T. latifolia"),J42&gt;0),J42*[1]Sheet1!$G$5+K42*[1]Sheet1!$H$5+L42*[1]Sheet1!$I$5+[1]Sheet1!$L$5,0)))))))</f>
        <v>5.7148379999999994</v>
      </c>
    </row>
    <row r="43" spans="1:15">
      <c r="A43" s="9">
        <v>41768</v>
      </c>
      <c r="B43" s="7" t="s">
        <v>28</v>
      </c>
      <c r="C43">
        <v>5</v>
      </c>
      <c r="D43" t="s">
        <v>20</v>
      </c>
      <c r="E43">
        <v>39</v>
      </c>
      <c r="F43">
        <v>0.65</v>
      </c>
      <c r="N43">
        <f>IF(OR(D43="S. acutus", D43="S. tabernaemontani", D43="S. californicus"),(1/3)*(3.14159)*((F43/2)^2)*E43,"NA")</f>
        <v>4.3137957687500004</v>
      </c>
      <c r="O43">
        <f>IF(AND(OR(D43="S. acutus",D43="S. californicus",D43="S. tabernaemontani"),G43=0),E43*[1]Sheet1!$D$7+[1]Sheet1!$L$7,IF(AND(OR(D43="S. acutus",D43="S. tabernaemontani"),G43&gt;0),E43*[1]Sheet1!$D$8+N43*[1]Sheet1!$E$8,IF(AND(D43="S. californicus",G43&gt;0),E43*[1]Sheet1!$D$9+N43*[1]Sheet1!$E$9,IF(D43="S.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latifolia"),E43&gt;0),F43*[1]Sheet1!$C$4+E43*[1]Sheet1!$D$4+H43*[1]Sheet1!$J$4+I43*[1]Sheet1!$K$4+[1]Sheet1!$L$4,IF(AND(OR(D43="T. domingensis",D43="T. latifolia"),J43&gt;0),J43*[1]Sheet1!$G$5+K43*[1]Sheet1!$H$5+L43*[1]Sheet1!$I$5+[1]Sheet1!$L$5,0)))))))</f>
        <v>-1.8565019999999999</v>
      </c>
    </row>
    <row r="44" spans="1:15">
      <c r="A44" s="9">
        <v>41768</v>
      </c>
      <c r="B44" s="7" t="s">
        <v>28</v>
      </c>
      <c r="C44">
        <v>5</v>
      </c>
      <c r="D44" t="s">
        <v>20</v>
      </c>
      <c r="E44">
        <v>23</v>
      </c>
      <c r="F44">
        <v>0.6</v>
      </c>
      <c r="N44">
        <f>IF(OR(D44="S. acutus", D44="S. tabernaemontani", D44="S. californicus"),(1/3)*(3.14159)*((F44/2)^2)*E44,"NA")</f>
        <v>2.1676970999999998</v>
      </c>
      <c r="O44">
        <f>IF(AND(OR(D44="S. acutus",D44="S. californicus",D44="S. tabernaemontani"),G44=0),E44*[1]Sheet1!$D$7+[1]Sheet1!$L$7,IF(AND(OR(D44="S. acutus",D44="S. tabernaemontani"),G44&gt;0),E44*[1]Sheet1!$D$8+N44*[1]Sheet1!$E$8,IF(AND(D44="S. californicus",G44&gt;0),E44*[1]Sheet1!$D$9+N44*[1]Sheet1!$E$9,IF(D44="S.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latifolia"),E44&gt;0),F44*[1]Sheet1!$C$4+E44*[1]Sheet1!$D$4+H44*[1]Sheet1!$J$4+I44*[1]Sheet1!$K$4+[1]Sheet1!$L$4,IF(AND(OR(D44="T. domingensis",D44="T. latifolia"),J44&gt;0),J44*[1]Sheet1!$G$5+K44*[1]Sheet1!$H$5+L44*[1]Sheet1!$I$5+[1]Sheet1!$L$5,0)))))))</f>
        <v>-2.9781819999999999</v>
      </c>
    </row>
    <row r="45" spans="1:15">
      <c r="A45" s="9">
        <v>41768</v>
      </c>
      <c r="B45" s="7" t="s">
        <v>28</v>
      </c>
      <c r="C45">
        <v>5</v>
      </c>
      <c r="D45" t="s">
        <v>20</v>
      </c>
      <c r="E45">
        <v>92</v>
      </c>
      <c r="F45">
        <v>0.44</v>
      </c>
      <c r="N45">
        <f>IF(OR(D45="S. acutus", D45="S. tabernaemontani", D45="S. californicus"),(1/3)*(3.14159)*((F45/2)^2)*E45,"NA")</f>
        <v>4.6629573173333325</v>
      </c>
      <c r="O45">
        <f>IF(AND(OR(D45="S. acutus",D45="S. californicus",D45="S. tabernaemontani"),G45=0),E45*[1]Sheet1!$D$7+[1]Sheet1!$L$7,IF(AND(OR(D45="S. acutus",D45="S. tabernaemontani"),G45&gt;0),E45*[1]Sheet1!$D$8+N45*[1]Sheet1!$E$8,IF(AND(D45="S. californicus",G45&gt;0),E45*[1]Sheet1!$D$9+N45*[1]Sheet1!$E$9,IF(D45="S.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latifolia"),E45&gt;0),F45*[1]Sheet1!$C$4+E45*[1]Sheet1!$D$4+H45*[1]Sheet1!$J$4+I45*[1]Sheet1!$K$4+[1]Sheet1!$L$4,IF(AND(OR(D45="T. domingensis",D45="T. latifolia"),J45&gt;0),J45*[1]Sheet1!$G$5+K45*[1]Sheet1!$H$5+L45*[1]Sheet1!$I$5+[1]Sheet1!$L$5,0)))))))</f>
        <v>1.8590629999999999</v>
      </c>
    </row>
    <row r="46" spans="1:15">
      <c r="A46" s="9">
        <v>41768</v>
      </c>
      <c r="B46" s="7" t="s">
        <v>28</v>
      </c>
      <c r="C46">
        <v>5</v>
      </c>
      <c r="D46" t="s">
        <v>20</v>
      </c>
      <c r="E46">
        <v>41</v>
      </c>
      <c r="F46">
        <v>0.64</v>
      </c>
      <c r="N46">
        <f>IF(OR(D46="S. acutus", D46="S. tabernaemontani", D46="S. californicus"),(1/3)*(3.14159)*((F46/2)^2)*E46,"NA")</f>
        <v>4.396550485333333</v>
      </c>
      <c r="O46">
        <f>IF(AND(OR(D46="S. acutus",D46="S. californicus",D46="S. tabernaemontani"),G46=0),E46*[1]Sheet1!$D$7+[1]Sheet1!$L$7,IF(AND(OR(D46="S. acutus",D46="S. tabernaemontani"),G46&gt;0),E46*[1]Sheet1!$D$8+N46*[1]Sheet1!$E$8,IF(AND(D46="S. californicus",G46&gt;0),E46*[1]Sheet1!$D$9+N46*[1]Sheet1!$E$9,IF(D46="S.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latifolia"),E46&gt;0),F46*[1]Sheet1!$C$4+E46*[1]Sheet1!$D$4+H46*[1]Sheet1!$J$4+I46*[1]Sheet1!$K$4+[1]Sheet1!$L$4,IF(AND(OR(D46="T. domingensis",D46="T. latifolia"),J46&gt;0),J46*[1]Sheet1!$G$5+K46*[1]Sheet1!$H$5+L46*[1]Sheet1!$I$5+[1]Sheet1!$L$5,0)))))))</f>
        <v>-1.7162919999999997</v>
      </c>
    </row>
    <row r="47" spans="1:15">
      <c r="A47" s="9">
        <v>41768</v>
      </c>
      <c r="B47" s="7" t="s">
        <v>28</v>
      </c>
      <c r="C47">
        <v>5</v>
      </c>
      <c r="D47" t="s">
        <v>20</v>
      </c>
      <c r="E47">
        <v>73</v>
      </c>
      <c r="F47">
        <v>0.45</v>
      </c>
      <c r="N47">
        <f>IF(OR(D47="S. acutus", D47="S. tabernaemontani", D47="S. californicus"),(1/3)*(3.14159)*((F47/2)^2)*E47,"NA")</f>
        <v>3.8700461812499998</v>
      </c>
      <c r="O47">
        <f>IF(AND(OR(D47="S. acutus",D47="S. californicus",D47="S. tabernaemontani"),G47=0),E47*[1]Sheet1!$D$7+[1]Sheet1!$L$7,IF(AND(OR(D47="S. acutus",D47="S. tabernaemontani"),G47&gt;0),E47*[1]Sheet1!$D$8+N47*[1]Sheet1!$E$8,IF(AND(D47="S. californicus",G47&gt;0),E47*[1]Sheet1!$D$9+N47*[1]Sheet1!$E$9,IF(D47="S.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latifolia"),E47&gt;0),F47*[1]Sheet1!$C$4+E47*[1]Sheet1!$D$4+H47*[1]Sheet1!$J$4+I47*[1]Sheet1!$K$4+[1]Sheet1!$L$4,IF(AND(OR(D47="T. domingensis",D47="T. latifolia"),J47&gt;0),J47*[1]Sheet1!$G$5+K47*[1]Sheet1!$H$5+L47*[1]Sheet1!$I$5+[1]Sheet1!$L$5,0)))))))</f>
        <v>0.52706799999999987</v>
      </c>
    </row>
    <row r="48" spans="1:15">
      <c r="A48" s="9">
        <v>41768</v>
      </c>
      <c r="B48" s="7" t="s">
        <v>28</v>
      </c>
      <c r="C48">
        <v>5</v>
      </c>
      <c r="D48" t="s">
        <v>20</v>
      </c>
      <c r="E48">
        <v>38</v>
      </c>
      <c r="F48">
        <v>0.6</v>
      </c>
      <c r="N48">
        <f>IF(OR(D48="S. acutus", D48="S. tabernaemontani", D48="S. californicus"),(1/3)*(3.14159)*((F48/2)^2)*E48,"NA")</f>
        <v>3.5814125999999997</v>
      </c>
      <c r="O48">
        <f>IF(AND(OR(D48="S. acutus",D48="S. californicus",D48="S. tabernaemontani"),G48=0),E48*[1]Sheet1!$D$7+[1]Sheet1!$L$7,IF(AND(OR(D48="S. acutus",D48="S. tabernaemontani"),G48&gt;0),E48*[1]Sheet1!$D$8+N48*[1]Sheet1!$E$8,IF(AND(D48="S. californicus",G48&gt;0),E48*[1]Sheet1!$D$9+N48*[1]Sheet1!$E$9,IF(D48="S.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latifolia"),E48&gt;0),F48*[1]Sheet1!$C$4+E48*[1]Sheet1!$D$4+H48*[1]Sheet1!$J$4+I48*[1]Sheet1!$K$4+[1]Sheet1!$L$4,IF(AND(OR(D48="T. domingensis",D48="T. latifolia"),J48&gt;0),J48*[1]Sheet1!$G$5+K48*[1]Sheet1!$H$5+L48*[1]Sheet1!$I$5+[1]Sheet1!$L$5,0)))))))</f>
        <v>-1.9266069999999997</v>
      </c>
    </row>
    <row r="49" spans="1:15">
      <c r="A49" s="9">
        <v>41768</v>
      </c>
      <c r="B49" s="7" t="s">
        <v>28</v>
      </c>
      <c r="C49">
        <v>5</v>
      </c>
      <c r="D49" t="s">
        <v>20</v>
      </c>
      <c r="E49">
        <v>181</v>
      </c>
      <c r="F49">
        <v>0.49</v>
      </c>
      <c r="N49">
        <f>IF(OR(D49="S. acutus", D49="S. tabernaemontani", D49="S. californicus"),(1/3)*(3.14159)*((F49/2)^2)*E49,"NA")</f>
        <v>11.377294364916665</v>
      </c>
      <c r="O49">
        <f>IF(AND(OR(D49="S. acutus",D49="S. californicus",D49="S. tabernaemontani"),G49=0),E49*[1]Sheet1!$D$7+[1]Sheet1!$L$7,IF(AND(OR(D49="S. acutus",D49="S. tabernaemontani"),G49&gt;0),E49*[1]Sheet1!$D$8+N49*[1]Sheet1!$E$8,IF(AND(D49="S. californicus",G49&gt;0),E49*[1]Sheet1!$D$9+N49*[1]Sheet1!$E$9,IF(D49="S.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latifolia"),E49&gt;0),F49*[1]Sheet1!$C$4+E49*[1]Sheet1!$D$4+H49*[1]Sheet1!$J$4+I49*[1]Sheet1!$K$4+[1]Sheet1!$L$4,IF(AND(OR(D49="T. domingensis",D49="T. latifolia"),J49&gt;0),J49*[1]Sheet1!$G$5+K49*[1]Sheet1!$H$5+L49*[1]Sheet1!$I$5+[1]Sheet1!$L$5,0)))))))</f>
        <v>8.0984079999999992</v>
      </c>
    </row>
    <row r="50" spans="1:15">
      <c r="A50" s="9">
        <v>41768</v>
      </c>
      <c r="B50" s="7" t="s">
        <v>28</v>
      </c>
      <c r="C50">
        <v>5</v>
      </c>
      <c r="D50" t="s">
        <v>19</v>
      </c>
      <c r="F50">
        <v>2.21</v>
      </c>
      <c r="J50">
        <f>90+113+147+171+218+221</f>
        <v>960</v>
      </c>
      <c r="K50">
        <v>6</v>
      </c>
      <c r="L50">
        <v>221</v>
      </c>
      <c r="N50" t="str">
        <f>IF(OR(D50="S. acutus", D50="S. tabernaemontani", D50="S. californicus"),(1/3)*(3.14159)*((F50/2)^2)*E50,"NA")</f>
        <v>NA</v>
      </c>
      <c r="O50">
        <f>IF(AND(OR(D50="S. acutus",D50="S. californicus",D50="S. tabernaemontani"),G50=0),E50*[1]Sheet1!$D$7+[1]Sheet1!$L$7,IF(AND(OR(D50="S. acutus",D50="S. tabernaemontani"),G50&gt;0),E50*[1]Sheet1!$D$8+N50*[1]Sheet1!$E$8,IF(AND(D50="S. californicus",G50&gt;0),E50*[1]Sheet1!$D$9+N50*[1]Sheet1!$E$9,IF(D50="S.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latifolia"),E50&gt;0),F50*[1]Sheet1!$C$4+E50*[1]Sheet1!$D$4+H50*[1]Sheet1!$J$4+I50*[1]Sheet1!$K$4+[1]Sheet1!$L$4,IF(AND(OR(D50="T. domingensis",D50="T. latifolia"),J50&gt;0),J50*[1]Sheet1!$G$5+K50*[1]Sheet1!$H$5+L50*[1]Sheet1!$I$5+[1]Sheet1!$L$5,0)))))))</f>
        <v>14.332521000000007</v>
      </c>
    </row>
    <row r="51" spans="1:15">
      <c r="A51" s="9">
        <v>41768</v>
      </c>
      <c r="B51" s="7" t="s">
        <v>28</v>
      </c>
      <c r="C51">
        <v>5</v>
      </c>
      <c r="D51" t="s">
        <v>19</v>
      </c>
      <c r="F51">
        <v>2.19</v>
      </c>
      <c r="J51">
        <f>143+184+189+137+141+163</f>
        <v>957</v>
      </c>
      <c r="K51">
        <v>6</v>
      </c>
      <c r="L51">
        <v>189</v>
      </c>
      <c r="N51" t="str">
        <f>IF(OR(D51="S. acutus", D51="S. tabernaemontani", D51="S. californicus"),(1/3)*(3.14159)*((F51/2)^2)*E51,"NA")</f>
        <v>NA</v>
      </c>
      <c r="O51">
        <f>IF(AND(OR(D51="S. acutus",D51="S. californicus",D51="S. tabernaemontani"),G51=0),E51*[1]Sheet1!$D$7+[1]Sheet1!$L$7,IF(AND(OR(D51="S. acutus",D51="S. tabernaemontani"),G51&gt;0),E51*[1]Sheet1!$D$8+N51*[1]Sheet1!$E$8,IF(AND(D51="S. californicus",G51&gt;0),E51*[1]Sheet1!$D$9+N51*[1]Sheet1!$E$9,IF(D51="S.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latifolia"),E51&gt;0),F51*[1]Sheet1!$C$4+E51*[1]Sheet1!$D$4+H51*[1]Sheet1!$J$4+I51*[1]Sheet1!$K$4+[1]Sheet1!$L$4,IF(AND(OR(D51="T. domingensis",D51="T. latifolia"),J51&gt;0),J51*[1]Sheet1!$G$5+K51*[1]Sheet1!$H$5+L51*[1]Sheet1!$I$5+[1]Sheet1!$L$5,0)))))))</f>
        <v>23.691095999999995</v>
      </c>
    </row>
    <row r="52" spans="1:15">
      <c r="A52" s="9">
        <v>41768</v>
      </c>
      <c r="B52" s="7" t="s">
        <v>28</v>
      </c>
      <c r="C52">
        <v>5</v>
      </c>
      <c r="D52" t="s">
        <v>19</v>
      </c>
      <c r="F52">
        <v>1.54</v>
      </c>
      <c r="J52">
        <f>90+113+119+172+193</f>
        <v>687</v>
      </c>
      <c r="K52">
        <v>5</v>
      </c>
      <c r="L52">
        <v>193</v>
      </c>
      <c r="N52" t="str">
        <f>IF(OR(D52="S. acutus", D52="S. tabernaemontani", D52="S. californicus"),(1/3)*(3.14159)*((F52/2)^2)*E52,"NA")</f>
        <v>NA</v>
      </c>
      <c r="O52">
        <f>IF(AND(OR(D52="S. acutus",D52="S. californicus",D52="S. tabernaemontani"),G52=0),E52*[1]Sheet1!$D$7+[1]Sheet1!$L$7,IF(AND(OR(D52="S. acutus",D52="S. tabernaemontani"),G52&gt;0),E52*[1]Sheet1!$D$8+N52*[1]Sheet1!$E$8,IF(AND(D52="S. californicus",G52&gt;0),E52*[1]Sheet1!$D$9+N52*[1]Sheet1!$E$9,IF(D52="S.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latifolia"),E52&gt;0),F52*[1]Sheet1!$C$4+E52*[1]Sheet1!$D$4+H52*[1]Sheet1!$J$4+I52*[1]Sheet1!$K$4+[1]Sheet1!$L$4,IF(AND(OR(D52="T. domingensis",D52="T. latifolia"),J52&gt;0),J52*[1]Sheet1!$G$5+K52*[1]Sheet1!$H$5+L52*[1]Sheet1!$I$5+[1]Sheet1!$L$5,0)))))))</f>
        <v>4.1946190000000101</v>
      </c>
    </row>
    <row r="53" spans="1:15">
      <c r="A53" s="9">
        <v>41768</v>
      </c>
      <c r="B53" s="7" t="s">
        <v>28</v>
      </c>
      <c r="C53">
        <v>5</v>
      </c>
      <c r="D53" t="s">
        <v>19</v>
      </c>
      <c r="F53">
        <v>2.74</v>
      </c>
      <c r="J53">
        <f>113+230+232+282+310+308</f>
        <v>1475</v>
      </c>
      <c r="K53">
        <v>6</v>
      </c>
      <c r="L53">
        <v>310</v>
      </c>
      <c r="N53" t="str">
        <f>IF(OR(D53="S. acutus", D53="S. tabernaemontani", D53="S. californicus"),(1/3)*(3.14159)*((F53/2)^2)*E53,"NA")</f>
        <v>NA</v>
      </c>
      <c r="O53">
        <f>IF(AND(OR(D53="S. acutus",D53="S. californicus",D53="S. tabernaemontani"),G53=0),E53*[1]Sheet1!$D$7+[1]Sheet1!$L$7,IF(AND(OR(D53="S. acutus",D53="S. tabernaemontani"),G53&gt;0),E53*[1]Sheet1!$D$8+N53*[1]Sheet1!$E$8,IF(AND(D53="S. californicus",G53&gt;0),E53*[1]Sheet1!$D$9+N53*[1]Sheet1!$E$9,IF(D53="S.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latifolia"),E53&gt;0),F53*[1]Sheet1!$C$4+E53*[1]Sheet1!$D$4+H53*[1]Sheet1!$J$4+I53*[1]Sheet1!$K$4+[1]Sheet1!$L$4,IF(AND(OR(D53="T. domingensis",D53="T. latifolia"),J53&gt;0),J53*[1]Sheet1!$G$5+K53*[1]Sheet1!$H$5+L53*[1]Sheet1!$I$5+[1]Sheet1!$L$5,0)))))))</f>
        <v>35.805540999999998</v>
      </c>
    </row>
    <row r="54" spans="1:15">
      <c r="A54" s="9">
        <v>41768</v>
      </c>
      <c r="B54" s="7" t="s">
        <v>28</v>
      </c>
      <c r="C54">
        <v>5</v>
      </c>
      <c r="D54" t="s">
        <v>19</v>
      </c>
      <c r="F54">
        <v>2.73</v>
      </c>
      <c r="J54">
        <f>196+244+256+285+294</f>
        <v>1275</v>
      </c>
      <c r="K54">
        <v>5</v>
      </c>
      <c r="L54">
        <v>294</v>
      </c>
      <c r="N54" t="str">
        <f>IF(OR(D54="S. acutus", D54="S. tabernaemontani", D54="S. californicus"),(1/3)*(3.14159)*((F54/2)^2)*E54,"NA")</f>
        <v>NA</v>
      </c>
      <c r="O54">
        <f>IF(AND(OR(D54="S. acutus",D54="S. californicus",D54="S. tabernaemontani"),G54=0),E54*[1]Sheet1!$D$7+[1]Sheet1!$L$7,IF(AND(OR(D54="S. acutus",D54="S. tabernaemontani"),G54&gt;0),E54*[1]Sheet1!$D$8+N54*[1]Sheet1!$E$8,IF(AND(D54="S. californicus",G54&gt;0),E54*[1]Sheet1!$D$9+N54*[1]Sheet1!$E$9,IF(D54="S.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latifolia"),E54&gt;0),F54*[1]Sheet1!$C$4+E54*[1]Sheet1!$D$4+H54*[1]Sheet1!$J$4+I54*[1]Sheet1!$K$4+[1]Sheet1!$L$4,IF(AND(OR(D54="T. domingensis",D54="T. latifolia"),J54&gt;0),J54*[1]Sheet1!$G$5+K54*[1]Sheet1!$H$5+L54*[1]Sheet1!$I$5+[1]Sheet1!$L$5,0)))))))</f>
        <v>28.896813999999999</v>
      </c>
    </row>
    <row r="55" spans="1:15">
      <c r="A55" s="9">
        <v>41768</v>
      </c>
      <c r="B55" s="7" t="s">
        <v>28</v>
      </c>
      <c r="C55">
        <v>5</v>
      </c>
      <c r="D55" t="s">
        <v>19</v>
      </c>
      <c r="F55">
        <v>3.94</v>
      </c>
      <c r="J55">
        <f>170+202+247+258+291+316</f>
        <v>1484</v>
      </c>
      <c r="K55">
        <v>6</v>
      </c>
      <c r="L55">
        <v>316</v>
      </c>
      <c r="N55" t="str">
        <f>IF(OR(D55="S. acutus", D55="S. tabernaemontani", D55="S. californicus"),(1/3)*(3.14159)*((F55/2)^2)*E55,"NA")</f>
        <v>NA</v>
      </c>
      <c r="O55">
        <f>IF(AND(OR(D55="S. acutus",D55="S. californicus",D55="S. tabernaemontani"),G55=0),E55*[1]Sheet1!$D$7+[1]Sheet1!$L$7,IF(AND(OR(D55="S. acutus",D55="S. tabernaemontani"),G55&gt;0),E55*[1]Sheet1!$D$8+N55*[1]Sheet1!$E$8,IF(AND(D55="S. californicus",G55&gt;0),E55*[1]Sheet1!$D$9+N55*[1]Sheet1!$E$9,IF(D55="S.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latifolia"),E55&gt;0),F55*[1]Sheet1!$C$4+E55*[1]Sheet1!$D$4+H55*[1]Sheet1!$J$4+I55*[1]Sheet1!$K$4+[1]Sheet1!$L$4,IF(AND(OR(D55="T. domingensis",D55="T. latifolia"),J55&gt;0),J55*[1]Sheet1!$G$5+K55*[1]Sheet1!$H$5+L55*[1]Sheet1!$I$5+[1]Sheet1!$L$5,0)))))))</f>
        <v>34.841866000000003</v>
      </c>
    </row>
    <row r="56" spans="1:15">
      <c r="A56" s="9">
        <v>41768</v>
      </c>
      <c r="B56" s="7" t="s">
        <v>28</v>
      </c>
      <c r="C56">
        <v>5</v>
      </c>
      <c r="D56" t="s">
        <v>19</v>
      </c>
      <c r="F56">
        <v>12.01</v>
      </c>
      <c r="J56">
        <f>150+184+190+214+230</f>
        <v>968</v>
      </c>
      <c r="K56">
        <v>5</v>
      </c>
      <c r="L56">
        <v>230</v>
      </c>
      <c r="N56" t="str">
        <f>IF(OR(D56="S. acutus", D56="S. tabernaemontani", D56="S. californicus"),(1/3)*(3.14159)*((F56/2)^2)*E56,"NA")</f>
        <v>NA</v>
      </c>
      <c r="O56">
        <f>IF(AND(OR(D56="S. acutus",D56="S. californicus",D56="S. tabernaemontani"),G56=0),E56*[1]Sheet1!$D$7+[1]Sheet1!$L$7,IF(AND(OR(D56="S. acutus",D56="S. tabernaemontani"),G56&gt;0),E56*[1]Sheet1!$D$8+N56*[1]Sheet1!$E$8,IF(AND(D56="S. californicus",G56&gt;0),E56*[1]Sheet1!$D$9+N56*[1]Sheet1!$E$9,IF(D56="S.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latifolia"),E56&gt;0),F56*[1]Sheet1!$C$4+E56*[1]Sheet1!$D$4+H56*[1]Sheet1!$J$4+I56*[1]Sheet1!$K$4+[1]Sheet1!$L$4,IF(AND(OR(D56="T. domingensis",D56="T. latifolia"),J56&gt;0),J56*[1]Sheet1!$G$5+K56*[1]Sheet1!$H$5+L56*[1]Sheet1!$I$5+[1]Sheet1!$L$5,0)))))))</f>
        <v>19.393709000000001</v>
      </c>
    </row>
    <row r="57" spans="1:15">
      <c r="A57" s="9">
        <v>41768</v>
      </c>
      <c r="B57" s="7" t="s">
        <v>28</v>
      </c>
      <c r="C57">
        <v>5</v>
      </c>
      <c r="D57" t="s">
        <v>19</v>
      </c>
      <c r="F57">
        <v>1.76</v>
      </c>
      <c r="J57">
        <f>106+147+173+187+224+226+149+184+203+280+257+197+346+346+350+365+372+383</f>
        <v>4495</v>
      </c>
      <c r="K57">
        <v>18</v>
      </c>
      <c r="L57">
        <v>383</v>
      </c>
      <c r="N57" t="str">
        <f>IF(OR(D57="S. acutus", D57="S. tabernaemontani", D57="S. californicus"),(1/3)*(3.14159)*((F57/2)^2)*E57,"NA")</f>
        <v>NA</v>
      </c>
      <c r="O57">
        <f>IF(AND(OR(D57="S. acutus",D57="S. californicus",D57="S. tabernaemontani"),G57=0),E57*[1]Sheet1!$D$7+[1]Sheet1!$L$7,IF(AND(OR(D57="S. acutus",D57="S. tabernaemontani"),G57&gt;0),E57*[1]Sheet1!$D$8+N57*[1]Sheet1!$E$8,IF(AND(D57="S. californicus",G57&gt;0),E57*[1]Sheet1!$D$9+N57*[1]Sheet1!$E$9,IF(D57="S.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latifolia"),E57&gt;0),F57*[1]Sheet1!$C$4+E57*[1]Sheet1!$D$4+H57*[1]Sheet1!$J$4+I57*[1]Sheet1!$K$4+[1]Sheet1!$L$4,IF(AND(OR(D57="T. domingensis",D57="T. latifolia"),J57&gt;0),J57*[1]Sheet1!$G$5+K57*[1]Sheet1!$H$5+L57*[1]Sheet1!$I$5+[1]Sheet1!$L$5,0)))))))</f>
        <v>212.68652000000003</v>
      </c>
    </row>
    <row r="58" spans="1:15">
      <c r="A58" s="9">
        <v>41768</v>
      </c>
      <c r="B58" s="7" t="s">
        <v>28</v>
      </c>
      <c r="C58">
        <v>5</v>
      </c>
      <c r="D58" t="s">
        <v>19</v>
      </c>
      <c r="F58">
        <v>4.05</v>
      </c>
      <c r="J58">
        <f>104+150+200+217+258+263+314+333+344+346</f>
        <v>2529</v>
      </c>
      <c r="K58">
        <v>10</v>
      </c>
      <c r="L58">
        <v>346</v>
      </c>
      <c r="N58" t="str">
        <f>IF(OR(D58="S. acutus", D58="S. tabernaemontani", D58="S. californicus"),(1/3)*(3.14159)*((F58/2)^2)*E58,"NA")</f>
        <v>NA</v>
      </c>
      <c r="O58">
        <f>IF(AND(OR(D58="S. acutus",D58="S. californicus",D58="S. tabernaemontani"),G58=0),E58*[1]Sheet1!$D$7+[1]Sheet1!$L$7,IF(AND(OR(D58="S. acutus",D58="S. tabernaemontani"),G58&gt;0),E58*[1]Sheet1!$D$8+N58*[1]Sheet1!$E$8,IF(AND(D58="S. californicus",G58&gt;0),E58*[1]Sheet1!$D$9+N58*[1]Sheet1!$E$9,IF(D58="S.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latifolia"),E58&gt;0),F58*[1]Sheet1!$C$4+E58*[1]Sheet1!$D$4+H58*[1]Sheet1!$J$4+I58*[1]Sheet1!$K$4+[1]Sheet1!$L$4,IF(AND(OR(D58="T. domingensis",D58="T. latifolia"),J58&gt;0),J58*[1]Sheet1!$G$5+K58*[1]Sheet1!$H$5+L58*[1]Sheet1!$I$5+[1]Sheet1!$L$5,0)))))))</f>
        <v>95.689079000000049</v>
      </c>
    </row>
    <row r="59" spans="1:15">
      <c r="A59" s="9">
        <v>41768</v>
      </c>
      <c r="B59" s="7" t="s">
        <v>28</v>
      </c>
      <c r="C59">
        <v>40</v>
      </c>
      <c r="D59" t="s">
        <v>23</v>
      </c>
      <c r="F59">
        <v>2.37</v>
      </c>
      <c r="J59">
        <f>99+107+156+165+186+200+227+237</f>
        <v>1377</v>
      </c>
      <c r="K59">
        <v>8</v>
      </c>
      <c r="L59">
        <v>237</v>
      </c>
      <c r="N59" t="str">
        <f>IF(OR(D59="S. acutus", D59="S. tabernaemontani", D59="S. californicus"),(1/3)*(3.14159)*((F59/2)^2)*E59,"NA")</f>
        <v>NA</v>
      </c>
      <c r="O59">
        <f>IF(AND(OR(D59="S. acutus",D59="S. californicus",D59="S. tabernaemontani"),G59=0),E59*[1]Sheet1!$D$7+[1]Sheet1!$L$7,IF(AND(OR(D59="S. acutus",D59="S. tabernaemontani"),G59&gt;0),E59*[1]Sheet1!$D$8+N59*[1]Sheet1!$E$8,IF(AND(D59="S. californicus",G59&gt;0),E59*[1]Sheet1!$D$9+N59*[1]Sheet1!$E$9,IF(D59="S.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latifolia"),E59&gt;0),F59*[1]Sheet1!$C$4+E59*[1]Sheet1!$D$4+H59*[1]Sheet1!$J$4+I59*[1]Sheet1!$K$4+[1]Sheet1!$L$4,IF(AND(OR(D59="T. domingensis",D59="T. latifolia"),J59&gt;0),J59*[1]Sheet1!$G$5+K59*[1]Sheet1!$H$5+L59*[1]Sheet1!$I$5+[1]Sheet1!$L$5,0)))))))</f>
        <v>34.563730000000014</v>
      </c>
    </row>
    <row r="60" spans="1:15">
      <c r="A60" s="9">
        <v>41768</v>
      </c>
      <c r="B60" s="7" t="s">
        <v>28</v>
      </c>
      <c r="C60">
        <v>40</v>
      </c>
      <c r="D60" t="s">
        <v>23</v>
      </c>
      <c r="F60">
        <v>2.1800000000000002</v>
      </c>
      <c r="J60">
        <f>74+128+179+192+234+243</f>
        <v>1050</v>
      </c>
      <c r="K60">
        <v>6</v>
      </c>
      <c r="L60">
        <v>243</v>
      </c>
      <c r="N60" t="str">
        <f>IF(OR(D60="S. acutus", D60="S. tabernaemontani", D60="S. californicus"),(1/3)*(3.14159)*((F60/2)^2)*E60,"NA")</f>
        <v>NA</v>
      </c>
      <c r="O60">
        <f>IF(AND(OR(D60="S. acutus",D60="S. californicus",D60="S. tabernaemontani"),G60=0),E60*[1]Sheet1!$D$7+[1]Sheet1!$L$7,IF(AND(OR(D60="S. acutus",D60="S. tabernaemontani"),G60&gt;0),E60*[1]Sheet1!$D$8+N60*[1]Sheet1!$E$8,IF(AND(D60="S. californicus",G60&gt;0),E60*[1]Sheet1!$D$9+N60*[1]Sheet1!$E$9,IF(D60="S.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latifolia"),E60&gt;0),F60*[1]Sheet1!$C$4+E60*[1]Sheet1!$D$4+H60*[1]Sheet1!$J$4+I60*[1]Sheet1!$K$4+[1]Sheet1!$L$4,IF(AND(OR(D60="T. domingensis",D60="T. latifolia"),J60&gt;0),J60*[1]Sheet1!$G$5+K60*[1]Sheet1!$H$5+L60*[1]Sheet1!$I$5+[1]Sheet1!$L$5,0)))))))</f>
        <v>16.143081000000002</v>
      </c>
    </row>
    <row r="61" spans="1:15">
      <c r="A61" s="9">
        <v>41768</v>
      </c>
      <c r="B61" s="7" t="s">
        <v>28</v>
      </c>
      <c r="C61">
        <v>40</v>
      </c>
      <c r="D61" t="s">
        <v>23</v>
      </c>
      <c r="F61">
        <v>2.17</v>
      </c>
      <c r="J61">
        <f>122+128+166+205+234+239+248</f>
        <v>1342</v>
      </c>
      <c r="K61">
        <v>7</v>
      </c>
      <c r="L61">
        <v>248</v>
      </c>
      <c r="N61" t="str">
        <f>IF(OR(D61="S. acutus", D61="S. tabernaemontani", D61="S. californicus"),(1/3)*(3.14159)*((F61/2)^2)*E61,"NA")</f>
        <v>NA</v>
      </c>
      <c r="O61">
        <f>IF(AND(OR(D61="S. acutus",D61="S. californicus",D61="S. tabernaemontani"),G61=0),E61*[1]Sheet1!$D$7+[1]Sheet1!$L$7,IF(AND(OR(D61="S. acutus",D61="S. tabernaemontani"),G61&gt;0),E61*[1]Sheet1!$D$8+N61*[1]Sheet1!$E$8,IF(AND(D61="S. californicus",G61&gt;0),E61*[1]Sheet1!$D$9+N61*[1]Sheet1!$E$9,IF(D61="S.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latifolia"),E61&gt;0),F61*[1]Sheet1!$C$4+E61*[1]Sheet1!$D$4+H61*[1]Sheet1!$J$4+I61*[1]Sheet1!$K$4+[1]Sheet1!$L$4,IF(AND(OR(D61="T. domingensis",D61="T. latifolia"),J61&gt;0),J61*[1]Sheet1!$G$5+K61*[1]Sheet1!$H$5+L61*[1]Sheet1!$I$5+[1]Sheet1!$L$5,0)))))))</f>
        <v>34.990963000000015</v>
      </c>
    </row>
    <row r="62" spans="1:15">
      <c r="A62" s="9">
        <v>41768</v>
      </c>
      <c r="B62" s="7" t="s">
        <v>28</v>
      </c>
      <c r="C62">
        <v>40</v>
      </c>
      <c r="D62" t="s">
        <v>23</v>
      </c>
      <c r="F62">
        <v>3.87</v>
      </c>
      <c r="J62">
        <f>153+209+259+263+293+298</f>
        <v>1475</v>
      </c>
      <c r="K62">
        <v>6</v>
      </c>
      <c r="L62">
        <v>298</v>
      </c>
      <c r="N62" t="str">
        <f>IF(OR(D62="S. acutus", D62="S. tabernaemontani", D62="S. californicus"),(1/3)*(3.14159)*((F62/2)^2)*E62,"NA")</f>
        <v>NA</v>
      </c>
      <c r="O62">
        <f>IF(AND(OR(D62="S. acutus",D62="S. californicus",D62="S. tabernaemontani"),G62=0),E62*[1]Sheet1!$D$7+[1]Sheet1!$L$7,IF(AND(OR(D62="S. acutus",D62="S. tabernaemontani"),G62&gt;0),E62*[1]Sheet1!$D$8+N62*[1]Sheet1!$E$8,IF(AND(D62="S. californicus",G62&gt;0),E62*[1]Sheet1!$D$9+N62*[1]Sheet1!$E$9,IF(D62="S.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latifolia"),E62&gt;0),F62*[1]Sheet1!$C$4+E62*[1]Sheet1!$D$4+H62*[1]Sheet1!$J$4+I62*[1]Sheet1!$K$4+[1]Sheet1!$L$4,IF(AND(OR(D62="T. domingensis",D62="T. latifolia"),J62&gt;0),J62*[1]Sheet1!$G$5+K62*[1]Sheet1!$H$5+L62*[1]Sheet1!$I$5+[1]Sheet1!$L$5,0)))))))</f>
        <v>39.420481000000002</v>
      </c>
    </row>
    <row r="63" spans="1:15">
      <c r="A63" s="9">
        <v>41768</v>
      </c>
      <c r="B63" s="7" t="s">
        <v>28</v>
      </c>
      <c r="C63">
        <v>40</v>
      </c>
      <c r="D63" t="s">
        <v>19</v>
      </c>
      <c r="F63">
        <v>2.0099999999999998</v>
      </c>
      <c r="J63">
        <f>71+73+125+108+147</f>
        <v>524</v>
      </c>
      <c r="K63">
        <v>5</v>
      </c>
      <c r="L63">
        <v>147</v>
      </c>
      <c r="N63" t="str">
        <f>IF(OR(D63="S. acutus", D63="S. tabernaemontani", D63="S. californicus"),(1/3)*(3.14159)*((F63/2)^2)*E63,"NA")</f>
        <v>NA</v>
      </c>
      <c r="O63">
        <f>IF(AND(OR(D63="S. acutus",D63="S. californicus",D63="S. tabernaemontani"),G63=0),E63*[1]Sheet1!$D$7+[1]Sheet1!$L$7,IF(AND(OR(D63="S. acutus",D63="S. tabernaemontani"),G63&gt;0),E63*[1]Sheet1!$D$8+N63*[1]Sheet1!$E$8,IF(AND(D63="S. californicus",G63&gt;0),E63*[1]Sheet1!$D$9+N63*[1]Sheet1!$E$9,IF(D63="S.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latifolia"),E63&gt;0),F63*[1]Sheet1!$C$4+E63*[1]Sheet1!$D$4+H63*[1]Sheet1!$J$4+I63*[1]Sheet1!$K$4+[1]Sheet1!$L$4,IF(AND(OR(D63="T. domingensis",D63="T. latifolia"),J63&gt;0),J63*[1]Sheet1!$G$5+K63*[1]Sheet1!$H$5+L63*[1]Sheet1!$I$5+[1]Sheet1!$L$5,0)))))))</f>
        <v>2.7698239999999998</v>
      </c>
    </row>
    <row r="64" spans="1:15">
      <c r="A64" s="9">
        <v>41768</v>
      </c>
      <c r="B64" s="7" t="s">
        <v>28</v>
      </c>
      <c r="C64">
        <v>40</v>
      </c>
      <c r="D64" t="s">
        <v>19</v>
      </c>
      <c r="F64">
        <v>2.19</v>
      </c>
      <c r="J64">
        <f>58+79+131+113+155+161+173</f>
        <v>870</v>
      </c>
      <c r="K64">
        <v>7</v>
      </c>
      <c r="L64">
        <v>173</v>
      </c>
      <c r="N64" t="str">
        <f>IF(OR(D64="S. acutus", D64="S. tabernaemontani", D64="S. californicus"),(1/3)*(3.14159)*((F64/2)^2)*E64,"NA")</f>
        <v>NA</v>
      </c>
      <c r="O64">
        <f>IF(AND(OR(D64="S. acutus",D64="S. californicus",D64="S. tabernaemontani"),G64=0),E64*[1]Sheet1!$D$7+[1]Sheet1!$L$7,IF(AND(OR(D64="S. acutus",D64="S. tabernaemontani"),G64&gt;0),E64*[1]Sheet1!$D$8+N64*[1]Sheet1!$E$8,IF(AND(D64="S. californicus",G64&gt;0),E64*[1]Sheet1!$D$9+N64*[1]Sheet1!$E$9,IF(D64="S.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latifolia"),E64&gt;0),F64*[1]Sheet1!$C$4+E64*[1]Sheet1!$D$4+H64*[1]Sheet1!$J$4+I64*[1]Sheet1!$K$4+[1]Sheet1!$L$4,IF(AND(OR(D64="T. domingensis",D64="T. latifolia"),J64&gt;0),J64*[1]Sheet1!$G$5+K64*[1]Sheet1!$H$5+L64*[1]Sheet1!$I$5+[1]Sheet1!$L$5,0)))))))</f>
        <v>13.331978000000007</v>
      </c>
    </row>
    <row r="65" spans="1:15">
      <c r="A65" s="9">
        <v>41768</v>
      </c>
      <c r="B65" s="7" t="s">
        <v>28</v>
      </c>
      <c r="C65">
        <v>40</v>
      </c>
      <c r="D65" t="s">
        <v>19</v>
      </c>
      <c r="F65">
        <v>3.12</v>
      </c>
      <c r="J65">
        <f>42+31+29+29+181+119+118+157+166+178+157</f>
        <v>1207</v>
      </c>
      <c r="K65">
        <v>11</v>
      </c>
      <c r="L65">
        <v>178</v>
      </c>
      <c r="N65" t="str">
        <f>IF(OR(D65="S. acutus", D65="S. tabernaemontani", D65="S. californicus"),(1/3)*(3.14159)*((F65/2)^2)*E65,"NA")</f>
        <v>NA</v>
      </c>
      <c r="O65">
        <f>IF(AND(OR(D65="S. acutus",D65="S. californicus",D65="S. tabernaemontani"),G65=0),E65*[1]Sheet1!$D$7+[1]Sheet1!$L$7,IF(AND(OR(D65="S. acutus",D65="S. tabernaemontani"),G65&gt;0),E65*[1]Sheet1!$D$8+N65*[1]Sheet1!$E$8,IF(AND(D65="S. californicus",G65&gt;0),E65*[1]Sheet1!$D$9+N65*[1]Sheet1!$E$9,IF(D65="S.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latifolia"),E65&gt;0),F65*[1]Sheet1!$C$4+E65*[1]Sheet1!$D$4+H65*[1]Sheet1!$J$4+I65*[1]Sheet1!$K$4+[1]Sheet1!$L$4,IF(AND(OR(D65="T. domingensis",D65="T. latifolia"),J65&gt;0),J65*[1]Sheet1!$G$5+K65*[1]Sheet1!$H$5+L65*[1]Sheet1!$I$5+[1]Sheet1!$L$5,0)))))))</f>
        <v>15.331776000000019</v>
      </c>
    </row>
    <row r="66" spans="1:15">
      <c r="A66" s="9">
        <v>41768</v>
      </c>
      <c r="B66" s="7" t="s">
        <v>28</v>
      </c>
      <c r="C66">
        <v>40</v>
      </c>
      <c r="D66" t="s">
        <v>19</v>
      </c>
      <c r="F66">
        <v>1.54</v>
      </c>
      <c r="J66">
        <f>84+65+135+106+157+144+70</f>
        <v>761</v>
      </c>
      <c r="K66">
        <v>7</v>
      </c>
      <c r="L66">
        <v>157</v>
      </c>
      <c r="N66" t="str">
        <f>IF(OR(D66="S. acutus", D66="S. tabernaemontani", D66="S. californicus"),(1/3)*(3.14159)*((F66/2)^2)*E66,"NA")</f>
        <v>NA</v>
      </c>
      <c r="O66">
        <f>IF(AND(OR(D66="S. acutus",D66="S. californicus",D66="S. tabernaemontani"),G66=0),E66*[1]Sheet1!$D$7+[1]Sheet1!$L$7,IF(AND(OR(D66="S. acutus",D66="S. tabernaemontani"),G66&gt;0),E66*[1]Sheet1!$D$8+N66*[1]Sheet1!$E$8,IF(AND(D66="S. californicus",G66&gt;0),E66*[1]Sheet1!$D$9+N66*[1]Sheet1!$E$9,IF(D66="S.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latifolia"),E66&gt;0),F66*[1]Sheet1!$C$4+E66*[1]Sheet1!$D$4+H66*[1]Sheet1!$J$4+I66*[1]Sheet1!$K$4+[1]Sheet1!$L$4,IF(AND(OR(D66="T. domingensis",D66="T. latifolia"),J66&gt;0),J66*[1]Sheet1!$G$5+K66*[1]Sheet1!$H$5+L66*[1]Sheet1!$I$5+[1]Sheet1!$L$5,0)))))))</f>
        <v>7.9326030000000003</v>
      </c>
    </row>
    <row r="67" spans="1:15">
      <c r="A67" s="9">
        <v>41768</v>
      </c>
      <c r="B67" s="7" t="s">
        <v>28</v>
      </c>
      <c r="C67">
        <v>40</v>
      </c>
      <c r="D67" t="s">
        <v>19</v>
      </c>
      <c r="F67">
        <v>4.4800000000000004</v>
      </c>
      <c r="J67">
        <f>57+122+155+158+180+186+177+205+212</f>
        <v>1452</v>
      </c>
      <c r="K67">
        <v>9</v>
      </c>
      <c r="L67">
        <v>212</v>
      </c>
      <c r="N67" t="str">
        <f>IF(OR(D67="S. acutus", D67="S. tabernaemontani", D67="S. californicus"),(1/3)*(3.14159)*((F67/2)^2)*E67,"NA")</f>
        <v>NA</v>
      </c>
      <c r="O67">
        <f>IF(AND(OR(D67="S. acutus",D67="S. californicus",D67="S. tabernaemontani"),G67=0),E67*[1]Sheet1!$D$7+[1]Sheet1!$L$7,IF(AND(OR(D67="S. acutus",D67="S. tabernaemontani"),G67&gt;0),E67*[1]Sheet1!$D$8+N67*[1]Sheet1!$E$8,IF(AND(D67="S. californicus",G67&gt;0),E67*[1]Sheet1!$D$9+N67*[1]Sheet1!$E$9,IF(D67="S.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latifolia"),E67&gt;0),F67*[1]Sheet1!$C$4+E67*[1]Sheet1!$D$4+H67*[1]Sheet1!$J$4+I67*[1]Sheet1!$K$4+[1]Sheet1!$L$4,IF(AND(OR(D67="T. domingensis",D67="T. latifolia"),J67&gt;0),J67*[1]Sheet1!$G$5+K67*[1]Sheet1!$H$5+L67*[1]Sheet1!$I$5+[1]Sheet1!$L$5,0)))))))</f>
        <v>42.104126999999998</v>
      </c>
    </row>
    <row r="68" spans="1:15">
      <c r="A68" s="9">
        <v>41768</v>
      </c>
      <c r="B68" s="7" t="s">
        <v>28</v>
      </c>
      <c r="C68">
        <v>40</v>
      </c>
      <c r="D68" t="s">
        <v>19</v>
      </c>
      <c r="F68">
        <v>1.36</v>
      </c>
      <c r="J68">
        <f>96+135+155+173+193+206</f>
        <v>958</v>
      </c>
      <c r="K68">
        <v>6</v>
      </c>
      <c r="L68">
        <v>206</v>
      </c>
      <c r="N68" t="str">
        <f>IF(OR(D68="S. acutus", D68="S. tabernaemontani", D68="S. californicus"),(1/3)*(3.14159)*((F68/2)^2)*E68,"NA")</f>
        <v>NA</v>
      </c>
      <c r="O68">
        <f>IF(AND(OR(D68="S. acutus",D68="S. californicus",D68="S. tabernaemontani"),G68=0),E68*[1]Sheet1!$D$7+[1]Sheet1!$L$7,IF(AND(OR(D68="S. acutus",D68="S. tabernaemontani"),G68&gt;0),E68*[1]Sheet1!$D$8+N68*[1]Sheet1!$E$8,IF(AND(D68="S. californicus",G68&gt;0),E68*[1]Sheet1!$D$9+N68*[1]Sheet1!$E$9,IF(D68="S.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latifolia"),E68&gt;0),F68*[1]Sheet1!$C$4+E68*[1]Sheet1!$D$4+H68*[1]Sheet1!$J$4+I68*[1]Sheet1!$K$4+[1]Sheet1!$L$4,IF(AND(OR(D68="T. domingensis",D68="T. latifolia"),J68&gt;0),J68*[1]Sheet1!$G$5+K68*[1]Sheet1!$H$5+L68*[1]Sheet1!$I$5+[1]Sheet1!$L$5,0)))))))</f>
        <v>18.663685999999998</v>
      </c>
    </row>
    <row r="69" spans="1:15">
      <c r="A69" s="9">
        <v>41768</v>
      </c>
      <c r="B69" s="7" t="s">
        <v>28</v>
      </c>
      <c r="C69">
        <v>40</v>
      </c>
      <c r="D69" t="s">
        <v>19</v>
      </c>
      <c r="F69">
        <v>3.31</v>
      </c>
      <c r="J69">
        <f>136+138+181+223+224+245</f>
        <v>1147</v>
      </c>
      <c r="K69">
        <v>6</v>
      </c>
      <c r="L69">
        <v>245</v>
      </c>
      <c r="N69" t="str">
        <f>IF(OR(D69="S. acutus", D69="S. tabernaemontani", D69="S. californicus"),(1/3)*(3.14159)*((F69/2)^2)*E69,"NA")</f>
        <v>NA</v>
      </c>
      <c r="O69">
        <f>IF(AND(OR(D69="S. acutus",D69="S. californicus",D69="S. tabernaemontani"),G69=0),E69*[1]Sheet1!$D$7+[1]Sheet1!$L$7,IF(AND(OR(D69="S. acutus",D69="S. tabernaemontani"),G69&gt;0),E69*[1]Sheet1!$D$8+N69*[1]Sheet1!$E$8,IF(AND(D69="S. californicus",G69&gt;0),E69*[1]Sheet1!$D$9+N69*[1]Sheet1!$E$9,IF(D69="S.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latifolia"),E69&gt;0),F69*[1]Sheet1!$C$4+E69*[1]Sheet1!$D$4+H69*[1]Sheet1!$J$4+I69*[1]Sheet1!$K$4+[1]Sheet1!$L$4,IF(AND(OR(D69="T. domingensis",D69="T. latifolia"),J69&gt;0),J69*[1]Sheet1!$G$5+K69*[1]Sheet1!$H$5+L69*[1]Sheet1!$I$5+[1]Sheet1!$L$5,0)))))))</f>
        <v>24.634825999999997</v>
      </c>
    </row>
    <row r="70" spans="1:15">
      <c r="A70" s="9">
        <v>41768</v>
      </c>
      <c r="B70" s="7" t="s">
        <v>28</v>
      </c>
      <c r="C70">
        <v>40</v>
      </c>
      <c r="D70" t="s">
        <v>19</v>
      </c>
      <c r="F70">
        <v>3.2</v>
      </c>
      <c r="J70">
        <f>107+156+160+236+257+267+278+285</f>
        <v>1746</v>
      </c>
      <c r="K70">
        <v>8</v>
      </c>
      <c r="L70">
        <v>285</v>
      </c>
      <c r="N70" t="str">
        <f>IF(OR(D70="S. acutus", D70="S. tabernaemontani", D70="S. californicus"),(1/3)*(3.14159)*((F70/2)^2)*E70,"NA")</f>
        <v>NA</v>
      </c>
      <c r="O70">
        <f>IF(AND(OR(D70="S. acutus",D70="S. californicus",D70="S. tabernaemontani"),G70=0),E70*[1]Sheet1!$D$7+[1]Sheet1!$L$7,IF(AND(OR(D70="S. acutus",D70="S. tabernaemontani"),G70&gt;0),E70*[1]Sheet1!$D$8+N70*[1]Sheet1!$E$8,IF(AND(D70="S. californicus",G70&gt;0),E70*[1]Sheet1!$D$9+N70*[1]Sheet1!$E$9,IF(D70="S.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latifolia"),E70&gt;0),F70*[1]Sheet1!$C$4+E70*[1]Sheet1!$D$4+H70*[1]Sheet1!$J$4+I70*[1]Sheet1!$K$4+[1]Sheet1!$L$4,IF(AND(OR(D70="T. domingensis",D70="T. latifolia"),J70&gt;0),J70*[1]Sheet1!$G$5+K70*[1]Sheet1!$H$5+L70*[1]Sheet1!$I$5+[1]Sheet1!$L$5,0)))))))</f>
        <v>54.699565000000028</v>
      </c>
    </row>
    <row r="71" spans="1:15">
      <c r="A71" s="9">
        <v>41768</v>
      </c>
      <c r="B71" s="7" t="s">
        <v>28</v>
      </c>
      <c r="C71">
        <v>40</v>
      </c>
      <c r="D71" t="s">
        <v>19</v>
      </c>
      <c r="F71">
        <v>0.56000000000000005</v>
      </c>
      <c r="J71">
        <f>31+32</f>
        <v>63</v>
      </c>
      <c r="K71">
        <v>2</v>
      </c>
      <c r="L71">
        <v>32</v>
      </c>
      <c r="N71" t="str">
        <f>IF(OR(D71="S. acutus", D71="S. tabernaemontani", D71="S. californicus"),(1/3)*(3.14159)*((F71/2)^2)*E71,"NA")</f>
        <v>NA</v>
      </c>
      <c r="O71">
        <f>IF(AND(OR(D71="S. acutus",D71="S. californicus",D71="S. tabernaemontani"),G71=0),E71*[1]Sheet1!$D$7+[1]Sheet1!$L$7,IF(AND(OR(D71="S. acutus",D71="S. tabernaemontani"),G71&gt;0),E71*[1]Sheet1!$D$8+N71*[1]Sheet1!$E$8,IF(AND(D71="S. californicus",G71&gt;0),E71*[1]Sheet1!$D$9+N71*[1]Sheet1!$E$9,IF(D71="S.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latifolia"),E71&gt;0),F71*[1]Sheet1!$C$4+E71*[1]Sheet1!$D$4+H71*[1]Sheet1!$J$4+I71*[1]Sheet1!$K$4+[1]Sheet1!$L$4,IF(AND(OR(D71="T. domingensis",D71="T. latifolia"),J71&gt;0),J71*[1]Sheet1!$G$5+K71*[1]Sheet1!$H$5+L71*[1]Sheet1!$I$5+[1]Sheet1!$L$5,0)))))))</f>
        <v>15.259003</v>
      </c>
    </row>
    <row r="72" spans="1:15">
      <c r="A72" s="9">
        <v>41768</v>
      </c>
      <c r="B72" s="7" t="s">
        <v>28</v>
      </c>
      <c r="C72">
        <v>40</v>
      </c>
      <c r="D72" t="s">
        <v>19</v>
      </c>
      <c r="F72">
        <v>2.19</v>
      </c>
      <c r="J72">
        <f>174+191+128+145+177+185</f>
        <v>1000</v>
      </c>
      <c r="K72">
        <v>6</v>
      </c>
      <c r="L72">
        <v>185</v>
      </c>
      <c r="N72" t="str">
        <f>IF(OR(D72="S. acutus", D72="S. tabernaemontani", D72="S. californicus"),(1/3)*(3.14159)*((F72/2)^2)*E72,"NA")</f>
        <v>NA</v>
      </c>
      <c r="O72">
        <f>IF(AND(OR(D72="S. acutus",D72="S. californicus",D72="S. tabernaemontani"),G72=0),E72*[1]Sheet1!$D$7+[1]Sheet1!$L$7,IF(AND(OR(D72="S. acutus",D72="S. tabernaemontani"),G72&gt;0),E72*[1]Sheet1!$D$8+N72*[1]Sheet1!$E$8,IF(AND(D72="S. californicus",G72&gt;0),E72*[1]Sheet1!$D$9+N72*[1]Sheet1!$E$9,IF(D72="S.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latifolia"),E72&gt;0),F72*[1]Sheet1!$C$4+E72*[1]Sheet1!$D$4+H72*[1]Sheet1!$J$4+I72*[1]Sheet1!$K$4+[1]Sheet1!$L$4,IF(AND(OR(D72="T. domingensis",D72="T. latifolia"),J72&gt;0),J72*[1]Sheet1!$G$5+K72*[1]Sheet1!$H$5+L72*[1]Sheet1!$I$5+[1]Sheet1!$L$5,0)))))))</f>
        <v>28.927541000000005</v>
      </c>
    </row>
    <row r="73" spans="1:15">
      <c r="A73" s="9">
        <v>41768</v>
      </c>
      <c r="B73" s="7" t="s">
        <v>28</v>
      </c>
      <c r="C73">
        <v>40</v>
      </c>
      <c r="D73" t="s">
        <v>19</v>
      </c>
      <c r="F73">
        <v>1.85</v>
      </c>
      <c r="J73">
        <f>106+152+191+200+238+257+254</f>
        <v>1398</v>
      </c>
      <c r="K73">
        <v>7</v>
      </c>
      <c r="L73">
        <v>257</v>
      </c>
      <c r="N73" t="str">
        <f>IF(OR(D73="S. acutus", D73="S. tabernaemontani", D73="S. californicus"),(1/3)*(3.14159)*((F73/2)^2)*E73,"NA")</f>
        <v>NA</v>
      </c>
      <c r="O73">
        <f>IF(AND(OR(D73="S. acutus",D73="S. californicus",D73="S. tabernaemontani"),G73=0),E73*[1]Sheet1!$D$7+[1]Sheet1!$L$7,IF(AND(OR(D73="S. acutus",D73="S. tabernaemontani"),G73&gt;0),E73*[1]Sheet1!$D$8+N73*[1]Sheet1!$E$8,IF(AND(D73="S. californicus",G73&gt;0),E73*[1]Sheet1!$D$9+N73*[1]Sheet1!$E$9,IF(D73="S.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latifolia"),E73&gt;0),F73*[1]Sheet1!$C$4+E73*[1]Sheet1!$D$4+H73*[1]Sheet1!$J$4+I73*[1]Sheet1!$K$4+[1]Sheet1!$L$4,IF(AND(OR(D73="T. domingensis",D73="T. latifolia"),J73&gt;0),J73*[1]Sheet1!$G$5+K73*[1]Sheet1!$H$5+L73*[1]Sheet1!$I$5+[1]Sheet1!$L$5,0)))))))</f>
        <v>37.530038000000012</v>
      </c>
    </row>
    <row r="74" spans="1:15">
      <c r="A74" s="9">
        <v>41768</v>
      </c>
      <c r="B74" s="7" t="s">
        <v>28</v>
      </c>
      <c r="C74">
        <v>40</v>
      </c>
      <c r="D74" t="s">
        <v>19</v>
      </c>
      <c r="F74">
        <v>3.26</v>
      </c>
      <c r="J74">
        <f>100+65+135+115+150+152+182+184</f>
        <v>1083</v>
      </c>
      <c r="K74">
        <v>8</v>
      </c>
      <c r="L74">
        <v>184</v>
      </c>
      <c r="N74" t="str">
        <f>IF(OR(D74="S. acutus", D74="S. tabernaemontani", D74="S. californicus"),(1/3)*(3.14159)*((F74/2)^2)*E74,"NA")</f>
        <v>NA</v>
      </c>
      <c r="O74">
        <f>IF(AND(OR(D74="S. acutus",D74="S. californicus",D74="S. tabernaemontani"),G74=0),E74*[1]Sheet1!$D$7+[1]Sheet1!$L$7,IF(AND(OR(D74="S. acutus",D74="S. tabernaemontani"),G74&gt;0),E74*[1]Sheet1!$D$8+N74*[1]Sheet1!$E$8,IF(AND(D74="S. californicus",G74&gt;0),E74*[1]Sheet1!$D$9+N74*[1]Sheet1!$E$9,IF(D74="S.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latifolia"),E74&gt;0),F74*[1]Sheet1!$C$4+E74*[1]Sheet1!$D$4+H74*[1]Sheet1!$J$4+I74*[1]Sheet1!$K$4+[1]Sheet1!$L$4,IF(AND(OR(D74="T. domingensis",D74="T. latifolia"),J74&gt;0),J74*[1]Sheet1!$G$5+K74*[1]Sheet1!$H$5+L74*[1]Sheet1!$I$5+[1]Sheet1!$L$5,0)))))))</f>
        <v>22.965744999999998</v>
      </c>
    </row>
    <row r="75" spans="1:15">
      <c r="A75" s="9">
        <v>41768</v>
      </c>
      <c r="B75" s="7" t="s">
        <v>28</v>
      </c>
      <c r="C75">
        <v>40</v>
      </c>
      <c r="D75" t="s">
        <v>19</v>
      </c>
      <c r="F75">
        <v>1.77</v>
      </c>
      <c r="J75">
        <f>100+120+157+167+194+203+232</f>
        <v>1173</v>
      </c>
      <c r="K75">
        <v>7</v>
      </c>
      <c r="L75">
        <v>232</v>
      </c>
      <c r="N75" t="str">
        <f>IF(OR(D75="S. acutus", D75="S. tabernaemontani", D75="S. californicus"),(1/3)*(3.14159)*((F75/2)^2)*E75,"NA")</f>
        <v>NA</v>
      </c>
      <c r="O75">
        <f>IF(AND(OR(D75="S. acutus",D75="S. californicus",D75="S. tabernaemontani"),G75=0),E75*[1]Sheet1!$D$7+[1]Sheet1!$L$7,IF(AND(OR(D75="S. acutus",D75="S. tabernaemontani"),G75&gt;0),E75*[1]Sheet1!$D$8+N75*[1]Sheet1!$E$8,IF(AND(D75="S. californicus",G75&gt;0),E75*[1]Sheet1!$D$9+N75*[1]Sheet1!$E$9,IF(D75="S.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latifolia"),E75&gt;0),F75*[1]Sheet1!$C$4+E75*[1]Sheet1!$D$4+H75*[1]Sheet1!$J$4+I75*[1]Sheet1!$K$4+[1]Sheet1!$L$4,IF(AND(OR(D75="T. domingensis",D75="T. latifolia"),J75&gt;0),J75*[1]Sheet1!$G$5+K75*[1]Sheet1!$H$5+L75*[1]Sheet1!$I$5+[1]Sheet1!$L$5,0)))))))</f>
        <v>23.966287999999999</v>
      </c>
    </row>
    <row r="76" spans="1:15">
      <c r="A76" s="9">
        <v>41768</v>
      </c>
      <c r="B76" s="7" t="s">
        <v>28</v>
      </c>
      <c r="C76">
        <v>40</v>
      </c>
      <c r="D76" t="s">
        <v>19</v>
      </c>
      <c r="F76">
        <v>4.82</v>
      </c>
      <c r="J76">
        <f>93+176+115+153+182+171+220+217+255+244</f>
        <v>1826</v>
      </c>
      <c r="K76">
        <v>10</v>
      </c>
      <c r="L76">
        <v>255</v>
      </c>
      <c r="N76" t="str">
        <f>IF(OR(D76="S. acutus", D76="S. tabernaemontani", D76="S. californicus"),(1/3)*(3.14159)*((F76/2)^2)*E76,"NA")</f>
        <v>NA</v>
      </c>
      <c r="O76">
        <f>IF(AND(OR(D76="S. acutus",D76="S. californicus",D76="S. tabernaemontani"),G76=0),E76*[1]Sheet1!$D$7+[1]Sheet1!$L$7,IF(AND(OR(D76="S. acutus",D76="S. tabernaemontani"),G76&gt;0),E76*[1]Sheet1!$D$8+N76*[1]Sheet1!$E$8,IF(AND(D76="S. californicus",G76&gt;0),E76*[1]Sheet1!$D$9+N76*[1]Sheet1!$E$9,IF(D76="S.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latifolia"),E76&gt;0),F76*[1]Sheet1!$C$4+E76*[1]Sheet1!$D$4+H76*[1]Sheet1!$J$4+I76*[1]Sheet1!$K$4+[1]Sheet1!$L$4,IF(AND(OR(D76="T. domingensis",D76="T. latifolia"),J76&gt;0),J76*[1]Sheet1!$G$5+K76*[1]Sheet1!$H$5+L76*[1]Sheet1!$I$5+[1]Sheet1!$L$5,0)))))))</f>
        <v>57.192608999999997</v>
      </c>
    </row>
    <row r="77" spans="1:15">
      <c r="A77" s="9">
        <v>41768</v>
      </c>
      <c r="B77" s="7" t="s">
        <v>28</v>
      </c>
      <c r="C77">
        <v>40</v>
      </c>
      <c r="D77" t="s">
        <v>19</v>
      </c>
      <c r="F77">
        <v>2.98</v>
      </c>
      <c r="J77">
        <f>142+155+190+192+222+236+250+256</f>
        <v>1643</v>
      </c>
      <c r="K77">
        <v>8</v>
      </c>
      <c r="L77">
        <v>256</v>
      </c>
      <c r="N77" t="str">
        <f>IF(OR(D77="S. acutus", D77="S. tabernaemontani", D77="S. californicus"),(1/3)*(3.14159)*((F77/2)^2)*E77,"NA")</f>
        <v>NA</v>
      </c>
      <c r="O77">
        <f>IF(AND(OR(D77="S. acutus",D77="S. californicus",D77="S. tabernaemontani"),G77=0),E77*[1]Sheet1!$D$7+[1]Sheet1!$L$7,IF(AND(OR(D77="S. acutus",D77="S. tabernaemontani"),G77&gt;0),E77*[1]Sheet1!$D$8+N77*[1]Sheet1!$E$8,IF(AND(D77="S. californicus",G77&gt;0),E77*[1]Sheet1!$D$9+N77*[1]Sheet1!$E$9,IF(D77="S.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latifolia"),E77&gt;0),F77*[1]Sheet1!$C$4+E77*[1]Sheet1!$D$4+H77*[1]Sheet1!$J$4+I77*[1]Sheet1!$K$4+[1]Sheet1!$L$4,IF(AND(OR(D77="T. domingensis",D77="T. latifolia"),J77&gt;0),J77*[1]Sheet1!$G$5+K77*[1]Sheet1!$H$5+L77*[1]Sheet1!$I$5+[1]Sheet1!$L$5,0)))))))</f>
        <v>53.778905000000016</v>
      </c>
    </row>
    <row r="78" spans="1:15">
      <c r="A78" s="9">
        <v>41768</v>
      </c>
      <c r="B78" s="7" t="s">
        <v>28</v>
      </c>
      <c r="C78">
        <v>45</v>
      </c>
      <c r="D78" t="s">
        <v>23</v>
      </c>
      <c r="F78">
        <v>2.58</v>
      </c>
      <c r="J78">
        <f>60+182+147+200+338+339</f>
        <v>1266</v>
      </c>
      <c r="K78">
        <v>6</v>
      </c>
      <c r="L78">
        <v>339</v>
      </c>
      <c r="N78" t="str">
        <f>IF(OR(D78="S. acutus", D78="S. tabernaemontani", D78="S. californicus"),(1/3)*(3.14159)*((F78/2)^2)*E78,"NA")</f>
        <v>NA</v>
      </c>
      <c r="O78">
        <f>IF(AND(OR(D78="S. acutus",D78="S. californicus",D78="S. tabernaemontani"),G78=0),E78*[1]Sheet1!$D$7+[1]Sheet1!$L$7,IF(AND(OR(D78="S. acutus",D78="S. tabernaemontani"),G78&gt;0),E78*[1]Sheet1!$D$8+N78*[1]Sheet1!$E$8,IF(AND(D78="S. californicus",G78&gt;0),E78*[1]Sheet1!$D$9+N78*[1]Sheet1!$E$9,IF(D78="S.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latifolia"),E78&gt;0),F78*[1]Sheet1!$C$4+E78*[1]Sheet1!$D$4+H78*[1]Sheet1!$J$4+I78*[1]Sheet1!$K$4+[1]Sheet1!$L$4,IF(AND(OR(D78="T. domingensis",D78="T. latifolia"),J78&gt;0),J78*[1]Sheet1!$G$5+K78*[1]Sheet1!$H$5+L78*[1]Sheet1!$I$5+[1]Sheet1!$L$5,0)))))))</f>
        <v>7.4746410000000125</v>
      </c>
    </row>
    <row r="79" spans="1:15">
      <c r="A79" s="9">
        <v>41768</v>
      </c>
      <c r="B79" s="7" t="s">
        <v>28</v>
      </c>
      <c r="C79">
        <v>45</v>
      </c>
      <c r="D79" t="s">
        <v>23</v>
      </c>
      <c r="F79">
        <v>2.19</v>
      </c>
      <c r="J79">
        <f>96+131+184+174+219+227</f>
        <v>1031</v>
      </c>
      <c r="K79">
        <v>6</v>
      </c>
      <c r="L79">
        <v>227</v>
      </c>
      <c r="N79" t="str">
        <f>IF(OR(D79="S. acutus", D79="S. tabernaemontani", D79="S. californicus"),(1/3)*(3.14159)*((F79/2)^2)*E79,"NA")</f>
        <v>NA</v>
      </c>
      <c r="O79">
        <f>IF(AND(OR(D79="S. acutus",D79="S. californicus",D79="S. tabernaemontani"),G79=0),E79*[1]Sheet1!$D$7+[1]Sheet1!$L$7,IF(AND(OR(D79="S. acutus",D79="S. tabernaemontani"),G79&gt;0),E79*[1]Sheet1!$D$8+N79*[1]Sheet1!$E$8,IF(AND(D79="S. californicus",G79&gt;0),E79*[1]Sheet1!$D$9+N79*[1]Sheet1!$E$9,IF(D79="S.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latifolia"),E79&gt;0),F79*[1]Sheet1!$C$4+E79*[1]Sheet1!$D$4+H79*[1]Sheet1!$J$4+I79*[1]Sheet1!$K$4+[1]Sheet1!$L$4,IF(AND(OR(D79="T. domingensis",D79="T. latifolia"),J79&gt;0),J79*[1]Sheet1!$G$5+K79*[1]Sheet1!$H$5+L79*[1]Sheet1!$I$5+[1]Sheet1!$L$5,0)))))))</f>
        <v>19.181655999999997</v>
      </c>
    </row>
    <row r="80" spans="1:15">
      <c r="A80" s="9">
        <v>41768</v>
      </c>
      <c r="B80" s="7" t="s">
        <v>28</v>
      </c>
      <c r="C80">
        <v>45</v>
      </c>
      <c r="D80" t="s">
        <v>19</v>
      </c>
      <c r="F80">
        <v>3.89</v>
      </c>
      <c r="J80">
        <f>128+208+252+255+291+298+143</f>
        <v>1575</v>
      </c>
      <c r="K80">
        <v>7</v>
      </c>
      <c r="L80">
        <v>298</v>
      </c>
      <c r="N80" t="str">
        <f>IF(OR(D80="S. acutus", D80="S. tabernaemontani", D80="S. californicus"),(1/3)*(3.14159)*((F80/2)^2)*E80,"NA")</f>
        <v>NA</v>
      </c>
      <c r="O80">
        <f>IF(AND(OR(D80="S. acutus",D80="S. californicus",D80="S. tabernaemontani"),G80=0),E80*[1]Sheet1!$D$7+[1]Sheet1!$L$7,IF(AND(OR(D80="S. acutus",D80="S. tabernaemontani"),G80&gt;0),E80*[1]Sheet1!$D$8+N80*[1]Sheet1!$E$8,IF(AND(D80="S. californicus",G80&gt;0),E80*[1]Sheet1!$D$9+N80*[1]Sheet1!$E$9,IF(D80="S.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latifolia"),E80&gt;0),F80*[1]Sheet1!$C$4+E80*[1]Sheet1!$D$4+H80*[1]Sheet1!$J$4+I80*[1]Sheet1!$K$4+[1]Sheet1!$L$4,IF(AND(OR(D80="T. domingensis",D80="T. latifolia"),J80&gt;0),J80*[1]Sheet1!$G$5+K80*[1]Sheet1!$H$5+L80*[1]Sheet1!$I$5+[1]Sheet1!$L$5,0)))))))</f>
        <v>41.773628000000024</v>
      </c>
    </row>
    <row r="81" spans="1:15">
      <c r="A81" s="9">
        <v>41768</v>
      </c>
      <c r="B81" s="7" t="s">
        <v>28</v>
      </c>
      <c r="C81">
        <v>45</v>
      </c>
      <c r="D81" t="s">
        <v>19</v>
      </c>
      <c r="F81">
        <v>2.44</v>
      </c>
      <c r="J81">
        <f>28+32+33+32+26+34+35+153+177+218+143+137</f>
        <v>1048</v>
      </c>
      <c r="K81">
        <v>12</v>
      </c>
      <c r="L81">
        <v>218</v>
      </c>
      <c r="N81" t="str">
        <f>IF(OR(D81="S. acutus", D81="S. tabernaemontani", D81="S. californicus"),(1/3)*(3.14159)*((F81/2)^2)*E81,"NA")</f>
        <v>NA</v>
      </c>
      <c r="O81">
        <f>IF(AND(OR(D81="S. acutus",D81="S. californicus",D81="S. tabernaemontani"),G81=0),E81*[1]Sheet1!$D$7+[1]Sheet1!$L$7,IF(AND(OR(D81="S. acutus",D81="S. tabernaemontani"),G81&gt;0),E81*[1]Sheet1!$D$8+N81*[1]Sheet1!$E$8,IF(AND(D81="S. californicus",G81&gt;0),E81*[1]Sheet1!$D$9+N81*[1]Sheet1!$E$9,IF(D81="S.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latifolia"),E81&gt;0),F81*[1]Sheet1!$C$4+E81*[1]Sheet1!$D$4+H81*[1]Sheet1!$J$4+I81*[1]Sheet1!$K$4+[1]Sheet1!$L$4,IF(AND(OR(D81="T. domingensis",D81="T. latifolia"),J81&gt;0),J81*[1]Sheet1!$G$5+K81*[1]Sheet1!$H$5+L81*[1]Sheet1!$I$5+[1]Sheet1!$L$5,0)))))))</f>
        <v>-18.647421999999999</v>
      </c>
    </row>
    <row r="82" spans="1:15">
      <c r="A82" s="9">
        <v>41768</v>
      </c>
      <c r="B82" s="7" t="s">
        <v>28</v>
      </c>
      <c r="C82">
        <v>45</v>
      </c>
      <c r="D82" t="s">
        <v>19</v>
      </c>
      <c r="F82">
        <v>2.4500000000000002</v>
      </c>
      <c r="J82">
        <f>22+88+97+147+163+189+203</f>
        <v>909</v>
      </c>
      <c r="K82">
        <v>7</v>
      </c>
      <c r="L82">
        <v>203</v>
      </c>
      <c r="N82" t="str">
        <f>IF(OR(D82="S. acutus", D82="S. tabernaemontani", D82="S. californicus"),(1/3)*(3.14159)*((F82/2)^2)*E82,"NA")</f>
        <v>NA</v>
      </c>
      <c r="O82">
        <f>IF(AND(OR(D82="S. acutus",D82="S. californicus",D82="S. tabernaemontani"),G82=0),E82*[1]Sheet1!$D$7+[1]Sheet1!$L$7,IF(AND(OR(D82="S. acutus",D82="S. tabernaemontani"),G82&gt;0),E82*[1]Sheet1!$D$8+N82*[1]Sheet1!$E$8,IF(AND(D82="S. californicus",G82&gt;0),E82*[1]Sheet1!$D$9+N82*[1]Sheet1!$E$9,IF(D82="S.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latifolia"),E82&gt;0),F82*[1]Sheet1!$C$4+E82*[1]Sheet1!$D$4+H82*[1]Sheet1!$J$4+I82*[1]Sheet1!$K$4+[1]Sheet1!$L$4,IF(AND(OR(D82="T. domingensis",D82="T. latifolia"),J82&gt;0),J82*[1]Sheet1!$G$5+K82*[1]Sheet1!$H$5+L82*[1]Sheet1!$I$5+[1]Sheet1!$L$5,0)))))))</f>
        <v>7.9510730000000081</v>
      </c>
    </row>
    <row r="83" spans="1:15">
      <c r="A83" s="9">
        <v>41768</v>
      </c>
      <c r="B83" s="7" t="s">
        <v>28</v>
      </c>
      <c r="C83">
        <v>45</v>
      </c>
      <c r="D83" t="s">
        <v>19</v>
      </c>
      <c r="F83">
        <v>1.99</v>
      </c>
      <c r="J83">
        <f>93+123+127+167+167</f>
        <v>677</v>
      </c>
      <c r="K83">
        <v>5</v>
      </c>
      <c r="L83">
        <v>167</v>
      </c>
      <c r="N83" t="str">
        <f>IF(OR(D83="S. acutus", D83="S. tabernaemontani", D83="S. californicus"),(1/3)*(3.14159)*((F83/2)^2)*E83,"NA")</f>
        <v>NA</v>
      </c>
      <c r="O83">
        <f>IF(AND(OR(D83="S. acutus",D83="S. californicus",D83="S. tabernaemontani"),G83=0),E83*[1]Sheet1!$D$7+[1]Sheet1!$L$7,IF(AND(OR(D83="S. acutus",D83="S. tabernaemontani"),G83&gt;0),E83*[1]Sheet1!$D$8+N83*[1]Sheet1!$E$8,IF(AND(D83="S. californicus",G83&gt;0),E83*[1]Sheet1!$D$9+N83*[1]Sheet1!$E$9,IF(D83="S.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latifolia"),E83&gt;0),F83*[1]Sheet1!$C$4+E83*[1]Sheet1!$D$4+H83*[1]Sheet1!$J$4+I83*[1]Sheet1!$K$4+[1]Sheet1!$L$4,IF(AND(OR(D83="T. domingensis",D83="T. latifolia"),J83&gt;0),J83*[1]Sheet1!$G$5+K83*[1]Sheet1!$H$5+L83*[1]Sheet1!$I$5+[1]Sheet1!$L$5,0)))))))</f>
        <v>11.089439000000006</v>
      </c>
    </row>
    <row r="84" spans="1:15">
      <c r="A84" s="9">
        <v>41768</v>
      </c>
      <c r="B84" s="7" t="s">
        <v>28</v>
      </c>
      <c r="C84">
        <v>45</v>
      </c>
      <c r="D84" t="s">
        <v>19</v>
      </c>
      <c r="F84">
        <v>1.64</v>
      </c>
      <c r="J84">
        <f>88+83+124+142+167+198+209</f>
        <v>1011</v>
      </c>
      <c r="K84">
        <v>7</v>
      </c>
      <c r="L84">
        <v>209</v>
      </c>
      <c r="N84" t="str">
        <f>IF(OR(D84="S. acutus", D84="S. tabernaemontani", D84="S. californicus"),(1/3)*(3.14159)*((F84/2)^2)*E84,"NA")</f>
        <v>NA</v>
      </c>
      <c r="O84">
        <f>IF(AND(OR(D84="S. acutus",D84="S. californicus",D84="S. tabernaemontani"),G84=0),E84*[1]Sheet1!$D$7+[1]Sheet1!$L$7,IF(AND(OR(D84="S. acutus",D84="S. tabernaemontani"),G84&gt;0),E84*[1]Sheet1!$D$8+N84*[1]Sheet1!$E$8,IF(AND(D84="S. californicus",G84&gt;0),E84*[1]Sheet1!$D$9+N84*[1]Sheet1!$E$9,IF(D84="S.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latifolia"),E84&gt;0),F84*[1]Sheet1!$C$4+E84*[1]Sheet1!$D$4+H84*[1]Sheet1!$J$4+I84*[1]Sheet1!$K$4+[1]Sheet1!$L$4,IF(AND(OR(D84="T. domingensis",D84="T. latifolia"),J84&gt;0),J84*[1]Sheet1!$G$5+K84*[1]Sheet1!$H$5+L84*[1]Sheet1!$I$5+[1]Sheet1!$L$5,0)))))))</f>
        <v>15.706613000000004</v>
      </c>
    </row>
    <row r="85" spans="1:15">
      <c r="A85" s="9">
        <v>41768</v>
      </c>
      <c r="B85" s="7" t="s">
        <v>28</v>
      </c>
      <c r="C85">
        <v>45</v>
      </c>
      <c r="D85" t="s">
        <v>19</v>
      </c>
      <c r="F85">
        <v>2.96</v>
      </c>
      <c r="J85">
        <f>151+173+123+193+216+232+244</f>
        <v>1332</v>
      </c>
      <c r="K85">
        <v>7</v>
      </c>
      <c r="L85">
        <v>244</v>
      </c>
      <c r="N85" t="str">
        <f>IF(OR(D85="S. acutus", D85="S. tabernaemontani", D85="S. californicus"),(1/3)*(3.14159)*((F85/2)^2)*E85,"NA")</f>
        <v>NA</v>
      </c>
      <c r="O85">
        <f>IF(AND(OR(D85="S. acutus",D85="S. californicus",D85="S. tabernaemontani"),G85=0),E85*[1]Sheet1!$D$7+[1]Sheet1!$L$7,IF(AND(OR(D85="S. acutus",D85="S. tabernaemontani"),G85&gt;0),E85*[1]Sheet1!$D$8+N85*[1]Sheet1!$E$8,IF(AND(D85="S. californicus",G85&gt;0),E85*[1]Sheet1!$D$9+N85*[1]Sheet1!$E$9,IF(D85="S.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latifolia"),E85&gt;0),F85*[1]Sheet1!$C$4+E85*[1]Sheet1!$D$4+H85*[1]Sheet1!$J$4+I85*[1]Sheet1!$K$4+[1]Sheet1!$L$4,IF(AND(OR(D85="T. domingensis",D85="T. latifolia"),J85&gt;0),J85*[1]Sheet1!$G$5+K85*[1]Sheet1!$H$5+L85*[1]Sheet1!$I$5+[1]Sheet1!$L$5,0)))))))</f>
        <v>35.258393000000019</v>
      </c>
    </row>
    <row r="86" spans="1:15">
      <c r="A86" s="9">
        <v>41768</v>
      </c>
      <c r="B86" s="7" t="s">
        <v>28</v>
      </c>
      <c r="C86">
        <v>45</v>
      </c>
      <c r="D86" t="s">
        <v>19</v>
      </c>
      <c r="F86">
        <v>1.85</v>
      </c>
      <c r="J86">
        <f>92+117+135+208+220</f>
        <v>772</v>
      </c>
      <c r="K86">
        <v>5</v>
      </c>
      <c r="L86">
        <v>220</v>
      </c>
      <c r="N86" t="str">
        <f>IF(OR(D86="S. acutus", D86="S. tabernaemontani", D86="S. californicus"),(1/3)*(3.14159)*((F86/2)^2)*E86,"NA")</f>
        <v>NA</v>
      </c>
      <c r="O86">
        <f>IF(AND(OR(D86="S. acutus",D86="S. californicus",D86="S. tabernaemontani"),G86=0),E86*[1]Sheet1!$D$7+[1]Sheet1!$L$7,IF(AND(OR(D86="S. acutus",D86="S. tabernaemontani"),G86&gt;0),E86*[1]Sheet1!$D$8+N86*[1]Sheet1!$E$8,IF(AND(D86="S. californicus",G86&gt;0),E86*[1]Sheet1!$D$9+N86*[1]Sheet1!$E$9,IF(D86="S.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latifolia"),E86&gt;0),F86*[1]Sheet1!$C$4+E86*[1]Sheet1!$D$4+H86*[1]Sheet1!$J$4+I86*[1]Sheet1!$K$4+[1]Sheet1!$L$4,IF(AND(OR(D86="T. domingensis",D86="T. latifolia"),J86&gt;0),J86*[1]Sheet1!$G$5+K86*[1]Sheet1!$H$5+L86*[1]Sheet1!$I$5+[1]Sheet1!$L$5,0)))))))</f>
        <v>4.030179000000004</v>
      </c>
    </row>
    <row r="87" spans="1:15">
      <c r="A87" s="9">
        <v>41768</v>
      </c>
      <c r="B87" s="7" t="s">
        <v>28</v>
      </c>
      <c r="C87">
        <v>45</v>
      </c>
      <c r="D87" t="s">
        <v>19</v>
      </c>
      <c r="F87">
        <v>1.56</v>
      </c>
      <c r="J87">
        <f>90+108+136</f>
        <v>334</v>
      </c>
      <c r="K87">
        <v>3</v>
      </c>
      <c r="L87">
        <v>136</v>
      </c>
      <c r="N87" t="str">
        <f>IF(OR(D87="S. acutus", D87="S. tabernaemontani", D87="S. californicus"),(1/3)*(3.14159)*((F87/2)^2)*E87,"NA")</f>
        <v>NA</v>
      </c>
      <c r="O87">
        <f>IF(AND(OR(D87="S. acutus",D87="S. californicus",D87="S. tabernaemontani"),G87=0),E87*[1]Sheet1!$D$7+[1]Sheet1!$L$7,IF(AND(OR(D87="S. acutus",D87="S. tabernaemontani"),G87&gt;0),E87*[1]Sheet1!$D$8+N87*[1]Sheet1!$E$8,IF(AND(D87="S. californicus",G87&gt;0),E87*[1]Sheet1!$D$9+N87*[1]Sheet1!$E$9,IF(D87="S.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latifolia"),E87&gt;0),F87*[1]Sheet1!$C$4+E87*[1]Sheet1!$D$4+H87*[1]Sheet1!$J$4+I87*[1]Sheet1!$K$4+[1]Sheet1!$L$4,IF(AND(OR(D87="T. domingensis",D87="T. latifolia"),J87&gt;0),J87*[1]Sheet1!$G$5+K87*[1]Sheet1!$H$5+L87*[1]Sheet1!$I$5+[1]Sheet1!$L$5,0)))))))</f>
        <v>2.3147750000000009</v>
      </c>
    </row>
    <row r="88" spans="1:15">
      <c r="A88" s="9">
        <v>41768</v>
      </c>
      <c r="B88" s="7" t="s">
        <v>28</v>
      </c>
      <c r="C88">
        <v>45</v>
      </c>
      <c r="D88" t="s">
        <v>19</v>
      </c>
      <c r="F88">
        <v>1.54</v>
      </c>
      <c r="J88">
        <f>62+69+75+100</f>
        <v>306</v>
      </c>
      <c r="K88">
        <v>4</v>
      </c>
      <c r="L88">
        <v>100</v>
      </c>
      <c r="N88" t="str">
        <f>IF(OR(D88="S. acutus", D88="S. tabernaemontani", D88="S. californicus"),(1/3)*(3.14159)*((F88/2)^2)*E88,"NA")</f>
        <v>NA</v>
      </c>
      <c r="O88">
        <f>IF(AND(OR(D88="S. acutus",D88="S. californicus",D88="S. tabernaemontani"),G88=0),E88*[1]Sheet1!$D$7+[1]Sheet1!$L$7,IF(AND(OR(D88="S. acutus",D88="S. tabernaemontani"),G88&gt;0),E88*[1]Sheet1!$D$8+N88*[1]Sheet1!$E$8,IF(AND(D88="S. californicus",G88&gt;0),E88*[1]Sheet1!$D$9+N88*[1]Sheet1!$E$9,IF(D88="S.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latifolia"),E88&gt;0),F88*[1]Sheet1!$C$4+E88*[1]Sheet1!$D$4+H88*[1]Sheet1!$J$4+I88*[1]Sheet1!$K$4+[1]Sheet1!$L$4,IF(AND(OR(D88="T. domingensis",D88="T. latifolia"),J88&gt;0),J88*[1]Sheet1!$G$5+K88*[1]Sheet1!$H$5+L88*[1]Sheet1!$I$5+[1]Sheet1!$L$5,0)))))))</f>
        <v>3.5121020000000023</v>
      </c>
    </row>
    <row r="89" spans="1:15">
      <c r="A89" s="9">
        <v>41768</v>
      </c>
      <c r="B89" s="7" t="s">
        <v>28</v>
      </c>
      <c r="C89">
        <v>45</v>
      </c>
      <c r="D89" t="s">
        <v>19</v>
      </c>
      <c r="F89">
        <v>2.2000000000000002</v>
      </c>
      <c r="J89">
        <f>76+98+106+153+154+128</f>
        <v>715</v>
      </c>
      <c r="K89">
        <v>6</v>
      </c>
      <c r="L89">
        <v>154</v>
      </c>
      <c r="N89" t="str">
        <f>IF(OR(D89="S. acutus", D89="S. tabernaemontani", D89="S. californicus"),(1/3)*(3.14159)*((F89/2)^2)*E89,"NA")</f>
        <v>NA</v>
      </c>
      <c r="O89">
        <f>IF(AND(OR(D89="S. acutus",D89="S. californicus",D89="S. tabernaemontani"),G89=0),E89*[1]Sheet1!$D$7+[1]Sheet1!$L$7,IF(AND(OR(D89="S. acutus",D89="S. tabernaemontani"),G89&gt;0),E89*[1]Sheet1!$D$8+N89*[1]Sheet1!$E$8,IF(AND(D89="S. californicus",G89&gt;0),E89*[1]Sheet1!$D$9+N89*[1]Sheet1!$E$9,IF(D89="S.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latifolia"),E89&gt;0),F89*[1]Sheet1!$C$4+E89*[1]Sheet1!$D$4+H89*[1]Sheet1!$J$4+I89*[1]Sheet1!$K$4+[1]Sheet1!$L$4,IF(AND(OR(D89="T. domingensis",D89="T. latifolia"),J89&gt;0),J89*[1]Sheet1!$G$5+K89*[1]Sheet1!$H$5+L89*[1]Sheet1!$I$5+[1]Sheet1!$L$5,0)))))))</f>
        <v>11.545960999999998</v>
      </c>
    </row>
    <row r="90" spans="1:15">
      <c r="A90" s="9">
        <v>41768</v>
      </c>
      <c r="B90" s="7" t="s">
        <v>28</v>
      </c>
      <c r="C90">
        <v>45</v>
      </c>
      <c r="D90" t="s">
        <v>19</v>
      </c>
      <c r="F90">
        <v>1.34</v>
      </c>
      <c r="J90">
        <f>81+33+87+122+133</f>
        <v>456</v>
      </c>
      <c r="K90">
        <v>5</v>
      </c>
      <c r="L90">
        <v>133</v>
      </c>
      <c r="N90" t="str">
        <f>IF(OR(D90="S. acutus", D90="S. tabernaemontani", D90="S. californicus"),(1/3)*(3.14159)*((F90/2)^2)*E90,"NA")</f>
        <v>NA</v>
      </c>
      <c r="O90">
        <f>IF(AND(OR(D90="S. acutus",D90="S. californicus",D90="S. tabernaemontani"),G90=0),E90*[1]Sheet1!$D$7+[1]Sheet1!$L$7,IF(AND(OR(D90="S. acutus",D90="S. tabernaemontani"),G90&gt;0),E90*[1]Sheet1!$D$8+N90*[1]Sheet1!$E$8,IF(AND(D90="S. californicus",G90&gt;0),E90*[1]Sheet1!$D$9+N90*[1]Sheet1!$E$9,IF(D90="S.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latifolia"),E90&gt;0),F90*[1]Sheet1!$C$4+E90*[1]Sheet1!$D$4+H90*[1]Sheet1!$J$4+I90*[1]Sheet1!$K$4+[1]Sheet1!$L$4,IF(AND(OR(D90="T. domingensis",D90="T. latifolia"),J90&gt;0),J90*[1]Sheet1!$G$5+K90*[1]Sheet1!$H$5+L90*[1]Sheet1!$I$5+[1]Sheet1!$L$5,0)))))))</f>
        <v>0.61191399999999874</v>
      </c>
    </row>
    <row r="91" spans="1:15">
      <c r="A91" s="9">
        <v>41768</v>
      </c>
      <c r="B91" s="7" t="s">
        <v>28</v>
      </c>
      <c r="C91">
        <v>45</v>
      </c>
      <c r="D91" t="s">
        <v>19</v>
      </c>
      <c r="F91">
        <v>3.91</v>
      </c>
      <c r="J91">
        <f>31+125+157+168+213+265+272+310+310</f>
        <v>1851</v>
      </c>
      <c r="K91">
        <v>9</v>
      </c>
      <c r="L91">
        <v>310</v>
      </c>
      <c r="N91" t="str">
        <f>IF(OR(D91="S. acutus", D91="S. tabernaemontani", D91="S. californicus"),(1/3)*(3.14159)*((F91/2)^2)*E91,"NA")</f>
        <v>NA</v>
      </c>
      <c r="O91">
        <f>IF(AND(OR(D91="S. acutus",D91="S. californicus",D91="S. tabernaemontani"),G91=0),E91*[1]Sheet1!$D$7+[1]Sheet1!$L$7,IF(AND(OR(D91="S. acutus",D91="S. tabernaemontani"),G91&gt;0),E91*[1]Sheet1!$D$8+N91*[1]Sheet1!$E$8,IF(AND(D91="S. californicus",G91&gt;0),E91*[1]Sheet1!$D$9+N91*[1]Sheet1!$E$9,IF(D91="S.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latifolia"),E91&gt;0),F91*[1]Sheet1!$C$4+E91*[1]Sheet1!$D$4+H91*[1]Sheet1!$J$4+I91*[1]Sheet1!$K$4+[1]Sheet1!$L$4,IF(AND(OR(D91="T. domingensis",D91="T. latifolia"),J91&gt;0),J91*[1]Sheet1!$G$5+K91*[1]Sheet1!$H$5+L91*[1]Sheet1!$I$5+[1]Sheet1!$L$5,0)))))))</f>
        <v>49.990361999999998</v>
      </c>
    </row>
    <row r="92" spans="1:15">
      <c r="A92" s="9">
        <v>41768</v>
      </c>
      <c r="B92" s="7" t="s">
        <v>28</v>
      </c>
      <c r="C92">
        <v>45</v>
      </c>
      <c r="D92" t="s">
        <v>19</v>
      </c>
      <c r="F92">
        <v>2.9</v>
      </c>
      <c r="J92">
        <f>136+147+187+193+224+236+254</f>
        <v>1377</v>
      </c>
      <c r="K92">
        <v>7</v>
      </c>
      <c r="L92">
        <v>254</v>
      </c>
      <c r="N92" t="str">
        <f>IF(OR(D92="S. acutus", D92="S. tabernaemontani", D92="S. californicus"),(1/3)*(3.14159)*((F92/2)^2)*E92,"NA")</f>
        <v>NA</v>
      </c>
      <c r="O92">
        <f>IF(AND(OR(D92="S. acutus",D92="S. californicus",D92="S. tabernaemontani"),G92=0),E92*[1]Sheet1!$D$7+[1]Sheet1!$L$7,IF(AND(OR(D92="S. acutus",D92="S. tabernaemontani"),G92&gt;0),E92*[1]Sheet1!$D$8+N92*[1]Sheet1!$E$8,IF(AND(D92="S. californicus",G92&gt;0),E92*[1]Sheet1!$D$9+N92*[1]Sheet1!$E$9,IF(D92="S.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latifolia"),E92&gt;0),F92*[1]Sheet1!$C$4+E92*[1]Sheet1!$D$4+H92*[1]Sheet1!$J$4+I92*[1]Sheet1!$K$4+[1]Sheet1!$L$4,IF(AND(OR(D92="T. domingensis",D92="T. latifolia"),J92&gt;0),J92*[1]Sheet1!$G$5+K92*[1]Sheet1!$H$5+L92*[1]Sheet1!$I$5+[1]Sheet1!$L$5,0)))))))</f>
        <v>36.464918000000019</v>
      </c>
    </row>
    <row r="93" spans="1:15">
      <c r="A93" s="9">
        <v>41768</v>
      </c>
      <c r="B93" s="7" t="s">
        <v>28</v>
      </c>
      <c r="C93">
        <v>52</v>
      </c>
      <c r="D93" t="s">
        <v>23</v>
      </c>
      <c r="F93">
        <v>4.75</v>
      </c>
      <c r="J93">
        <f>135+140+227+286+198+296+295+248+245+264+296</f>
        <v>2630</v>
      </c>
      <c r="K93">
        <v>11</v>
      </c>
      <c r="L93">
        <v>296</v>
      </c>
      <c r="N93" t="str">
        <f>IF(OR(D93="S. acutus", D93="S. tabernaemontani", D93="S. californicus"),(1/3)*(3.14159)*((F93/2)^2)*E93,"NA")</f>
        <v>NA</v>
      </c>
      <c r="O93">
        <f>IF(AND(OR(D93="S. acutus",D93="S. californicus",D93="S. tabernaemontani"),G93=0),E93*[1]Sheet1!$D$7+[1]Sheet1!$L$7,IF(AND(OR(D93="S. acutus",D93="S. tabernaemontani"),G93&gt;0),E93*[1]Sheet1!$D$8+N93*[1]Sheet1!$E$8,IF(AND(D93="S. californicus",G93&gt;0),E93*[1]Sheet1!$D$9+N93*[1]Sheet1!$E$9,IF(D93="S.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latifolia"),E93&gt;0),F93*[1]Sheet1!$C$4+E93*[1]Sheet1!$D$4+H93*[1]Sheet1!$J$4+I93*[1]Sheet1!$K$4+[1]Sheet1!$L$4,IF(AND(OR(D93="T. domingensis",D93="T. latifolia"),J93&gt;0),J93*[1]Sheet1!$G$5+K93*[1]Sheet1!$H$5+L93*[1]Sheet1!$I$5+[1]Sheet1!$L$5,0)))))))</f>
        <v>113.19823100000002</v>
      </c>
    </row>
    <row r="94" spans="1:15">
      <c r="A94" s="9">
        <v>41768</v>
      </c>
      <c r="B94" s="7" t="s">
        <v>28</v>
      </c>
      <c r="C94">
        <v>52</v>
      </c>
      <c r="D94" t="s">
        <v>23</v>
      </c>
      <c r="F94">
        <v>3.6</v>
      </c>
      <c r="J94">
        <f>83+77+78+167+232+256+277+278</f>
        <v>1448</v>
      </c>
      <c r="K94">
        <v>8</v>
      </c>
      <c r="L94">
        <v>278</v>
      </c>
      <c r="N94" t="str">
        <f>IF(OR(D94="S. acutus", D94="S. tabernaemontani", D94="S. californicus"),(1/3)*(3.14159)*((F94/2)^2)*E94,"NA")</f>
        <v>NA</v>
      </c>
      <c r="O94">
        <f>IF(AND(OR(D94="S. acutus",D94="S. californicus",D94="S. tabernaemontani"),G94=0),E94*[1]Sheet1!$D$7+[1]Sheet1!$L$7,IF(AND(OR(D94="S. acutus",D94="S. tabernaemontani"),G94&gt;0),E94*[1]Sheet1!$D$8+N94*[1]Sheet1!$E$8,IF(AND(D94="S. californicus",G94&gt;0),E94*[1]Sheet1!$D$9+N94*[1]Sheet1!$E$9,IF(D94="S.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latifolia"),E94&gt;0),F94*[1]Sheet1!$C$4+E94*[1]Sheet1!$D$4+H94*[1]Sheet1!$J$4+I94*[1]Sheet1!$K$4+[1]Sheet1!$L$4,IF(AND(OR(D94="T. domingensis",D94="T. latifolia"),J94&gt;0),J94*[1]Sheet1!$G$5+K94*[1]Sheet1!$H$5+L94*[1]Sheet1!$I$5+[1]Sheet1!$L$5,0)))))))</f>
        <v>28.869289999999999</v>
      </c>
    </row>
    <row r="95" spans="1:15">
      <c r="A95" s="9">
        <v>41768</v>
      </c>
      <c r="B95" s="7" t="s">
        <v>28</v>
      </c>
      <c r="C95">
        <v>52</v>
      </c>
      <c r="D95" t="s">
        <v>23</v>
      </c>
      <c r="F95">
        <v>3.17</v>
      </c>
      <c r="J95">
        <f>247+294+299+313+317+330+330+334+293+312</f>
        <v>3069</v>
      </c>
      <c r="K95">
        <v>10</v>
      </c>
      <c r="L95">
        <v>334</v>
      </c>
      <c r="N95" t="str">
        <f>IF(OR(D95="S. acutus", D95="S. tabernaemontani", D95="S. californicus"),(1/3)*(3.14159)*((F95/2)^2)*E95,"NA")</f>
        <v>NA</v>
      </c>
      <c r="O95">
        <f>IF(AND(OR(D95="S. acutus",D95="S. californicus",D95="S. tabernaemontani"),G95=0),E95*[1]Sheet1!$D$7+[1]Sheet1!$L$7,IF(AND(OR(D95="S. acutus",D95="S. tabernaemontani"),G95&gt;0),E95*[1]Sheet1!$D$8+N95*[1]Sheet1!$E$8,IF(AND(D95="S. californicus",G95&gt;0),E95*[1]Sheet1!$D$9+N95*[1]Sheet1!$E$9,IF(D95="S.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latifolia"),E95&gt;0),F95*[1]Sheet1!$C$4+E95*[1]Sheet1!$D$4+H95*[1]Sheet1!$J$4+I95*[1]Sheet1!$K$4+[1]Sheet1!$L$4,IF(AND(OR(D95="T. domingensis",D95="T. latifolia"),J95&gt;0),J95*[1]Sheet1!$G$5+K95*[1]Sheet1!$H$5+L95*[1]Sheet1!$I$5+[1]Sheet1!$L$5,0)))))))</f>
        <v>149.93171900000004</v>
      </c>
    </row>
    <row r="96" spans="1:15">
      <c r="A96" s="9">
        <v>41768</v>
      </c>
      <c r="B96" s="7" t="s">
        <v>28</v>
      </c>
      <c r="C96">
        <v>52</v>
      </c>
      <c r="D96" t="s">
        <v>23</v>
      </c>
      <c r="F96">
        <v>2.19</v>
      </c>
      <c r="J96">
        <f>78+102+154+193+232+250+257</f>
        <v>1266</v>
      </c>
      <c r="K96">
        <v>7</v>
      </c>
      <c r="L96">
        <v>257</v>
      </c>
      <c r="N96" t="str">
        <f>IF(OR(D96="S. acutus", D96="S. tabernaemontani", D96="S. californicus"),(1/3)*(3.14159)*((F96/2)^2)*E96,"NA")</f>
        <v>NA</v>
      </c>
      <c r="O96">
        <f>IF(AND(OR(D96="S. acutus",D96="S. californicus",D96="S. tabernaemontani"),G96=0),E96*[1]Sheet1!$D$7+[1]Sheet1!$L$7,IF(AND(OR(D96="S. acutus",D96="S. tabernaemontani"),G96&gt;0),E96*[1]Sheet1!$D$8+N96*[1]Sheet1!$E$8,IF(AND(D96="S. californicus",G96&gt;0),E96*[1]Sheet1!$D$9+N96*[1]Sheet1!$E$9,IF(D96="S.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latifolia"),E96&gt;0),F96*[1]Sheet1!$C$4+E96*[1]Sheet1!$D$4+H96*[1]Sheet1!$J$4+I96*[1]Sheet1!$K$4+[1]Sheet1!$L$4,IF(AND(OR(D96="T. domingensis",D96="T. latifolia"),J96&gt;0),J96*[1]Sheet1!$G$5+K96*[1]Sheet1!$H$5+L96*[1]Sheet1!$I$5+[1]Sheet1!$L$5,0)))))))</f>
        <v>25.154378000000015</v>
      </c>
    </row>
    <row r="97" spans="1:15">
      <c r="A97" s="9">
        <v>41768</v>
      </c>
      <c r="B97" s="7" t="s">
        <v>28</v>
      </c>
      <c r="C97">
        <v>52</v>
      </c>
      <c r="D97" t="s">
        <v>23</v>
      </c>
      <c r="F97">
        <v>3.9</v>
      </c>
      <c r="J97">
        <f>190+141+152+198+227+267+242+256</f>
        <v>1673</v>
      </c>
      <c r="K97">
        <v>8</v>
      </c>
      <c r="L97">
        <v>256</v>
      </c>
      <c r="N97" t="str">
        <f>IF(OR(D97="S. acutus", D97="S. tabernaemontani", D97="S. californicus"),(1/3)*(3.14159)*((F97/2)^2)*E97,"NA")</f>
        <v>NA</v>
      </c>
      <c r="O97">
        <f>IF(AND(OR(D97="S. acutus",D97="S. californicus",D97="S. tabernaemontani"),G97=0),E97*[1]Sheet1!$D$7+[1]Sheet1!$L$7,IF(AND(OR(D97="S. acutus",D97="S. tabernaemontani"),G97&gt;0),E97*[1]Sheet1!$D$8+N97*[1]Sheet1!$E$8,IF(AND(D97="S. californicus",G97&gt;0),E97*[1]Sheet1!$D$9+N97*[1]Sheet1!$E$9,IF(D97="S.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latifolia"),E97&gt;0),F97*[1]Sheet1!$C$4+E97*[1]Sheet1!$D$4+H97*[1]Sheet1!$J$4+I97*[1]Sheet1!$K$4+[1]Sheet1!$L$4,IF(AND(OR(D97="T. domingensis",D97="T. latifolia"),J97&gt;0),J97*[1]Sheet1!$G$5+K97*[1]Sheet1!$H$5+L97*[1]Sheet1!$I$5+[1]Sheet1!$L$5,0)))))))</f>
        <v>56.591555000000007</v>
      </c>
    </row>
    <row r="98" spans="1:15">
      <c r="A98" s="9">
        <v>41768</v>
      </c>
      <c r="B98" s="7" t="s">
        <v>28</v>
      </c>
      <c r="C98">
        <v>52</v>
      </c>
      <c r="D98" t="s">
        <v>23</v>
      </c>
      <c r="F98">
        <v>2</v>
      </c>
      <c r="J98">
        <f>91+113+138+151+165+188+197+218</f>
        <v>1261</v>
      </c>
      <c r="K98">
        <v>8</v>
      </c>
      <c r="L98">
        <v>218</v>
      </c>
      <c r="N98" t="str">
        <f>IF(OR(D98="S. acutus", D98="S. tabernaemontani", D98="S. californicus"),(1/3)*(3.14159)*((F98/2)^2)*E98,"NA")</f>
        <v>NA</v>
      </c>
      <c r="O98">
        <f>IF(AND(OR(D98="S. acutus",D98="S. californicus",D98="S. tabernaemontani"),G98=0),E98*[1]Sheet1!$D$7+[1]Sheet1!$L$7,IF(AND(OR(D98="S. acutus",D98="S. tabernaemontani"),G98&gt;0),E98*[1]Sheet1!$D$8+N98*[1]Sheet1!$E$8,IF(AND(D98="S. californicus",G98&gt;0),E98*[1]Sheet1!$D$9+N98*[1]Sheet1!$E$9,IF(D98="S.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latifolia"),E98&gt;0),F98*[1]Sheet1!$C$4+E98*[1]Sheet1!$D$4+H98*[1]Sheet1!$J$4+I98*[1]Sheet1!$K$4+[1]Sheet1!$L$4,IF(AND(OR(D98="T. domingensis",D98="T. latifolia"),J98&gt;0),J98*[1]Sheet1!$G$5+K98*[1]Sheet1!$H$5+L98*[1]Sheet1!$I$5+[1]Sheet1!$L$5,0)))))))</f>
        <v>29.411805000000015</v>
      </c>
    </row>
    <row r="99" spans="1:15">
      <c r="A99" s="9">
        <v>41768</v>
      </c>
      <c r="B99" s="7" t="s">
        <v>28</v>
      </c>
      <c r="C99">
        <v>52</v>
      </c>
      <c r="D99" t="s">
        <v>23</v>
      </c>
      <c r="F99">
        <v>4.37</v>
      </c>
      <c r="J99">
        <f>101+92+145+146+187+239+176+138+274</f>
        <v>1498</v>
      </c>
      <c r="K99">
        <v>9</v>
      </c>
      <c r="L99">
        <v>274</v>
      </c>
      <c r="N99" t="str">
        <f>IF(OR(D99="S. acutus", D99="S. tabernaemontani", D99="S. californicus"),(1/3)*(3.14159)*((F99/2)^2)*E99,"NA")</f>
        <v>NA</v>
      </c>
      <c r="O99">
        <f>IF(AND(OR(D99="S. acutus",D99="S. californicus",D99="S. tabernaemontani"),G99=0),E99*[1]Sheet1!$D$7+[1]Sheet1!$L$7,IF(AND(OR(D99="S. acutus",D99="S. tabernaemontani"),G99&gt;0),E99*[1]Sheet1!$D$8+N99*[1]Sheet1!$E$8,IF(AND(D99="S. californicus",G99&gt;0),E99*[1]Sheet1!$D$9+N99*[1]Sheet1!$E$9,IF(D99="S.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latifolia"),E99&gt;0),F99*[1]Sheet1!$C$4+E99*[1]Sheet1!$D$4+H99*[1]Sheet1!$J$4+I99*[1]Sheet1!$K$4+[1]Sheet1!$L$4,IF(AND(OR(D99="T. domingensis",D99="T. latifolia"),J99&gt;0),J99*[1]Sheet1!$G$5+K99*[1]Sheet1!$H$5+L99*[1]Sheet1!$I$5+[1]Sheet1!$L$5,0)))))))</f>
        <v>27.739667000000019</v>
      </c>
    </row>
    <row r="100" spans="1:15">
      <c r="A100" s="9">
        <v>41768</v>
      </c>
      <c r="B100" s="7" t="s">
        <v>28</v>
      </c>
      <c r="C100">
        <v>52</v>
      </c>
      <c r="D100" t="s">
        <v>23</v>
      </c>
      <c r="F100">
        <v>1.1100000000000001</v>
      </c>
      <c r="J100">
        <f>119+151+159+184+207+212</f>
        <v>1032</v>
      </c>
      <c r="K100">
        <v>6</v>
      </c>
      <c r="L100">
        <v>212</v>
      </c>
      <c r="N100" t="str">
        <f>IF(OR(D100="S. acutus", D100="S. tabernaemontani", D100="S. californicus"),(1/3)*(3.14159)*((F100/2)^2)*E100,"NA")</f>
        <v>NA</v>
      </c>
      <c r="O100">
        <f>IF(AND(OR(D100="S. acutus",D100="S. californicus",D100="S. tabernaemontani"),G100=0),E100*[1]Sheet1!$D$7+[1]Sheet1!$L$7,IF(AND(OR(D100="S. acutus",D100="S. tabernaemontani"),G100&gt;0),E100*[1]Sheet1!$D$8+N100*[1]Sheet1!$E$8,IF(AND(D100="S. californicus",G100&gt;0),E100*[1]Sheet1!$D$9+N100*[1]Sheet1!$E$9,IF(D100="S.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latifolia"),E100&gt;0),F100*[1]Sheet1!$C$4+E100*[1]Sheet1!$D$4+H100*[1]Sheet1!$J$4+I100*[1]Sheet1!$K$4+[1]Sheet1!$L$4,IF(AND(OR(D100="T. domingensis",D100="T. latifolia"),J100&gt;0),J100*[1]Sheet1!$G$5+K100*[1]Sheet1!$H$5+L100*[1]Sheet1!$I$5+[1]Sheet1!$L$5,0)))))))</f>
        <v>23.794086</v>
      </c>
    </row>
    <row r="101" spans="1:15">
      <c r="A101" s="9">
        <v>41768</v>
      </c>
      <c r="B101" s="7" t="s">
        <v>28</v>
      </c>
      <c r="C101">
        <v>52</v>
      </c>
      <c r="D101" t="s">
        <v>23</v>
      </c>
      <c r="F101">
        <v>3.56</v>
      </c>
      <c r="J101">
        <f>181+175+127+227+256+302+301+132+301</f>
        <v>2002</v>
      </c>
      <c r="K101">
        <v>9</v>
      </c>
      <c r="L101">
        <v>302</v>
      </c>
      <c r="N101" t="str">
        <f>IF(OR(D101="S. acutus", D101="S. tabernaemontani", D101="S. californicus"),(1/3)*(3.14159)*((F101/2)^2)*E101,"NA")</f>
        <v>NA</v>
      </c>
      <c r="O101">
        <f>IF(AND(OR(D101="S. acutus",D101="S. californicus",D101="S. tabernaemontani"),G101=0),E101*[1]Sheet1!$D$7+[1]Sheet1!$L$7,IF(AND(OR(D101="S. acutus",D101="S. tabernaemontani"),G101&gt;0),E101*[1]Sheet1!$D$8+N101*[1]Sheet1!$E$8,IF(AND(D101="S. californicus",G101&gt;0),E101*[1]Sheet1!$D$9+N101*[1]Sheet1!$E$9,IF(D101="S.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latifolia"),E101&gt;0),F101*[1]Sheet1!$C$4+E101*[1]Sheet1!$D$4+H101*[1]Sheet1!$J$4+I101*[1]Sheet1!$K$4+[1]Sheet1!$L$4,IF(AND(OR(D101="T. domingensis",D101="T. latifolia"),J101&gt;0),J101*[1]Sheet1!$G$5+K101*[1]Sheet1!$H$5+L101*[1]Sheet1!$I$5+[1]Sheet1!$L$5,0)))))))</f>
        <v>66.557327000000015</v>
      </c>
    </row>
    <row r="102" spans="1:15">
      <c r="A102" s="9">
        <v>41768</v>
      </c>
      <c r="B102" s="7" t="s">
        <v>28</v>
      </c>
      <c r="C102">
        <v>52</v>
      </c>
      <c r="D102" t="s">
        <v>23</v>
      </c>
      <c r="F102">
        <v>2.15</v>
      </c>
      <c r="J102">
        <f>86+92+120+132+136+165+198+200+213+123</f>
        <v>1465</v>
      </c>
      <c r="K102">
        <v>10</v>
      </c>
      <c r="L102">
        <v>213</v>
      </c>
      <c r="N102" t="str">
        <f>IF(OR(D102="S. acutus", D102="S. tabernaemontani", D102="S. californicus"),(1/3)*(3.14159)*((F102/2)^2)*E102,"NA")</f>
        <v>NA</v>
      </c>
      <c r="O102">
        <f>IF(AND(OR(D102="S. acutus",D102="S. californicus",D102="S. tabernaemontani"),G102=0),E102*[1]Sheet1!$D$7+[1]Sheet1!$L$7,IF(AND(OR(D102="S. acutus",D102="S. tabernaemontani"),G102&gt;0),E102*[1]Sheet1!$D$8+N102*[1]Sheet1!$E$8,IF(AND(D102="S. californicus",G102&gt;0),E102*[1]Sheet1!$D$9+N102*[1]Sheet1!$E$9,IF(D102="S.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latifolia"),E102&gt;0),F102*[1]Sheet1!$C$4+E102*[1]Sheet1!$D$4+H102*[1]Sheet1!$J$4+I102*[1]Sheet1!$K$4+[1]Sheet1!$L$4,IF(AND(OR(D102="T. domingensis",D102="T. latifolia"),J102&gt;0),J102*[1]Sheet1!$G$5+K102*[1]Sheet1!$H$5+L102*[1]Sheet1!$I$5+[1]Sheet1!$L$5,0)))))))</f>
        <v>35.999344000000015</v>
      </c>
    </row>
    <row r="103" spans="1:15">
      <c r="A103" s="9">
        <v>41768</v>
      </c>
      <c r="B103" s="7" t="s">
        <v>28</v>
      </c>
      <c r="C103">
        <v>52</v>
      </c>
      <c r="D103" t="s">
        <v>19</v>
      </c>
      <c r="F103">
        <v>0.83</v>
      </c>
      <c r="J103">
        <f>35+31</f>
        <v>66</v>
      </c>
      <c r="K103">
        <v>2</v>
      </c>
      <c r="L103">
        <v>35</v>
      </c>
      <c r="N103" t="str">
        <f>IF(OR(D103="S. acutus", D103="S. tabernaemontani", D103="S. californicus"),(1/3)*(3.14159)*((F103/2)^2)*E103,"NA")</f>
        <v>NA</v>
      </c>
      <c r="O103">
        <f>IF(AND(OR(D103="S. acutus",D103="S. californicus",D103="S. tabernaemontani"),G103=0),E103*[1]Sheet1!$D$7+[1]Sheet1!$L$7,IF(AND(OR(D103="S. acutus",D103="S. tabernaemontani"),G103&gt;0),E103*[1]Sheet1!$D$8+N103*[1]Sheet1!$E$8,IF(AND(D103="S. californicus",G103&gt;0),E103*[1]Sheet1!$D$9+N103*[1]Sheet1!$E$9,IF(D103="S.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latifolia"),E103&gt;0),F103*[1]Sheet1!$C$4+E103*[1]Sheet1!$D$4+H103*[1]Sheet1!$J$4+I103*[1]Sheet1!$K$4+[1]Sheet1!$L$4,IF(AND(OR(D103="T. domingensis",D103="T. latifolia"),J103&gt;0),J103*[1]Sheet1!$G$5+K103*[1]Sheet1!$H$5+L103*[1]Sheet1!$I$5+[1]Sheet1!$L$5,0)))))))</f>
        <v>14.636533</v>
      </c>
    </row>
    <row r="104" spans="1:15">
      <c r="A104" s="9">
        <v>41768</v>
      </c>
      <c r="B104" s="7" t="s">
        <v>28</v>
      </c>
      <c r="C104">
        <v>52</v>
      </c>
      <c r="D104" t="s">
        <v>19</v>
      </c>
      <c r="F104">
        <v>1.51</v>
      </c>
      <c r="J104">
        <f>48+72+91+101+104+88</f>
        <v>504</v>
      </c>
      <c r="K104">
        <v>6</v>
      </c>
      <c r="L104">
        <v>104</v>
      </c>
      <c r="N104" t="str">
        <f>IF(OR(D104="S. acutus", D104="S. tabernaemontani", D104="S. californicus"),(1/3)*(3.14159)*((F104/2)^2)*E104,"NA")</f>
        <v>NA</v>
      </c>
      <c r="O104">
        <f>IF(AND(OR(D104="S. acutus",D104="S. californicus",D104="S. tabernaemontani"),G104=0),E104*[1]Sheet1!$D$7+[1]Sheet1!$L$7,IF(AND(OR(D104="S. acutus",D104="S. tabernaemontani"),G104&gt;0),E104*[1]Sheet1!$D$8+N104*[1]Sheet1!$E$8,IF(AND(D104="S. californicus",G104&gt;0),E104*[1]Sheet1!$D$9+N104*[1]Sheet1!$E$9,IF(D104="S.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latifolia"),E104&gt;0),F104*[1]Sheet1!$C$4+E104*[1]Sheet1!$D$4+H104*[1]Sheet1!$J$4+I104*[1]Sheet1!$K$4+[1]Sheet1!$L$4,IF(AND(OR(D104="T. domingensis",D104="T. latifolia"),J104&gt;0),J104*[1]Sheet1!$G$5+K104*[1]Sheet1!$H$5+L104*[1]Sheet1!$I$5+[1]Sheet1!$L$5,0)))))))</f>
        <v>6.8259060000000034</v>
      </c>
    </row>
    <row r="105" spans="1:15">
      <c r="A105" s="9">
        <v>41768</v>
      </c>
      <c r="B105" s="7" t="s">
        <v>28</v>
      </c>
      <c r="C105">
        <v>52</v>
      </c>
      <c r="D105" t="s">
        <v>19</v>
      </c>
      <c r="E105">
        <v>299</v>
      </c>
      <c r="F105">
        <v>11.88</v>
      </c>
      <c r="H105">
        <v>34</v>
      </c>
      <c r="I105">
        <v>1.5</v>
      </c>
      <c r="N105" t="str">
        <f>IF(OR(D105="S. acutus", D105="S. tabernaemontani", D105="S. californicus"),(1/3)*(3.14159)*((F105/2)^2)*E105,"NA")</f>
        <v>NA</v>
      </c>
      <c r="O105">
        <f>IF(AND(OR(D105="S. acutus",D105="S. californicus",D105="S. tabernaemontani"),G105=0),E105*[1]Sheet1!$D$7+[1]Sheet1!$L$7,IF(AND(OR(D105="S. acutus",D105="S. tabernaemontani"),G105&gt;0),E105*[1]Sheet1!$D$8+N105*[1]Sheet1!$E$8,IF(AND(D105="S. californicus",G105&gt;0),E105*[1]Sheet1!$D$9+N105*[1]Sheet1!$E$9,IF(D105="S.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latifolia"),E105&gt;0),F105*[1]Sheet1!$C$4+E105*[1]Sheet1!$D$4+H105*[1]Sheet1!$J$4+I105*[1]Sheet1!$K$4+[1]Sheet1!$L$4,IF(AND(OR(D105="T. domingensis",D105="T. latifolia"),J105&gt;0),J105*[1]Sheet1!$G$5+K105*[1]Sheet1!$H$5+L105*[1]Sheet1!$I$5+[1]Sheet1!$L$5,0)))))))</f>
        <v>279.35849456</v>
      </c>
    </row>
    <row r="106" spans="1:15">
      <c r="A106" s="6">
        <v>41774</v>
      </c>
      <c r="B106" s="7" t="s">
        <v>31</v>
      </c>
      <c r="C106">
        <v>1</v>
      </c>
      <c r="D106" t="s">
        <v>20</v>
      </c>
      <c r="E106">
        <v>267</v>
      </c>
      <c r="F106">
        <v>1.4</v>
      </c>
      <c r="N106">
        <f>IF(OR(D106="S. acutus", D106="S. tabernaemontani", D106="S. californicus"),(1/3)*(3.14159)*((F106/2)^2)*E106,"NA")</f>
        <v>137.00473989999998</v>
      </c>
      <c r="O106">
        <f>IF(AND(OR(D106="S. acutus",D106="S. californicus",D106="S. tabernaemontani"),G106=0),E106*[1]Sheet1!$D$7+[1]Sheet1!$L$7,IF(AND(OR(D106="S. acutus",D106="S. tabernaemontani"),G106&gt;0),E106*[1]Sheet1!$D$8+N106*[1]Sheet1!$E$8,IF(AND(D106="S. californicus",G106&gt;0),E106*[1]Sheet1!$D$9+N106*[1]Sheet1!$E$9,IF(D106="S.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latifolia"),E106&gt;0),F106*[1]Sheet1!$C$4+E106*[1]Sheet1!$D$4+H106*[1]Sheet1!$J$4+I106*[1]Sheet1!$K$4+[1]Sheet1!$L$4,IF(AND(OR(D106="T. domingensis",D106="T. latifolia"),J106&gt;0),J106*[1]Sheet1!$G$5+K106*[1]Sheet1!$H$5+L106*[1]Sheet1!$I$5+[1]Sheet1!$L$5,0)))))))</f>
        <v>14.127438000000001</v>
      </c>
    </row>
    <row r="107" spans="1:15">
      <c r="A107" s="6">
        <v>41774</v>
      </c>
      <c r="B107" s="7" t="s">
        <v>31</v>
      </c>
      <c r="C107">
        <v>1</v>
      </c>
      <c r="D107" t="s">
        <v>20</v>
      </c>
      <c r="E107">
        <v>155</v>
      </c>
      <c r="F107">
        <v>0.9</v>
      </c>
      <c r="G107">
        <v>9</v>
      </c>
      <c r="N107">
        <f>IF(OR(D107="S. acutus", D107="S. tabernaemontani", D107="S. californicus"),(1/3)*(3.14159)*((F107/2)^2)*E107,"NA")</f>
        <v>32.868885374999998</v>
      </c>
      <c r="O107">
        <f>IF(AND(OR(D107="S. acutus",D107="S. californicus",D107="S. tabernaemontani"),G107=0),E107*[1]Sheet1!$D$7+[1]Sheet1!$L$7,IF(AND(OR(D107="S. acutus",D107="S. tabernaemontani"),G107&gt;0),E107*[1]Sheet1!$D$8+N107*[1]Sheet1!$E$8,IF(AND(D107="S. californicus",G107&gt;0),E107*[1]Sheet1!$D$9+N107*[1]Sheet1!$E$9,IF(D107="S.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latifolia"),E107&gt;0),F107*[1]Sheet1!$C$4+E107*[1]Sheet1!$D$4+H107*[1]Sheet1!$J$4+I107*[1]Sheet1!$K$4+[1]Sheet1!$L$4,IF(AND(OR(D107="T. domingensis",D107="T. latifolia"),J107&gt;0),J107*[1]Sheet1!$G$5+K107*[1]Sheet1!$H$5+L107*[1]Sheet1!$I$5+[1]Sheet1!$L$5,0)))))))</f>
        <v>7.0270081910718378</v>
      </c>
    </row>
    <row r="108" spans="1:15">
      <c r="A108" s="6">
        <v>41774</v>
      </c>
      <c r="B108" s="7" t="s">
        <v>31</v>
      </c>
      <c r="C108">
        <v>1</v>
      </c>
      <c r="D108" t="s">
        <v>20</v>
      </c>
      <c r="E108">
        <v>45</v>
      </c>
      <c r="F108">
        <v>0.85</v>
      </c>
      <c r="N108">
        <f>IF(OR(D108="S. acutus", D108="S. tabernaemontani", D108="S. californicus"),(1/3)*(3.14159)*((F108/2)^2)*E108,"NA")</f>
        <v>8.5117454062499984</v>
      </c>
      <c r="O108">
        <f>IF(AND(OR(D108="S. acutus",D108="S. californicus",D108="S. tabernaemontani"),G108=0),E108*[1]Sheet1!$D$7+[1]Sheet1!$L$7,IF(AND(OR(D108="S. acutus",D108="S. tabernaemontani"),G108&gt;0),E108*[1]Sheet1!$D$8+N108*[1]Sheet1!$E$8,IF(AND(D108="S. californicus",G108&gt;0),E108*[1]Sheet1!$D$9+N108*[1]Sheet1!$E$9,IF(D108="S.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latifolia"),E108&gt;0),F108*[1]Sheet1!$C$4+E108*[1]Sheet1!$D$4+H108*[1]Sheet1!$J$4+I108*[1]Sheet1!$K$4+[1]Sheet1!$L$4,IF(AND(OR(D108="T. domingensis",D108="T. latifolia"),J108&gt;0),J108*[1]Sheet1!$G$5+K108*[1]Sheet1!$H$5+L108*[1]Sheet1!$I$5+[1]Sheet1!$L$5,0)))))))</f>
        <v>-1.4358719999999998</v>
      </c>
    </row>
    <row r="109" spans="1:15">
      <c r="A109" s="6">
        <v>41774</v>
      </c>
      <c r="B109" s="7" t="s">
        <v>31</v>
      </c>
      <c r="C109">
        <v>1</v>
      </c>
      <c r="D109" t="s">
        <v>20</v>
      </c>
      <c r="E109">
        <v>283</v>
      </c>
      <c r="F109">
        <v>0.9</v>
      </c>
      <c r="N109">
        <f>IF(OR(D109="S. acutus", D109="S. tabernaemontani", D109="S. californicus"),(1/3)*(3.14159)*((F109/2)^2)*E109,"NA")</f>
        <v>60.012222975</v>
      </c>
      <c r="O109">
        <f>IF(AND(OR(D109="S. acutus",D109="S. californicus",D109="S. tabernaemontani"),G109=0),E109*[1]Sheet1!$D$7+[1]Sheet1!$L$7,IF(AND(OR(D109="S. acutus",D109="S. tabernaemontani"),G109&gt;0),E109*[1]Sheet1!$D$8+N109*[1]Sheet1!$E$8,IF(AND(D109="S. californicus",G109&gt;0),E109*[1]Sheet1!$D$9+N109*[1]Sheet1!$E$9,IF(D109="S.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latifolia"),E109&gt;0),F109*[1]Sheet1!$C$4+E109*[1]Sheet1!$D$4+H109*[1]Sheet1!$J$4+I109*[1]Sheet1!$K$4+[1]Sheet1!$L$4,IF(AND(OR(D109="T. domingensis",D109="T. latifolia"),J109&gt;0),J109*[1]Sheet1!$G$5+K109*[1]Sheet1!$H$5+L109*[1]Sheet1!$I$5+[1]Sheet1!$L$5,0)))))))</f>
        <v>15.249118000000003</v>
      </c>
    </row>
    <row r="110" spans="1:15">
      <c r="A110" s="6">
        <v>41774</v>
      </c>
      <c r="B110" s="7" t="s">
        <v>31</v>
      </c>
      <c r="C110">
        <v>1</v>
      </c>
      <c r="D110" t="s">
        <v>20</v>
      </c>
      <c r="E110">
        <v>100</v>
      </c>
      <c r="F110">
        <v>0.88</v>
      </c>
      <c r="G110">
        <v>7</v>
      </c>
      <c r="N110">
        <f>IF(OR(D110="S. acutus", D110="S. tabernaemontani", D110="S. californicus"),(1/3)*(3.14159)*((F110/2)^2)*E110,"NA")</f>
        <v>20.273727466666664</v>
      </c>
      <c r="O110">
        <f>IF(AND(OR(D110="S. acutus",D110="S. californicus",D110="S. tabernaemontani"),G110=0),E110*[1]Sheet1!$D$7+[1]Sheet1!$L$7,IF(AND(OR(D110="S. acutus",D110="S. tabernaemontani"),G110&gt;0),E110*[1]Sheet1!$D$8+N110*[1]Sheet1!$E$8,IF(AND(D110="S. californicus",G110&gt;0),E110*[1]Sheet1!$D$9+N110*[1]Sheet1!$E$9,IF(D110="S.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latifolia"),E110&gt;0),F110*[1]Sheet1!$C$4+E110*[1]Sheet1!$D$4+H110*[1]Sheet1!$J$4+I110*[1]Sheet1!$K$4+[1]Sheet1!$L$4,IF(AND(OR(D110="T. domingensis",D110="T. latifolia"),J110&gt;0),J110*[1]Sheet1!$G$5+K110*[1]Sheet1!$H$5+L110*[1]Sheet1!$I$5+[1]Sheet1!$L$5,0)))))))</f>
        <v>4.503542270781387</v>
      </c>
    </row>
    <row r="111" spans="1:15">
      <c r="A111" s="6">
        <v>41774</v>
      </c>
      <c r="B111" s="7" t="s">
        <v>31</v>
      </c>
      <c r="C111">
        <v>1</v>
      </c>
      <c r="D111" t="s">
        <v>20</v>
      </c>
      <c r="E111">
        <v>212</v>
      </c>
      <c r="F111">
        <v>1.0900000000000001</v>
      </c>
      <c r="N111">
        <f>IF(OR(D111="S. acutus", D111="S. tabernaemontani", D111="S. californicus"),(1/3)*(3.14159)*((F111/2)^2)*E111,"NA")</f>
        <v>65.941241062333333</v>
      </c>
      <c r="O111">
        <f>IF(AND(OR(D111="S. acutus",D111="S. californicus",D111="S. tabernaemontani"),G111=0),E111*[1]Sheet1!$D$7+[1]Sheet1!$L$7,IF(AND(OR(D111="S. acutus",D111="S. tabernaemontani"),G111&gt;0),E111*[1]Sheet1!$D$8+N111*[1]Sheet1!$E$8,IF(AND(D111="S. californicus",G111&gt;0),E111*[1]Sheet1!$D$9+N111*[1]Sheet1!$E$9,IF(D111="S.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latifolia"),E111&gt;0),F111*[1]Sheet1!$C$4+E111*[1]Sheet1!$D$4+H111*[1]Sheet1!$J$4+I111*[1]Sheet1!$K$4+[1]Sheet1!$L$4,IF(AND(OR(D111="T. domingensis",D111="T. latifolia"),J111&gt;0),J111*[1]Sheet1!$G$5+K111*[1]Sheet1!$H$5+L111*[1]Sheet1!$I$5+[1]Sheet1!$L$5,0)))))))</f>
        <v>10.271663</v>
      </c>
    </row>
    <row r="112" spans="1:15">
      <c r="A112" s="6">
        <v>41774</v>
      </c>
      <c r="B112" s="7" t="s">
        <v>31</v>
      </c>
      <c r="C112">
        <v>1</v>
      </c>
      <c r="D112" t="s">
        <v>20</v>
      </c>
      <c r="E112">
        <v>201</v>
      </c>
      <c r="F112">
        <v>1.7</v>
      </c>
      <c r="N112">
        <f>IF(OR(D112="S. acutus", D112="S. tabernaemontani", D112="S. californicus"),(1/3)*(3.14159)*((F112/2)^2)*E112,"NA")</f>
        <v>152.07651792499996</v>
      </c>
      <c r="O112">
        <f>IF(AND(OR(D112="S. acutus",D112="S. californicus",D112="S. tabernaemontani"),G112=0),E112*[1]Sheet1!$D$7+[1]Sheet1!$L$7,IF(AND(OR(D112="S. acutus",D112="S. tabernaemontani"),G112&gt;0),E112*[1]Sheet1!$D$8+N112*[1]Sheet1!$E$8,IF(AND(D112="S. californicus",G112&gt;0),E112*[1]Sheet1!$D$9+N112*[1]Sheet1!$E$9,IF(D112="S.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latifolia"),E112&gt;0),F112*[1]Sheet1!$C$4+E112*[1]Sheet1!$D$4+H112*[1]Sheet1!$J$4+I112*[1]Sheet1!$K$4+[1]Sheet1!$L$4,IF(AND(OR(D112="T. domingensis",D112="T. latifolia"),J112&gt;0),J112*[1]Sheet1!$G$5+K112*[1]Sheet1!$H$5+L112*[1]Sheet1!$I$5+[1]Sheet1!$L$5,0)))))))</f>
        <v>9.500508</v>
      </c>
    </row>
    <row r="113" spans="1:15">
      <c r="A113" s="6">
        <v>41774</v>
      </c>
      <c r="B113" s="7" t="s">
        <v>31</v>
      </c>
      <c r="C113">
        <v>1</v>
      </c>
      <c r="D113" t="s">
        <v>19</v>
      </c>
      <c r="F113">
        <v>1.7</v>
      </c>
      <c r="J113">
        <f>58+67+97+99+115</f>
        <v>436</v>
      </c>
      <c r="K113">
        <v>5</v>
      </c>
      <c r="L113">
        <v>115</v>
      </c>
      <c r="N113" t="str">
        <f>IF(OR(D113="S. acutus", D113="S. tabernaemontani", D113="S. californicus"),(1/3)*(3.14159)*((F113/2)^2)*E113,"NA")</f>
        <v>NA</v>
      </c>
      <c r="O113">
        <f>IF(AND(OR(D113="S. acutus",D113="S. californicus",D113="S. tabernaemontani"),G113=0),E113*[1]Sheet1!$D$7+[1]Sheet1!$L$7,IF(AND(OR(D113="S. acutus",D113="S. tabernaemontani"),G113&gt;0),E113*[1]Sheet1!$D$8+N113*[1]Sheet1!$E$8,IF(AND(D113="S. californicus",G113&gt;0),E113*[1]Sheet1!$D$9+N113*[1]Sheet1!$E$9,IF(D113="S.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latifolia"),E113&gt;0),F113*[1]Sheet1!$C$4+E113*[1]Sheet1!$D$4+H113*[1]Sheet1!$J$4+I113*[1]Sheet1!$K$4+[1]Sheet1!$L$4,IF(AND(OR(D113="T. domingensis",D113="T. latifolia"),J113&gt;0),J113*[1]Sheet1!$G$5+K113*[1]Sheet1!$H$5+L113*[1]Sheet1!$I$5+[1]Sheet1!$L$5,0)))))))</f>
        <v>4.1592240000000018</v>
      </c>
    </row>
    <row r="114" spans="1:15">
      <c r="A114" s="6">
        <v>41774</v>
      </c>
      <c r="B114" s="7" t="s">
        <v>31</v>
      </c>
      <c r="C114">
        <v>1</v>
      </c>
      <c r="D114" t="s">
        <v>19</v>
      </c>
      <c r="F114">
        <v>0.93</v>
      </c>
      <c r="J114">
        <f>49+73+85+105+113</f>
        <v>425</v>
      </c>
      <c r="K114">
        <v>5</v>
      </c>
      <c r="L114">
        <v>113</v>
      </c>
      <c r="N114" t="str">
        <f>IF(OR(D114="S. acutus", D114="S. tabernaemontani", D114="S. californicus"),(1/3)*(3.14159)*((F114/2)^2)*E114,"NA")</f>
        <v>NA</v>
      </c>
      <c r="O114">
        <f>IF(AND(OR(D114="S. acutus",D114="S. californicus",D114="S. tabernaemontani"),G114=0),E114*[1]Sheet1!$D$7+[1]Sheet1!$L$7,IF(AND(OR(D114="S. acutus",D114="S. tabernaemontani"),G114&gt;0),E114*[1]Sheet1!$D$8+N114*[1]Sheet1!$E$8,IF(AND(D114="S. californicus",G114&gt;0),E114*[1]Sheet1!$D$9+N114*[1]Sheet1!$E$9,IF(D114="S.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latifolia"),E114&gt;0),F114*[1]Sheet1!$C$4+E114*[1]Sheet1!$D$4+H114*[1]Sheet1!$J$4+I114*[1]Sheet1!$K$4+[1]Sheet1!$L$4,IF(AND(OR(D114="T. domingensis",D114="T. latifolia"),J114&gt;0),J114*[1]Sheet1!$G$5+K114*[1]Sheet1!$H$5+L114*[1]Sheet1!$I$5+[1]Sheet1!$L$5,0)))))))</f>
        <v>3.7304090000000016</v>
      </c>
    </row>
    <row r="115" spans="1:15">
      <c r="A115" s="6">
        <v>41774</v>
      </c>
      <c r="B115" s="7" t="s">
        <v>31</v>
      </c>
      <c r="C115">
        <v>1</v>
      </c>
      <c r="D115" t="s">
        <v>19</v>
      </c>
      <c r="F115">
        <v>1.04</v>
      </c>
      <c r="J115">
        <f>62+102</f>
        <v>164</v>
      </c>
      <c r="K115">
        <v>2</v>
      </c>
      <c r="L115">
        <v>102</v>
      </c>
      <c r="N115" t="str">
        <f>IF(OR(D115="S. acutus", D115="S. tabernaemontani", D115="S. californicus"),(1/3)*(3.14159)*((F115/2)^2)*E115,"NA")</f>
        <v>NA</v>
      </c>
      <c r="O115">
        <f>IF(AND(OR(D115="S. acutus",D115="S. californicus",D115="S. tabernaemontani"),G115=0),E115*[1]Sheet1!$D$7+[1]Sheet1!$L$7,IF(AND(OR(D115="S. acutus",D115="S. tabernaemontani"),G115&gt;0),E115*[1]Sheet1!$D$8+N115*[1]Sheet1!$E$8,IF(AND(D115="S. californicus",G115&gt;0),E115*[1]Sheet1!$D$9+N115*[1]Sheet1!$E$9,IF(D115="S.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latifolia"),E115&gt;0),F115*[1]Sheet1!$C$4+E115*[1]Sheet1!$D$4+H115*[1]Sheet1!$J$4+I115*[1]Sheet1!$K$4+[1]Sheet1!$L$4,IF(AND(OR(D115="T. domingensis",D115="T. latifolia"),J115&gt;0),J115*[1]Sheet1!$G$5+K115*[1]Sheet1!$H$5+L115*[1]Sheet1!$I$5+[1]Sheet1!$L$5,0)))))))</f>
        <v>3.6411080000000027</v>
      </c>
    </row>
    <row r="116" spans="1:15">
      <c r="A116" s="6">
        <v>41774</v>
      </c>
      <c r="B116" s="7" t="s">
        <v>31</v>
      </c>
      <c r="C116">
        <v>1</v>
      </c>
      <c r="D116" t="s">
        <v>19</v>
      </c>
      <c r="F116">
        <v>1.41</v>
      </c>
      <c r="J116">
        <f>51+96+131+145</f>
        <v>423</v>
      </c>
      <c r="K116">
        <v>4</v>
      </c>
      <c r="L116">
        <v>145</v>
      </c>
      <c r="N116" t="str">
        <f>IF(OR(D116="S. acutus", D116="S. tabernaemontani", D116="S. californicus"),(1/3)*(3.14159)*((F116/2)^2)*E116,"NA")</f>
        <v>NA</v>
      </c>
      <c r="O116">
        <f>IF(AND(OR(D116="S. acutus",D116="S. californicus",D116="S. tabernaemontani"),G116=0),E116*[1]Sheet1!$D$7+[1]Sheet1!$L$7,IF(AND(OR(D116="S. acutus",D116="S. tabernaemontani"),G116&gt;0),E116*[1]Sheet1!$D$8+N116*[1]Sheet1!$E$8,IF(AND(D116="S. californicus",G116&gt;0),E116*[1]Sheet1!$D$9+N116*[1]Sheet1!$E$9,IF(D116="S.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latifolia"),E116&gt;0),F116*[1]Sheet1!$C$4+E116*[1]Sheet1!$D$4+H116*[1]Sheet1!$J$4+I116*[1]Sheet1!$K$4+[1]Sheet1!$L$4,IF(AND(OR(D116="T. domingensis",D116="T. latifolia"),J116&gt;0),J116*[1]Sheet1!$G$5+K116*[1]Sheet1!$H$5+L116*[1]Sheet1!$I$5+[1]Sheet1!$L$5,0)))))))</f>
        <v>0.92541200000000146</v>
      </c>
    </row>
    <row r="117" spans="1:15">
      <c r="A117" s="6">
        <v>41774</v>
      </c>
      <c r="B117" s="7" t="s">
        <v>31</v>
      </c>
      <c r="C117">
        <v>1</v>
      </c>
      <c r="D117" t="s">
        <v>19</v>
      </c>
      <c r="F117">
        <v>1.87</v>
      </c>
      <c r="J117">
        <f>91+116+143+144+174+178</f>
        <v>846</v>
      </c>
      <c r="K117">
        <v>6</v>
      </c>
      <c r="L117">
        <v>178</v>
      </c>
      <c r="N117" t="str">
        <f>IF(OR(D117="S. acutus", D117="S. tabernaemontani", D117="S. californicus"),(1/3)*(3.14159)*((F117/2)^2)*E117,"NA")</f>
        <v>NA</v>
      </c>
      <c r="O117">
        <f>IF(AND(OR(D117="S. acutus",D117="S. californicus",D117="S. tabernaemontani"),G117=0),E117*[1]Sheet1!$D$7+[1]Sheet1!$L$7,IF(AND(OR(D117="S. acutus",D117="S. tabernaemontani"),G117&gt;0),E117*[1]Sheet1!$D$8+N117*[1]Sheet1!$E$8,IF(AND(D117="S. californicus",G117&gt;0),E117*[1]Sheet1!$D$9+N117*[1]Sheet1!$E$9,IF(D117="S.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latifolia"),E117&gt;0),F117*[1]Sheet1!$C$4+E117*[1]Sheet1!$D$4+H117*[1]Sheet1!$J$4+I117*[1]Sheet1!$K$4+[1]Sheet1!$L$4,IF(AND(OR(D117="T. domingensis",D117="T. latifolia"),J117&gt;0),J117*[1]Sheet1!$G$5+K117*[1]Sheet1!$H$5+L117*[1]Sheet1!$I$5+[1]Sheet1!$L$5,0)))))))</f>
        <v>16.597986000000006</v>
      </c>
    </row>
    <row r="118" spans="1:15">
      <c r="A118" s="6">
        <v>41774</v>
      </c>
      <c r="B118" s="7" t="s">
        <v>31</v>
      </c>
      <c r="C118">
        <v>1</v>
      </c>
      <c r="D118" t="s">
        <v>19</v>
      </c>
      <c r="F118">
        <v>0.69</v>
      </c>
      <c r="J118">
        <f>98</f>
        <v>98</v>
      </c>
      <c r="K118">
        <v>1</v>
      </c>
      <c r="L118">
        <v>98</v>
      </c>
      <c r="N118" t="str">
        <f>IF(OR(D118="S. acutus", D118="S. tabernaemontani", D118="S. californicus"),(1/3)*(3.14159)*((F118/2)^2)*E118,"NA")</f>
        <v>NA</v>
      </c>
      <c r="O118">
        <f>IF(AND(OR(D118="S. acutus",D118="S. californicus",D118="S. tabernaemontani"),G118=0),E118*[1]Sheet1!$D$7+[1]Sheet1!$L$7,IF(AND(OR(D118="S. acutus",D118="S. tabernaemontani"),G118&gt;0),E118*[1]Sheet1!$D$8+N118*[1]Sheet1!$E$8,IF(AND(D118="S. californicus",G118&gt;0),E118*[1]Sheet1!$D$9+N118*[1]Sheet1!$E$9,IF(D118="S.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latifolia"),E118&gt;0),F118*[1]Sheet1!$C$4+E118*[1]Sheet1!$D$4+H118*[1]Sheet1!$J$4+I118*[1]Sheet1!$K$4+[1]Sheet1!$L$4,IF(AND(OR(D118="T. domingensis",D118="T. latifolia"),J118&gt;0),J118*[1]Sheet1!$G$5+K118*[1]Sheet1!$H$5+L118*[1]Sheet1!$I$5+[1]Sheet1!$L$5,0)))))))</f>
        <v>5.680610999999999</v>
      </c>
    </row>
    <row r="119" spans="1:15">
      <c r="A119" s="6">
        <v>41774</v>
      </c>
      <c r="B119" s="7" t="s">
        <v>31</v>
      </c>
      <c r="C119">
        <v>1</v>
      </c>
      <c r="D119" t="s">
        <v>19</v>
      </c>
      <c r="F119">
        <v>2.42</v>
      </c>
      <c r="J119">
        <f>77+106+161+177+191</f>
        <v>712</v>
      </c>
      <c r="K119">
        <v>5</v>
      </c>
      <c r="L119">
        <v>191</v>
      </c>
      <c r="N119" t="str">
        <f>IF(OR(D119="S. acutus", D119="S. tabernaemontani", D119="S. californicus"),(1/3)*(3.14159)*((F119/2)^2)*E119,"NA")</f>
        <v>NA</v>
      </c>
      <c r="O119">
        <f>IF(AND(OR(D119="S. acutus",D119="S. californicus",D119="S. tabernaemontani"),G119=0),E119*[1]Sheet1!$D$7+[1]Sheet1!$L$7,IF(AND(OR(D119="S. acutus",D119="S. tabernaemontani"),G119&gt;0),E119*[1]Sheet1!$D$8+N119*[1]Sheet1!$E$8,IF(AND(D119="S. californicus",G119&gt;0),E119*[1]Sheet1!$D$9+N119*[1]Sheet1!$E$9,IF(D119="S.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latifolia"),E119&gt;0),F119*[1]Sheet1!$C$4+E119*[1]Sheet1!$D$4+H119*[1]Sheet1!$J$4+I119*[1]Sheet1!$K$4+[1]Sheet1!$L$4,IF(AND(OR(D119="T. domingensis",D119="T. latifolia"),J119&gt;0),J119*[1]Sheet1!$G$5+K119*[1]Sheet1!$H$5+L119*[1]Sheet1!$I$5+[1]Sheet1!$L$5,0)))))))</f>
        <v>7.1409840000000102</v>
      </c>
    </row>
    <row r="120" spans="1:15">
      <c r="A120" s="6">
        <v>41774</v>
      </c>
      <c r="B120" s="7" t="s">
        <v>31</v>
      </c>
      <c r="C120">
        <v>1</v>
      </c>
      <c r="D120" t="s">
        <v>19</v>
      </c>
      <c r="F120">
        <v>1.57</v>
      </c>
      <c r="J120">
        <f>90+97+143+185+200+232+230</f>
        <v>1177</v>
      </c>
      <c r="K120">
        <v>7</v>
      </c>
      <c r="L120">
        <v>232</v>
      </c>
      <c r="N120" t="str">
        <f>IF(OR(D120="S. acutus", D120="S. tabernaemontani", D120="S. californicus"),(1/3)*(3.14159)*((F120/2)^2)*E120,"NA")</f>
        <v>NA</v>
      </c>
      <c r="O120">
        <f>IF(AND(OR(D120="S. acutus",D120="S. californicus",D120="S. tabernaemontani"),G120=0),E120*[1]Sheet1!$D$7+[1]Sheet1!$L$7,IF(AND(OR(D120="S. acutus",D120="S. tabernaemontani"),G120&gt;0),E120*[1]Sheet1!$D$8+N120*[1]Sheet1!$E$8,IF(AND(D120="S. californicus",G120&gt;0),E120*[1]Sheet1!$D$9+N120*[1]Sheet1!$E$9,IF(D120="S.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latifolia"),E120&gt;0),F120*[1]Sheet1!$C$4+E120*[1]Sheet1!$D$4+H120*[1]Sheet1!$J$4+I120*[1]Sheet1!$K$4+[1]Sheet1!$L$4,IF(AND(OR(D120="T. domingensis",D120="T. latifolia"),J120&gt;0),J120*[1]Sheet1!$G$5+K120*[1]Sheet1!$H$5+L120*[1]Sheet1!$I$5+[1]Sheet1!$L$5,0)))))))</f>
        <v>24.341308000000005</v>
      </c>
    </row>
    <row r="121" spans="1:15">
      <c r="A121" s="6">
        <v>41774</v>
      </c>
      <c r="B121" s="7" t="s">
        <v>31</v>
      </c>
      <c r="C121">
        <v>1</v>
      </c>
      <c r="D121" t="s">
        <v>19</v>
      </c>
      <c r="F121">
        <v>1.91</v>
      </c>
      <c r="J121">
        <f>43+58+96+143+176+201+213</f>
        <v>930</v>
      </c>
      <c r="K121">
        <v>7</v>
      </c>
      <c r="L121">
        <v>213</v>
      </c>
      <c r="N121" t="str">
        <f>IF(OR(D121="S. acutus", D121="S. tabernaemontani", D121="S. californicus"),(1/3)*(3.14159)*((F121/2)^2)*E121,"NA")</f>
        <v>NA</v>
      </c>
      <c r="O121">
        <f>IF(AND(OR(D121="S. acutus",D121="S. californicus",D121="S. tabernaemontani"),G121=0),E121*[1]Sheet1!$D$7+[1]Sheet1!$L$7,IF(AND(OR(D121="S. acutus",D121="S. tabernaemontani"),G121&gt;0),E121*[1]Sheet1!$D$8+N121*[1]Sheet1!$E$8,IF(AND(D121="S. californicus",G121&gt;0),E121*[1]Sheet1!$D$9+N121*[1]Sheet1!$E$9,IF(D121="S.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latifolia"),E121&gt;0),F121*[1]Sheet1!$C$4+E121*[1]Sheet1!$D$4+H121*[1]Sheet1!$J$4+I121*[1]Sheet1!$K$4+[1]Sheet1!$L$4,IF(AND(OR(D121="T. domingensis",D121="T. latifolia"),J121&gt;0),J121*[1]Sheet1!$G$5+K121*[1]Sheet1!$H$5+L121*[1]Sheet1!$I$5+[1]Sheet1!$L$5,0)))))))</f>
        <v>6.9074780000000047</v>
      </c>
    </row>
    <row r="122" spans="1:15">
      <c r="A122" s="6">
        <v>41774</v>
      </c>
      <c r="B122" s="7" t="s">
        <v>31</v>
      </c>
      <c r="C122">
        <v>1</v>
      </c>
      <c r="D122" t="s">
        <v>19</v>
      </c>
      <c r="F122">
        <v>0.95</v>
      </c>
      <c r="J122">
        <f>68+125+176+179</f>
        <v>548</v>
      </c>
      <c r="K122">
        <v>4</v>
      </c>
      <c r="L122">
        <v>179</v>
      </c>
      <c r="N122" t="str">
        <f>IF(OR(D122="S. acutus", D122="S. tabernaemontani", D122="S. californicus"),(1/3)*(3.14159)*((F122/2)^2)*E122,"NA")</f>
        <v>NA</v>
      </c>
      <c r="O122">
        <f>IF(AND(OR(D122="S. acutus",D122="S. californicus",D122="S. tabernaemontani"),G122=0),E122*[1]Sheet1!$D$7+[1]Sheet1!$L$7,IF(AND(OR(D122="S. acutus",D122="S. tabernaemontani"),G122&gt;0),E122*[1]Sheet1!$D$8+N122*[1]Sheet1!$E$8,IF(AND(D122="S. californicus",G122&gt;0),E122*[1]Sheet1!$D$9+N122*[1]Sheet1!$E$9,IF(D122="S.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latifolia"),E122&gt;0),F122*[1]Sheet1!$C$4+E122*[1]Sheet1!$D$4+H122*[1]Sheet1!$J$4+I122*[1]Sheet1!$K$4+[1]Sheet1!$L$4,IF(AND(OR(D122="T. domingensis",D122="T. latifolia"),J122&gt;0),J122*[1]Sheet1!$G$5+K122*[1]Sheet1!$H$5+L122*[1]Sheet1!$I$5+[1]Sheet1!$L$5,0)))))))</f>
        <v>2.4024570000000018</v>
      </c>
    </row>
    <row r="123" spans="1:15">
      <c r="A123" s="6">
        <v>41774</v>
      </c>
      <c r="B123" s="7" t="s">
        <v>31</v>
      </c>
      <c r="C123">
        <v>1</v>
      </c>
      <c r="D123" t="s">
        <v>19</v>
      </c>
      <c r="F123">
        <v>1.68</v>
      </c>
      <c r="J123">
        <f>99+142</f>
        <v>241</v>
      </c>
      <c r="K123">
        <v>2</v>
      </c>
      <c r="L123">
        <v>142</v>
      </c>
      <c r="N123" t="str">
        <f>IF(OR(D123="S. acutus", D123="S. tabernaemontani", D123="S. californicus"),(1/3)*(3.14159)*((F123/2)^2)*E123,"NA")</f>
        <v>NA</v>
      </c>
      <c r="O123">
        <f>IF(AND(OR(D123="S. acutus",D123="S. californicus",D123="S. tabernaemontani"),G123=0),E123*[1]Sheet1!$D$7+[1]Sheet1!$L$7,IF(AND(OR(D123="S. acutus",D123="S. tabernaemontani"),G123&gt;0),E123*[1]Sheet1!$D$8+N123*[1]Sheet1!$E$8,IF(AND(D123="S. californicus",G123&gt;0),E123*[1]Sheet1!$D$9+N123*[1]Sheet1!$E$9,IF(D123="S.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latifolia"),E123&gt;0),F123*[1]Sheet1!$C$4+E123*[1]Sheet1!$D$4+H123*[1]Sheet1!$J$4+I123*[1]Sheet1!$K$4+[1]Sheet1!$L$4,IF(AND(OR(D123="T. domingensis",D123="T. latifolia"),J123&gt;0),J123*[1]Sheet1!$G$5+K123*[1]Sheet1!$H$5+L123*[1]Sheet1!$I$5+[1]Sheet1!$L$5,0)))))))</f>
        <v>-1.1895570000000006</v>
      </c>
    </row>
    <row r="124" spans="1:15">
      <c r="A124" s="6">
        <v>41774</v>
      </c>
      <c r="B124" s="7" t="s">
        <v>31</v>
      </c>
      <c r="C124">
        <v>1</v>
      </c>
      <c r="D124" t="s">
        <v>19</v>
      </c>
      <c r="F124">
        <v>1.35</v>
      </c>
      <c r="J124">
        <f>43+48+85+89+116+144+150+175</f>
        <v>850</v>
      </c>
      <c r="K124">
        <v>8</v>
      </c>
      <c r="L124">
        <v>175</v>
      </c>
      <c r="N124" t="str">
        <f>IF(OR(D124="S. acutus", D124="S. tabernaemontani", D124="S. californicus"),(1/3)*(3.14159)*((F124/2)^2)*E124,"NA")</f>
        <v>NA</v>
      </c>
      <c r="O124">
        <f>IF(AND(OR(D124="S. acutus",D124="S. californicus",D124="S. tabernaemontani"),G124=0),E124*[1]Sheet1!$D$7+[1]Sheet1!$L$7,IF(AND(OR(D124="S. acutus",D124="S. tabernaemontani"),G124&gt;0),E124*[1]Sheet1!$D$8+N124*[1]Sheet1!$E$8,IF(AND(D124="S. californicus",G124&gt;0),E124*[1]Sheet1!$D$9+N124*[1]Sheet1!$E$9,IF(D124="S.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latifolia"),E124&gt;0),F124*[1]Sheet1!$C$4+E124*[1]Sheet1!$D$4+H124*[1]Sheet1!$J$4+I124*[1]Sheet1!$K$4+[1]Sheet1!$L$4,IF(AND(OR(D124="T. domingensis",D124="T. latifolia"),J124&gt;0),J124*[1]Sheet1!$G$5+K124*[1]Sheet1!$H$5+L124*[1]Sheet1!$I$5+[1]Sheet1!$L$5,0)))))))</f>
        <v>3.8320349999999976</v>
      </c>
    </row>
    <row r="125" spans="1:15">
      <c r="A125" s="6">
        <v>41774</v>
      </c>
      <c r="B125" s="7" t="s">
        <v>31</v>
      </c>
      <c r="C125">
        <v>1</v>
      </c>
      <c r="D125" t="s">
        <v>19</v>
      </c>
      <c r="F125">
        <v>1.86</v>
      </c>
      <c r="J125">
        <f>69+108+146</f>
        <v>323</v>
      </c>
      <c r="K125">
        <v>3</v>
      </c>
      <c r="L125">
        <v>146</v>
      </c>
      <c r="N125" t="str">
        <f>IF(OR(D125="S. acutus", D125="S. tabernaemontani", D125="S. californicus"),(1/3)*(3.14159)*((F125/2)^2)*E125,"NA")</f>
        <v>NA</v>
      </c>
      <c r="O125">
        <f>IF(AND(OR(D125="S. acutus",D125="S. californicus",D125="S. tabernaemontani"),G125=0),E125*[1]Sheet1!$D$7+[1]Sheet1!$L$7,IF(AND(OR(D125="S. acutus",D125="S. tabernaemontani"),G125&gt;0),E125*[1]Sheet1!$D$8+N125*[1]Sheet1!$E$8,IF(AND(D125="S. californicus",G125&gt;0),E125*[1]Sheet1!$D$9+N125*[1]Sheet1!$E$9,IF(D125="S.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latifolia"),E125&gt;0),F125*[1]Sheet1!$C$4+E125*[1]Sheet1!$D$4+H125*[1]Sheet1!$J$4+I125*[1]Sheet1!$K$4+[1]Sheet1!$L$4,IF(AND(OR(D125="T. domingensis",D125="T. latifolia"),J125&gt;0),J125*[1]Sheet1!$G$5+K125*[1]Sheet1!$H$5+L125*[1]Sheet1!$I$5+[1]Sheet1!$L$5,0)))))))</f>
        <v>-1.72898</v>
      </c>
    </row>
    <row r="126" spans="1:15">
      <c r="A126" s="6">
        <v>41774</v>
      </c>
      <c r="B126" s="7" t="s">
        <v>31</v>
      </c>
      <c r="C126">
        <v>1</v>
      </c>
      <c r="D126" t="s">
        <v>19</v>
      </c>
      <c r="F126">
        <v>1.36</v>
      </c>
      <c r="J126">
        <f>53+89+115+123+142</f>
        <v>522</v>
      </c>
      <c r="K126">
        <v>5</v>
      </c>
      <c r="L126">
        <v>142</v>
      </c>
      <c r="N126" t="str">
        <f>IF(OR(D126="S. acutus", D126="S. tabernaemontani", D126="S. californicus"),(1/3)*(3.14159)*((F126/2)^2)*E126,"NA")</f>
        <v>NA</v>
      </c>
      <c r="O126">
        <f>IF(AND(OR(D126="S. acutus",D126="S. californicus",D126="S. tabernaemontani"),G126=0),E126*[1]Sheet1!$D$7+[1]Sheet1!$L$7,IF(AND(OR(D126="S. acutus",D126="S. tabernaemontani"),G126&gt;0),E126*[1]Sheet1!$D$8+N126*[1]Sheet1!$E$8,IF(AND(D126="S. californicus",G126&gt;0),E126*[1]Sheet1!$D$9+N126*[1]Sheet1!$E$9,IF(D126="S.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latifolia"),E126&gt;0),F126*[1]Sheet1!$C$4+E126*[1]Sheet1!$D$4+H126*[1]Sheet1!$J$4+I126*[1]Sheet1!$K$4+[1]Sheet1!$L$4,IF(AND(OR(D126="T. domingensis",D126="T. latifolia"),J126&gt;0),J126*[1]Sheet1!$G$5+K126*[1]Sheet1!$H$5+L126*[1]Sheet1!$I$5+[1]Sheet1!$L$5,0)))))))</f>
        <v>4.0885390000000044</v>
      </c>
    </row>
    <row r="127" spans="1:15">
      <c r="A127" s="6">
        <v>41774</v>
      </c>
      <c r="B127" s="7" t="s">
        <v>31</v>
      </c>
      <c r="C127">
        <v>1</v>
      </c>
      <c r="D127" t="s">
        <v>19</v>
      </c>
      <c r="F127">
        <v>1.93</v>
      </c>
      <c r="J127">
        <f>35+102+165+181</f>
        <v>483</v>
      </c>
      <c r="K127">
        <v>4</v>
      </c>
      <c r="L127">
        <v>181</v>
      </c>
      <c r="N127" t="str">
        <f>IF(OR(D127="S. acutus", D127="S. tabernaemontani", D127="S. californicus"),(1/3)*(3.14159)*((F127/2)^2)*E127,"NA")</f>
        <v>NA</v>
      </c>
      <c r="O127">
        <f>IF(AND(OR(D127="S. acutus",D127="S. californicus",D127="S. tabernaemontani"),G127=0),E127*[1]Sheet1!$D$7+[1]Sheet1!$L$7,IF(AND(OR(D127="S. acutus",D127="S. tabernaemontani"),G127&gt;0),E127*[1]Sheet1!$D$8+N127*[1]Sheet1!$E$8,IF(AND(D127="S. californicus",G127&gt;0),E127*[1]Sheet1!$D$9+N127*[1]Sheet1!$E$9,IF(D127="S.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latifolia"),E127&gt;0),F127*[1]Sheet1!$C$4+E127*[1]Sheet1!$D$4+H127*[1]Sheet1!$J$4+I127*[1]Sheet1!$K$4+[1]Sheet1!$L$4,IF(AND(OR(D127="T. domingensis",D127="T. latifolia"),J127&gt;0),J127*[1]Sheet1!$G$5+K127*[1]Sheet1!$H$5+L127*[1]Sheet1!$I$5+[1]Sheet1!$L$5,0)))))))</f>
        <v>-4.2941080000000014</v>
      </c>
    </row>
    <row r="128" spans="1:15">
      <c r="A128" s="6">
        <v>41774</v>
      </c>
      <c r="B128" s="7" t="s">
        <v>31</v>
      </c>
      <c r="C128">
        <v>1</v>
      </c>
      <c r="D128" t="s">
        <v>19</v>
      </c>
      <c r="F128">
        <v>1.35</v>
      </c>
      <c r="J128">
        <f>59+27+78+94+136+172</f>
        <v>566</v>
      </c>
      <c r="K128">
        <v>6</v>
      </c>
      <c r="L128">
        <v>172</v>
      </c>
      <c r="N128" t="str">
        <f>IF(OR(D128="S. acutus", D128="S. tabernaemontani", D128="S. californicus"),(1/3)*(3.14159)*((F128/2)^2)*E128,"NA")</f>
        <v>NA</v>
      </c>
      <c r="O128">
        <f>IF(AND(OR(D128="S. acutus",D128="S. californicus",D128="S. tabernaemontani"),G128=0),E128*[1]Sheet1!$D$7+[1]Sheet1!$L$7,IF(AND(OR(D128="S. acutus",D128="S. tabernaemontani"),G128&gt;0),E128*[1]Sheet1!$D$8+N128*[1]Sheet1!$E$8,IF(AND(D128="S. californicus",G128&gt;0),E128*[1]Sheet1!$D$9+N128*[1]Sheet1!$E$9,IF(D128="S.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latifolia"),E128&gt;0),F128*[1]Sheet1!$C$4+E128*[1]Sheet1!$D$4+H128*[1]Sheet1!$J$4+I128*[1]Sheet1!$K$4+[1]Sheet1!$L$4,IF(AND(OR(D128="T. domingensis",D128="T. latifolia"),J128&gt;0),J128*[1]Sheet1!$G$5+K128*[1]Sheet1!$H$5+L128*[1]Sheet1!$I$5+[1]Sheet1!$L$5,0)))))))</f>
        <v>-7.8459439999999958</v>
      </c>
    </row>
    <row r="129" spans="1:15">
      <c r="A129" s="6">
        <v>41774</v>
      </c>
      <c r="B129" s="7" t="s">
        <v>31</v>
      </c>
      <c r="C129">
        <v>1</v>
      </c>
      <c r="D129" t="s">
        <v>19</v>
      </c>
      <c r="F129">
        <v>1.32</v>
      </c>
      <c r="J129">
        <f>83+126+145+163+171+125</f>
        <v>813</v>
      </c>
      <c r="K129">
        <v>6</v>
      </c>
      <c r="L129">
        <v>171</v>
      </c>
      <c r="N129" t="str">
        <f>IF(OR(D129="S. acutus", D129="S. tabernaemontani", D129="S. californicus"),(1/3)*(3.14159)*((F129/2)^2)*E129,"NA")</f>
        <v>NA</v>
      </c>
      <c r="O129">
        <f>IF(AND(OR(D129="S. acutus",D129="S. californicus",D129="S. tabernaemontani"),G129=0),E129*[1]Sheet1!$D$7+[1]Sheet1!$L$7,IF(AND(OR(D129="S. acutus",D129="S. tabernaemontani"),G129&gt;0),E129*[1]Sheet1!$D$8+N129*[1]Sheet1!$E$8,IF(AND(D129="S. californicus",G129&gt;0),E129*[1]Sheet1!$D$9+N129*[1]Sheet1!$E$9,IF(D129="S.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latifolia"),E129&gt;0),F129*[1]Sheet1!$C$4+E129*[1]Sheet1!$D$4+H129*[1]Sheet1!$J$4+I129*[1]Sheet1!$K$4+[1]Sheet1!$L$4,IF(AND(OR(D129="T. domingensis",D129="T. latifolia"),J129&gt;0),J129*[1]Sheet1!$G$5+K129*[1]Sheet1!$H$5+L129*[1]Sheet1!$I$5+[1]Sheet1!$L$5,0)))))))</f>
        <v>15.612785999999993</v>
      </c>
    </row>
    <row r="130" spans="1:15">
      <c r="A130" s="6">
        <v>41774</v>
      </c>
      <c r="B130" s="7" t="s">
        <v>31</v>
      </c>
      <c r="C130">
        <v>30</v>
      </c>
      <c r="D130" t="s">
        <v>19</v>
      </c>
      <c r="F130">
        <v>2.62</v>
      </c>
      <c r="J130">
        <f>90+109+131+163+175+181+140</f>
        <v>989</v>
      </c>
      <c r="K130">
        <v>7</v>
      </c>
      <c r="L130">
        <v>181</v>
      </c>
      <c r="N130" t="str">
        <f>IF(OR(D130="S. acutus", D130="S. tabernaemontani", D130="S. californicus"),(1/3)*(3.14159)*((F130/2)^2)*E130,"NA")</f>
        <v>NA</v>
      </c>
      <c r="O130">
        <f>IF(AND(OR(D130="S. acutus",D130="S. californicus",D130="S. tabernaemontani"),G130=0),E130*[1]Sheet1!$D$7+[1]Sheet1!$L$7,IF(AND(OR(D130="S. acutus",D130="S. tabernaemontani"),G130&gt;0),E130*[1]Sheet1!$D$8+N130*[1]Sheet1!$E$8,IF(AND(D130="S. californicus",G130&gt;0),E130*[1]Sheet1!$D$9+N130*[1]Sheet1!$E$9,IF(D130="S.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latifolia"),E130&gt;0),F130*[1]Sheet1!$C$4+E130*[1]Sheet1!$D$4+H130*[1]Sheet1!$J$4+I130*[1]Sheet1!$K$4+[1]Sheet1!$L$4,IF(AND(OR(D130="T. domingensis",D130="T. latifolia"),J130&gt;0),J130*[1]Sheet1!$G$5+K130*[1]Sheet1!$H$5+L130*[1]Sheet1!$I$5+[1]Sheet1!$L$5,0)))))))</f>
        <v>22.078863000000013</v>
      </c>
    </row>
    <row r="131" spans="1:15">
      <c r="A131" s="6">
        <v>41774</v>
      </c>
      <c r="B131" s="7" t="s">
        <v>31</v>
      </c>
      <c r="C131">
        <v>30</v>
      </c>
      <c r="D131" t="s">
        <v>19</v>
      </c>
      <c r="F131">
        <v>2.5299999999999998</v>
      </c>
      <c r="J131">
        <f>69+74+101+117+145+136+160+172</f>
        <v>974</v>
      </c>
      <c r="K131">
        <v>8</v>
      </c>
      <c r="L131">
        <v>172</v>
      </c>
      <c r="N131" t="str">
        <f>IF(OR(D131="S. acutus", D131="S. tabernaemontani", D131="S. californicus"),(1/3)*(3.14159)*((F131/2)^2)*E131,"NA")</f>
        <v>NA</v>
      </c>
      <c r="O131">
        <f>IF(AND(OR(D131="S. acutus",D131="S. californicus",D131="S. tabernaemontani"),G131=0),E131*[1]Sheet1!$D$7+[1]Sheet1!$L$7,IF(AND(OR(D131="S. acutus",D131="S. tabernaemontani"),G131&gt;0),E131*[1]Sheet1!$D$8+N131*[1]Sheet1!$E$8,IF(AND(D131="S. californicus",G131&gt;0),E131*[1]Sheet1!$D$9+N131*[1]Sheet1!$E$9,IF(D131="S.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latifolia"),E131&gt;0),F131*[1]Sheet1!$C$4+E131*[1]Sheet1!$D$4+H131*[1]Sheet1!$J$4+I131*[1]Sheet1!$K$4+[1]Sheet1!$L$4,IF(AND(OR(D131="T. domingensis",D131="T. latifolia"),J131&gt;0),J131*[1]Sheet1!$G$5+K131*[1]Sheet1!$H$5+L131*[1]Sheet1!$I$5+[1]Sheet1!$L$5,0)))))))</f>
        <v>16.361390000000014</v>
      </c>
    </row>
    <row r="132" spans="1:15">
      <c r="A132" s="6">
        <v>41774</v>
      </c>
      <c r="B132" s="7" t="s">
        <v>31</v>
      </c>
      <c r="C132">
        <v>30</v>
      </c>
      <c r="D132" t="s">
        <v>19</v>
      </c>
      <c r="F132">
        <v>1.36</v>
      </c>
      <c r="J132">
        <f>41+78+79+79+108</f>
        <v>385</v>
      </c>
      <c r="K132">
        <v>5</v>
      </c>
      <c r="L132">
        <v>108</v>
      </c>
      <c r="N132" t="str">
        <f>IF(OR(D132="S. acutus", D132="S. tabernaemontani", D132="S. californicus"),(1/3)*(3.14159)*((F132/2)^2)*E132,"NA")</f>
        <v>NA</v>
      </c>
      <c r="O132">
        <f>IF(AND(OR(D132="S. acutus",D132="S. californicus",D132="S. tabernaemontani"),G132=0),E132*[1]Sheet1!$D$7+[1]Sheet1!$L$7,IF(AND(OR(D132="S. acutus",D132="S. tabernaemontani"),G132&gt;0),E132*[1]Sheet1!$D$8+N132*[1]Sheet1!$E$8,IF(AND(D132="S. californicus",G132&gt;0),E132*[1]Sheet1!$D$9+N132*[1]Sheet1!$E$9,IF(D132="S.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latifolia"),E132&gt;0),F132*[1]Sheet1!$C$4+E132*[1]Sheet1!$D$4+H132*[1]Sheet1!$J$4+I132*[1]Sheet1!$K$4+[1]Sheet1!$L$4,IF(AND(OR(D132="T. domingensis",D132="T. latifolia"),J132&gt;0),J132*[1]Sheet1!$G$5+K132*[1]Sheet1!$H$5+L132*[1]Sheet1!$I$5+[1]Sheet1!$L$5,0)))))))</f>
        <v>1.4864340000000027</v>
      </c>
    </row>
    <row r="133" spans="1:15">
      <c r="A133" s="6">
        <v>41774</v>
      </c>
      <c r="B133" s="7" t="s">
        <v>31</v>
      </c>
      <c r="C133">
        <v>41</v>
      </c>
      <c r="D133" t="s">
        <v>19</v>
      </c>
      <c r="F133">
        <v>1.72</v>
      </c>
      <c r="J133">
        <f>86+88+123+146+147+122</f>
        <v>712</v>
      </c>
      <c r="K133">
        <v>6</v>
      </c>
      <c r="L133">
        <v>147</v>
      </c>
      <c r="N133" t="str">
        <f>IF(OR(D133="S. acutus", D133="S. tabernaemontani", D133="S. californicus"),(1/3)*(3.14159)*((F133/2)^2)*E133,"NA")</f>
        <v>NA</v>
      </c>
      <c r="O133">
        <f>IF(AND(OR(D133="S. acutus",D133="S. californicus",D133="S. tabernaemontani"),G133=0),E133*[1]Sheet1!$D$7+[1]Sheet1!$L$7,IF(AND(OR(D133="S. acutus",D133="S. tabernaemontani"),G133&gt;0),E133*[1]Sheet1!$D$8+N133*[1]Sheet1!$E$8,IF(AND(D133="S. californicus",G133&gt;0),E133*[1]Sheet1!$D$9+N133*[1]Sheet1!$E$9,IF(D133="S.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latifolia"),E133&gt;0),F133*[1]Sheet1!$C$4+E133*[1]Sheet1!$D$4+H133*[1]Sheet1!$J$4+I133*[1]Sheet1!$K$4+[1]Sheet1!$L$4,IF(AND(OR(D133="T. domingensis",D133="T. latifolia"),J133&gt;0),J133*[1]Sheet1!$G$5+K133*[1]Sheet1!$H$5+L133*[1]Sheet1!$I$5+[1]Sheet1!$L$5,0)))))))</f>
        <v>13.373411000000004</v>
      </c>
    </row>
    <row r="134" spans="1:15">
      <c r="A134" s="6">
        <v>41774</v>
      </c>
      <c r="B134" s="7" t="s">
        <v>31</v>
      </c>
      <c r="C134">
        <v>41</v>
      </c>
      <c r="D134" t="s">
        <v>19</v>
      </c>
      <c r="F134">
        <v>2.56</v>
      </c>
      <c r="J134">
        <f>78+94+48+155+135+176+163</f>
        <v>849</v>
      </c>
      <c r="K134">
        <v>7</v>
      </c>
      <c r="L134">
        <v>176</v>
      </c>
      <c r="N134" t="str">
        <f>IF(OR(D134="S. acutus", D134="S. tabernaemontani", D134="S. californicus"),(1/3)*(3.14159)*((F134/2)^2)*E134,"NA")</f>
        <v>NA</v>
      </c>
      <c r="O134">
        <f>IF(AND(OR(D134="S. acutus",D134="S. californicus",D134="S. tabernaemontani"),G134=0),E134*[1]Sheet1!$D$7+[1]Sheet1!$L$7,IF(AND(OR(D134="S. acutus",D134="S. tabernaemontani"),G134&gt;0),E134*[1]Sheet1!$D$8+N134*[1]Sheet1!$E$8,IF(AND(D134="S. californicus",G134&gt;0),E134*[1]Sheet1!$D$9+N134*[1]Sheet1!$E$9,IF(D134="S.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latifolia"),E134&gt;0),F134*[1]Sheet1!$C$4+E134*[1]Sheet1!$D$4+H134*[1]Sheet1!$J$4+I134*[1]Sheet1!$K$4+[1]Sheet1!$L$4,IF(AND(OR(D134="T. domingensis",D134="T. latifolia"),J134&gt;0),J134*[1]Sheet1!$G$5+K134*[1]Sheet1!$H$5+L134*[1]Sheet1!$I$5+[1]Sheet1!$L$5,0)))))))</f>
        <v>10.459387999999997</v>
      </c>
    </row>
    <row r="135" spans="1:15">
      <c r="A135" s="6">
        <v>41774</v>
      </c>
      <c r="B135" s="7" t="s">
        <v>31</v>
      </c>
      <c r="C135">
        <v>41</v>
      </c>
      <c r="D135" t="s">
        <v>19</v>
      </c>
      <c r="F135">
        <v>2.41</v>
      </c>
      <c r="J135">
        <f>44+80+81+124+133+154+157+170</f>
        <v>943</v>
      </c>
      <c r="K135">
        <v>8</v>
      </c>
      <c r="L135">
        <v>170</v>
      </c>
      <c r="N135" t="str">
        <f>IF(OR(D135="S. acutus", D135="S. tabernaemontani", D135="S. californicus"),(1/3)*(3.14159)*((F135/2)^2)*E135,"NA")</f>
        <v>NA</v>
      </c>
      <c r="O135">
        <f>IF(AND(OR(D135="S. acutus",D135="S. californicus",D135="S. tabernaemontani"),G135=0),E135*[1]Sheet1!$D$7+[1]Sheet1!$L$7,IF(AND(OR(D135="S. acutus",D135="S. tabernaemontani"),G135&gt;0),E135*[1]Sheet1!$D$8+N135*[1]Sheet1!$E$8,IF(AND(D135="S. californicus",G135&gt;0),E135*[1]Sheet1!$D$9+N135*[1]Sheet1!$E$9,IF(D135="S.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latifolia"),E135&gt;0),F135*[1]Sheet1!$C$4+E135*[1]Sheet1!$D$4+H135*[1]Sheet1!$J$4+I135*[1]Sheet1!$K$4+[1]Sheet1!$L$4,IF(AND(OR(D135="T. domingensis",D135="T. latifolia"),J135&gt;0),J135*[1]Sheet1!$G$5+K135*[1]Sheet1!$H$5+L135*[1]Sheet1!$I$5+[1]Sheet1!$L$5,0)))))))</f>
        <v>14.057475000000004</v>
      </c>
    </row>
    <row r="136" spans="1:15">
      <c r="A136" s="6">
        <v>41774</v>
      </c>
      <c r="B136" s="7" t="s">
        <v>31</v>
      </c>
      <c r="C136">
        <v>41</v>
      </c>
      <c r="D136" t="s">
        <v>19</v>
      </c>
      <c r="F136">
        <v>1.68</v>
      </c>
      <c r="J136">
        <f>95+96+126+121+154</f>
        <v>592</v>
      </c>
      <c r="K136">
        <v>5</v>
      </c>
      <c r="L136">
        <v>154</v>
      </c>
      <c r="N136" t="str">
        <f>IF(OR(D136="S. acutus", D136="S. tabernaemontani", D136="S. californicus"),(1/3)*(3.14159)*((F136/2)^2)*E136,"NA")</f>
        <v>NA</v>
      </c>
      <c r="O136">
        <f>IF(AND(OR(D136="S. acutus",D136="S. californicus",D136="S. tabernaemontani"),G136=0),E136*[1]Sheet1!$D$7+[1]Sheet1!$L$7,IF(AND(OR(D136="S. acutus",D136="S. tabernaemontani"),G136&gt;0),E136*[1]Sheet1!$D$8+N136*[1]Sheet1!$E$8,IF(AND(D136="S. californicus",G136&gt;0),E136*[1]Sheet1!$D$9+N136*[1]Sheet1!$E$9,IF(D136="S.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latifolia"),E136&gt;0),F136*[1]Sheet1!$C$4+E136*[1]Sheet1!$D$4+H136*[1]Sheet1!$J$4+I136*[1]Sheet1!$K$4+[1]Sheet1!$L$4,IF(AND(OR(D136="T. domingensis",D136="T. latifolia"),J136&gt;0),J136*[1]Sheet1!$G$5+K136*[1]Sheet1!$H$5+L136*[1]Sheet1!$I$5+[1]Sheet1!$L$5,0)))))))</f>
        <v>7.0364490000000046</v>
      </c>
    </row>
    <row r="137" spans="1:15">
      <c r="A137" s="6">
        <v>41774</v>
      </c>
      <c r="B137" s="7" t="s">
        <v>31</v>
      </c>
      <c r="C137">
        <v>41</v>
      </c>
      <c r="D137" t="s">
        <v>19</v>
      </c>
      <c r="F137">
        <v>1.91</v>
      </c>
      <c r="J137">
        <f>73+119+142+148+151+186</f>
        <v>819</v>
      </c>
      <c r="K137">
        <v>6</v>
      </c>
      <c r="L137">
        <v>186</v>
      </c>
      <c r="N137" t="str">
        <f>IF(OR(D137="S. acutus", D137="S. tabernaemontani", D137="S. californicus"),(1/3)*(3.14159)*((F137/2)^2)*E137,"NA")</f>
        <v>NA</v>
      </c>
      <c r="O137">
        <f>IF(AND(OR(D137="S. acutus",D137="S. californicus",D137="S. tabernaemontani"),G137=0),E137*[1]Sheet1!$D$7+[1]Sheet1!$L$7,IF(AND(OR(D137="S. acutus",D137="S. tabernaemontani"),G137&gt;0),E137*[1]Sheet1!$D$8+N137*[1]Sheet1!$E$8,IF(AND(D137="S. californicus",G137&gt;0),E137*[1]Sheet1!$D$9+N137*[1]Sheet1!$E$9,IF(D137="S.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latifolia"),E137&gt;0),F137*[1]Sheet1!$C$4+E137*[1]Sheet1!$D$4+H137*[1]Sheet1!$J$4+I137*[1]Sheet1!$K$4+[1]Sheet1!$L$4,IF(AND(OR(D137="T. domingensis",D137="T. latifolia"),J137&gt;0),J137*[1]Sheet1!$G$5+K137*[1]Sheet1!$H$5+L137*[1]Sheet1!$I$5+[1]Sheet1!$L$5,0)))))))</f>
        <v>11.656641000000008</v>
      </c>
    </row>
    <row r="138" spans="1:15">
      <c r="A138" s="6">
        <v>41774</v>
      </c>
      <c r="B138" s="7" t="s">
        <v>31</v>
      </c>
      <c r="C138">
        <v>41</v>
      </c>
      <c r="D138" t="s">
        <v>19</v>
      </c>
      <c r="F138">
        <v>4.7300000000000004</v>
      </c>
      <c r="J138">
        <f>98+133+170+168+205+207+230+236</f>
        <v>1447</v>
      </c>
      <c r="K138">
        <v>8</v>
      </c>
      <c r="L138">
        <v>236</v>
      </c>
      <c r="N138" t="str">
        <f>IF(OR(D138="S. acutus", D138="S. tabernaemontani", D138="S. californicus"),(1/3)*(3.14159)*((F138/2)^2)*E138,"NA")</f>
        <v>NA</v>
      </c>
      <c r="O138">
        <f>IF(AND(OR(D138="S. acutus",D138="S. californicus",D138="S. tabernaemontani"),G138=0),E138*[1]Sheet1!$D$7+[1]Sheet1!$L$7,IF(AND(OR(D138="S. acutus",D138="S. tabernaemontani"),G138&gt;0),E138*[1]Sheet1!$D$8+N138*[1]Sheet1!$E$8,IF(AND(D138="S. californicus",G138&gt;0),E138*[1]Sheet1!$D$9+N138*[1]Sheet1!$E$9,IF(D138="S.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latifolia"),E138&gt;0),F138*[1]Sheet1!$C$4+E138*[1]Sheet1!$D$4+H138*[1]Sheet1!$J$4+I138*[1]Sheet1!$K$4+[1]Sheet1!$L$4,IF(AND(OR(D138="T. domingensis",D138="T. latifolia"),J138&gt;0),J138*[1]Sheet1!$G$5+K138*[1]Sheet1!$H$5+L138*[1]Sheet1!$I$5+[1]Sheet1!$L$5,0)))))))</f>
        <v>41.42782500000002</v>
      </c>
    </row>
    <row r="139" spans="1:15">
      <c r="A139" s="6">
        <v>41774</v>
      </c>
      <c r="B139" s="7" t="s">
        <v>31</v>
      </c>
      <c r="C139">
        <v>41</v>
      </c>
      <c r="D139" t="s">
        <v>19</v>
      </c>
      <c r="F139">
        <v>4.01</v>
      </c>
      <c r="J139">
        <f>102+109+149+160+180+201+213+235+237</f>
        <v>1586</v>
      </c>
      <c r="K139">
        <v>9</v>
      </c>
      <c r="L139">
        <v>237</v>
      </c>
      <c r="N139" t="str">
        <f>IF(OR(D139="S. acutus", D139="S. tabernaemontani", D139="S. californicus"),(1/3)*(3.14159)*((F139/2)^2)*E139,"NA")</f>
        <v>NA</v>
      </c>
      <c r="O139">
        <f>IF(AND(OR(D139="S. acutus",D139="S. californicus",D139="S. tabernaemontani"),G139=0),E139*[1]Sheet1!$D$7+[1]Sheet1!$L$7,IF(AND(OR(D139="S. acutus",D139="S. tabernaemontani"),G139&gt;0),E139*[1]Sheet1!$D$8+N139*[1]Sheet1!$E$8,IF(AND(D139="S. californicus",G139&gt;0),E139*[1]Sheet1!$D$9+N139*[1]Sheet1!$E$9,IF(D139="S.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latifolia"),E139&gt;0),F139*[1]Sheet1!$C$4+E139*[1]Sheet1!$D$4+H139*[1]Sheet1!$J$4+I139*[1]Sheet1!$K$4+[1]Sheet1!$L$4,IF(AND(OR(D139="T. domingensis",D139="T. latifolia"),J139&gt;0),J139*[1]Sheet1!$G$5+K139*[1]Sheet1!$H$5+L139*[1]Sheet1!$I$5+[1]Sheet1!$L$5,0)))))))</f>
        <v>47.136172000000009</v>
      </c>
    </row>
    <row r="140" spans="1:15">
      <c r="A140" s="6">
        <v>41774</v>
      </c>
      <c r="B140" s="7" t="s">
        <v>31</v>
      </c>
      <c r="C140">
        <v>41</v>
      </c>
      <c r="D140" t="s">
        <v>19</v>
      </c>
      <c r="F140">
        <v>4.5199999999999996</v>
      </c>
      <c r="J140">
        <f>100+134+141+167+174+190+109+115+123</f>
        <v>1253</v>
      </c>
      <c r="K140">
        <v>9</v>
      </c>
      <c r="L140">
        <v>167</v>
      </c>
      <c r="N140" t="str">
        <f>IF(OR(D140="S. acutus", D140="S. tabernaemontani", D140="S. californicus"),(1/3)*(3.14159)*((F140/2)^2)*E140,"NA")</f>
        <v>NA</v>
      </c>
      <c r="O140">
        <f>IF(AND(OR(D140="S. acutus",D140="S. californicus",D140="S. tabernaemontani"),G140=0),E140*[1]Sheet1!$D$7+[1]Sheet1!$L$7,IF(AND(OR(D140="S. acutus",D140="S. tabernaemontani"),G140&gt;0),E140*[1]Sheet1!$D$8+N140*[1]Sheet1!$E$8,IF(AND(D140="S. californicus",G140&gt;0),E140*[1]Sheet1!$D$9+N140*[1]Sheet1!$E$9,IF(D140="S.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latifolia"),E140&gt;0),F140*[1]Sheet1!$C$4+E140*[1]Sheet1!$D$4+H140*[1]Sheet1!$J$4+I140*[1]Sheet1!$K$4+[1]Sheet1!$L$4,IF(AND(OR(D140="T. domingensis",D140="T. latifolia"),J140&gt;0),J140*[1]Sheet1!$G$5+K140*[1]Sheet1!$H$5+L140*[1]Sheet1!$I$5+[1]Sheet1!$L$5,0)))))))</f>
        <v>37.002907000000015</v>
      </c>
    </row>
    <row r="141" spans="1:15">
      <c r="A141" s="6">
        <v>41774</v>
      </c>
      <c r="B141" s="7" t="s">
        <v>31</v>
      </c>
      <c r="C141">
        <v>42</v>
      </c>
      <c r="D141" t="s">
        <v>19</v>
      </c>
      <c r="F141">
        <v>3.43</v>
      </c>
      <c r="J141">
        <f>102+145+171+169+127+187+205+213+233</f>
        <v>1552</v>
      </c>
      <c r="K141">
        <v>9</v>
      </c>
      <c r="L141">
        <v>233</v>
      </c>
      <c r="N141" t="str">
        <f>IF(OR(D141="S. acutus", D141="S. tabernaemontani", D141="S. californicus"),(1/3)*(3.14159)*((F141/2)^2)*E141,"NA")</f>
        <v>NA</v>
      </c>
      <c r="O141">
        <f>IF(AND(OR(D141="S. acutus",D141="S. californicus",D141="S. tabernaemontani"),G141=0),E141*[1]Sheet1!$D$7+[1]Sheet1!$L$7,IF(AND(OR(D141="S. acutus",D141="S. tabernaemontani"),G141&gt;0),E141*[1]Sheet1!$D$8+N141*[1]Sheet1!$E$8,IF(AND(D141="S. californicus",G141&gt;0),E141*[1]Sheet1!$D$9+N141*[1]Sheet1!$E$9,IF(D141="S.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latifolia"),E141&gt;0),F141*[1]Sheet1!$C$4+E141*[1]Sheet1!$D$4+H141*[1]Sheet1!$J$4+I141*[1]Sheet1!$K$4+[1]Sheet1!$L$4,IF(AND(OR(D141="T. domingensis",D141="T. latifolia"),J141&gt;0),J141*[1]Sheet1!$G$5+K141*[1]Sheet1!$H$5+L141*[1]Sheet1!$I$5+[1]Sheet1!$L$5,0)))))))</f>
        <v>45.153482000000018</v>
      </c>
    </row>
    <row r="142" spans="1:15">
      <c r="A142" s="6">
        <v>41774</v>
      </c>
      <c r="B142" s="7" t="s">
        <v>31</v>
      </c>
      <c r="C142">
        <v>42</v>
      </c>
      <c r="D142" t="s">
        <v>19</v>
      </c>
      <c r="F142">
        <v>3.38</v>
      </c>
      <c r="J142">
        <f>64+140+171+172+196+210+221</f>
        <v>1174</v>
      </c>
      <c r="K142">
        <v>7</v>
      </c>
      <c r="L142">
        <v>221</v>
      </c>
      <c r="N142" t="str">
        <f>IF(OR(D142="S. acutus", D142="S. tabernaemontani", D142="S. californicus"),(1/3)*(3.14159)*((F142/2)^2)*E142,"NA")</f>
        <v>NA</v>
      </c>
      <c r="O142">
        <f>IF(AND(OR(D142="S. acutus",D142="S. californicus",D142="S. tabernaemontani"),G142=0),E142*[1]Sheet1!$D$7+[1]Sheet1!$L$7,IF(AND(OR(D142="S. acutus",D142="S. tabernaemontani"),G142&gt;0),E142*[1]Sheet1!$D$8+N142*[1]Sheet1!$E$8,IF(AND(D142="S. californicus",G142&gt;0),E142*[1]Sheet1!$D$9+N142*[1]Sheet1!$E$9,IF(D142="S.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latifolia"),E142&gt;0),F142*[1]Sheet1!$C$4+E142*[1]Sheet1!$D$4+H142*[1]Sheet1!$J$4+I142*[1]Sheet1!$K$4+[1]Sheet1!$L$4,IF(AND(OR(D142="T. domingensis",D142="T. latifolia"),J142&gt;0),J142*[1]Sheet1!$G$5+K142*[1]Sheet1!$H$5+L142*[1]Sheet1!$I$5+[1]Sheet1!$L$5,0)))))))</f>
        <v>27.37373800000001</v>
      </c>
    </row>
    <row r="143" spans="1:15">
      <c r="A143" s="6">
        <v>41774</v>
      </c>
      <c r="B143" s="7" t="s">
        <v>31</v>
      </c>
      <c r="C143">
        <v>42</v>
      </c>
      <c r="D143" t="s">
        <v>19</v>
      </c>
      <c r="F143">
        <v>1.6</v>
      </c>
      <c r="J143">
        <f>31+38+37</f>
        <v>106</v>
      </c>
      <c r="K143">
        <v>3</v>
      </c>
      <c r="L143">
        <v>38</v>
      </c>
      <c r="N143" t="str">
        <f>IF(OR(D143="S. acutus", D143="S. tabernaemontani", D143="S. californicus"),(1/3)*(3.14159)*((F143/2)^2)*E143,"NA")</f>
        <v>NA</v>
      </c>
      <c r="O143">
        <f>IF(AND(OR(D143="S. acutus",D143="S. californicus",D143="S. tabernaemontani"),G143=0),E143*[1]Sheet1!$D$7+[1]Sheet1!$L$7,IF(AND(OR(D143="S. acutus",D143="S. tabernaemontani"),G143&gt;0),E143*[1]Sheet1!$D$8+N143*[1]Sheet1!$E$8,IF(AND(D143="S. californicus",G143&gt;0),E143*[1]Sheet1!$D$9+N143*[1]Sheet1!$E$9,IF(D143="S.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latifolia"),E143&gt;0),F143*[1]Sheet1!$C$4+E143*[1]Sheet1!$D$4+H143*[1]Sheet1!$J$4+I143*[1]Sheet1!$K$4+[1]Sheet1!$L$4,IF(AND(OR(D143="T. domingensis",D143="T. latifolia"),J143&gt;0),J143*[1]Sheet1!$G$5+K143*[1]Sheet1!$H$5+L143*[1]Sheet1!$I$5+[1]Sheet1!$L$5,0)))))))</f>
        <v>10.460645</v>
      </c>
    </row>
    <row r="144" spans="1:15">
      <c r="A144" s="6">
        <v>41774</v>
      </c>
      <c r="B144" s="7" t="s">
        <v>31</v>
      </c>
      <c r="C144">
        <v>42</v>
      </c>
      <c r="D144" t="s">
        <v>19</v>
      </c>
      <c r="F144">
        <v>4.76</v>
      </c>
      <c r="J144">
        <f>140+164+174+198+187+218+223+239</f>
        <v>1543</v>
      </c>
      <c r="K144">
        <v>8</v>
      </c>
      <c r="L144">
        <v>239</v>
      </c>
      <c r="N144" t="str">
        <f>IF(OR(D144="S. acutus", D144="S. tabernaemontani", D144="S. californicus"),(1/3)*(3.14159)*((F144/2)^2)*E144,"NA")</f>
        <v>NA</v>
      </c>
      <c r="O144">
        <f>IF(AND(OR(D144="S. acutus",D144="S. californicus",D144="S. tabernaemontani"),G144=0),E144*[1]Sheet1!$D$7+[1]Sheet1!$L$7,IF(AND(OR(D144="S. acutus",D144="S. tabernaemontani"),G144&gt;0),E144*[1]Sheet1!$D$8+N144*[1]Sheet1!$E$8,IF(AND(D144="S. californicus",G144&gt;0),E144*[1]Sheet1!$D$9+N144*[1]Sheet1!$E$9,IF(D144="S.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latifolia"),E144&gt;0),F144*[1]Sheet1!$C$4+E144*[1]Sheet1!$D$4+H144*[1]Sheet1!$J$4+I144*[1]Sheet1!$K$4+[1]Sheet1!$L$4,IF(AND(OR(D144="T. domingensis",D144="T. latifolia"),J144&gt;0),J144*[1]Sheet1!$G$5+K144*[1]Sheet1!$H$5+L144*[1]Sheet1!$I$5+[1]Sheet1!$L$5,0)))))))</f>
        <v>49.524570000000033</v>
      </c>
    </row>
    <row r="145" spans="1:15">
      <c r="A145" s="6">
        <v>41774</v>
      </c>
      <c r="B145" s="7" t="s">
        <v>31</v>
      </c>
      <c r="C145">
        <v>42</v>
      </c>
      <c r="D145" t="s">
        <v>19</v>
      </c>
      <c r="F145">
        <v>3.65</v>
      </c>
      <c r="J145">
        <f>62+112+115+163+182+194+227+201</f>
        <v>1256</v>
      </c>
      <c r="K145">
        <v>8</v>
      </c>
      <c r="L145">
        <v>227</v>
      </c>
      <c r="N145" t="str">
        <f>IF(OR(D145="S. acutus", D145="S. tabernaemontani", D145="S. californicus"),(1/3)*(3.14159)*((F145/2)^2)*E145,"NA")</f>
        <v>NA</v>
      </c>
      <c r="O145">
        <f>IF(AND(OR(D145="S. acutus",D145="S. californicus",D145="S. tabernaemontani"),G145=0),E145*[1]Sheet1!$D$7+[1]Sheet1!$L$7,IF(AND(OR(D145="S. acutus",D145="S. tabernaemontani"),G145&gt;0),E145*[1]Sheet1!$D$8+N145*[1]Sheet1!$E$8,IF(AND(D145="S. californicus",G145&gt;0),E145*[1]Sheet1!$D$9+N145*[1]Sheet1!$E$9,IF(D145="S.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latifolia"),E145&gt;0),F145*[1]Sheet1!$C$4+E145*[1]Sheet1!$D$4+H145*[1]Sheet1!$J$4+I145*[1]Sheet1!$K$4+[1]Sheet1!$L$4,IF(AND(OR(D145="T. domingensis",D145="T. latifolia"),J145&gt;0),J145*[1]Sheet1!$G$5+K145*[1]Sheet1!$H$5+L145*[1]Sheet1!$I$5+[1]Sheet1!$L$5,0)))))))</f>
        <v>26.231825000000001</v>
      </c>
    </row>
    <row r="146" spans="1:15">
      <c r="A146" s="6">
        <v>41774</v>
      </c>
      <c r="B146" s="7" t="s">
        <v>31</v>
      </c>
      <c r="C146">
        <v>42</v>
      </c>
      <c r="D146" t="s">
        <v>19</v>
      </c>
      <c r="F146">
        <v>3.82</v>
      </c>
      <c r="J146">
        <f>156+118+179+187+208+227+236</f>
        <v>1311</v>
      </c>
      <c r="K146">
        <v>7</v>
      </c>
      <c r="L146">
        <v>236</v>
      </c>
      <c r="N146" t="str">
        <f>IF(OR(D146="S. acutus", D146="S. tabernaemontani", D146="S. californicus"),(1/3)*(3.14159)*((F146/2)^2)*E146,"NA")</f>
        <v>NA</v>
      </c>
      <c r="O146">
        <f>IF(AND(OR(D146="S. acutus",D146="S. californicus",D146="S. tabernaemontani"),G146=0),E146*[1]Sheet1!$D$7+[1]Sheet1!$L$7,IF(AND(OR(D146="S. acutus",D146="S. tabernaemontani"),G146&gt;0),E146*[1]Sheet1!$D$8+N146*[1]Sheet1!$E$8,IF(AND(D146="S. californicus",G146&gt;0),E146*[1]Sheet1!$D$9+N146*[1]Sheet1!$E$9,IF(D146="S.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latifolia"),E146&gt;0),F146*[1]Sheet1!$C$4+E146*[1]Sheet1!$D$4+H146*[1]Sheet1!$J$4+I146*[1]Sheet1!$K$4+[1]Sheet1!$L$4,IF(AND(OR(D146="T. domingensis",D146="T. latifolia"),J146&gt;0),J146*[1]Sheet1!$G$5+K146*[1]Sheet1!$H$5+L146*[1]Sheet1!$I$5+[1]Sheet1!$L$5,0)))))))</f>
        <v>35.699498000000013</v>
      </c>
    </row>
    <row r="147" spans="1:15">
      <c r="A147" s="6">
        <v>41774</v>
      </c>
      <c r="B147" s="7" t="s">
        <v>31</v>
      </c>
      <c r="C147">
        <v>42</v>
      </c>
      <c r="D147" t="s">
        <v>19</v>
      </c>
      <c r="F147">
        <v>3.36</v>
      </c>
      <c r="J147">
        <f>62+106+147+177+176+185+186+207</f>
        <v>1246</v>
      </c>
      <c r="K147">
        <v>8</v>
      </c>
      <c r="L147">
        <v>207</v>
      </c>
      <c r="N147" t="str">
        <f>IF(OR(D147="S. acutus", D147="S. tabernaemontani", D147="S. californicus"),(1/3)*(3.14159)*((F147/2)^2)*E147,"NA")</f>
        <v>NA</v>
      </c>
      <c r="O147">
        <f>IF(AND(OR(D147="S. acutus",D147="S. californicus",D147="S. tabernaemontani"),G147=0),E147*[1]Sheet1!$D$7+[1]Sheet1!$L$7,IF(AND(OR(D147="S. acutus",D147="S. tabernaemontani"),G147&gt;0),E147*[1]Sheet1!$D$8+N147*[1]Sheet1!$E$8,IF(AND(D147="S. californicus",G147&gt;0),E147*[1]Sheet1!$D$9+N147*[1]Sheet1!$E$9,IF(D147="S.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latifolia"),E147&gt;0),F147*[1]Sheet1!$C$4+E147*[1]Sheet1!$D$4+H147*[1]Sheet1!$J$4+I147*[1]Sheet1!$K$4+[1]Sheet1!$L$4,IF(AND(OR(D147="T. domingensis",D147="T. latifolia"),J147&gt;0),J147*[1]Sheet1!$G$5+K147*[1]Sheet1!$H$5+L147*[1]Sheet1!$I$5+[1]Sheet1!$L$5,0)))))))</f>
        <v>31.319175000000001</v>
      </c>
    </row>
    <row r="148" spans="1:15">
      <c r="A148" s="6">
        <v>41774</v>
      </c>
      <c r="B148" s="7" t="s">
        <v>31</v>
      </c>
      <c r="C148">
        <v>42</v>
      </c>
      <c r="D148" t="s">
        <v>19</v>
      </c>
      <c r="F148">
        <v>3.04</v>
      </c>
      <c r="J148">
        <f>90+91+145+139+185+186+212+215</f>
        <v>1263</v>
      </c>
      <c r="K148">
        <v>8</v>
      </c>
      <c r="L148">
        <v>215</v>
      </c>
      <c r="N148" t="str">
        <f>IF(OR(D148="S. acutus", D148="S. tabernaemontani", D148="S. californicus"),(1/3)*(3.14159)*((F148/2)^2)*E148,"NA")</f>
        <v>NA</v>
      </c>
      <c r="O148">
        <f>IF(AND(OR(D148="S. acutus",D148="S. californicus",D148="S. tabernaemontani"),G148=0),E148*[1]Sheet1!$D$7+[1]Sheet1!$L$7,IF(AND(OR(D148="S. acutus",D148="S. tabernaemontani"),G148&gt;0),E148*[1]Sheet1!$D$8+N148*[1]Sheet1!$E$8,IF(AND(D148="S. californicus",G148&gt;0),E148*[1]Sheet1!$D$9+N148*[1]Sheet1!$E$9,IF(D148="S.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latifolia"),E148&gt;0),F148*[1]Sheet1!$C$4+E148*[1]Sheet1!$D$4+H148*[1]Sheet1!$J$4+I148*[1]Sheet1!$K$4+[1]Sheet1!$L$4,IF(AND(OR(D148="T. domingensis",D148="T. latifolia"),J148&gt;0),J148*[1]Sheet1!$G$5+K148*[1]Sheet1!$H$5+L148*[1]Sheet1!$I$5+[1]Sheet1!$L$5,0)))))))</f>
        <v>30.503050000000002</v>
      </c>
    </row>
    <row r="149" spans="1:15">
      <c r="A149" s="6">
        <v>41774</v>
      </c>
      <c r="B149" s="7" t="s">
        <v>31</v>
      </c>
      <c r="C149">
        <v>42</v>
      </c>
      <c r="D149" t="s">
        <v>19</v>
      </c>
      <c r="F149">
        <v>4.3</v>
      </c>
      <c r="J149">
        <f>52+82+110+137+157+197+200+219+223</f>
        <v>1377</v>
      </c>
      <c r="K149">
        <v>9</v>
      </c>
      <c r="L149">
        <v>223</v>
      </c>
      <c r="N149" t="str">
        <f>IF(OR(D149="S. acutus", D149="S. tabernaemontani", D149="S. californicus"),(1/3)*(3.14159)*((F149/2)^2)*E149,"NA")</f>
        <v>NA</v>
      </c>
      <c r="O149">
        <f>IF(AND(OR(D149="S. acutus",D149="S. californicus",D149="S. tabernaemontani"),G149=0),E149*[1]Sheet1!$D$7+[1]Sheet1!$L$7,IF(AND(OR(D149="S. acutus",D149="S. tabernaemontani"),G149&gt;0),E149*[1]Sheet1!$D$8+N149*[1]Sheet1!$E$8,IF(AND(D149="S. californicus",G149&gt;0),E149*[1]Sheet1!$D$9+N149*[1]Sheet1!$E$9,IF(D149="S.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latifolia"),E149&gt;0),F149*[1]Sheet1!$C$4+E149*[1]Sheet1!$D$4+H149*[1]Sheet1!$J$4+I149*[1]Sheet1!$K$4+[1]Sheet1!$L$4,IF(AND(OR(D149="T. domingensis",D149="T. latifolia"),J149&gt;0),J149*[1]Sheet1!$G$5+K149*[1]Sheet1!$H$5+L149*[1]Sheet1!$I$5+[1]Sheet1!$L$5,0)))))))</f>
        <v>31.758807000000012</v>
      </c>
    </row>
    <row r="150" spans="1:15">
      <c r="A150" s="6">
        <v>41774</v>
      </c>
      <c r="B150" s="7" t="s">
        <v>31</v>
      </c>
      <c r="C150">
        <v>42</v>
      </c>
      <c r="D150" t="s">
        <v>19</v>
      </c>
      <c r="F150">
        <v>3.62</v>
      </c>
      <c r="J150">
        <f>114+126+165+173+183+211+212+231</f>
        <v>1415</v>
      </c>
      <c r="K150">
        <v>8</v>
      </c>
      <c r="L150">
        <v>231</v>
      </c>
      <c r="N150" t="str">
        <f>IF(OR(D150="S. acutus", D150="S. tabernaemontani", D150="S. californicus"),(1/3)*(3.14159)*((F150/2)^2)*E150,"NA")</f>
        <v>NA</v>
      </c>
      <c r="O150">
        <f>IF(AND(OR(D150="S. acutus",D150="S. californicus",D150="S. tabernaemontani"),G150=0),E150*[1]Sheet1!$D$7+[1]Sheet1!$L$7,IF(AND(OR(D150="S. acutus",D150="S. tabernaemontani"),G150&gt;0),E150*[1]Sheet1!$D$8+N150*[1]Sheet1!$E$8,IF(AND(D150="S. californicus",G150&gt;0),E150*[1]Sheet1!$D$9+N150*[1]Sheet1!$E$9,IF(D150="S.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latifolia"),E150&gt;0),F150*[1]Sheet1!$C$4+E150*[1]Sheet1!$D$4+H150*[1]Sheet1!$J$4+I150*[1]Sheet1!$K$4+[1]Sheet1!$L$4,IF(AND(OR(D150="T. domingensis",D150="T. latifolia"),J150&gt;0),J150*[1]Sheet1!$G$5+K150*[1]Sheet1!$H$5+L150*[1]Sheet1!$I$5+[1]Sheet1!$L$5,0)))))))</f>
        <v>39.933890000000027</v>
      </c>
    </row>
    <row r="151" spans="1:15">
      <c r="A151" s="6">
        <v>41774</v>
      </c>
      <c r="B151" s="7" t="s">
        <v>31</v>
      </c>
      <c r="C151">
        <v>46</v>
      </c>
      <c r="D151" t="s">
        <v>19</v>
      </c>
      <c r="F151">
        <v>1.53</v>
      </c>
      <c r="J151">
        <f>85+108+151+149</f>
        <v>493</v>
      </c>
      <c r="K151">
        <v>4</v>
      </c>
      <c r="L151">
        <v>151</v>
      </c>
      <c r="N151" t="str">
        <f>IF(OR(D151="S. acutus", D151="S. tabernaemontani", D151="S. californicus"),(1/3)*(3.14159)*((F151/2)^2)*E151,"NA")</f>
        <v>NA</v>
      </c>
      <c r="O151">
        <f>IF(AND(OR(D151="S. acutus",D151="S. californicus",D151="S. tabernaemontani"),G151=0),E151*[1]Sheet1!$D$7+[1]Sheet1!$L$7,IF(AND(OR(D151="S. acutus",D151="S. tabernaemontani"),G151&gt;0),E151*[1]Sheet1!$D$8+N151*[1]Sheet1!$E$8,IF(AND(D151="S. californicus",G151&gt;0),E151*[1]Sheet1!$D$9+N151*[1]Sheet1!$E$9,IF(D151="S.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latifolia"),E151&gt;0),F151*[1]Sheet1!$C$4+E151*[1]Sheet1!$D$4+H151*[1]Sheet1!$J$4+I151*[1]Sheet1!$K$4+[1]Sheet1!$L$4,IF(AND(OR(D151="T. domingensis",D151="T. latifolia"),J151&gt;0),J151*[1]Sheet1!$G$5+K151*[1]Sheet1!$H$5+L151*[1]Sheet1!$I$5+[1]Sheet1!$L$5,0)))))))</f>
        <v>5.6807920000000003</v>
      </c>
    </row>
    <row r="152" spans="1:15">
      <c r="A152" s="6">
        <v>41774</v>
      </c>
      <c r="B152" s="7" t="s">
        <v>31</v>
      </c>
      <c r="C152">
        <v>46</v>
      </c>
      <c r="D152" t="s">
        <v>19</v>
      </c>
      <c r="F152">
        <v>3.28</v>
      </c>
      <c r="J152">
        <f>134+184+195+227+231+250+219</f>
        <v>1440</v>
      </c>
      <c r="K152">
        <v>7</v>
      </c>
      <c r="L152">
        <v>250</v>
      </c>
      <c r="N152" t="str">
        <f>IF(OR(D152="S. acutus", D152="S. tabernaemontani", D152="S. californicus"),(1/3)*(3.14159)*((F152/2)^2)*E152,"NA")</f>
        <v>NA</v>
      </c>
      <c r="O152">
        <f>IF(AND(OR(D152="S. acutus",D152="S. californicus",D152="S. tabernaemontani"),G152=0),E152*[1]Sheet1!$D$7+[1]Sheet1!$L$7,IF(AND(OR(D152="S. acutus",D152="S. tabernaemontani"),G152&gt;0),E152*[1]Sheet1!$D$8+N152*[1]Sheet1!$E$8,IF(AND(D152="S. californicus",G152&gt;0),E152*[1]Sheet1!$D$9+N152*[1]Sheet1!$E$9,IF(D152="S.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latifolia"),E152&gt;0),F152*[1]Sheet1!$C$4+E152*[1]Sheet1!$D$4+H152*[1]Sheet1!$J$4+I152*[1]Sheet1!$K$4+[1]Sheet1!$L$4,IF(AND(OR(D152="T. domingensis",D152="T. latifolia"),J152&gt;0),J152*[1]Sheet1!$G$5+K152*[1]Sheet1!$H$5+L152*[1]Sheet1!$I$5+[1]Sheet1!$L$5,0)))))))</f>
        <v>43.576463000000011</v>
      </c>
    </row>
    <row r="153" spans="1:15">
      <c r="A153" s="6">
        <v>41774</v>
      </c>
      <c r="B153" s="7" t="s">
        <v>31</v>
      </c>
      <c r="C153">
        <v>46</v>
      </c>
      <c r="D153" t="s">
        <v>19</v>
      </c>
      <c r="F153">
        <v>3</v>
      </c>
      <c r="J153">
        <f>89+164+181+208+225+224</f>
        <v>1091</v>
      </c>
      <c r="K153">
        <v>6</v>
      </c>
      <c r="L153">
        <v>225</v>
      </c>
      <c r="N153" t="str">
        <f>IF(OR(D153="S. acutus", D153="S. tabernaemontani", D153="S. californicus"),(1/3)*(3.14159)*((F153/2)^2)*E153,"NA")</f>
        <v>NA</v>
      </c>
      <c r="O153">
        <f>IF(AND(OR(D153="S. acutus",D153="S. californicus",D153="S. tabernaemontani"),G153=0),E153*[1]Sheet1!$D$7+[1]Sheet1!$L$7,IF(AND(OR(D153="S. acutus",D153="S. tabernaemontani"),G153&gt;0),E153*[1]Sheet1!$D$8+N153*[1]Sheet1!$E$8,IF(AND(D153="S. californicus",G153&gt;0),E153*[1]Sheet1!$D$9+N153*[1]Sheet1!$E$9,IF(D153="S.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latifolia"),E153&gt;0),F153*[1]Sheet1!$C$4+E153*[1]Sheet1!$D$4+H153*[1]Sheet1!$J$4+I153*[1]Sheet1!$K$4+[1]Sheet1!$L$4,IF(AND(OR(D153="T. domingensis",D153="T. latifolia"),J153&gt;0),J153*[1]Sheet1!$G$5+K153*[1]Sheet1!$H$5+L153*[1]Sheet1!$I$5+[1]Sheet1!$L$5,0)))))))</f>
        <v>25.40944600000001</v>
      </c>
    </row>
    <row r="154" spans="1:15">
      <c r="A154" s="6">
        <v>41774</v>
      </c>
      <c r="B154" s="7" t="s">
        <v>31</v>
      </c>
      <c r="C154">
        <v>46</v>
      </c>
      <c r="D154" t="s">
        <v>19</v>
      </c>
      <c r="F154">
        <v>1.27</v>
      </c>
      <c r="J154">
        <f>51+61+102+109+130</f>
        <v>453</v>
      </c>
      <c r="K154">
        <v>5</v>
      </c>
      <c r="L154">
        <v>130</v>
      </c>
      <c r="N154" t="str">
        <f>IF(OR(D154="S. acutus", D154="S. tabernaemontani", D154="S. californicus"),(1/3)*(3.14159)*((F154/2)^2)*E154,"NA")</f>
        <v>NA</v>
      </c>
      <c r="O154">
        <f>IF(AND(OR(D154="S. acutus",D154="S. californicus",D154="S. tabernaemontani"),G154=0),E154*[1]Sheet1!$D$7+[1]Sheet1!$L$7,IF(AND(OR(D154="S. acutus",D154="S. tabernaemontani"),G154&gt;0),E154*[1]Sheet1!$D$8+N154*[1]Sheet1!$E$8,IF(AND(D154="S. californicus",G154&gt;0),E154*[1]Sheet1!$D$9+N154*[1]Sheet1!$E$9,IF(D154="S.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latifolia"),E154&gt;0),F154*[1]Sheet1!$C$4+E154*[1]Sheet1!$D$4+H154*[1]Sheet1!$J$4+I154*[1]Sheet1!$K$4+[1]Sheet1!$L$4,IF(AND(OR(D154="T. domingensis",D154="T. latifolia"),J154&gt;0),J154*[1]Sheet1!$G$5+K154*[1]Sheet1!$H$5+L154*[1]Sheet1!$I$5+[1]Sheet1!$L$5,0)))))))</f>
        <v>1.2343839999999986</v>
      </c>
    </row>
    <row r="155" spans="1:15">
      <c r="A155" s="6">
        <v>41774</v>
      </c>
      <c r="B155" s="7" t="s">
        <v>31</v>
      </c>
      <c r="C155">
        <v>46</v>
      </c>
      <c r="D155" t="s">
        <v>19</v>
      </c>
      <c r="F155">
        <v>2.81</v>
      </c>
      <c r="J155">
        <f>107+91+99+138+143+184+189+213+217</f>
        <v>1381</v>
      </c>
      <c r="K155">
        <v>9</v>
      </c>
      <c r="L155">
        <v>217</v>
      </c>
      <c r="N155" t="str">
        <f>IF(OR(D155="S. acutus", D155="S. tabernaemontani", D155="S. californicus"),(1/3)*(3.14159)*((F155/2)^2)*E155,"NA")</f>
        <v>NA</v>
      </c>
      <c r="O155">
        <f>IF(AND(OR(D155="S. acutus",D155="S. californicus",D155="S. tabernaemontani"),G155=0),E155*[1]Sheet1!$D$7+[1]Sheet1!$L$7,IF(AND(OR(D155="S. acutus",D155="S. tabernaemontani"),G155&gt;0),E155*[1]Sheet1!$D$8+N155*[1]Sheet1!$E$8,IF(AND(D155="S. californicus",G155&gt;0),E155*[1]Sheet1!$D$9+N155*[1]Sheet1!$E$9,IF(D155="S.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latifolia"),E155&gt;0),F155*[1]Sheet1!$C$4+E155*[1]Sheet1!$D$4+H155*[1]Sheet1!$J$4+I155*[1]Sheet1!$K$4+[1]Sheet1!$L$4,IF(AND(OR(D155="T. domingensis",D155="T. latifolia"),J155&gt;0),J155*[1]Sheet1!$G$5+K155*[1]Sheet1!$H$5+L155*[1]Sheet1!$I$5+[1]Sheet1!$L$5,0)))))))</f>
        <v>33.941297000000013</v>
      </c>
    </row>
    <row r="156" spans="1:15">
      <c r="A156" s="6">
        <v>41774</v>
      </c>
      <c r="B156" s="7" t="s">
        <v>31</v>
      </c>
      <c r="C156">
        <v>46</v>
      </c>
      <c r="D156" t="s">
        <v>19</v>
      </c>
      <c r="F156">
        <v>3.44</v>
      </c>
      <c r="J156">
        <f>79+82+112+135+146+190+220+224+238</f>
        <v>1426</v>
      </c>
      <c r="K156">
        <v>9</v>
      </c>
      <c r="L156">
        <v>238</v>
      </c>
      <c r="N156" t="str">
        <f>IF(OR(D156="S. acutus", D156="S. tabernaemontani", D156="S. californicus"),(1/3)*(3.14159)*((F156/2)^2)*E156,"NA")</f>
        <v>NA</v>
      </c>
      <c r="O156">
        <f>IF(AND(OR(D156="S. acutus",D156="S. californicus",D156="S. tabernaemontani"),G156=0),E156*[1]Sheet1!$D$7+[1]Sheet1!$L$7,IF(AND(OR(D156="S. acutus",D156="S. tabernaemontani"),G156&gt;0),E156*[1]Sheet1!$D$8+N156*[1]Sheet1!$E$8,IF(AND(D156="S. californicus",G156&gt;0),E156*[1]Sheet1!$D$9+N156*[1]Sheet1!$E$9,IF(D156="S.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latifolia"),E156&gt;0),F156*[1]Sheet1!$C$4+E156*[1]Sheet1!$D$4+H156*[1]Sheet1!$J$4+I156*[1]Sheet1!$K$4+[1]Sheet1!$L$4,IF(AND(OR(D156="T. domingensis",D156="T. latifolia"),J156&gt;0),J156*[1]Sheet1!$G$5+K156*[1]Sheet1!$H$5+L156*[1]Sheet1!$I$5+[1]Sheet1!$L$5,0)))))))</f>
        <v>31.834127000000016</v>
      </c>
    </row>
    <row r="157" spans="1:15">
      <c r="A157" s="6">
        <v>41774</v>
      </c>
      <c r="B157" s="7" t="s">
        <v>31</v>
      </c>
      <c r="C157">
        <v>46</v>
      </c>
      <c r="D157" t="s">
        <v>19</v>
      </c>
      <c r="F157">
        <v>3.17</v>
      </c>
      <c r="J157">
        <f>96+123+137+175+193+216+214</f>
        <v>1154</v>
      </c>
      <c r="K157">
        <v>7</v>
      </c>
      <c r="L157">
        <v>216</v>
      </c>
      <c r="N157" t="str">
        <f>IF(OR(D157="S. acutus", D157="S. tabernaemontani", D157="S. californicus"),(1/3)*(3.14159)*((F157/2)^2)*E157,"NA")</f>
        <v>NA</v>
      </c>
      <c r="O157">
        <f>IF(AND(OR(D157="S. acutus",D157="S. californicus",D157="S. tabernaemontani"),G157=0),E157*[1]Sheet1!$D$7+[1]Sheet1!$L$7,IF(AND(OR(D157="S. acutus",D157="S. tabernaemontani"),G157&gt;0),E157*[1]Sheet1!$D$8+N157*[1]Sheet1!$E$8,IF(AND(D157="S. californicus",G157&gt;0),E157*[1]Sheet1!$D$9+N157*[1]Sheet1!$E$9,IF(D157="S.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latifolia"),E157&gt;0),F157*[1]Sheet1!$C$4+E157*[1]Sheet1!$D$4+H157*[1]Sheet1!$J$4+I157*[1]Sheet1!$K$4+[1]Sheet1!$L$4,IF(AND(OR(D157="T. domingensis",D157="T. latifolia"),J157&gt;0),J157*[1]Sheet1!$G$5+K157*[1]Sheet1!$H$5+L157*[1]Sheet1!$I$5+[1]Sheet1!$L$5,0)))))))</f>
        <v>27.004863000000022</v>
      </c>
    </row>
    <row r="158" spans="1:15">
      <c r="A158" s="6">
        <v>41766</v>
      </c>
      <c r="B158" s="7" t="s">
        <v>21</v>
      </c>
      <c r="C158">
        <v>4</v>
      </c>
      <c r="D158" t="s">
        <v>19</v>
      </c>
      <c r="F158">
        <v>6.54</v>
      </c>
      <c r="J158">
        <f>106+93+63+137+165+183+162+130+154+128+71+69+59+44</f>
        <v>1564</v>
      </c>
      <c r="K158">
        <v>14</v>
      </c>
      <c r="L158">
        <v>183</v>
      </c>
      <c r="N158" t="str">
        <f>IF(OR(D158="S. acutus", D158="S. tabernaemontani", D158="S. californicus"),(1/3)*(3.14159)*((F158/2)^2)*E158,"NA")</f>
        <v>NA</v>
      </c>
      <c r="O158">
        <f>IF(AND(OR(D158="S. acutus",D158="S. californicus",D158="S. tabernaemontani"),G158=0),E158*[1]Sheet1!$D$7+[1]Sheet1!$L$7,IF(AND(OR(D158="S. acutus",D158="S. tabernaemontani"),G158&gt;0),E158*[1]Sheet1!$D$8+N158*[1]Sheet1!$E$8,IF(AND(D158="S. californicus",G158&gt;0),E158*[1]Sheet1!$D$9+N158*[1]Sheet1!$E$9,IF(D158="S.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latifolia"),E158&gt;0),F158*[1]Sheet1!$C$4+E158*[1]Sheet1!$D$4+H158*[1]Sheet1!$J$4+I158*[1]Sheet1!$K$4+[1]Sheet1!$L$4,IF(AND(OR(D158="T. domingensis",D158="T. latifolia"),J158&gt;0),J158*[1]Sheet1!$G$5+K158*[1]Sheet1!$H$5+L158*[1]Sheet1!$I$5+[1]Sheet1!$L$5,0)))))))</f>
        <v>26.229027000000016</v>
      </c>
    </row>
    <row r="159" spans="1:15">
      <c r="A159" s="10">
        <v>41766</v>
      </c>
      <c r="B159" s="7" t="s">
        <v>21</v>
      </c>
      <c r="C159">
        <v>6</v>
      </c>
      <c r="D159" t="s">
        <v>25</v>
      </c>
      <c r="E159">
        <v>86</v>
      </c>
      <c r="F159">
        <v>0.83</v>
      </c>
      <c r="N159">
        <f>IF(OR(D159="S. acutus", D159="S. tabernaemontani", D159="S. californicus"),(1/3)*(3.14159)*((F159/2)^2)*E159,"NA")</f>
        <v>15.51039634883333</v>
      </c>
      <c r="O159">
        <f>IF(AND(OR(D159="S. acutus",D159="S. californicus",D159="S. tabernaemontani"),G159=0),E159*[1]Sheet1!$D$7+[1]Sheet1!$L$7,IF(AND(OR(D159="S. acutus",D159="S. tabernaemontani"),G159&gt;0),E159*[1]Sheet1!$D$8+N159*[1]Sheet1!$E$8,IF(AND(D159="S. californicus",G159&gt;0),E159*[1]Sheet1!$D$9+N159*[1]Sheet1!$E$9,IF(D159="S.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latifolia"),E159&gt;0),F159*[1]Sheet1!$C$4+E159*[1]Sheet1!$D$4+H159*[1]Sheet1!$J$4+I159*[1]Sheet1!$K$4+[1]Sheet1!$L$4,IF(AND(OR(D159="T. domingensis",D159="T. latifolia"),J159&gt;0),J159*[1]Sheet1!$G$5+K159*[1]Sheet1!$H$5+L159*[1]Sheet1!$I$5+[1]Sheet1!$L$5,0)))))))</f>
        <v>1.4384329999999999</v>
      </c>
    </row>
    <row r="160" spans="1:15">
      <c r="A160" s="6">
        <v>41766</v>
      </c>
      <c r="B160" s="7" t="s">
        <v>21</v>
      </c>
      <c r="C160">
        <v>6</v>
      </c>
      <c r="D160" t="s">
        <v>25</v>
      </c>
      <c r="E160">
        <v>154</v>
      </c>
      <c r="F160">
        <v>1.66</v>
      </c>
      <c r="N160">
        <f>IF(OR(D160="S. acutus", D160="S. tabernaemontani", D160="S. californicus"),(1/3)*(3.14159)*((F160/2)^2)*E160,"NA")</f>
        <v>111.09772268466665</v>
      </c>
      <c r="O160">
        <f>IF(AND(OR(D160="S. acutus",D160="S. californicus",D160="S. tabernaemontani"),G160=0),E160*[1]Sheet1!$D$7+[1]Sheet1!$L$7,IF(AND(OR(D160="S. acutus",D160="S. tabernaemontani"),G160&gt;0),E160*[1]Sheet1!$D$8+N160*[1]Sheet1!$E$8,IF(AND(D160="S. californicus",G160&gt;0),E160*[1]Sheet1!$D$9+N160*[1]Sheet1!$E$9,IF(D160="S.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latifolia"),E160&gt;0),F160*[1]Sheet1!$C$4+E160*[1]Sheet1!$D$4+H160*[1]Sheet1!$J$4+I160*[1]Sheet1!$K$4+[1]Sheet1!$L$4,IF(AND(OR(D160="T. domingensis",D160="T. latifolia"),J160&gt;0),J160*[1]Sheet1!$G$5+K160*[1]Sheet1!$H$5+L160*[1]Sheet1!$I$5+[1]Sheet1!$L$5,0)))))))</f>
        <v>6.2055730000000002</v>
      </c>
    </row>
    <row r="161" spans="1:15">
      <c r="A161" s="10">
        <v>41766</v>
      </c>
      <c r="B161" s="7" t="s">
        <v>21</v>
      </c>
      <c r="C161">
        <v>6</v>
      </c>
      <c r="D161" t="s">
        <v>25</v>
      </c>
      <c r="E161">
        <v>86</v>
      </c>
      <c r="F161">
        <v>0.82</v>
      </c>
      <c r="N161">
        <f>IF(OR(D161="S. acutus", D161="S. tabernaemontani", D161="S. californicus"),(1/3)*(3.14159)*((F161/2)^2)*E161,"NA")</f>
        <v>15.13890333133333</v>
      </c>
      <c r="O161">
        <f>IF(AND(OR(D161="S. acutus",D161="S. californicus",D161="S. tabernaemontani"),G161=0),E161*[1]Sheet1!$D$7+[1]Sheet1!$L$7,IF(AND(OR(D161="S. acutus",D161="S. tabernaemontani"),G161&gt;0),E161*[1]Sheet1!$D$8+N161*[1]Sheet1!$E$8,IF(AND(D161="S. californicus",G161&gt;0),E161*[1]Sheet1!$D$9+N161*[1]Sheet1!$E$9,IF(D161="S.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latifolia"),E161&gt;0),F161*[1]Sheet1!$C$4+E161*[1]Sheet1!$D$4+H161*[1]Sheet1!$J$4+I161*[1]Sheet1!$K$4+[1]Sheet1!$L$4,IF(AND(OR(D161="T. domingensis",D161="T. latifolia"),J161&gt;0),J161*[1]Sheet1!$G$5+K161*[1]Sheet1!$H$5+L161*[1]Sheet1!$I$5+[1]Sheet1!$L$5,0)))))))</f>
        <v>1.4384329999999999</v>
      </c>
    </row>
    <row r="162" spans="1:15">
      <c r="A162" s="6">
        <v>41766</v>
      </c>
      <c r="B162" s="7" t="s">
        <v>21</v>
      </c>
      <c r="C162">
        <v>6</v>
      </c>
      <c r="D162" t="s">
        <v>25</v>
      </c>
      <c r="E162">
        <v>138</v>
      </c>
      <c r="F162">
        <v>1.86</v>
      </c>
      <c r="N162">
        <f>IF(OR(D162="S. acutus", D162="S. tabernaemontani", D162="S. californicus"),(1/3)*(3.14159)*((F162/2)^2)*E162,"NA")</f>
        <v>124.98941478600001</v>
      </c>
      <c r="O162">
        <f>IF(AND(OR(D162="S. acutus",D162="S. californicus",D162="S. tabernaemontani"),G162=0),E162*[1]Sheet1!$D$7+[1]Sheet1!$L$7,IF(AND(OR(D162="S. acutus",D162="S. tabernaemontani"),G162&gt;0),E162*[1]Sheet1!$D$8+N162*[1]Sheet1!$E$8,IF(AND(D162="S. californicus",G162&gt;0),E162*[1]Sheet1!$D$9+N162*[1]Sheet1!$E$9,IF(D162="S.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latifolia"),E162&gt;0),F162*[1]Sheet1!$C$4+E162*[1]Sheet1!$D$4+H162*[1]Sheet1!$J$4+I162*[1]Sheet1!$K$4+[1]Sheet1!$L$4,IF(AND(OR(D162="T. domingensis",D162="T. latifolia"),J162&gt;0),J162*[1]Sheet1!$G$5+K162*[1]Sheet1!$H$5+L162*[1]Sheet1!$I$5+[1]Sheet1!$L$5,0)))))))</f>
        <v>5.0838930000000007</v>
      </c>
    </row>
    <row r="163" spans="1:15">
      <c r="A163" s="10">
        <v>41766</v>
      </c>
      <c r="B163" s="7" t="s">
        <v>21</v>
      </c>
      <c r="C163">
        <v>6</v>
      </c>
      <c r="D163" t="s">
        <v>25</v>
      </c>
      <c r="E163">
        <v>101</v>
      </c>
      <c r="F163">
        <v>1.06</v>
      </c>
      <c r="N163">
        <f>IF(OR(D163="S. acutus", D163="S. tabernaemontani", D163="S. californicus"),(1/3)*(3.14159)*((F163/2)^2)*E163,"NA")</f>
        <v>29.709911910333336</v>
      </c>
      <c r="O163">
        <f>IF(AND(OR(D163="S. acutus",D163="S. californicus",D163="S. tabernaemontani"),G163=0),E163*[1]Sheet1!$D$7+[1]Sheet1!$L$7,IF(AND(OR(D163="S. acutus",D163="S. tabernaemontani"),G163&gt;0),E163*[1]Sheet1!$D$8+N163*[1]Sheet1!$E$8,IF(AND(D163="S. californicus",G163&gt;0),E163*[1]Sheet1!$D$9+N163*[1]Sheet1!$E$9,IF(D163="S.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latifolia"),E163&gt;0),F163*[1]Sheet1!$C$4+E163*[1]Sheet1!$D$4+H163*[1]Sheet1!$J$4+I163*[1]Sheet1!$K$4+[1]Sheet1!$L$4,IF(AND(OR(D163="T. domingensis",D163="T. latifolia"),J163&gt;0),J163*[1]Sheet1!$G$5+K163*[1]Sheet1!$H$5+L163*[1]Sheet1!$I$5+[1]Sheet1!$L$5,0)))))))</f>
        <v>2.4900080000000004</v>
      </c>
    </row>
    <row r="164" spans="1:15">
      <c r="A164" s="6">
        <v>41766</v>
      </c>
      <c r="B164" s="7" t="s">
        <v>21</v>
      </c>
      <c r="C164">
        <v>26</v>
      </c>
      <c r="D164" t="s">
        <v>23</v>
      </c>
      <c r="F164">
        <v>3.46</v>
      </c>
      <c r="J164">
        <f>65+65+116+149+161+148+179</f>
        <v>883</v>
      </c>
      <c r="K164">
        <v>7</v>
      </c>
      <c r="L164">
        <v>179</v>
      </c>
      <c r="N164" t="str">
        <f>IF(OR(D164="S. acutus", D164="S. tabernaemontani", D164="S. californicus"),(1/3)*(3.14159)*((F164/2)^2)*E164,"NA")</f>
        <v>NA</v>
      </c>
      <c r="O164">
        <f>IF(AND(OR(D164="S. acutus",D164="S. californicus",D164="S. tabernaemontani"),G164=0),E164*[1]Sheet1!$D$7+[1]Sheet1!$L$7,IF(AND(OR(D164="S. acutus",D164="S. tabernaemontani"),G164&gt;0),E164*[1]Sheet1!$D$8+N164*[1]Sheet1!$E$8,IF(AND(D164="S. californicus",G164&gt;0),E164*[1]Sheet1!$D$9+N164*[1]Sheet1!$E$9,IF(D164="S.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latifolia"),E164&gt;0),F164*[1]Sheet1!$C$4+E164*[1]Sheet1!$D$4+H164*[1]Sheet1!$J$4+I164*[1]Sheet1!$K$4+[1]Sheet1!$L$4,IF(AND(OR(D164="T. domingensis",D164="T. latifolia"),J164&gt;0),J164*[1]Sheet1!$G$5+K164*[1]Sheet1!$H$5+L164*[1]Sheet1!$I$5+[1]Sheet1!$L$5,0)))))))</f>
        <v>12.743323000000011</v>
      </c>
    </row>
    <row r="165" spans="1:15">
      <c r="A165" s="10">
        <v>41766</v>
      </c>
      <c r="B165" s="7" t="s">
        <v>21</v>
      </c>
      <c r="C165">
        <v>26</v>
      </c>
      <c r="D165" t="s">
        <v>23</v>
      </c>
      <c r="F165">
        <v>1.96</v>
      </c>
      <c r="J165">
        <f>41+49+60</f>
        <v>150</v>
      </c>
      <c r="K165">
        <v>3</v>
      </c>
      <c r="L165">
        <v>60</v>
      </c>
      <c r="N165" t="str">
        <f>IF(OR(D165="S. acutus", D165="S. tabernaemontani", D165="S. californicus"),(1/3)*(3.14159)*((F165/2)^2)*E165,"NA")</f>
        <v>NA</v>
      </c>
      <c r="O165">
        <f>IF(AND(OR(D165="S. acutus",D165="S. californicus",D165="S. tabernaemontani"),G165=0),E165*[1]Sheet1!$D$7+[1]Sheet1!$L$7,IF(AND(OR(D165="S. acutus",D165="S. tabernaemontani"),G165&gt;0),E165*[1]Sheet1!$D$8+N165*[1]Sheet1!$E$8,IF(AND(D165="S. californicus",G165&gt;0),E165*[1]Sheet1!$D$9+N165*[1]Sheet1!$E$9,IF(D165="S.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latifolia"),E165&gt;0),F165*[1]Sheet1!$C$4+E165*[1]Sheet1!$D$4+H165*[1]Sheet1!$J$4+I165*[1]Sheet1!$K$4+[1]Sheet1!$L$4,IF(AND(OR(D165="T. domingensis",D165="T. latifolia"),J165&gt;0),J165*[1]Sheet1!$G$5+K165*[1]Sheet1!$H$5+L165*[1]Sheet1!$I$5+[1]Sheet1!$L$5,0)))))))</f>
        <v>7.9584749999999964</v>
      </c>
    </row>
    <row r="166" spans="1:15">
      <c r="A166" s="6">
        <v>41766</v>
      </c>
      <c r="B166" s="7" t="s">
        <v>21</v>
      </c>
      <c r="C166">
        <v>26</v>
      </c>
      <c r="D166" t="s">
        <v>23</v>
      </c>
      <c r="F166">
        <v>1.6</v>
      </c>
      <c r="J166">
        <f>77+95+126+138+149</f>
        <v>585</v>
      </c>
      <c r="K166">
        <v>5</v>
      </c>
      <c r="L166">
        <v>149</v>
      </c>
      <c r="N166" t="str">
        <f>IF(OR(D166="S. acutus", D166="S. tabernaemontani", D166="S. californicus"),(1/3)*(3.14159)*((F166/2)^2)*E166,"NA")</f>
        <v>NA</v>
      </c>
      <c r="O166">
        <f>IF(AND(OR(D166="S. acutus",D166="S. californicus",D166="S. tabernaemontani"),G166=0),E166*[1]Sheet1!$D$7+[1]Sheet1!$L$7,IF(AND(OR(D166="S. acutus",D166="S. tabernaemontani"),G166&gt;0),E166*[1]Sheet1!$D$8+N166*[1]Sheet1!$E$8,IF(AND(D166="S. californicus",G166&gt;0),E166*[1]Sheet1!$D$9+N166*[1]Sheet1!$E$9,IF(D166="S.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latifolia"),E166&gt;0),F166*[1]Sheet1!$C$4+E166*[1]Sheet1!$D$4+H166*[1]Sheet1!$J$4+I166*[1]Sheet1!$K$4+[1]Sheet1!$L$4,IF(AND(OR(D166="T. domingensis",D166="T. latifolia"),J166&gt;0),J166*[1]Sheet1!$G$5+K166*[1]Sheet1!$H$5+L166*[1]Sheet1!$I$5+[1]Sheet1!$L$5,0)))))))</f>
        <v>7.8863890000000083</v>
      </c>
    </row>
    <row r="167" spans="1:15">
      <c r="A167" s="10">
        <v>41766</v>
      </c>
      <c r="B167" s="7" t="s">
        <v>21</v>
      </c>
      <c r="C167">
        <v>26</v>
      </c>
      <c r="D167" t="s">
        <v>23</v>
      </c>
      <c r="F167">
        <v>4.0999999999999996</v>
      </c>
      <c r="J167">
        <f>77+38+96+107+96+142+147+169+174+189</f>
        <v>1235</v>
      </c>
      <c r="K167">
        <v>10</v>
      </c>
      <c r="L167">
        <v>189</v>
      </c>
      <c r="N167" t="str">
        <f>IF(OR(D167="S. acutus", D167="S. tabernaemontani", D167="S. californicus"),(1/3)*(3.14159)*((F167/2)^2)*E167,"NA")</f>
        <v>NA</v>
      </c>
      <c r="O167">
        <f>IF(AND(OR(D167="S. acutus",D167="S. californicus",D167="S. tabernaemontani"),G167=0),E167*[1]Sheet1!$D$7+[1]Sheet1!$L$7,IF(AND(OR(D167="S. acutus",D167="S. tabernaemontani"),G167&gt;0),E167*[1]Sheet1!$D$8+N167*[1]Sheet1!$E$8,IF(AND(D167="S. californicus",G167&gt;0),E167*[1]Sheet1!$D$9+N167*[1]Sheet1!$E$9,IF(D167="S.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latifolia"),E167&gt;0),F167*[1]Sheet1!$C$4+E167*[1]Sheet1!$D$4+H167*[1]Sheet1!$J$4+I167*[1]Sheet1!$K$4+[1]Sheet1!$L$4,IF(AND(OR(D167="T. domingensis",D167="T. latifolia"),J167&gt;0),J167*[1]Sheet1!$G$5+K167*[1]Sheet1!$H$5+L167*[1]Sheet1!$I$5+[1]Sheet1!$L$5,0)))))))</f>
        <v>21.665574000000014</v>
      </c>
    </row>
    <row r="168" spans="1:15">
      <c r="A168" s="6">
        <v>41766</v>
      </c>
      <c r="B168" s="7" t="s">
        <v>21</v>
      </c>
      <c r="C168">
        <v>26</v>
      </c>
      <c r="D168" t="s">
        <v>23</v>
      </c>
      <c r="F168">
        <v>1.5</v>
      </c>
      <c r="J168">
        <f>44+77+95+130+139</f>
        <v>485</v>
      </c>
      <c r="K168">
        <v>5</v>
      </c>
      <c r="L168">
        <v>139</v>
      </c>
      <c r="N168" t="str">
        <f>IF(OR(D168="S. acutus", D168="S. tabernaemontani", D168="S. californicus"),(1/3)*(3.14159)*((F168/2)^2)*E168,"NA")</f>
        <v>NA</v>
      </c>
      <c r="O168">
        <f>IF(AND(OR(D168="S. acutus",D168="S. californicus",D168="S. tabernaemontani"),G168=0),E168*[1]Sheet1!$D$7+[1]Sheet1!$L$7,IF(AND(OR(D168="S. acutus",D168="S. tabernaemontani"),G168&gt;0),E168*[1]Sheet1!$D$8+N168*[1]Sheet1!$E$8,IF(AND(D168="S. californicus",G168&gt;0),E168*[1]Sheet1!$D$9+N168*[1]Sheet1!$E$9,IF(D168="S.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latifolia"),E168&gt;0),F168*[1]Sheet1!$C$4+E168*[1]Sheet1!$D$4+H168*[1]Sheet1!$J$4+I168*[1]Sheet1!$K$4+[1]Sheet1!$L$4,IF(AND(OR(D168="T. domingensis",D168="T. latifolia"),J168&gt;0),J168*[1]Sheet1!$G$5+K168*[1]Sheet1!$H$5+L168*[1]Sheet1!$I$5+[1]Sheet1!$L$5,0)))))))</f>
        <v>1.523339</v>
      </c>
    </row>
    <row r="169" spans="1:15">
      <c r="A169" s="6">
        <v>41766</v>
      </c>
      <c r="B169" s="7" t="s">
        <v>21</v>
      </c>
      <c r="C169">
        <v>26</v>
      </c>
      <c r="D169" t="s">
        <v>23</v>
      </c>
      <c r="F169">
        <v>2.48</v>
      </c>
      <c r="J169">
        <f>54+68+103+112+144+148</f>
        <v>629</v>
      </c>
      <c r="K169">
        <v>6</v>
      </c>
      <c r="L169">
        <v>148</v>
      </c>
      <c r="N169" t="str">
        <f>IF(OR(D169="S. acutus", D169="S. tabernaemontani", D169="S. californicus"),(1/3)*(3.14159)*((F169/2)^2)*E169,"NA")</f>
        <v>NA</v>
      </c>
      <c r="O169">
        <f>IF(AND(OR(D169="S. acutus",D169="S. californicus",D169="S. tabernaemontani"),G169=0),E169*[1]Sheet1!$D$7+[1]Sheet1!$L$7,IF(AND(OR(D169="S. acutus",D169="S. tabernaemontani"),G169&gt;0),E169*[1]Sheet1!$D$8+N169*[1]Sheet1!$E$8,IF(AND(D169="S. californicus",G169&gt;0),E169*[1]Sheet1!$D$9+N169*[1]Sheet1!$E$9,IF(D169="S.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latifolia"),E169&gt;0),F169*[1]Sheet1!$C$4+E169*[1]Sheet1!$D$4+H169*[1]Sheet1!$J$4+I169*[1]Sheet1!$K$4+[1]Sheet1!$L$4,IF(AND(OR(D169="T. domingensis",D169="T. latifolia"),J169&gt;0),J169*[1]Sheet1!$G$5+K169*[1]Sheet1!$H$5+L169*[1]Sheet1!$I$5+[1]Sheet1!$L$5,0)))))))</f>
        <v>5.290500999999999</v>
      </c>
    </row>
    <row r="170" spans="1:15">
      <c r="A170" s="10">
        <v>41766</v>
      </c>
      <c r="B170" s="7" t="s">
        <v>21</v>
      </c>
      <c r="C170">
        <v>26</v>
      </c>
      <c r="D170" t="s">
        <v>19</v>
      </c>
      <c r="F170">
        <v>1.53</v>
      </c>
      <c r="J170">
        <f>73+97+97+114+142+146</f>
        <v>669</v>
      </c>
      <c r="K170">
        <v>6</v>
      </c>
      <c r="L170">
        <v>146</v>
      </c>
      <c r="N170" t="str">
        <f>IF(OR(D170="S. acutus", D170="S. tabernaemontani", D170="S. californicus"),(1/3)*(3.14159)*((F170/2)^2)*E170,"NA")</f>
        <v>NA</v>
      </c>
      <c r="O170">
        <f>IF(AND(OR(D170="S. acutus",D170="S. californicus",D170="S. tabernaemontani"),G170=0),E170*[1]Sheet1!$D$7+[1]Sheet1!$L$7,IF(AND(OR(D170="S. acutus",D170="S. tabernaemontani"),G170&gt;0),E170*[1]Sheet1!$D$8+N170*[1]Sheet1!$E$8,IF(AND(D170="S. californicus",G170&gt;0),E170*[1]Sheet1!$D$9+N170*[1]Sheet1!$E$9,IF(D170="S.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latifolia"),E170&gt;0),F170*[1]Sheet1!$C$4+E170*[1]Sheet1!$D$4+H170*[1]Sheet1!$J$4+I170*[1]Sheet1!$K$4+[1]Sheet1!$L$4,IF(AND(OR(D170="T. domingensis",D170="T. latifolia"),J170&gt;0),J170*[1]Sheet1!$G$5+K170*[1]Sheet1!$H$5+L170*[1]Sheet1!$I$5+[1]Sheet1!$L$5,0)))))))</f>
        <v>9.6431910000000016</v>
      </c>
    </row>
    <row r="171" spans="1:15">
      <c r="A171" s="6">
        <v>41766</v>
      </c>
      <c r="B171" s="7" t="s">
        <v>21</v>
      </c>
      <c r="C171">
        <v>26</v>
      </c>
      <c r="D171" t="s">
        <v>19</v>
      </c>
      <c r="F171">
        <v>1.24</v>
      </c>
      <c r="J171">
        <f>82+84+90+116+127</f>
        <v>499</v>
      </c>
      <c r="K171">
        <v>5</v>
      </c>
      <c r="L171">
        <v>127</v>
      </c>
      <c r="N171" t="str">
        <f>IF(OR(D171="S. acutus", D171="S. tabernaemontani", D171="S. californicus"),(1/3)*(3.14159)*((F171/2)^2)*E171,"NA")</f>
        <v>NA</v>
      </c>
      <c r="O171">
        <f>IF(AND(OR(D171="S. acutus",D171="S. californicus",D171="S. tabernaemontani"),G171=0),E171*[1]Sheet1!$D$7+[1]Sheet1!$L$7,IF(AND(OR(D171="S. acutus",D171="S. tabernaemontani"),G171&gt;0),E171*[1]Sheet1!$D$8+N171*[1]Sheet1!$E$8,IF(AND(D171="S. californicus",G171&gt;0),E171*[1]Sheet1!$D$9+N171*[1]Sheet1!$E$9,IF(D171="S.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latifolia"),E171&gt;0),F171*[1]Sheet1!$C$4+E171*[1]Sheet1!$D$4+H171*[1]Sheet1!$J$4+I171*[1]Sheet1!$K$4+[1]Sheet1!$L$4,IF(AND(OR(D171="T. domingensis",D171="T. latifolia"),J171&gt;0),J171*[1]Sheet1!$G$5+K171*[1]Sheet1!$H$5+L171*[1]Sheet1!$I$5+[1]Sheet1!$L$5,0)))))))</f>
        <v>6.4508490000000052</v>
      </c>
    </row>
    <row r="172" spans="1:15">
      <c r="A172" s="10">
        <v>41766</v>
      </c>
      <c r="B172" s="7" t="s">
        <v>21</v>
      </c>
      <c r="C172">
        <v>26</v>
      </c>
      <c r="D172" t="s">
        <v>19</v>
      </c>
      <c r="F172">
        <v>2.2999999999999998</v>
      </c>
      <c r="J172">
        <f>41+95+82+112+106+119+188+135</f>
        <v>878</v>
      </c>
      <c r="K172">
        <v>8</v>
      </c>
      <c r="L172">
        <v>188</v>
      </c>
      <c r="N172" t="str">
        <f>IF(OR(D172="S. acutus", D172="S. tabernaemontani", D172="S. californicus"),(1/3)*(3.14159)*((F172/2)^2)*E172,"NA")</f>
        <v>NA</v>
      </c>
      <c r="O172">
        <f>IF(AND(OR(D172="S. acutus",D172="S. californicus",D172="S. tabernaemontani"),G172=0),E172*[1]Sheet1!$D$7+[1]Sheet1!$L$7,IF(AND(OR(D172="S. acutus",D172="S. tabernaemontani"),G172&gt;0),E172*[1]Sheet1!$D$8+N172*[1]Sheet1!$E$8,IF(AND(D172="S. californicus",G172&gt;0),E172*[1]Sheet1!$D$9+N172*[1]Sheet1!$E$9,IF(D172="S.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latifolia"),E172&gt;0),F172*[1]Sheet1!$C$4+E172*[1]Sheet1!$D$4+H172*[1]Sheet1!$J$4+I172*[1]Sheet1!$K$4+[1]Sheet1!$L$4,IF(AND(OR(D172="T. domingensis",D172="T. latifolia"),J172&gt;0),J172*[1]Sheet1!$G$5+K172*[1]Sheet1!$H$5+L172*[1]Sheet1!$I$5+[1]Sheet1!$L$5,0)))))))</f>
        <v>2.5409900000000007</v>
      </c>
    </row>
    <row r="173" spans="1:15">
      <c r="A173" s="9">
        <v>41766</v>
      </c>
      <c r="B173" s="7" t="s">
        <v>21</v>
      </c>
      <c r="C173">
        <v>29</v>
      </c>
      <c r="D173" t="s">
        <v>20</v>
      </c>
      <c r="E173">
        <v>136</v>
      </c>
      <c r="F173">
        <v>1.51</v>
      </c>
      <c r="N173">
        <f>IF(OR(D173="S. acutus", D173="S. tabernaemontani", D173="S. californicus"),(1/3)*(3.14159)*((F173/2)^2)*E173,"NA")</f>
        <v>81.182246068666657</v>
      </c>
      <c r="O173">
        <f>IF(AND(OR(D173="S. acutus",D173="S. californicus",D173="S. tabernaemontani"),G173=0),E173*[1]Sheet1!$D$7+[1]Sheet1!$L$7,IF(AND(OR(D173="S. acutus",D173="S. tabernaemontani"),G173&gt;0),E173*[1]Sheet1!$D$8+N173*[1]Sheet1!$E$8,IF(AND(D173="S. californicus",G173&gt;0),E173*[1]Sheet1!$D$9+N173*[1]Sheet1!$E$9,IF(D173="S.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latifolia"),E173&gt;0),F173*[1]Sheet1!$C$4+E173*[1]Sheet1!$D$4+H173*[1]Sheet1!$J$4+I173*[1]Sheet1!$K$4+[1]Sheet1!$L$4,IF(AND(OR(D173="T. domingensis",D173="T. latifolia"),J173&gt;0),J173*[1]Sheet1!$G$5+K173*[1]Sheet1!$H$5+L173*[1]Sheet1!$I$5+[1]Sheet1!$L$5,0)))))))</f>
        <v>4.9436830000000009</v>
      </c>
    </row>
    <row r="174" spans="1:15">
      <c r="A174" s="9">
        <v>41766</v>
      </c>
      <c r="B174" s="7" t="s">
        <v>21</v>
      </c>
      <c r="C174">
        <v>29</v>
      </c>
      <c r="D174" t="s">
        <v>23</v>
      </c>
      <c r="F174">
        <v>2.78</v>
      </c>
      <c r="J174">
        <f>112+114+154+166+192+184</f>
        <v>922</v>
      </c>
      <c r="K174">
        <v>6</v>
      </c>
      <c r="L174">
        <v>192</v>
      </c>
      <c r="N174" t="str">
        <f>IF(OR(D174="S. acutus", D174="S. tabernaemontani", D174="S. californicus"),(1/3)*(3.14159)*((F174/2)^2)*E174,"NA")</f>
        <v>NA</v>
      </c>
      <c r="O174">
        <f>IF(AND(OR(D174="S. acutus",D174="S. californicus",D174="S. tabernaemontani"),G174=0),E174*[1]Sheet1!$D$7+[1]Sheet1!$L$7,IF(AND(OR(D174="S. acutus",D174="S. tabernaemontani"),G174&gt;0),E174*[1]Sheet1!$D$8+N174*[1]Sheet1!$E$8,IF(AND(D174="S. californicus",G174&gt;0),E174*[1]Sheet1!$D$9+N174*[1]Sheet1!$E$9,IF(D174="S.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latifolia"),E174&gt;0),F174*[1]Sheet1!$C$4+E174*[1]Sheet1!$D$4+H174*[1]Sheet1!$J$4+I174*[1]Sheet1!$K$4+[1]Sheet1!$L$4,IF(AND(OR(D174="T. domingensis",D174="T. latifolia"),J174&gt;0),J174*[1]Sheet1!$G$5+K174*[1]Sheet1!$H$5+L174*[1]Sheet1!$I$5+[1]Sheet1!$L$5,0)))))))</f>
        <v>19.505935999999998</v>
      </c>
    </row>
    <row r="175" spans="1:15">
      <c r="A175" s="9">
        <v>41766</v>
      </c>
      <c r="B175" s="7" t="s">
        <v>21</v>
      </c>
      <c r="C175">
        <v>29</v>
      </c>
      <c r="D175" t="s">
        <v>23</v>
      </c>
      <c r="F175">
        <v>2.3199999999999998</v>
      </c>
      <c r="J175">
        <f>62+114+122+145+167+174</f>
        <v>784</v>
      </c>
      <c r="K175">
        <v>6</v>
      </c>
      <c r="L175">
        <v>174</v>
      </c>
      <c r="N175" t="str">
        <f>IF(OR(D175="S. acutus", D175="S. tabernaemontani", D175="S. californicus"),(1/3)*(3.14159)*((F175/2)^2)*E175,"NA")</f>
        <v>NA</v>
      </c>
      <c r="O175">
        <f>IF(AND(OR(D175="S. acutus",D175="S. californicus",D175="S. tabernaemontani"),G175=0),E175*[1]Sheet1!$D$7+[1]Sheet1!$L$7,IF(AND(OR(D175="S. acutus",D175="S. tabernaemontani"),G175&gt;0),E175*[1]Sheet1!$D$8+N175*[1]Sheet1!$E$8,IF(AND(D175="S. californicus",G175&gt;0),E175*[1]Sheet1!$D$9+N175*[1]Sheet1!$E$9,IF(D175="S.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latifolia"),E175&gt;0),F175*[1]Sheet1!$C$4+E175*[1]Sheet1!$D$4+H175*[1]Sheet1!$J$4+I175*[1]Sheet1!$K$4+[1]Sheet1!$L$4,IF(AND(OR(D175="T. domingensis",D175="T. latifolia"),J175&gt;0),J175*[1]Sheet1!$G$5+K175*[1]Sheet1!$H$5+L175*[1]Sheet1!$I$5+[1]Sheet1!$L$5,0)))))))</f>
        <v>11.990156000000006</v>
      </c>
    </row>
    <row r="176" spans="1:15">
      <c r="A176" s="9">
        <v>41766</v>
      </c>
      <c r="B176" s="7" t="s">
        <v>21</v>
      </c>
      <c r="C176">
        <v>29</v>
      </c>
      <c r="D176" t="s">
        <v>23</v>
      </c>
      <c r="F176">
        <v>2.7</v>
      </c>
      <c r="J176">
        <f>72+145+165+180+191</f>
        <v>753</v>
      </c>
      <c r="K176">
        <v>5</v>
      </c>
      <c r="L176">
        <v>191</v>
      </c>
      <c r="N176" t="str">
        <f>IF(OR(D176="S. acutus", D176="S. tabernaemontani", D176="S. californicus"),(1/3)*(3.14159)*((F176/2)^2)*E176,"NA")</f>
        <v>NA</v>
      </c>
      <c r="O176">
        <f>IF(AND(OR(D176="S. acutus",D176="S. californicus",D176="S. tabernaemontani"),G176=0),E176*[1]Sheet1!$D$7+[1]Sheet1!$L$7,IF(AND(OR(D176="S. acutus",D176="S. tabernaemontani"),G176&gt;0),E176*[1]Sheet1!$D$8+N176*[1]Sheet1!$E$8,IF(AND(D176="S. californicus",G176&gt;0),E176*[1]Sheet1!$D$9+N176*[1]Sheet1!$E$9,IF(D176="S.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latifolia"),E176&gt;0),F176*[1]Sheet1!$C$4+E176*[1]Sheet1!$D$4+H176*[1]Sheet1!$J$4+I176*[1]Sheet1!$K$4+[1]Sheet1!$L$4,IF(AND(OR(D176="T. domingensis",D176="T. latifolia"),J176&gt;0),J176*[1]Sheet1!$G$5+K176*[1]Sheet1!$H$5+L176*[1]Sheet1!$I$5+[1]Sheet1!$L$5,0)))))))</f>
        <v>10.984939000000004</v>
      </c>
    </row>
    <row r="177" spans="1:15">
      <c r="A177" s="9">
        <v>41766</v>
      </c>
      <c r="B177" s="7" t="s">
        <v>21</v>
      </c>
      <c r="C177">
        <v>29</v>
      </c>
      <c r="D177" t="s">
        <v>19</v>
      </c>
      <c r="F177">
        <v>1.95</v>
      </c>
      <c r="J177">
        <f>63+78+110+153</f>
        <v>404</v>
      </c>
      <c r="K177">
        <v>4</v>
      </c>
      <c r="L177">
        <v>153</v>
      </c>
      <c r="N177" t="str">
        <f>IF(OR(D177="S. acutus", D177="S. tabernaemontani", D177="S. californicus"),(1/3)*(3.14159)*((F177/2)^2)*E177,"NA")</f>
        <v>NA</v>
      </c>
      <c r="O177">
        <f>IF(AND(OR(D177="S. acutus",D177="S. californicus",D177="S. tabernaemontani"),G177=0),E177*[1]Sheet1!$D$7+[1]Sheet1!$L$7,IF(AND(OR(D177="S. acutus",D177="S. tabernaemontani"),G177&gt;0),E177*[1]Sheet1!$D$8+N177*[1]Sheet1!$E$8,IF(AND(D177="S. californicus",G177&gt;0),E177*[1]Sheet1!$D$9+N177*[1]Sheet1!$E$9,IF(D177="S.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latifolia"),E177&gt;0),F177*[1]Sheet1!$C$4+E177*[1]Sheet1!$D$4+H177*[1]Sheet1!$J$4+I177*[1]Sheet1!$K$4+[1]Sheet1!$L$4,IF(AND(OR(D177="T. domingensis",D177="T. latifolia"),J177&gt;0),J177*[1]Sheet1!$G$5+K177*[1]Sheet1!$H$5+L177*[1]Sheet1!$I$5+[1]Sheet1!$L$5,0)))))))</f>
        <v>-3.2658929999999984</v>
      </c>
    </row>
    <row r="178" spans="1:15">
      <c r="A178" s="9">
        <v>41766</v>
      </c>
      <c r="B178" s="7" t="s">
        <v>21</v>
      </c>
      <c r="C178">
        <v>55</v>
      </c>
      <c r="D178" t="s">
        <v>19</v>
      </c>
      <c r="F178">
        <v>8.7100000000000009</v>
      </c>
      <c r="J178">
        <f>174+223+239+287+294+293+300+301+302</f>
        <v>2413</v>
      </c>
      <c r="K178">
        <v>9</v>
      </c>
      <c r="L178">
        <v>302</v>
      </c>
      <c r="N178" t="str">
        <f>IF(OR(D178="S. acutus", D178="S. tabernaemontani", D178="S. californicus"),(1/3)*(3.14159)*((F178/2)^2)*E178,"NA")</f>
        <v>NA</v>
      </c>
      <c r="O178">
        <f>IF(AND(OR(D178="S. acutus",D178="S. californicus",D178="S. tabernaemontani"),G178=0),E178*[1]Sheet1!$D$7+[1]Sheet1!$L$7,IF(AND(OR(D178="S. acutus",D178="S. tabernaemontani"),G178&gt;0),E178*[1]Sheet1!$D$8+N178*[1]Sheet1!$E$8,IF(AND(D178="S. californicus",G178&gt;0),E178*[1]Sheet1!$D$9+N178*[1]Sheet1!$E$9,IF(D178="S.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latifolia"),E178&gt;0),F178*[1]Sheet1!$C$4+E178*[1]Sheet1!$D$4+H178*[1]Sheet1!$J$4+I178*[1]Sheet1!$K$4+[1]Sheet1!$L$4,IF(AND(OR(D178="T. domingensis",D178="T. latifolia"),J178&gt;0),J178*[1]Sheet1!$G$5+K178*[1]Sheet1!$H$5+L178*[1]Sheet1!$I$5+[1]Sheet1!$L$5,0)))))))</f>
        <v>105.090632</v>
      </c>
    </row>
    <row r="179" spans="1:15">
      <c r="A179" s="9">
        <v>41767</v>
      </c>
      <c r="B179" s="7" t="s">
        <v>24</v>
      </c>
      <c r="C179">
        <v>25</v>
      </c>
      <c r="D179" t="s">
        <v>25</v>
      </c>
      <c r="E179">
        <v>26.5</v>
      </c>
      <c r="F179">
        <v>1.03</v>
      </c>
      <c r="N179">
        <f>IF(OR(D179="S. acutus", D179="S. tabernaemontani", D179="S. californicus"),(1/3)*(3.14159)*((F179/2)^2)*E179,"NA")</f>
        <v>7.360182501791666</v>
      </c>
      <c r="O179">
        <f>IF(AND(OR(D179="S. acutus",D179="S. californicus",D179="S. tabernaemontani"),G179=0),E179*[1]Sheet1!$D$7+[1]Sheet1!$L$7,IF(AND(OR(D179="S. acutus",D179="S. tabernaemontani"),G179&gt;0),E179*[1]Sheet1!$D$8+N179*[1]Sheet1!$E$8,IF(AND(D179="S. californicus",G179&gt;0),E179*[1]Sheet1!$D$9+N179*[1]Sheet1!$E$9,IF(D179="S.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latifolia"),E179&gt;0),F179*[1]Sheet1!$C$4+E179*[1]Sheet1!$D$4+H179*[1]Sheet1!$J$4+I179*[1]Sheet1!$K$4+[1]Sheet1!$L$4,IF(AND(OR(D179="T. domingensis",D179="T. latifolia"),J179&gt;0),J179*[1]Sheet1!$G$5+K179*[1]Sheet1!$H$5+L179*[1]Sheet1!$I$5+[1]Sheet1!$L$5,0)))))))</f>
        <v>-2.7328144999999999</v>
      </c>
    </row>
    <row r="180" spans="1:15">
      <c r="A180" s="9">
        <v>41767</v>
      </c>
      <c r="B180" s="7" t="s">
        <v>24</v>
      </c>
      <c r="C180">
        <v>25</v>
      </c>
      <c r="D180" t="s">
        <v>25</v>
      </c>
      <c r="E180">
        <v>111</v>
      </c>
      <c r="F180">
        <v>2.0099999999999998</v>
      </c>
      <c r="N180">
        <f>IF(OR(D180="S. acutus", D180="S. tabernaemontani", D180="S. californicus"),(1/3)*(3.14159)*((F180/2)^2)*E180,"NA")</f>
        <v>117.40412427074996</v>
      </c>
      <c r="O180">
        <f>IF(AND(OR(D180="S. acutus",D180="S. californicus",D180="S. tabernaemontani"),G180=0),E180*[1]Sheet1!$D$7+[1]Sheet1!$L$7,IF(AND(OR(D180="S. acutus",D180="S. tabernaemontani"),G180&gt;0),E180*[1]Sheet1!$D$8+N180*[1]Sheet1!$E$8,IF(AND(D180="S. californicus",G180&gt;0),E180*[1]Sheet1!$D$9+N180*[1]Sheet1!$E$9,IF(D180="S.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latifolia"),E180&gt;0),F180*[1]Sheet1!$C$4+E180*[1]Sheet1!$D$4+H180*[1]Sheet1!$J$4+I180*[1]Sheet1!$K$4+[1]Sheet1!$L$4,IF(AND(OR(D180="T. domingensis",D180="T. latifolia"),J180&gt;0),J180*[1]Sheet1!$G$5+K180*[1]Sheet1!$H$5+L180*[1]Sheet1!$I$5+[1]Sheet1!$L$5,0)))))))</f>
        <v>3.191058</v>
      </c>
    </row>
    <row r="181" spans="1:15">
      <c r="A181" s="9">
        <v>41767</v>
      </c>
      <c r="B181" s="7" t="s">
        <v>24</v>
      </c>
      <c r="C181">
        <v>25</v>
      </c>
      <c r="D181" t="s">
        <v>25</v>
      </c>
      <c r="E181">
        <v>118</v>
      </c>
      <c r="F181">
        <v>1.44</v>
      </c>
      <c r="N181">
        <f>IF(OR(D181="S. acutus", D181="S. tabernaemontani", D181="S. californicus"),(1/3)*(3.14159)*((F181/2)^2)*E181,"NA")</f>
        <v>64.058276735999982</v>
      </c>
      <c r="O181">
        <f>IF(AND(OR(D181="S. acutus",D181="S. californicus",D181="S. tabernaemontani"),G181=0),E181*[1]Sheet1!$D$7+[1]Sheet1!$L$7,IF(AND(OR(D181="S. acutus",D181="S. tabernaemontani"),G181&gt;0),E181*[1]Sheet1!$D$8+N181*[1]Sheet1!$E$8,IF(AND(D181="S. californicus",G181&gt;0),E181*[1]Sheet1!$D$9+N181*[1]Sheet1!$E$9,IF(D181="S.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latifolia"),E181&gt;0),F181*[1]Sheet1!$C$4+E181*[1]Sheet1!$D$4+H181*[1]Sheet1!$J$4+I181*[1]Sheet1!$K$4+[1]Sheet1!$L$4,IF(AND(OR(D181="T. domingensis",D181="T. latifolia"),J181&gt;0),J181*[1]Sheet1!$G$5+K181*[1]Sheet1!$H$5+L181*[1]Sheet1!$I$5+[1]Sheet1!$L$5,0)))))))</f>
        <v>3.6817929999999999</v>
      </c>
    </row>
    <row r="182" spans="1:15">
      <c r="A182" s="9">
        <v>41767</v>
      </c>
      <c r="B182" s="7" t="s">
        <v>24</v>
      </c>
      <c r="C182">
        <v>25</v>
      </c>
      <c r="D182" t="s">
        <v>25</v>
      </c>
      <c r="E182">
        <v>39</v>
      </c>
      <c r="F182">
        <v>1.1200000000000001</v>
      </c>
      <c r="N182">
        <f>IF(OR(D182="S. acutus", D182="S. tabernaemontani", D182="S. californicus"),(1/3)*(3.14159)*((F182/2)^2)*E182,"NA")</f>
        <v>12.807634112000001</v>
      </c>
      <c r="O182">
        <f>IF(AND(OR(D182="S. acutus",D182="S. californicus",D182="S. tabernaemontani"),G182=0),E182*[1]Sheet1!$D$7+[1]Sheet1!$L$7,IF(AND(OR(D182="S. acutus",D182="S. tabernaemontani"),G182&gt;0),E182*[1]Sheet1!$D$8+N182*[1]Sheet1!$E$8,IF(AND(D182="S. californicus",G182&gt;0),E182*[1]Sheet1!$D$9+N182*[1]Sheet1!$E$9,IF(D182="S.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latifolia"),E182&gt;0),F182*[1]Sheet1!$C$4+E182*[1]Sheet1!$D$4+H182*[1]Sheet1!$J$4+I182*[1]Sheet1!$K$4+[1]Sheet1!$L$4,IF(AND(OR(D182="T. domingensis",D182="T. latifolia"),J182&gt;0),J182*[1]Sheet1!$G$5+K182*[1]Sheet1!$H$5+L182*[1]Sheet1!$I$5+[1]Sheet1!$L$5,0)))))))</f>
        <v>-1.8565019999999999</v>
      </c>
    </row>
    <row r="183" spans="1:15">
      <c r="A183" s="9">
        <v>41767</v>
      </c>
      <c r="B183" s="7" t="s">
        <v>24</v>
      </c>
      <c r="C183">
        <v>25</v>
      </c>
      <c r="D183" t="s">
        <v>25</v>
      </c>
      <c r="E183">
        <v>31</v>
      </c>
      <c r="F183">
        <v>1.23</v>
      </c>
      <c r="N183">
        <f>IF(OR(D183="S. acutus", D183="S. tabernaemontani", D183="S. californicus"),(1/3)*(3.14159)*((F183/2)^2)*E183,"NA")</f>
        <v>12.278354736749998</v>
      </c>
      <c r="O183">
        <f>IF(AND(OR(D183="S. acutus",D183="S. californicus",D183="S. tabernaemontani"),G183=0),E183*[1]Sheet1!$D$7+[1]Sheet1!$L$7,IF(AND(OR(D183="S. acutus",D183="S. tabernaemontani"),G183&gt;0),E183*[1]Sheet1!$D$8+N183*[1]Sheet1!$E$8,IF(AND(D183="S. californicus",G183&gt;0),E183*[1]Sheet1!$D$9+N183*[1]Sheet1!$E$9,IF(D183="S.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latifolia"),E183&gt;0),F183*[1]Sheet1!$C$4+E183*[1]Sheet1!$D$4+H183*[1]Sheet1!$J$4+I183*[1]Sheet1!$K$4+[1]Sheet1!$L$4,IF(AND(OR(D183="T. domingensis",D183="T. latifolia"),J183&gt;0),J183*[1]Sheet1!$G$5+K183*[1]Sheet1!$H$5+L183*[1]Sheet1!$I$5+[1]Sheet1!$L$5,0)))))))</f>
        <v>-2.4173419999999997</v>
      </c>
    </row>
    <row r="184" spans="1:15">
      <c r="A184" s="9">
        <v>41767</v>
      </c>
      <c r="B184" s="7" t="s">
        <v>24</v>
      </c>
      <c r="C184">
        <v>25</v>
      </c>
      <c r="D184" t="s">
        <v>25</v>
      </c>
      <c r="E184">
        <v>145</v>
      </c>
      <c r="F184">
        <v>1.1000000000000001</v>
      </c>
      <c r="N184">
        <f>IF(OR(D184="S. acutus", D184="S. tabernaemontani", D184="S. californicus"),(1/3)*(3.14159)*((F184/2)^2)*E184,"NA")</f>
        <v>45.93266379166667</v>
      </c>
      <c r="O184">
        <f>IF(AND(OR(D184="S. acutus",D184="S. californicus",D184="S. tabernaemontani"),G184=0),E184*[1]Sheet1!$D$7+[1]Sheet1!$L$7,IF(AND(OR(D184="S. acutus",D184="S. tabernaemontani"),G184&gt;0),E184*[1]Sheet1!$D$8+N184*[1]Sheet1!$E$8,IF(AND(D184="S. californicus",G184&gt;0),E184*[1]Sheet1!$D$9+N184*[1]Sheet1!$E$9,IF(D184="S.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latifolia"),E184&gt;0),F184*[1]Sheet1!$C$4+E184*[1]Sheet1!$D$4+H184*[1]Sheet1!$J$4+I184*[1]Sheet1!$K$4+[1]Sheet1!$L$4,IF(AND(OR(D184="T. domingensis",D184="T. latifolia"),J184&gt;0),J184*[1]Sheet1!$G$5+K184*[1]Sheet1!$H$5+L184*[1]Sheet1!$I$5+[1]Sheet1!$L$5,0)))))))</f>
        <v>5.5746279999999997</v>
      </c>
    </row>
    <row r="185" spans="1:15">
      <c r="A185" s="9">
        <v>41767</v>
      </c>
      <c r="B185" s="7" t="s">
        <v>24</v>
      </c>
      <c r="C185">
        <v>25</v>
      </c>
      <c r="D185" t="s">
        <v>25</v>
      </c>
      <c r="E185">
        <v>156</v>
      </c>
      <c r="F185">
        <v>2</v>
      </c>
      <c r="N185">
        <f>IF(OR(D185="S. acutus", D185="S. tabernaemontani", D185="S. californicus"),(1/3)*(3.14159)*((F185/2)^2)*E185,"NA")</f>
        <v>163.36267999999998</v>
      </c>
      <c r="O185">
        <f>IF(AND(OR(D185="S. acutus",D185="S. californicus",D185="S. tabernaemontani"),G185=0),E185*[1]Sheet1!$D$7+[1]Sheet1!$L$7,IF(AND(OR(D185="S. acutus",D185="S. tabernaemontani"),G185&gt;0),E185*[1]Sheet1!$D$8+N185*[1]Sheet1!$E$8,IF(AND(D185="S. californicus",G185&gt;0),E185*[1]Sheet1!$D$9+N185*[1]Sheet1!$E$9,IF(D185="S.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latifolia"),E185&gt;0),F185*[1]Sheet1!$C$4+E185*[1]Sheet1!$D$4+H185*[1]Sheet1!$J$4+I185*[1]Sheet1!$K$4+[1]Sheet1!$L$4,IF(AND(OR(D185="T. domingensis",D185="T. latifolia"),J185&gt;0),J185*[1]Sheet1!$G$5+K185*[1]Sheet1!$H$5+L185*[1]Sheet1!$I$5+[1]Sheet1!$L$5,0)))))))</f>
        <v>6.345783</v>
      </c>
    </row>
    <row r="186" spans="1:15">
      <c r="A186" s="9">
        <v>41767</v>
      </c>
      <c r="B186" s="7" t="s">
        <v>24</v>
      </c>
      <c r="C186">
        <v>25</v>
      </c>
      <c r="D186" t="s">
        <v>25</v>
      </c>
      <c r="E186">
        <v>24</v>
      </c>
      <c r="F186">
        <v>1.1399999999999999</v>
      </c>
      <c r="N186">
        <f>IF(OR(D186="S. acutus", D186="S. tabernaemontani", D186="S. californicus"),(1/3)*(3.14159)*((F186/2)^2)*E186,"NA")</f>
        <v>8.1656207279999968</v>
      </c>
      <c r="O186">
        <f>IF(AND(OR(D186="S. acutus",D186="S. californicus",D186="S. tabernaemontani"),G186=0),E186*[1]Sheet1!$D$7+[1]Sheet1!$L$7,IF(AND(OR(D186="S. acutus",D186="S. tabernaemontani"),G186&gt;0),E186*[1]Sheet1!$D$8+N186*[1]Sheet1!$E$8,IF(AND(D186="S. californicus",G186&gt;0),E186*[1]Sheet1!$D$9+N186*[1]Sheet1!$E$9,IF(D186="S.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latifolia"),E186&gt;0),F186*[1]Sheet1!$C$4+E186*[1]Sheet1!$D$4+H186*[1]Sheet1!$J$4+I186*[1]Sheet1!$K$4+[1]Sheet1!$L$4,IF(AND(OR(D186="T. domingensis",D186="T. latifolia"),J186&gt;0),J186*[1]Sheet1!$G$5+K186*[1]Sheet1!$H$5+L186*[1]Sheet1!$I$5+[1]Sheet1!$L$5,0)))))))</f>
        <v>-2.9080769999999996</v>
      </c>
    </row>
    <row r="187" spans="1:15">
      <c r="A187" s="9">
        <v>41767</v>
      </c>
      <c r="B187" s="7" t="s">
        <v>24</v>
      </c>
      <c r="C187">
        <v>25</v>
      </c>
      <c r="D187" t="s">
        <v>25</v>
      </c>
      <c r="E187">
        <v>141</v>
      </c>
      <c r="F187">
        <v>1.25</v>
      </c>
      <c r="G187">
        <v>8</v>
      </c>
      <c r="N187">
        <f>IF(OR(D187="S. acutus", D187="S. tabernaemontani", D187="S. californicus"),(1/3)*(3.14159)*((F187/2)^2)*E187,"NA")</f>
        <v>57.677628906249993</v>
      </c>
      <c r="O187">
        <f>IF(AND(OR(D187="S. acutus",D187="S. californicus",D187="S. tabernaemontani"),G187=0),E187*[1]Sheet1!$D$7+[1]Sheet1!$L$7,IF(AND(OR(D187="S. acutus",D187="S. tabernaemontani"),G187&gt;0),E187*[1]Sheet1!$D$8+N187*[1]Sheet1!$E$8,IF(AND(D187="S. californicus",G187&gt;0),E187*[1]Sheet1!$D$9+N187*[1]Sheet1!$E$9,IF(D187="S.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latifolia"),E187&gt;0),F187*[1]Sheet1!$C$4+E187*[1]Sheet1!$D$4+H187*[1]Sheet1!$J$4+I187*[1]Sheet1!$K$4+[1]Sheet1!$L$4,IF(AND(OR(D187="T. domingensis",D187="T. latifolia"),J187&gt;0),J187*[1]Sheet1!$G$5+K187*[1]Sheet1!$H$5+L187*[1]Sheet1!$I$5+[1]Sheet1!$L$5,0)))))))</f>
        <v>6.7800971695390624</v>
      </c>
    </row>
    <row r="188" spans="1:15">
      <c r="A188" s="9">
        <v>41767</v>
      </c>
      <c r="B188" s="7" t="s">
        <v>24</v>
      </c>
      <c r="C188">
        <v>25</v>
      </c>
      <c r="D188" t="s">
        <v>25</v>
      </c>
      <c r="E188">
        <v>37</v>
      </c>
      <c r="F188">
        <v>0.99</v>
      </c>
      <c r="N188">
        <f>IF(OR(D188="S. acutus", D188="S. tabernaemontani", D188="S. californicus"),(1/3)*(3.14159)*((F188/2)^2)*E188,"NA")</f>
        <v>9.4938064402499993</v>
      </c>
      <c r="O188">
        <f>IF(AND(OR(D188="S. acutus",D188="S. californicus",D188="S. tabernaemontani"),G188=0),E188*[1]Sheet1!$D$7+[1]Sheet1!$L$7,IF(AND(OR(D188="S. acutus",D188="S. tabernaemontani"),G188&gt;0),E188*[1]Sheet1!$D$8+N188*[1]Sheet1!$E$8,IF(AND(D188="S. californicus",G188&gt;0),E188*[1]Sheet1!$D$9+N188*[1]Sheet1!$E$9,IF(D188="S.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latifolia"),E188&gt;0),F188*[1]Sheet1!$C$4+E188*[1]Sheet1!$D$4+H188*[1]Sheet1!$J$4+I188*[1]Sheet1!$K$4+[1]Sheet1!$L$4,IF(AND(OR(D188="T. domingensis",D188="T. latifolia"),J188&gt;0),J188*[1]Sheet1!$G$5+K188*[1]Sheet1!$H$5+L188*[1]Sheet1!$I$5+[1]Sheet1!$L$5,0)))))))</f>
        <v>-1.9967119999999996</v>
      </c>
    </row>
    <row r="189" spans="1:15">
      <c r="A189" s="9">
        <v>41767</v>
      </c>
      <c r="B189" s="7" t="s">
        <v>24</v>
      </c>
      <c r="C189">
        <v>25</v>
      </c>
      <c r="D189" t="s">
        <v>25</v>
      </c>
      <c r="E189">
        <v>117</v>
      </c>
      <c r="F189">
        <v>1.51</v>
      </c>
      <c r="N189">
        <f>IF(OR(D189="S. acutus", D189="S. tabernaemontani", D189="S. californicus"),(1/3)*(3.14159)*((F189/2)^2)*E189,"NA")</f>
        <v>69.840608750249999</v>
      </c>
      <c r="O189">
        <f>IF(AND(OR(D189="S. acutus",D189="S. californicus",D189="S. tabernaemontani"),G189=0),E189*[1]Sheet1!$D$7+[1]Sheet1!$L$7,IF(AND(OR(D189="S. acutus",D189="S. tabernaemontani"),G189&gt;0),E189*[1]Sheet1!$D$8+N189*[1]Sheet1!$E$8,IF(AND(D189="S. californicus",G189&gt;0),E189*[1]Sheet1!$D$9+N189*[1]Sheet1!$E$9,IF(D189="S.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latifolia"),E189&gt;0),F189*[1]Sheet1!$C$4+E189*[1]Sheet1!$D$4+H189*[1]Sheet1!$J$4+I189*[1]Sheet1!$K$4+[1]Sheet1!$L$4,IF(AND(OR(D189="T. domingensis",D189="T. latifolia"),J189&gt;0),J189*[1]Sheet1!$G$5+K189*[1]Sheet1!$H$5+L189*[1]Sheet1!$I$5+[1]Sheet1!$L$5,0)))))))</f>
        <v>3.611688</v>
      </c>
    </row>
    <row r="190" spans="1:15">
      <c r="A190" s="9">
        <v>41767</v>
      </c>
      <c r="B190" s="7" t="s">
        <v>24</v>
      </c>
      <c r="C190">
        <v>25</v>
      </c>
      <c r="D190" t="s">
        <v>25</v>
      </c>
      <c r="E190">
        <v>57</v>
      </c>
      <c r="F190">
        <v>0.93</v>
      </c>
      <c r="N190">
        <f>IF(OR(D190="S. acutus", D190="S. tabernaemontani", D190="S. californicus"),(1/3)*(3.14159)*((F190/2)^2)*E190,"NA")</f>
        <v>12.906515657250001</v>
      </c>
      <c r="O190">
        <f>IF(AND(OR(D190="S. acutus",D190="S. californicus",D190="S. tabernaemontani"),G190=0),E190*[1]Sheet1!$D$7+[1]Sheet1!$L$7,IF(AND(OR(D190="S. acutus",D190="S. tabernaemontani"),G190&gt;0),E190*[1]Sheet1!$D$8+N190*[1]Sheet1!$E$8,IF(AND(D190="S. californicus",G190&gt;0),E190*[1]Sheet1!$D$9+N190*[1]Sheet1!$E$9,IF(D190="S.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latifolia"),E190&gt;0),F190*[1]Sheet1!$C$4+E190*[1]Sheet1!$D$4+H190*[1]Sheet1!$J$4+I190*[1]Sheet1!$K$4+[1]Sheet1!$L$4,IF(AND(OR(D190="T. domingensis",D190="T. latifolia"),J190&gt;0),J190*[1]Sheet1!$G$5+K190*[1]Sheet1!$H$5+L190*[1]Sheet1!$I$5+[1]Sheet1!$L$5,0)))))))</f>
        <v>-0.5946119999999997</v>
      </c>
    </row>
    <row r="191" spans="1:15">
      <c r="A191" s="9">
        <v>41767</v>
      </c>
      <c r="B191" s="7" t="s">
        <v>24</v>
      </c>
      <c r="C191">
        <v>25</v>
      </c>
      <c r="D191" t="s">
        <v>25</v>
      </c>
      <c r="E191">
        <v>71</v>
      </c>
      <c r="F191">
        <v>1.99</v>
      </c>
      <c r="N191">
        <f>IF(OR(D191="S. acutus", D191="S. tabernaemontani", D191="S. californicus"),(1/3)*(3.14159)*((F191/2)^2)*E191,"NA")</f>
        <v>73.609312474083339</v>
      </c>
      <c r="O191">
        <f>IF(AND(OR(D191="S. acutus",D191="S. californicus",D191="S. tabernaemontani"),G191=0),E191*[1]Sheet1!$D$7+[1]Sheet1!$L$7,IF(AND(OR(D191="S. acutus",D191="S. tabernaemontani"),G191&gt;0),E191*[1]Sheet1!$D$8+N191*[1]Sheet1!$E$8,IF(AND(D191="S. californicus",G191&gt;0),E191*[1]Sheet1!$D$9+N191*[1]Sheet1!$E$9,IF(D191="S.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latifolia"),E191&gt;0),F191*[1]Sheet1!$C$4+E191*[1]Sheet1!$D$4+H191*[1]Sheet1!$J$4+I191*[1]Sheet1!$K$4+[1]Sheet1!$L$4,IF(AND(OR(D191="T. domingensis",D191="T. latifolia"),J191&gt;0),J191*[1]Sheet1!$G$5+K191*[1]Sheet1!$H$5+L191*[1]Sheet1!$I$5+[1]Sheet1!$L$5,0)))))))</f>
        <v>0.38685800000000015</v>
      </c>
    </row>
    <row r="192" spans="1:15">
      <c r="A192" s="9">
        <v>41767</v>
      </c>
      <c r="B192" s="7" t="s">
        <v>24</v>
      </c>
      <c r="C192">
        <v>25</v>
      </c>
      <c r="D192" t="s">
        <v>25</v>
      </c>
      <c r="E192">
        <v>23</v>
      </c>
      <c r="F192">
        <v>0.71</v>
      </c>
      <c r="N192">
        <f>IF(OR(D192="S. acutus", D192="S. tabernaemontani", D192="S. californicus"),(1/3)*(3.14159)*((F192/2)^2)*E192,"NA")</f>
        <v>3.0353780780833333</v>
      </c>
      <c r="O192">
        <f>IF(AND(OR(D192="S. acutus",D192="S. californicus",D192="S. tabernaemontani"),G192=0),E192*[1]Sheet1!$D$7+[1]Sheet1!$L$7,IF(AND(OR(D192="S. acutus",D192="S. tabernaemontani"),G192&gt;0),E192*[1]Sheet1!$D$8+N192*[1]Sheet1!$E$8,IF(AND(D192="S. californicus",G192&gt;0),E192*[1]Sheet1!$D$9+N192*[1]Sheet1!$E$9,IF(D192="S.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latifolia"),E192&gt;0),F192*[1]Sheet1!$C$4+E192*[1]Sheet1!$D$4+H192*[1]Sheet1!$J$4+I192*[1]Sheet1!$K$4+[1]Sheet1!$L$4,IF(AND(OR(D192="T. domingensis",D192="T. latifolia"),J192&gt;0),J192*[1]Sheet1!$G$5+K192*[1]Sheet1!$H$5+L192*[1]Sheet1!$I$5+[1]Sheet1!$L$5,0)))))))</f>
        <v>-2.9781819999999999</v>
      </c>
    </row>
    <row r="193" spans="1:15">
      <c r="A193" s="9">
        <v>41767</v>
      </c>
      <c r="B193" s="7" t="s">
        <v>24</v>
      </c>
      <c r="C193">
        <v>25</v>
      </c>
      <c r="D193" t="s">
        <v>25</v>
      </c>
      <c r="E193">
        <v>28</v>
      </c>
      <c r="F193">
        <v>0.89</v>
      </c>
      <c r="N193">
        <f>IF(OR(D193="S. acutus", D193="S. tabernaemontani", D193="S. californicus"),(1/3)*(3.14159)*((F193/2)^2)*E193,"NA")</f>
        <v>5.8063913576666666</v>
      </c>
      <c r="O193">
        <f>IF(AND(OR(D193="S. acutus",D193="S. californicus",D193="S. tabernaemontani"),G193=0),E193*[1]Sheet1!$D$7+[1]Sheet1!$L$7,IF(AND(OR(D193="S. acutus",D193="S. tabernaemontani"),G193&gt;0),E193*[1]Sheet1!$D$8+N193*[1]Sheet1!$E$8,IF(AND(D193="S. californicus",G193&gt;0),E193*[1]Sheet1!$D$9+N193*[1]Sheet1!$E$9,IF(D193="S.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latifolia"),E193&gt;0),F193*[1]Sheet1!$C$4+E193*[1]Sheet1!$D$4+H193*[1]Sheet1!$J$4+I193*[1]Sheet1!$K$4+[1]Sheet1!$L$4,IF(AND(OR(D193="T. domingensis",D193="T. latifolia"),J193&gt;0),J193*[1]Sheet1!$G$5+K193*[1]Sheet1!$H$5+L193*[1]Sheet1!$I$5+[1]Sheet1!$L$5,0)))))))</f>
        <v>-2.6276569999999997</v>
      </c>
    </row>
    <row r="194" spans="1:15">
      <c r="A194" s="9">
        <v>41767</v>
      </c>
      <c r="B194" s="7" t="s">
        <v>24</v>
      </c>
      <c r="C194">
        <v>25</v>
      </c>
      <c r="D194" t="s">
        <v>25</v>
      </c>
      <c r="E194">
        <v>80</v>
      </c>
      <c r="F194">
        <v>1.35</v>
      </c>
      <c r="N194">
        <f>IF(OR(D194="S. acutus", D194="S. tabernaemontani", D194="S. californicus"),(1/3)*(3.14159)*((F194/2)^2)*E194,"NA")</f>
        <v>38.1703185</v>
      </c>
      <c r="O194">
        <f>IF(AND(OR(D194="S. acutus",D194="S. californicus",D194="S. tabernaemontani"),G194=0),E194*[1]Sheet1!$D$7+[1]Sheet1!$L$7,IF(AND(OR(D194="S. acutus",D194="S. tabernaemontani"),G194&gt;0),E194*[1]Sheet1!$D$8+N194*[1]Sheet1!$E$8,IF(AND(D194="S. californicus",G194&gt;0),E194*[1]Sheet1!$D$9+N194*[1]Sheet1!$E$9,IF(D194="S.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latifolia"),E194&gt;0),F194*[1]Sheet1!$C$4+E194*[1]Sheet1!$D$4+H194*[1]Sheet1!$J$4+I194*[1]Sheet1!$K$4+[1]Sheet1!$L$4,IF(AND(OR(D194="T. domingensis",D194="T. latifolia"),J194&gt;0),J194*[1]Sheet1!$G$5+K194*[1]Sheet1!$H$5+L194*[1]Sheet1!$I$5+[1]Sheet1!$L$5,0)))))))</f>
        <v>1.0178029999999998</v>
      </c>
    </row>
    <row r="195" spans="1:15">
      <c r="A195" s="9">
        <v>41767</v>
      </c>
      <c r="B195" s="7" t="s">
        <v>24</v>
      </c>
      <c r="C195">
        <v>25</v>
      </c>
      <c r="D195" t="s">
        <v>25</v>
      </c>
      <c r="E195">
        <v>33</v>
      </c>
      <c r="F195">
        <v>1.42</v>
      </c>
      <c r="N195">
        <f>IF(OR(D195="S. acutus", D195="S. tabernaemontani", D195="S. californicus"),(1/3)*(3.14159)*((F195/2)^2)*E195,"NA")</f>
        <v>17.420430708999998</v>
      </c>
      <c r="O195">
        <f>IF(AND(OR(D195="S. acutus",D195="S. californicus",D195="S. tabernaemontani"),G195=0),E195*[1]Sheet1!$D$7+[1]Sheet1!$L$7,IF(AND(OR(D195="S. acutus",D195="S. tabernaemontani"),G195&gt;0),E195*[1]Sheet1!$D$8+N195*[1]Sheet1!$E$8,IF(AND(D195="S. californicus",G195&gt;0),E195*[1]Sheet1!$D$9+N195*[1]Sheet1!$E$9,IF(D195="S.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latifolia"),E195&gt;0),F195*[1]Sheet1!$C$4+E195*[1]Sheet1!$D$4+H195*[1]Sheet1!$J$4+I195*[1]Sheet1!$K$4+[1]Sheet1!$L$4,IF(AND(OR(D195="T. domingensis",D195="T. latifolia"),J195&gt;0),J195*[1]Sheet1!$G$5+K195*[1]Sheet1!$H$5+L195*[1]Sheet1!$I$5+[1]Sheet1!$L$5,0)))))))</f>
        <v>-2.2771319999999999</v>
      </c>
    </row>
    <row r="196" spans="1:15">
      <c r="A196" s="9">
        <v>41767</v>
      </c>
      <c r="B196" s="7" t="s">
        <v>24</v>
      </c>
      <c r="C196">
        <v>25</v>
      </c>
      <c r="D196" t="s">
        <v>25</v>
      </c>
      <c r="E196">
        <v>32</v>
      </c>
      <c r="F196">
        <v>0.74</v>
      </c>
      <c r="N196">
        <f>IF(OR(D196="S. acutus", D196="S. tabernaemontani", D196="S. californicus"),(1/3)*(3.14159)*((F196/2)^2)*E196,"NA")</f>
        <v>4.5875591573333327</v>
      </c>
      <c r="O196">
        <f>IF(AND(OR(D196="S. acutus",D196="S. californicus",D196="S. tabernaemontani"),G196=0),E196*[1]Sheet1!$D$7+[1]Sheet1!$L$7,IF(AND(OR(D196="S. acutus",D196="S. tabernaemontani"),G196&gt;0),E196*[1]Sheet1!$D$8+N196*[1]Sheet1!$E$8,IF(AND(D196="S. californicus",G196&gt;0),E196*[1]Sheet1!$D$9+N196*[1]Sheet1!$E$9,IF(D196="S.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latifolia"),E196&gt;0),F196*[1]Sheet1!$C$4+E196*[1]Sheet1!$D$4+H196*[1]Sheet1!$J$4+I196*[1]Sheet1!$K$4+[1]Sheet1!$L$4,IF(AND(OR(D196="T. domingensis",D196="T. latifolia"),J196&gt;0),J196*[1]Sheet1!$G$5+K196*[1]Sheet1!$H$5+L196*[1]Sheet1!$I$5+[1]Sheet1!$L$5,0)))))))</f>
        <v>-2.3472369999999998</v>
      </c>
    </row>
    <row r="197" spans="1:15">
      <c r="A197" s="9">
        <v>41767</v>
      </c>
      <c r="B197" s="7" t="s">
        <v>24</v>
      </c>
      <c r="C197">
        <v>26</v>
      </c>
      <c r="D197" t="s">
        <v>19</v>
      </c>
      <c r="F197">
        <v>4.8499999999999996</v>
      </c>
      <c r="J197">
        <f>77+118+123+156+168+183+187+188</f>
        <v>1200</v>
      </c>
      <c r="K197">
        <v>8</v>
      </c>
      <c r="L197">
        <v>188</v>
      </c>
      <c r="N197" t="str">
        <f>IF(OR(D197="S. acutus", D197="S. tabernaemontani", D197="S. californicus"),(1/3)*(3.14159)*((F197/2)^2)*E197,"NA")</f>
        <v>NA</v>
      </c>
      <c r="O197">
        <f>IF(AND(OR(D197="S. acutus",D197="S. californicus",D197="S. tabernaemontani"),G197=0),E197*[1]Sheet1!$D$7+[1]Sheet1!$L$7,IF(AND(OR(D197="S. acutus",D197="S. tabernaemontani"),G197&gt;0),E197*[1]Sheet1!$D$8+N197*[1]Sheet1!$E$8,IF(AND(D197="S. californicus",G197&gt;0),E197*[1]Sheet1!$D$9+N197*[1]Sheet1!$E$9,IF(D197="S.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latifolia"),E197&gt;0),F197*[1]Sheet1!$C$4+E197*[1]Sheet1!$D$4+H197*[1]Sheet1!$J$4+I197*[1]Sheet1!$K$4+[1]Sheet1!$L$4,IF(AND(OR(D197="T. domingensis",D197="T. latifolia"),J197&gt;0),J197*[1]Sheet1!$G$5+K197*[1]Sheet1!$H$5+L197*[1]Sheet1!$I$5+[1]Sheet1!$L$5,0)))))))</f>
        <v>32.7301</v>
      </c>
    </row>
    <row r="198" spans="1:15">
      <c r="A198" s="9">
        <v>41767</v>
      </c>
      <c r="B198" s="7" t="s">
        <v>24</v>
      </c>
      <c r="C198">
        <v>26</v>
      </c>
      <c r="D198" t="s">
        <v>19</v>
      </c>
      <c r="F198">
        <v>3.32</v>
      </c>
      <c r="J198">
        <f>105+141+156+172+175+50</f>
        <v>799</v>
      </c>
      <c r="K198">
        <v>6</v>
      </c>
      <c r="L198">
        <v>175</v>
      </c>
      <c r="N198" t="str">
        <f>IF(OR(D198="S. acutus", D198="S. tabernaemontani", D198="S. californicus"),(1/3)*(3.14159)*((F198/2)^2)*E198,"NA")</f>
        <v>NA</v>
      </c>
      <c r="O198">
        <f>IF(AND(OR(D198="S. acutus",D198="S. californicus",D198="S. tabernaemontani"),G198=0),E198*[1]Sheet1!$D$7+[1]Sheet1!$L$7,IF(AND(OR(D198="S. acutus",D198="S. tabernaemontani"),G198&gt;0),E198*[1]Sheet1!$D$8+N198*[1]Sheet1!$E$8,IF(AND(D198="S. californicus",G198&gt;0),E198*[1]Sheet1!$D$9+N198*[1]Sheet1!$E$9,IF(D198="S.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latifolia"),E198&gt;0),F198*[1]Sheet1!$C$4+E198*[1]Sheet1!$D$4+H198*[1]Sheet1!$J$4+I198*[1]Sheet1!$K$4+[1]Sheet1!$L$4,IF(AND(OR(D198="T. domingensis",D198="T. latifolia"),J198&gt;0),J198*[1]Sheet1!$G$5+K198*[1]Sheet1!$H$5+L198*[1]Sheet1!$I$5+[1]Sheet1!$L$5,0)))))))</f>
        <v>13.095236</v>
      </c>
    </row>
    <row r="199" spans="1:15">
      <c r="A199" s="9">
        <v>41767</v>
      </c>
      <c r="B199" s="7" t="s">
        <v>24</v>
      </c>
      <c r="C199">
        <v>26</v>
      </c>
      <c r="D199" t="s">
        <v>19</v>
      </c>
      <c r="F199">
        <v>2.59</v>
      </c>
      <c r="J199">
        <f>100+152+20</f>
        <v>272</v>
      </c>
      <c r="K199">
        <v>3</v>
      </c>
      <c r="L199">
        <v>152</v>
      </c>
      <c r="N199" t="str">
        <f>IF(OR(D199="S. acutus", D199="S. tabernaemontani", D199="S. californicus"),(1/3)*(3.14159)*((F199/2)^2)*E199,"NA")</f>
        <v>NA</v>
      </c>
      <c r="O199">
        <f>IF(AND(OR(D199="S. acutus",D199="S. californicus",D199="S. tabernaemontani"),G199=0),E199*[1]Sheet1!$D$7+[1]Sheet1!$L$7,IF(AND(OR(D199="S. acutus",D199="S. tabernaemontani"),G199&gt;0),E199*[1]Sheet1!$D$8+N199*[1]Sheet1!$E$8,IF(AND(D199="S. californicus",G199&gt;0),E199*[1]Sheet1!$D$9+N199*[1]Sheet1!$E$9,IF(D199="S.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latifolia"),E199&gt;0),F199*[1]Sheet1!$C$4+E199*[1]Sheet1!$D$4+H199*[1]Sheet1!$J$4+I199*[1]Sheet1!$K$4+[1]Sheet1!$L$4,IF(AND(OR(D199="T. domingensis",D199="T. latifolia"),J199&gt;0),J199*[1]Sheet1!$G$5+K199*[1]Sheet1!$H$5+L199*[1]Sheet1!$I$5+[1]Sheet1!$L$5,0)))))))</f>
        <v>-8.3179550000000049</v>
      </c>
    </row>
    <row r="200" spans="1:15">
      <c r="A200" s="9">
        <v>41767</v>
      </c>
      <c r="B200" s="7" t="s">
        <v>24</v>
      </c>
      <c r="C200">
        <v>29</v>
      </c>
      <c r="D200" t="s">
        <v>25</v>
      </c>
      <c r="E200">
        <v>40</v>
      </c>
      <c r="F200">
        <v>0.65</v>
      </c>
      <c r="N200">
        <f>IF(OR(D200="S. acutus", D200="S. tabernaemontani", D200="S. californicus"),(1/3)*(3.14159)*((F200/2)^2)*E200,"NA")</f>
        <v>4.4244059166666663</v>
      </c>
      <c r="O200">
        <f>IF(AND(OR(D200="S. acutus",D200="S. californicus",D200="S. tabernaemontani"),G200=0),E200*[1]Sheet1!$D$7+[1]Sheet1!$L$7,IF(AND(OR(D200="S. acutus",D200="S. tabernaemontani"),G200&gt;0),E200*[1]Sheet1!$D$8+N200*[1]Sheet1!$E$8,IF(AND(D200="S. californicus",G200&gt;0),E200*[1]Sheet1!$D$9+N200*[1]Sheet1!$E$9,IF(D200="S.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latifolia"),E200&gt;0),F200*[1]Sheet1!$C$4+E200*[1]Sheet1!$D$4+H200*[1]Sheet1!$J$4+I200*[1]Sheet1!$K$4+[1]Sheet1!$L$4,IF(AND(OR(D200="T. domingensis",D200="T. latifolia"),J200&gt;0),J200*[1]Sheet1!$G$5+K200*[1]Sheet1!$H$5+L200*[1]Sheet1!$I$5+[1]Sheet1!$L$5,0)))))))</f>
        <v>-1.786397</v>
      </c>
    </row>
    <row r="201" spans="1:15">
      <c r="A201" s="9">
        <v>41767</v>
      </c>
      <c r="B201" s="7" t="s">
        <v>24</v>
      </c>
      <c r="C201">
        <v>29</v>
      </c>
      <c r="D201" t="s">
        <v>25</v>
      </c>
      <c r="E201">
        <v>49</v>
      </c>
      <c r="F201">
        <v>0.64</v>
      </c>
      <c r="N201">
        <f>IF(OR(D201="S. acutus", D201="S. tabernaemontani", D201="S. californicus"),(1/3)*(3.14159)*((F201/2)^2)*E201,"NA")</f>
        <v>5.2544139946666668</v>
      </c>
      <c r="O201">
        <f>IF(AND(OR(D201="S. acutus",D201="S. californicus",D201="S. tabernaemontani"),G201=0),E201*[1]Sheet1!$D$7+[1]Sheet1!$L$7,IF(AND(OR(D201="S. acutus",D201="S. tabernaemontani"),G201&gt;0),E201*[1]Sheet1!$D$8+N201*[1]Sheet1!$E$8,IF(AND(D201="S. californicus",G201&gt;0),E201*[1]Sheet1!$D$9+N201*[1]Sheet1!$E$9,IF(D201="S.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latifolia"),E201&gt;0),F201*[1]Sheet1!$C$4+E201*[1]Sheet1!$D$4+H201*[1]Sheet1!$J$4+I201*[1]Sheet1!$K$4+[1]Sheet1!$L$4,IF(AND(OR(D201="T. domingensis",D201="T. latifolia"),J201&gt;0),J201*[1]Sheet1!$G$5+K201*[1]Sheet1!$H$5+L201*[1]Sheet1!$I$5+[1]Sheet1!$L$5,0)))))))</f>
        <v>-1.1554519999999999</v>
      </c>
    </row>
    <row r="202" spans="1:15">
      <c r="A202" s="9">
        <v>41767</v>
      </c>
      <c r="B202" s="7" t="s">
        <v>24</v>
      </c>
      <c r="C202">
        <v>29</v>
      </c>
      <c r="D202" t="s">
        <v>25</v>
      </c>
      <c r="E202">
        <v>47</v>
      </c>
      <c r="F202">
        <v>0.7</v>
      </c>
      <c r="N202">
        <f>IF(OR(D202="S. acutus", D202="S. tabernaemontani", D202="S. californicus"),(1/3)*(3.14159)*((F202/2)^2)*E202,"NA")</f>
        <v>6.0292348083333316</v>
      </c>
      <c r="O202">
        <f>IF(AND(OR(D202="S. acutus",D202="S. californicus",D202="S. tabernaemontani"),G202=0),E202*[1]Sheet1!$D$7+[1]Sheet1!$L$7,IF(AND(OR(D202="S. acutus",D202="S. tabernaemontani"),G202&gt;0),E202*[1]Sheet1!$D$8+N202*[1]Sheet1!$E$8,IF(AND(D202="S. californicus",G202&gt;0),E202*[1]Sheet1!$D$9+N202*[1]Sheet1!$E$9,IF(D202="S.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latifolia"),E202&gt;0),F202*[1]Sheet1!$C$4+E202*[1]Sheet1!$D$4+H202*[1]Sheet1!$J$4+I202*[1]Sheet1!$K$4+[1]Sheet1!$L$4,IF(AND(OR(D202="T. domingensis",D202="T. latifolia"),J202&gt;0),J202*[1]Sheet1!$G$5+K202*[1]Sheet1!$H$5+L202*[1]Sheet1!$I$5+[1]Sheet1!$L$5,0)))))))</f>
        <v>-1.2956619999999996</v>
      </c>
    </row>
    <row r="203" spans="1:15">
      <c r="A203" s="9">
        <v>41767</v>
      </c>
      <c r="B203" s="7" t="s">
        <v>24</v>
      </c>
      <c r="C203">
        <v>29</v>
      </c>
      <c r="D203" t="s">
        <v>25</v>
      </c>
      <c r="E203">
        <v>65</v>
      </c>
      <c r="F203">
        <v>0.91</v>
      </c>
      <c r="N203">
        <f>IF(OR(D203="S. acutus", D203="S. tabernaemontani", D203="S. californicus"),(1/3)*(3.14159)*((F203/2)^2)*E203,"NA")</f>
        <v>14.091732844583332</v>
      </c>
      <c r="O203">
        <f>IF(AND(OR(D203="S. acutus",D203="S. californicus",D203="S. tabernaemontani"),G203=0),E203*[1]Sheet1!$D$7+[1]Sheet1!$L$7,IF(AND(OR(D203="S. acutus",D203="S. tabernaemontani"),G203&gt;0),E203*[1]Sheet1!$D$8+N203*[1]Sheet1!$E$8,IF(AND(D203="S. californicus",G203&gt;0),E203*[1]Sheet1!$D$9+N203*[1]Sheet1!$E$9,IF(D203="S.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latifolia"),E203&gt;0),F203*[1]Sheet1!$C$4+E203*[1]Sheet1!$D$4+H203*[1]Sheet1!$J$4+I203*[1]Sheet1!$K$4+[1]Sheet1!$L$4,IF(AND(OR(D203="T. domingensis",D203="T. latifolia"),J203&gt;0),J203*[1]Sheet1!$G$5+K203*[1]Sheet1!$H$5+L203*[1]Sheet1!$I$5+[1]Sheet1!$L$5,0)))))))</f>
        <v>-3.3771999999999913E-2</v>
      </c>
    </row>
    <row r="204" spans="1:15">
      <c r="A204" s="9">
        <v>41767</v>
      </c>
      <c r="B204" s="7" t="s">
        <v>24</v>
      </c>
      <c r="C204">
        <v>29</v>
      </c>
      <c r="D204" t="s">
        <v>25</v>
      </c>
      <c r="E204">
        <v>89</v>
      </c>
      <c r="F204">
        <v>1.07</v>
      </c>
      <c r="N204">
        <f>IF(OR(D204="S. acutus", D204="S. tabernaemontani", D204="S. californicus"),(1/3)*(3.14159)*((F204/2)^2)*E204,"NA")</f>
        <v>26.67631406658333</v>
      </c>
      <c r="O204">
        <f>IF(AND(OR(D204="S. acutus",D204="S. californicus",D204="S. tabernaemontani"),G204=0),E204*[1]Sheet1!$D$7+[1]Sheet1!$L$7,IF(AND(OR(D204="S. acutus",D204="S. tabernaemontani"),G204&gt;0),E204*[1]Sheet1!$D$8+N204*[1]Sheet1!$E$8,IF(AND(D204="S. californicus",G204&gt;0),E204*[1]Sheet1!$D$9+N204*[1]Sheet1!$E$9,IF(D204="S.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latifolia"),E204&gt;0),F204*[1]Sheet1!$C$4+E204*[1]Sheet1!$D$4+H204*[1]Sheet1!$J$4+I204*[1]Sheet1!$K$4+[1]Sheet1!$L$4,IF(AND(OR(D204="T. domingensis",D204="T. latifolia"),J204&gt;0),J204*[1]Sheet1!$G$5+K204*[1]Sheet1!$H$5+L204*[1]Sheet1!$I$5+[1]Sheet1!$L$5,0)))))))</f>
        <v>1.6487480000000003</v>
      </c>
    </row>
    <row r="205" spans="1:15">
      <c r="A205" s="9">
        <v>41767</v>
      </c>
      <c r="B205" s="7" t="s">
        <v>24</v>
      </c>
      <c r="C205">
        <v>29</v>
      </c>
      <c r="D205" t="s">
        <v>25</v>
      </c>
      <c r="E205">
        <v>92</v>
      </c>
      <c r="F205">
        <v>0.89</v>
      </c>
      <c r="N205">
        <f>IF(OR(D205="S. acutus", D205="S. tabernaemontani", D205="S. californicus"),(1/3)*(3.14159)*((F205/2)^2)*E205,"NA")</f>
        <v>19.078143032333333</v>
      </c>
      <c r="O205">
        <f>IF(AND(OR(D205="S. acutus",D205="S. californicus",D205="S. tabernaemontani"),G205=0),E205*[1]Sheet1!$D$7+[1]Sheet1!$L$7,IF(AND(OR(D205="S. acutus",D205="S. tabernaemontani"),G205&gt;0),E205*[1]Sheet1!$D$8+N205*[1]Sheet1!$E$8,IF(AND(D205="S. californicus",G205&gt;0),E205*[1]Sheet1!$D$9+N205*[1]Sheet1!$E$9,IF(D205="S.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latifolia"),E205&gt;0),F205*[1]Sheet1!$C$4+E205*[1]Sheet1!$D$4+H205*[1]Sheet1!$J$4+I205*[1]Sheet1!$K$4+[1]Sheet1!$L$4,IF(AND(OR(D205="T. domingensis",D205="T. latifolia"),J205&gt;0),J205*[1]Sheet1!$G$5+K205*[1]Sheet1!$H$5+L205*[1]Sheet1!$I$5+[1]Sheet1!$L$5,0)))))))</f>
        <v>1.8590629999999999</v>
      </c>
    </row>
    <row r="206" spans="1:15">
      <c r="A206" s="9">
        <v>41767</v>
      </c>
      <c r="B206" s="7" t="s">
        <v>24</v>
      </c>
      <c r="C206">
        <v>29</v>
      </c>
      <c r="D206" t="s">
        <v>25</v>
      </c>
      <c r="E206">
        <v>45</v>
      </c>
      <c r="F206">
        <v>0.82</v>
      </c>
      <c r="N206">
        <f>IF(OR(D206="S. acutus", D206="S. tabernaemontani", D206="S. californicus"),(1/3)*(3.14159)*((F206/2)^2)*E206,"NA")</f>
        <v>7.9215191849999984</v>
      </c>
      <c r="O206">
        <f>IF(AND(OR(D206="S. acutus",D206="S. californicus",D206="S. tabernaemontani"),G206=0),E206*[1]Sheet1!$D$7+[1]Sheet1!$L$7,IF(AND(OR(D206="S. acutus",D206="S. tabernaemontani"),G206&gt;0),E206*[1]Sheet1!$D$8+N206*[1]Sheet1!$E$8,IF(AND(D206="S. californicus",G206&gt;0),E206*[1]Sheet1!$D$9+N206*[1]Sheet1!$E$9,IF(D206="S.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latifolia"),E206&gt;0),F206*[1]Sheet1!$C$4+E206*[1]Sheet1!$D$4+H206*[1]Sheet1!$J$4+I206*[1]Sheet1!$K$4+[1]Sheet1!$L$4,IF(AND(OR(D206="T. domingensis",D206="T. latifolia"),J206&gt;0),J206*[1]Sheet1!$G$5+K206*[1]Sheet1!$H$5+L206*[1]Sheet1!$I$5+[1]Sheet1!$L$5,0)))))))</f>
        <v>-1.4358719999999998</v>
      </c>
    </row>
    <row r="207" spans="1:15">
      <c r="A207" s="9">
        <v>41767</v>
      </c>
      <c r="B207" s="7" t="s">
        <v>24</v>
      </c>
      <c r="C207">
        <v>29</v>
      </c>
      <c r="D207" t="s">
        <v>25</v>
      </c>
      <c r="E207">
        <v>24</v>
      </c>
      <c r="F207">
        <v>0.68</v>
      </c>
      <c r="N207">
        <f>IF(OR(D207="S. acutus", D207="S. tabernaemontani", D207="S. californicus"),(1/3)*(3.14159)*((F207/2)^2)*E207,"NA")</f>
        <v>2.9053424320000003</v>
      </c>
      <c r="O207">
        <f>IF(AND(OR(D207="S. acutus",D207="S. californicus",D207="S. tabernaemontani"),G207=0),E207*[1]Sheet1!$D$7+[1]Sheet1!$L$7,IF(AND(OR(D207="S. acutus",D207="S. tabernaemontani"),G207&gt;0),E207*[1]Sheet1!$D$8+N207*[1]Sheet1!$E$8,IF(AND(D207="S. californicus",G207&gt;0),E207*[1]Sheet1!$D$9+N207*[1]Sheet1!$E$9,IF(D207="S.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latifolia"),E207&gt;0),F207*[1]Sheet1!$C$4+E207*[1]Sheet1!$D$4+H207*[1]Sheet1!$J$4+I207*[1]Sheet1!$K$4+[1]Sheet1!$L$4,IF(AND(OR(D207="T. domingensis",D207="T. latifolia"),J207&gt;0),J207*[1]Sheet1!$G$5+K207*[1]Sheet1!$H$5+L207*[1]Sheet1!$I$5+[1]Sheet1!$L$5,0)))))))</f>
        <v>-2.9080769999999996</v>
      </c>
    </row>
    <row r="208" spans="1:15">
      <c r="A208" s="9">
        <v>41767</v>
      </c>
      <c r="B208" s="7" t="s">
        <v>24</v>
      </c>
      <c r="C208">
        <v>29</v>
      </c>
      <c r="D208" t="s">
        <v>25</v>
      </c>
      <c r="E208">
        <v>248</v>
      </c>
      <c r="F208">
        <v>1.68</v>
      </c>
      <c r="G208">
        <v>7</v>
      </c>
      <c r="N208">
        <f>IF(OR(D208="S. acutus", D208="S. tabernaemontani", D208="S. californicus"),(1/3)*(3.14159)*((F208/2)^2)*E208,"NA")</f>
        <v>183.24768806399996</v>
      </c>
      <c r="O208">
        <f>IF(AND(OR(D208="S. acutus",D208="S. californicus",D208="S. tabernaemontani"),G208=0),E208*[1]Sheet1!$D$7+[1]Sheet1!$L$7,IF(AND(OR(D208="S. acutus",D208="S. tabernaemontani"),G208&gt;0),E208*[1]Sheet1!$D$8+N208*[1]Sheet1!$E$8,IF(AND(D208="S. californicus",G208&gt;0),E208*[1]Sheet1!$D$9+N208*[1]Sheet1!$E$9,IF(D208="S.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latifolia"),E208&gt;0),F208*[1]Sheet1!$C$4+E208*[1]Sheet1!$D$4+H208*[1]Sheet1!$J$4+I208*[1]Sheet1!$K$4+[1]Sheet1!$L$4,IF(AND(OR(D208="T. domingensis",D208="T. latifolia"),J208&gt;0),J208*[1]Sheet1!$G$5+K208*[1]Sheet1!$H$5+L208*[1]Sheet1!$I$5+[1]Sheet1!$L$5,0)))))))</f>
        <v>16.643039961403133</v>
      </c>
    </row>
    <row r="209" spans="1:15">
      <c r="A209" s="10">
        <v>41767</v>
      </c>
      <c r="B209" s="7" t="s">
        <v>24</v>
      </c>
      <c r="C209">
        <v>37</v>
      </c>
      <c r="D209" t="s">
        <v>23</v>
      </c>
      <c r="F209">
        <v>2.52</v>
      </c>
      <c r="J209">
        <f>170+178+243+263+270+312+314</f>
        <v>1750</v>
      </c>
      <c r="K209">
        <v>7</v>
      </c>
      <c r="L209">
        <v>314</v>
      </c>
      <c r="N209" t="str">
        <f>IF(OR(D209="S. acutus", D209="S. tabernaemontani", D209="S. californicus"),(1/3)*(3.14159)*((F209/2)^2)*E209,"NA")</f>
        <v>NA</v>
      </c>
      <c r="O209">
        <f>IF(AND(OR(D209="S. acutus",D209="S. californicus",D209="S. tabernaemontani"),G209=0),E209*[1]Sheet1!$D$7+[1]Sheet1!$L$7,IF(AND(OR(D209="S. acutus",D209="S. tabernaemontani"),G209&gt;0),E209*[1]Sheet1!$D$8+N209*[1]Sheet1!$E$8,IF(AND(D209="S. californicus",G209&gt;0),E209*[1]Sheet1!$D$9+N209*[1]Sheet1!$E$9,IF(D209="S.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latifolia"),E209&gt;0),F209*[1]Sheet1!$C$4+E209*[1]Sheet1!$D$4+H209*[1]Sheet1!$J$4+I209*[1]Sheet1!$K$4+[1]Sheet1!$L$4,IF(AND(OR(D209="T. domingensis",D209="T. latifolia"),J209&gt;0),J209*[1]Sheet1!$G$5+K209*[1]Sheet1!$H$5+L209*[1]Sheet1!$I$5+[1]Sheet1!$L$5,0)))))))</f>
        <v>53.360833000000021</v>
      </c>
    </row>
    <row r="210" spans="1:15">
      <c r="A210" s="10">
        <v>41767</v>
      </c>
      <c r="B210" s="7" t="s">
        <v>24</v>
      </c>
      <c r="C210">
        <v>37</v>
      </c>
      <c r="D210" t="s">
        <v>23</v>
      </c>
      <c r="F210">
        <v>1.6</v>
      </c>
      <c r="J210">
        <f>98+161+218+238+280+284</f>
        <v>1279</v>
      </c>
      <c r="K210">
        <v>6</v>
      </c>
      <c r="L210">
        <v>284</v>
      </c>
      <c r="N210" t="str">
        <f>IF(OR(D210="S. acutus", D210="S. tabernaemontani", D210="S. californicus"),(1/3)*(3.14159)*((F210/2)^2)*E210,"NA")</f>
        <v>NA</v>
      </c>
      <c r="O210">
        <f>IF(AND(OR(D210="S. acutus",D210="S. californicus",D210="S. tabernaemontani"),G210=0),E210*[1]Sheet1!$D$7+[1]Sheet1!$L$7,IF(AND(OR(D210="S. acutus",D210="S. tabernaemontani"),G210&gt;0),E210*[1]Sheet1!$D$8+N210*[1]Sheet1!$E$8,IF(AND(D210="S. californicus",G210&gt;0),E210*[1]Sheet1!$D$9+N210*[1]Sheet1!$E$9,IF(D210="S.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latifolia"),E210&gt;0),F210*[1]Sheet1!$C$4+E210*[1]Sheet1!$D$4+H210*[1]Sheet1!$J$4+I210*[1]Sheet1!$K$4+[1]Sheet1!$L$4,IF(AND(OR(D210="T. domingensis",D210="T. latifolia"),J210&gt;0),J210*[1]Sheet1!$G$5+K210*[1]Sheet1!$H$5+L210*[1]Sheet1!$I$5+[1]Sheet1!$L$5,0)))))))</f>
        <v>25.261931000000011</v>
      </c>
    </row>
    <row r="211" spans="1:15">
      <c r="A211" s="10">
        <v>41767</v>
      </c>
      <c r="B211" s="7" t="s">
        <v>24</v>
      </c>
      <c r="C211">
        <v>37</v>
      </c>
      <c r="D211" t="s">
        <v>23</v>
      </c>
      <c r="F211">
        <v>2.16</v>
      </c>
      <c r="J211">
        <f>100+132+212+223+268+283+319</f>
        <v>1537</v>
      </c>
      <c r="K211">
        <v>7</v>
      </c>
      <c r="L211">
        <v>319</v>
      </c>
      <c r="N211" t="str">
        <f>IF(OR(D211="S. acutus", D211="S. tabernaemontani", D211="S. californicus"),(1/3)*(3.14159)*((F211/2)^2)*E211,"NA")</f>
        <v>NA</v>
      </c>
      <c r="O211">
        <f>IF(AND(OR(D211="S. acutus",D211="S. californicus",D211="S. tabernaemontani"),G211=0),E211*[1]Sheet1!$D$7+[1]Sheet1!$L$7,IF(AND(OR(D211="S. acutus",D211="S. tabernaemontani"),G211&gt;0),E211*[1]Sheet1!$D$8+N211*[1]Sheet1!$E$8,IF(AND(D211="S. californicus",G211&gt;0),E211*[1]Sheet1!$D$9+N211*[1]Sheet1!$E$9,IF(D211="S.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latifolia"),E211&gt;0),F211*[1]Sheet1!$C$4+E211*[1]Sheet1!$D$4+H211*[1]Sheet1!$J$4+I211*[1]Sheet1!$K$4+[1]Sheet1!$L$4,IF(AND(OR(D211="T. domingensis",D211="T. latifolia"),J211&gt;0),J211*[1]Sheet1!$G$5+K211*[1]Sheet1!$H$5+L211*[1]Sheet1!$I$5+[1]Sheet1!$L$5,0)))))))</f>
        <v>31.884793000000009</v>
      </c>
    </row>
    <row r="212" spans="1:15">
      <c r="A212" s="10">
        <v>41767</v>
      </c>
      <c r="B212" s="7" t="s">
        <v>24</v>
      </c>
      <c r="C212">
        <v>37</v>
      </c>
      <c r="D212" t="s">
        <v>19</v>
      </c>
      <c r="F212">
        <v>0.73</v>
      </c>
      <c r="J212">
        <f>32+33+45+49</f>
        <v>159</v>
      </c>
      <c r="K212">
        <v>4</v>
      </c>
      <c r="L212">
        <v>49</v>
      </c>
      <c r="N212" t="str">
        <f>IF(OR(D212="S. acutus", D212="S. tabernaemontani", D212="S. californicus"),(1/3)*(3.14159)*((F212/2)^2)*E212,"NA")</f>
        <v>NA</v>
      </c>
      <c r="O212">
        <f>IF(AND(OR(D212="S. acutus",D212="S. californicus",D212="S. tabernaemontani"),G212=0),E212*[1]Sheet1!$D$7+[1]Sheet1!$L$7,IF(AND(OR(D212="S. acutus",D212="S. tabernaemontani"),G212&gt;0),E212*[1]Sheet1!$D$8+N212*[1]Sheet1!$E$8,IF(AND(D212="S. californicus",G212&gt;0),E212*[1]Sheet1!$D$9+N212*[1]Sheet1!$E$9,IF(D212="S.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latifolia"),E212&gt;0),F212*[1]Sheet1!$C$4+E212*[1]Sheet1!$D$4+H212*[1]Sheet1!$J$4+I212*[1]Sheet1!$K$4+[1]Sheet1!$L$4,IF(AND(OR(D212="T. domingensis",D212="T. latifolia"),J212&gt;0),J212*[1]Sheet1!$G$5+K212*[1]Sheet1!$H$5+L212*[1]Sheet1!$I$5+[1]Sheet1!$L$5,0)))))))</f>
        <v>5.0936120000000003</v>
      </c>
    </row>
    <row r="213" spans="1:15">
      <c r="A213" s="10">
        <v>41767</v>
      </c>
      <c r="B213" s="7" t="s">
        <v>24</v>
      </c>
      <c r="C213">
        <v>37</v>
      </c>
      <c r="D213" t="s">
        <v>19</v>
      </c>
      <c r="F213">
        <v>4.4400000000000004</v>
      </c>
      <c r="J213">
        <f>119+150+201+241+291+308+326+330</f>
        <v>1966</v>
      </c>
      <c r="K213">
        <v>8</v>
      </c>
      <c r="L213">
        <v>330</v>
      </c>
      <c r="N213" t="str">
        <f>IF(OR(D213="S. acutus", D213="S. tabernaemontani", D213="S. californicus"),(1/3)*(3.14159)*((F213/2)^2)*E213,"NA")</f>
        <v>NA</v>
      </c>
      <c r="O213">
        <f>IF(AND(OR(D213="S. acutus",D213="S. californicus",D213="S. tabernaemontani"),G213=0),E213*[1]Sheet1!$D$7+[1]Sheet1!$L$7,IF(AND(OR(D213="S. acutus",D213="S. tabernaemontani"),G213&gt;0),E213*[1]Sheet1!$D$8+N213*[1]Sheet1!$E$8,IF(AND(D213="S. californicus",G213&gt;0),E213*[1]Sheet1!$D$9+N213*[1]Sheet1!$E$9,IF(D213="S.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latifolia"),E213&gt;0),F213*[1]Sheet1!$C$4+E213*[1]Sheet1!$D$4+H213*[1]Sheet1!$J$4+I213*[1]Sheet1!$K$4+[1]Sheet1!$L$4,IF(AND(OR(D213="T. domingensis",D213="T. latifolia"),J213&gt;0),J213*[1]Sheet1!$G$5+K213*[1]Sheet1!$H$5+L213*[1]Sheet1!$I$5+[1]Sheet1!$L$5,0)))))))</f>
        <v>61.769640000000031</v>
      </c>
    </row>
    <row r="214" spans="1:15">
      <c r="A214" s="10">
        <v>41767</v>
      </c>
      <c r="B214" s="7" t="s">
        <v>24</v>
      </c>
      <c r="C214">
        <v>37</v>
      </c>
      <c r="D214" t="s">
        <v>19</v>
      </c>
      <c r="F214">
        <v>2.13</v>
      </c>
      <c r="J214">
        <f>77+140+150+192+195+227+235</f>
        <v>1216</v>
      </c>
      <c r="K214">
        <v>7</v>
      </c>
      <c r="L214">
        <v>235</v>
      </c>
      <c r="N214" t="str">
        <f>IF(OR(D214="S. acutus", D214="S. tabernaemontani", D214="S. californicus"),(1/3)*(3.14159)*((F214/2)^2)*E214,"NA")</f>
        <v>NA</v>
      </c>
      <c r="O214">
        <f>IF(AND(OR(D214="S. acutus",D214="S. californicus",D214="S. tabernaemontani"),G214=0),E214*[1]Sheet1!$D$7+[1]Sheet1!$L$7,IF(AND(OR(D214="S. acutus",D214="S. tabernaemontani"),G214&gt;0),E214*[1]Sheet1!$D$8+N214*[1]Sheet1!$E$8,IF(AND(D214="S. californicus",G214&gt;0),E214*[1]Sheet1!$D$9+N214*[1]Sheet1!$E$9,IF(D214="S.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latifolia"),E214&gt;0),F214*[1]Sheet1!$C$4+E214*[1]Sheet1!$D$4+H214*[1]Sheet1!$J$4+I214*[1]Sheet1!$K$4+[1]Sheet1!$L$4,IF(AND(OR(D214="T. domingensis",D214="T. latifolia"),J214&gt;0),J214*[1]Sheet1!$G$5+K214*[1]Sheet1!$H$5+L214*[1]Sheet1!$I$5+[1]Sheet1!$L$5,0)))))))</f>
        <v>27.094018000000013</v>
      </c>
    </row>
    <row r="215" spans="1:15">
      <c r="A215" s="10">
        <v>41767</v>
      </c>
      <c r="B215" s="7" t="s">
        <v>24</v>
      </c>
      <c r="C215">
        <v>37</v>
      </c>
      <c r="D215" t="s">
        <v>19</v>
      </c>
      <c r="F215">
        <v>2.1</v>
      </c>
      <c r="J215">
        <f>204+207+208+256+275+298</f>
        <v>1448</v>
      </c>
      <c r="K215">
        <v>6</v>
      </c>
      <c r="L215">
        <v>298</v>
      </c>
      <c r="N215" t="str">
        <f>IF(OR(D215="S. acutus", D215="S. tabernaemontani", D215="S. californicus"),(1/3)*(3.14159)*((F215/2)^2)*E215,"NA")</f>
        <v>NA</v>
      </c>
      <c r="O215">
        <f>IF(AND(OR(D215="S. acutus",D215="S. californicus",D215="S. tabernaemontani"),G215=0),E215*[1]Sheet1!$D$7+[1]Sheet1!$L$7,IF(AND(OR(D215="S. acutus",D215="S. tabernaemontani"),G215&gt;0),E215*[1]Sheet1!$D$8+N215*[1]Sheet1!$E$8,IF(AND(D215="S. californicus",G215&gt;0),E215*[1]Sheet1!$D$9+N215*[1]Sheet1!$E$9,IF(D215="S.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latifolia"),E215&gt;0),F215*[1]Sheet1!$C$4+E215*[1]Sheet1!$D$4+H215*[1]Sheet1!$J$4+I215*[1]Sheet1!$K$4+[1]Sheet1!$L$4,IF(AND(OR(D215="T. domingensis",D215="T. latifolia"),J215&gt;0),J215*[1]Sheet1!$G$5+K215*[1]Sheet1!$H$5+L215*[1]Sheet1!$I$5+[1]Sheet1!$L$5,0)))))))</f>
        <v>36.889096000000002</v>
      </c>
    </row>
    <row r="216" spans="1:15">
      <c r="A216" s="10">
        <v>41767</v>
      </c>
      <c r="B216" s="7" t="s">
        <v>24</v>
      </c>
      <c r="C216">
        <v>37</v>
      </c>
      <c r="D216" t="s">
        <v>19</v>
      </c>
      <c r="F216">
        <v>2.87</v>
      </c>
      <c r="J216">
        <f>168+232+258+283+218+329</f>
        <v>1488</v>
      </c>
      <c r="K216">
        <v>6</v>
      </c>
      <c r="L216">
        <v>329</v>
      </c>
      <c r="N216" t="str">
        <f>IF(OR(D216="S. acutus", D216="S. tabernaemontani", D216="S. californicus"),(1/3)*(3.14159)*((F216/2)^2)*E216,"NA")</f>
        <v>NA</v>
      </c>
      <c r="O216">
        <f>IF(AND(OR(D216="S. acutus",D216="S. californicus",D216="S. tabernaemontani"),G216=0),E216*[1]Sheet1!$D$7+[1]Sheet1!$L$7,IF(AND(OR(D216="S. acutus",D216="S. tabernaemontani"),G216&gt;0),E216*[1]Sheet1!$D$8+N216*[1]Sheet1!$E$8,IF(AND(D216="S. californicus",G216&gt;0),E216*[1]Sheet1!$D$9+N216*[1]Sheet1!$E$9,IF(D216="S.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latifolia"),E216&gt;0),F216*[1]Sheet1!$C$4+E216*[1]Sheet1!$D$4+H216*[1]Sheet1!$J$4+I216*[1]Sheet1!$K$4+[1]Sheet1!$L$4,IF(AND(OR(D216="T. domingensis",D216="T. latifolia"),J216&gt;0),J216*[1]Sheet1!$G$5+K216*[1]Sheet1!$H$5+L216*[1]Sheet1!$I$5+[1]Sheet1!$L$5,0)))))))</f>
        <v>31.300700999999997</v>
      </c>
    </row>
    <row r="217" spans="1:15">
      <c r="A217" s="10">
        <v>41767</v>
      </c>
      <c r="B217" s="7" t="s">
        <v>24</v>
      </c>
      <c r="C217">
        <v>37</v>
      </c>
      <c r="D217" t="s">
        <v>19</v>
      </c>
      <c r="F217">
        <v>3.9</v>
      </c>
      <c r="J217">
        <f>162+191+243+273+284+325+329</f>
        <v>1807</v>
      </c>
      <c r="K217">
        <v>7</v>
      </c>
      <c r="L217">
        <v>329</v>
      </c>
      <c r="N217" t="str">
        <f>IF(OR(D217="S. acutus", D217="S. tabernaemontani", D217="S. californicus"),(1/3)*(3.14159)*((F217/2)^2)*E217,"NA")</f>
        <v>NA</v>
      </c>
      <c r="O217">
        <f>IF(AND(OR(D217="S. acutus",D217="S. californicus",D217="S. tabernaemontani"),G217=0),E217*[1]Sheet1!$D$7+[1]Sheet1!$L$7,IF(AND(OR(D217="S. acutus",D217="S. tabernaemontani"),G217&gt;0),E217*[1]Sheet1!$D$8+N217*[1]Sheet1!$E$8,IF(AND(D217="S. californicus",G217&gt;0),E217*[1]Sheet1!$D$9+N217*[1]Sheet1!$E$9,IF(D217="S.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latifolia"),E217&gt;0),F217*[1]Sheet1!$C$4+E217*[1]Sheet1!$D$4+H217*[1]Sheet1!$J$4+I217*[1]Sheet1!$K$4+[1]Sheet1!$L$4,IF(AND(OR(D217="T. domingensis",D217="T. latifolia"),J217&gt;0),J217*[1]Sheet1!$G$5+K217*[1]Sheet1!$H$5+L217*[1]Sheet1!$I$5+[1]Sheet1!$L$5,0)))))))</f>
        <v>54.18619300000001</v>
      </c>
    </row>
    <row r="218" spans="1:15">
      <c r="A218" s="10">
        <v>41767</v>
      </c>
      <c r="B218" s="7" t="s">
        <v>24</v>
      </c>
      <c r="C218">
        <v>37</v>
      </c>
      <c r="D218" t="s">
        <v>19</v>
      </c>
      <c r="F218">
        <v>1.89</v>
      </c>
      <c r="J218">
        <f>74+194+196+234+269+277</f>
        <v>1244</v>
      </c>
      <c r="K218">
        <v>6</v>
      </c>
      <c r="L218">
        <v>277</v>
      </c>
      <c r="N218" t="str">
        <f>IF(OR(D218="S. acutus", D218="S. tabernaemontani", D218="S. californicus"),(1/3)*(3.14159)*((F218/2)^2)*E218,"NA")</f>
        <v>NA</v>
      </c>
      <c r="O218">
        <f>IF(AND(OR(D218="S. acutus",D218="S. californicus",D218="S. tabernaemontani"),G218=0),E218*[1]Sheet1!$D$7+[1]Sheet1!$L$7,IF(AND(OR(D218="S. acutus",D218="S. tabernaemontani"),G218&gt;0),E218*[1]Sheet1!$D$8+N218*[1]Sheet1!$E$8,IF(AND(D218="S. californicus",G218&gt;0),E218*[1]Sheet1!$D$9+N218*[1]Sheet1!$E$9,IF(D218="S.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latifolia"),E218&gt;0),F218*[1]Sheet1!$C$4+E218*[1]Sheet1!$D$4+H218*[1]Sheet1!$J$4+I218*[1]Sheet1!$K$4+[1]Sheet1!$L$4,IF(AND(OR(D218="T. domingensis",D218="T. latifolia"),J218&gt;0),J218*[1]Sheet1!$G$5+K218*[1]Sheet1!$H$5+L218*[1]Sheet1!$I$5+[1]Sheet1!$L$5,0)))))))</f>
        <v>24.089221000000016</v>
      </c>
    </row>
    <row r="219" spans="1:15">
      <c r="A219" s="10">
        <v>41767</v>
      </c>
      <c r="B219" s="7" t="s">
        <v>24</v>
      </c>
      <c r="C219">
        <v>37</v>
      </c>
      <c r="D219" t="s">
        <v>19</v>
      </c>
      <c r="F219">
        <v>2</v>
      </c>
      <c r="J219">
        <f>132+169+192+214+235+254</f>
        <v>1196</v>
      </c>
      <c r="K219">
        <v>6</v>
      </c>
      <c r="L219">
        <v>254</v>
      </c>
      <c r="N219" t="str">
        <f>IF(OR(D219="S. acutus", D219="S. tabernaemontani", D219="S. californicus"),(1/3)*(3.14159)*((F219/2)^2)*E219,"NA")</f>
        <v>NA</v>
      </c>
      <c r="O219">
        <f>IF(AND(OR(D219="S. acutus",D219="S. californicus",D219="S. tabernaemontani"),G219=0),E219*[1]Sheet1!$D$7+[1]Sheet1!$L$7,IF(AND(OR(D219="S. acutus",D219="S. tabernaemontani"),G219&gt;0),E219*[1]Sheet1!$D$8+N219*[1]Sheet1!$E$8,IF(AND(D219="S. californicus",G219&gt;0),E219*[1]Sheet1!$D$9+N219*[1]Sheet1!$E$9,IF(D219="S.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latifolia"),E219&gt;0),F219*[1]Sheet1!$C$4+E219*[1]Sheet1!$D$4+H219*[1]Sheet1!$J$4+I219*[1]Sheet1!$K$4+[1]Sheet1!$L$4,IF(AND(OR(D219="T. domingensis",D219="T. latifolia"),J219&gt;0),J219*[1]Sheet1!$G$5+K219*[1]Sheet1!$H$5+L219*[1]Sheet1!$I$5+[1]Sheet1!$L$5,0)))))))</f>
        <v>26.517616000000011</v>
      </c>
    </row>
    <row r="220" spans="1:15">
      <c r="A220" s="10">
        <v>41767</v>
      </c>
      <c r="B220" s="7" t="s">
        <v>24</v>
      </c>
      <c r="C220">
        <v>37</v>
      </c>
      <c r="D220" t="s">
        <v>19</v>
      </c>
      <c r="F220">
        <v>1.67</v>
      </c>
      <c r="J220">
        <f>108+145+220+241+285</f>
        <v>999</v>
      </c>
      <c r="K220">
        <v>5</v>
      </c>
      <c r="L220">
        <v>285</v>
      </c>
      <c r="N220" t="str">
        <f>IF(OR(D220="S. acutus", D220="S. tabernaemontani", D220="S. californicus"),(1/3)*(3.14159)*((F220/2)^2)*E220,"NA")</f>
        <v>NA</v>
      </c>
      <c r="O220">
        <f>IF(AND(OR(D220="S. acutus",D220="S. californicus",D220="S. tabernaemontani"),G220=0),E220*[1]Sheet1!$D$7+[1]Sheet1!$L$7,IF(AND(OR(D220="S. acutus",D220="S. tabernaemontani"),G220&gt;0),E220*[1]Sheet1!$D$8+N220*[1]Sheet1!$E$8,IF(AND(D220="S. californicus",G220&gt;0),E220*[1]Sheet1!$D$9+N220*[1]Sheet1!$E$9,IF(D220="S.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latifolia"),E220&gt;0),F220*[1]Sheet1!$C$4+E220*[1]Sheet1!$D$4+H220*[1]Sheet1!$J$4+I220*[1]Sheet1!$K$4+[1]Sheet1!$L$4,IF(AND(OR(D220="T. domingensis",D220="T. latifolia"),J220&gt;0),J220*[1]Sheet1!$G$5+K220*[1]Sheet1!$H$5+L220*[1]Sheet1!$I$5+[1]Sheet1!$L$5,0)))))))</f>
        <v>5.7316390000000155</v>
      </c>
    </row>
    <row r="221" spans="1:15">
      <c r="A221" s="10">
        <v>41767</v>
      </c>
      <c r="B221" s="7" t="s">
        <v>24</v>
      </c>
      <c r="C221">
        <v>37</v>
      </c>
      <c r="D221" t="s">
        <v>19</v>
      </c>
      <c r="F221">
        <v>1.08</v>
      </c>
      <c r="J221">
        <f>127+137+179+201</f>
        <v>644</v>
      </c>
      <c r="K221">
        <v>4</v>
      </c>
      <c r="L221">
        <v>201</v>
      </c>
      <c r="N221" t="str">
        <f>IF(OR(D221="S. acutus", D221="S. tabernaemontani", D221="S. californicus"),(1/3)*(3.14159)*((F221/2)^2)*E221,"NA")</f>
        <v>NA</v>
      </c>
      <c r="O221">
        <f>IF(AND(OR(D221="S. acutus",D221="S. californicus",D221="S. tabernaemontani"),G221=0),E221*[1]Sheet1!$D$7+[1]Sheet1!$L$7,IF(AND(OR(D221="S. acutus",D221="S. tabernaemontani"),G221&gt;0),E221*[1]Sheet1!$D$8+N221*[1]Sheet1!$E$8,IF(AND(D221="S. californicus",G221&gt;0),E221*[1]Sheet1!$D$9+N221*[1]Sheet1!$E$9,IF(D221="S.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latifolia"),E221&gt;0),F221*[1]Sheet1!$C$4+E221*[1]Sheet1!$D$4+H221*[1]Sheet1!$J$4+I221*[1]Sheet1!$K$4+[1]Sheet1!$L$4,IF(AND(OR(D221="T. domingensis",D221="T. latifolia"),J221&gt;0),J221*[1]Sheet1!$G$5+K221*[1]Sheet1!$H$5+L221*[1]Sheet1!$I$5+[1]Sheet1!$L$5,0)))))))</f>
        <v>4.7755470000000031</v>
      </c>
    </row>
    <row r="222" spans="1:15">
      <c r="A222" s="10">
        <v>41767</v>
      </c>
      <c r="B222" s="7" t="s">
        <v>24</v>
      </c>
      <c r="C222">
        <v>37</v>
      </c>
      <c r="D222" t="s">
        <v>19</v>
      </c>
      <c r="F222">
        <v>0.97</v>
      </c>
      <c r="J222">
        <f>71+123+152</f>
        <v>346</v>
      </c>
      <c r="K222">
        <v>3</v>
      </c>
      <c r="L222">
        <v>152</v>
      </c>
      <c r="N222" t="str">
        <f>IF(OR(D222="S. acutus", D222="S. tabernaemontani", D222="S. californicus"),(1/3)*(3.14159)*((F222/2)^2)*E222,"NA")</f>
        <v>NA</v>
      </c>
      <c r="O222">
        <f>IF(AND(OR(D222="S. acutus",D222="S. californicus",D222="S. tabernaemontani"),G222=0),E222*[1]Sheet1!$D$7+[1]Sheet1!$L$7,IF(AND(OR(D222="S. acutus",D222="S. tabernaemontani"),G222&gt;0),E222*[1]Sheet1!$D$8+N222*[1]Sheet1!$E$8,IF(AND(D222="S. californicus",G222&gt;0),E222*[1]Sheet1!$D$9+N222*[1]Sheet1!$E$9,IF(D222="S.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latifolia"),E222&gt;0),F222*[1]Sheet1!$C$4+E222*[1]Sheet1!$D$4+H222*[1]Sheet1!$J$4+I222*[1]Sheet1!$K$4+[1]Sheet1!$L$4,IF(AND(OR(D222="T. domingensis",D222="T. latifolia"),J222&gt;0),J222*[1]Sheet1!$G$5+K222*[1]Sheet1!$H$5+L222*[1]Sheet1!$I$5+[1]Sheet1!$L$5,0)))))))</f>
        <v>-1.3800850000000011</v>
      </c>
    </row>
    <row r="223" spans="1:15">
      <c r="A223" s="10">
        <v>41767</v>
      </c>
      <c r="B223" s="7" t="s">
        <v>24</v>
      </c>
      <c r="C223">
        <v>37</v>
      </c>
      <c r="D223" t="s">
        <v>19</v>
      </c>
      <c r="F223">
        <v>1.43</v>
      </c>
      <c r="J223">
        <f>147+215+275+283+328</f>
        <v>1248</v>
      </c>
      <c r="K223">
        <v>5</v>
      </c>
      <c r="L223">
        <v>328</v>
      </c>
      <c r="N223" t="str">
        <f>IF(OR(D223="S. acutus", D223="S. tabernaemontani", D223="S. californicus"),(1/3)*(3.14159)*((F223/2)^2)*E223,"NA")</f>
        <v>NA</v>
      </c>
      <c r="O223">
        <f>IF(AND(OR(D223="S. acutus",D223="S. californicus",D223="S. tabernaemontani"),G223=0),E223*[1]Sheet1!$D$7+[1]Sheet1!$L$7,IF(AND(OR(D223="S. acutus",D223="S. tabernaemontani"),G223&gt;0),E223*[1]Sheet1!$D$8+N223*[1]Sheet1!$E$8,IF(AND(D223="S. californicus",G223&gt;0),E223*[1]Sheet1!$D$9+N223*[1]Sheet1!$E$9,IF(D223="S.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latifolia"),E223&gt;0),F223*[1]Sheet1!$C$4+E223*[1]Sheet1!$D$4+H223*[1]Sheet1!$J$4+I223*[1]Sheet1!$K$4+[1]Sheet1!$L$4,IF(AND(OR(D223="T. domingensis",D223="T. latifolia"),J223&gt;0),J223*[1]Sheet1!$G$5+K223*[1]Sheet1!$H$5+L223*[1]Sheet1!$I$5+[1]Sheet1!$L$5,0)))))))</f>
        <v>16.123099000000003</v>
      </c>
    </row>
    <row r="224" spans="1:15">
      <c r="A224" s="10">
        <v>41767</v>
      </c>
      <c r="B224" s="7" t="s">
        <v>24</v>
      </c>
      <c r="C224">
        <v>37</v>
      </c>
      <c r="D224" t="s">
        <v>19</v>
      </c>
      <c r="F224">
        <v>1.3</v>
      </c>
      <c r="J224">
        <f>174+205+234+243</f>
        <v>856</v>
      </c>
      <c r="K224">
        <v>4</v>
      </c>
      <c r="L224">
        <v>243</v>
      </c>
      <c r="N224" t="str">
        <f>IF(OR(D224="S. acutus", D224="S. tabernaemontani", D224="S. californicus"),(1/3)*(3.14159)*((F224/2)^2)*E224,"NA")</f>
        <v>NA</v>
      </c>
      <c r="O224">
        <f>IF(AND(OR(D224="S. acutus",D224="S. californicus",D224="S. tabernaemontani"),G224=0),E224*[1]Sheet1!$D$7+[1]Sheet1!$L$7,IF(AND(OR(D224="S. acutus",D224="S. tabernaemontani"),G224&gt;0),E224*[1]Sheet1!$D$8+N224*[1]Sheet1!$E$8,IF(AND(D224="S. californicus",G224&gt;0),E224*[1]Sheet1!$D$9+N224*[1]Sheet1!$E$9,IF(D224="S.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latifolia"),E224&gt;0),F224*[1]Sheet1!$C$4+E224*[1]Sheet1!$D$4+H224*[1]Sheet1!$J$4+I224*[1]Sheet1!$K$4+[1]Sheet1!$L$4,IF(AND(OR(D224="T. domingensis",D224="T. latifolia"),J224&gt;0),J224*[1]Sheet1!$G$5+K224*[1]Sheet1!$H$5+L224*[1]Sheet1!$I$5+[1]Sheet1!$L$5,0)))))))</f>
        <v>11.999317000000012</v>
      </c>
    </row>
    <row r="225" spans="1:15">
      <c r="A225" s="10">
        <v>41767</v>
      </c>
      <c r="B225" s="7" t="s">
        <v>24</v>
      </c>
      <c r="C225">
        <v>37</v>
      </c>
      <c r="D225" t="s">
        <v>19</v>
      </c>
      <c r="F225">
        <v>1.39</v>
      </c>
      <c r="J225">
        <f>134+169+182+217+227+254</f>
        <v>1183</v>
      </c>
      <c r="K225">
        <v>6</v>
      </c>
      <c r="L225">
        <v>254</v>
      </c>
      <c r="N225" t="str">
        <f>IF(OR(D225="S. acutus", D225="S. tabernaemontani", D225="S. californicus"),(1/3)*(3.14159)*((F225/2)^2)*E225,"NA")</f>
        <v>NA</v>
      </c>
      <c r="O225">
        <f>IF(AND(OR(D225="S. acutus",D225="S. californicus",D225="S. tabernaemontani"),G225=0),E225*[1]Sheet1!$D$7+[1]Sheet1!$L$7,IF(AND(OR(D225="S. acutus",D225="S. tabernaemontani"),G225&gt;0),E225*[1]Sheet1!$D$8+N225*[1]Sheet1!$E$8,IF(AND(D225="S. californicus",G225&gt;0),E225*[1]Sheet1!$D$9+N225*[1]Sheet1!$E$9,IF(D225="S.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latifolia"),E225&gt;0),F225*[1]Sheet1!$C$4+E225*[1]Sheet1!$D$4+H225*[1]Sheet1!$J$4+I225*[1]Sheet1!$K$4+[1]Sheet1!$L$4,IF(AND(OR(D225="T. domingensis",D225="T. latifolia"),J225&gt;0),J225*[1]Sheet1!$G$5+K225*[1]Sheet1!$H$5+L225*[1]Sheet1!$I$5+[1]Sheet1!$L$5,0)))))))</f>
        <v>25.298801000000005</v>
      </c>
    </row>
    <row r="226" spans="1:15">
      <c r="A226" s="10">
        <v>41767</v>
      </c>
      <c r="B226" s="7" t="s">
        <v>24</v>
      </c>
      <c r="C226">
        <v>38</v>
      </c>
      <c r="D226" t="s">
        <v>23</v>
      </c>
      <c r="F226">
        <v>5.54</v>
      </c>
      <c r="J226">
        <f>220+259+302+339+379+368+398+416+416+431</f>
        <v>3528</v>
      </c>
      <c r="K226">
        <v>10</v>
      </c>
      <c r="L226">
        <v>431</v>
      </c>
      <c r="N226" t="str">
        <f>IF(OR(D226="S. acutus", D226="S. tabernaemontani", D226="S. californicus"),(1/3)*(3.14159)*((F226/2)^2)*E226,"NA")</f>
        <v>NA</v>
      </c>
      <c r="O226">
        <f>IF(AND(OR(D226="S. acutus",D226="S. californicus",D226="S. tabernaemontani"),G226=0),E226*[1]Sheet1!$D$7+[1]Sheet1!$L$7,IF(AND(OR(D226="S. acutus",D226="S. tabernaemontani"),G226&gt;0),E226*[1]Sheet1!$D$8+N226*[1]Sheet1!$E$8,IF(AND(D226="S. californicus",G226&gt;0),E226*[1]Sheet1!$D$9+N226*[1]Sheet1!$E$9,IF(D226="S.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latifolia"),E226&gt;0),F226*[1]Sheet1!$C$4+E226*[1]Sheet1!$D$4+H226*[1]Sheet1!$J$4+I226*[1]Sheet1!$K$4+[1]Sheet1!$L$4,IF(AND(OR(D226="T. domingensis",D226="T. latifolia"),J226&gt;0),J226*[1]Sheet1!$G$5+K226*[1]Sheet1!$H$5+L226*[1]Sheet1!$I$5+[1]Sheet1!$L$5,0)))))))</f>
        <v>163.74449900000005</v>
      </c>
    </row>
    <row r="227" spans="1:15">
      <c r="A227" s="10">
        <v>41767</v>
      </c>
      <c r="B227" s="7" t="s">
        <v>24</v>
      </c>
      <c r="C227">
        <v>38</v>
      </c>
      <c r="D227" t="s">
        <v>23</v>
      </c>
      <c r="F227">
        <v>7.89</v>
      </c>
      <c r="J227">
        <f>195+262+290+283+324+339+347+364</f>
        <v>2404</v>
      </c>
      <c r="K227">
        <v>8</v>
      </c>
      <c r="L227">
        <v>364</v>
      </c>
      <c r="N227" t="str">
        <f>IF(OR(D227="S. acutus", D227="S. tabernaemontani", D227="S. californicus"),(1/3)*(3.14159)*((F227/2)^2)*E227,"NA")</f>
        <v>NA</v>
      </c>
      <c r="O227">
        <f>IF(AND(OR(D227="S. acutus",D227="S. californicus",D227="S. tabernaemontani"),G227=0),E227*[1]Sheet1!$D$7+[1]Sheet1!$L$7,IF(AND(OR(D227="S. acutus",D227="S. tabernaemontani"),G227&gt;0),E227*[1]Sheet1!$D$8+N227*[1]Sheet1!$E$8,IF(AND(D227="S. californicus",G227&gt;0),E227*[1]Sheet1!$D$9+N227*[1]Sheet1!$E$9,IF(D227="S.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latifolia"),E227&gt;0),F227*[1]Sheet1!$C$4+E227*[1]Sheet1!$D$4+H227*[1]Sheet1!$J$4+I227*[1]Sheet1!$K$4+[1]Sheet1!$L$4,IF(AND(OR(D227="T. domingensis",D227="T. latifolia"),J227&gt;0),J227*[1]Sheet1!$G$5+K227*[1]Sheet1!$H$5+L227*[1]Sheet1!$I$5+[1]Sheet1!$L$5,0)))))))</f>
        <v>92.592000000000013</v>
      </c>
    </row>
    <row r="228" spans="1:15">
      <c r="A228" s="10">
        <v>41767</v>
      </c>
      <c r="B228" s="7" t="s">
        <v>24</v>
      </c>
      <c r="C228">
        <v>38</v>
      </c>
      <c r="D228" t="s">
        <v>23</v>
      </c>
      <c r="F228">
        <v>2.48</v>
      </c>
      <c r="J228">
        <f>106+147+183+192+223+255+265</f>
        <v>1371</v>
      </c>
      <c r="K228">
        <v>7</v>
      </c>
      <c r="L228">
        <v>265</v>
      </c>
      <c r="N228" t="str">
        <f>IF(OR(D228="S. acutus", D228="S. tabernaemontani", D228="S. californicus"),(1/3)*(3.14159)*((F228/2)^2)*E228,"NA")</f>
        <v>NA</v>
      </c>
      <c r="O228">
        <f>IF(AND(OR(D228="S. acutus",D228="S. californicus",D228="S. tabernaemontani"),G228=0),E228*[1]Sheet1!$D$7+[1]Sheet1!$L$7,IF(AND(OR(D228="S. acutus",D228="S. tabernaemontani"),G228&gt;0),E228*[1]Sheet1!$D$8+N228*[1]Sheet1!$E$8,IF(AND(D228="S. californicus",G228&gt;0),E228*[1]Sheet1!$D$9+N228*[1]Sheet1!$E$9,IF(D228="S.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latifolia"),E228&gt;0),F228*[1]Sheet1!$C$4+E228*[1]Sheet1!$D$4+H228*[1]Sheet1!$J$4+I228*[1]Sheet1!$K$4+[1]Sheet1!$L$4,IF(AND(OR(D228="T. domingensis",D228="T. latifolia"),J228&gt;0),J228*[1]Sheet1!$G$5+K228*[1]Sheet1!$H$5+L228*[1]Sheet1!$I$5+[1]Sheet1!$L$5,0)))))))</f>
        <v>32.588692999999999</v>
      </c>
    </row>
    <row r="229" spans="1:15">
      <c r="A229" s="10">
        <v>41767</v>
      </c>
      <c r="B229" s="7" t="s">
        <v>24</v>
      </c>
      <c r="C229">
        <v>38</v>
      </c>
      <c r="D229" t="s">
        <v>23</v>
      </c>
      <c r="F229">
        <v>5.45</v>
      </c>
      <c r="J229">
        <f>158+185+226+260+276+287+310+316+224+274</f>
        <v>2516</v>
      </c>
      <c r="K229">
        <v>10</v>
      </c>
      <c r="L229">
        <v>310</v>
      </c>
      <c r="N229" t="str">
        <f>IF(OR(D229="S. acutus", D229="S. tabernaemontani", D229="S. californicus"),(1/3)*(3.14159)*((F229/2)^2)*E229,"NA")</f>
        <v>NA</v>
      </c>
      <c r="O229">
        <f>IF(AND(OR(D229="S. acutus",D229="S. californicus",D229="S. tabernaemontani"),G229=0),E229*[1]Sheet1!$D$7+[1]Sheet1!$L$7,IF(AND(OR(D229="S. acutus",D229="S. tabernaemontani"),G229&gt;0),E229*[1]Sheet1!$D$8+N229*[1]Sheet1!$E$8,IF(AND(D229="S. californicus",G229&gt;0),E229*[1]Sheet1!$D$9+N229*[1]Sheet1!$E$9,IF(D229="S.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latifolia"),E229&gt;0),F229*[1]Sheet1!$C$4+E229*[1]Sheet1!$D$4+H229*[1]Sheet1!$J$4+I229*[1]Sheet1!$K$4+[1]Sheet1!$L$4,IF(AND(OR(D229="T. domingensis",D229="T. latifolia"),J229&gt;0),J229*[1]Sheet1!$G$5+K229*[1]Sheet1!$H$5+L229*[1]Sheet1!$I$5+[1]Sheet1!$L$5,0)))))))</f>
        <v>105.31508400000004</v>
      </c>
    </row>
    <row r="230" spans="1:15">
      <c r="A230" s="10">
        <v>41767</v>
      </c>
      <c r="B230" s="7" t="s">
        <v>24</v>
      </c>
      <c r="C230">
        <v>38</v>
      </c>
      <c r="D230" t="s">
        <v>23</v>
      </c>
      <c r="F230">
        <v>2.4300000000000002</v>
      </c>
      <c r="J230">
        <f>187+138+194+208+238+243</f>
        <v>1208</v>
      </c>
      <c r="K230">
        <v>6</v>
      </c>
      <c r="L230">
        <v>243</v>
      </c>
      <c r="N230" t="str">
        <f>IF(OR(D230="S. acutus", D230="S. tabernaemontani", D230="S. californicus"),(1/3)*(3.14159)*((F230/2)^2)*E230,"NA")</f>
        <v>NA</v>
      </c>
      <c r="O230">
        <f>IF(AND(OR(D230="S. acutus",D230="S. californicus",D230="S. tabernaemontani"),G230=0),E230*[1]Sheet1!$D$7+[1]Sheet1!$L$7,IF(AND(OR(D230="S. acutus",D230="S. tabernaemontani"),G230&gt;0),E230*[1]Sheet1!$D$8+N230*[1]Sheet1!$E$8,IF(AND(D230="S. californicus",G230&gt;0),E230*[1]Sheet1!$D$9+N230*[1]Sheet1!$E$9,IF(D230="S.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latifolia"),E230&gt;0),F230*[1]Sheet1!$C$4+E230*[1]Sheet1!$D$4+H230*[1]Sheet1!$J$4+I230*[1]Sheet1!$K$4+[1]Sheet1!$L$4,IF(AND(OR(D230="T. domingensis",D230="T. latifolia"),J230&gt;0),J230*[1]Sheet1!$G$5+K230*[1]Sheet1!$H$5+L230*[1]Sheet1!$I$5+[1]Sheet1!$L$5,0)))))))</f>
        <v>30.956371000000011</v>
      </c>
    </row>
    <row r="231" spans="1:15">
      <c r="A231" s="10">
        <v>41767</v>
      </c>
      <c r="B231" s="7" t="s">
        <v>24</v>
      </c>
      <c r="C231">
        <v>38</v>
      </c>
      <c r="D231" t="s">
        <v>19</v>
      </c>
      <c r="F231">
        <v>5.59</v>
      </c>
      <c r="J231">
        <f>47+177+191+217+242+259+266+295+302</f>
        <v>1996</v>
      </c>
      <c r="K231">
        <v>9</v>
      </c>
      <c r="L231">
        <v>302</v>
      </c>
      <c r="N231" t="str">
        <f>IF(OR(D231="S. acutus", D231="S. tabernaemontani", D231="S. californicus"),(1/3)*(3.14159)*((F231/2)^2)*E231,"NA")</f>
        <v>NA</v>
      </c>
      <c r="O231">
        <f>IF(AND(OR(D231="S. acutus",D231="S. californicus",D231="S. tabernaemontani"),G231=0),E231*[1]Sheet1!$D$7+[1]Sheet1!$L$7,IF(AND(OR(D231="S. acutus",D231="S. tabernaemontani"),G231&gt;0),E231*[1]Sheet1!$D$8+N231*[1]Sheet1!$E$8,IF(AND(D231="S. californicus",G231&gt;0),E231*[1]Sheet1!$D$9+N231*[1]Sheet1!$E$9,IF(D231="S.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latifolia"),E231&gt;0),F231*[1]Sheet1!$C$4+E231*[1]Sheet1!$D$4+H231*[1]Sheet1!$J$4+I231*[1]Sheet1!$K$4+[1]Sheet1!$L$4,IF(AND(OR(D231="T. domingensis",D231="T. latifolia"),J231&gt;0),J231*[1]Sheet1!$G$5+K231*[1]Sheet1!$H$5+L231*[1]Sheet1!$I$5+[1]Sheet1!$L$5,0)))))))</f>
        <v>65.994797000000005</v>
      </c>
    </row>
    <row r="232" spans="1:15">
      <c r="A232" s="10">
        <v>41767</v>
      </c>
      <c r="B232" s="7" t="s">
        <v>24</v>
      </c>
      <c r="C232">
        <v>38</v>
      </c>
      <c r="D232" t="s">
        <v>19</v>
      </c>
      <c r="F232">
        <v>3.68</v>
      </c>
      <c r="J232">
        <f>148+200+252+274+283+306+293</f>
        <v>1756</v>
      </c>
      <c r="K232">
        <v>7</v>
      </c>
      <c r="L232">
        <v>306</v>
      </c>
      <c r="N232" t="str">
        <f>IF(OR(D232="S. acutus", D232="S. tabernaemontani", D232="S. californicus"),(1/3)*(3.14159)*((F232/2)^2)*E232,"NA")</f>
        <v>NA</v>
      </c>
      <c r="O232">
        <f>IF(AND(OR(D232="S. acutus",D232="S. californicus",D232="S. tabernaemontani"),G232=0),E232*[1]Sheet1!$D$7+[1]Sheet1!$L$7,IF(AND(OR(D232="S. acutus",D232="S. tabernaemontani"),G232&gt;0),E232*[1]Sheet1!$D$8+N232*[1]Sheet1!$E$8,IF(AND(D232="S. californicus",G232&gt;0),E232*[1]Sheet1!$D$9+N232*[1]Sheet1!$E$9,IF(D232="S.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latifolia"),E232&gt;0),F232*[1]Sheet1!$C$4+E232*[1]Sheet1!$D$4+H232*[1]Sheet1!$J$4+I232*[1]Sheet1!$K$4+[1]Sheet1!$L$4,IF(AND(OR(D232="T. domingensis",D232="T. latifolia"),J232&gt;0),J232*[1]Sheet1!$G$5+K232*[1]Sheet1!$H$5+L232*[1]Sheet1!$I$5+[1]Sheet1!$L$5,0)))))))</f>
        <v>56.333323</v>
      </c>
    </row>
    <row r="233" spans="1:15">
      <c r="A233" s="10">
        <v>41767</v>
      </c>
      <c r="B233" s="7" t="s">
        <v>24</v>
      </c>
      <c r="C233">
        <v>38</v>
      </c>
      <c r="D233" t="s">
        <v>19</v>
      </c>
      <c r="F233">
        <v>1.19</v>
      </c>
      <c r="J233">
        <f>170+196+198+211</f>
        <v>775</v>
      </c>
      <c r="K233">
        <v>4</v>
      </c>
      <c r="L233">
        <v>211</v>
      </c>
      <c r="N233" t="str">
        <f>IF(OR(D233="S. acutus", D233="S. tabernaemontani", D233="S. californicus"),(1/3)*(3.14159)*((F233/2)^2)*E233,"NA")</f>
        <v>NA</v>
      </c>
      <c r="O233">
        <f>IF(AND(OR(D233="S. acutus",D233="S. californicus",D233="S. tabernaemontani"),G233=0),E233*[1]Sheet1!$D$7+[1]Sheet1!$L$7,IF(AND(OR(D233="S. acutus",D233="S. tabernaemontani"),G233&gt;0),E233*[1]Sheet1!$D$8+N233*[1]Sheet1!$E$8,IF(AND(D233="S. californicus",G233&gt;0),E233*[1]Sheet1!$D$9+N233*[1]Sheet1!$E$9,IF(D233="S.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latifolia"),E233&gt;0),F233*[1]Sheet1!$C$4+E233*[1]Sheet1!$D$4+H233*[1]Sheet1!$J$4+I233*[1]Sheet1!$K$4+[1]Sheet1!$L$4,IF(AND(OR(D233="T. domingensis",D233="T. latifolia"),J233&gt;0),J233*[1]Sheet1!$G$5+K233*[1]Sheet1!$H$5+L233*[1]Sheet1!$I$5+[1]Sheet1!$L$5,0)))))))</f>
        <v>14.045002000000011</v>
      </c>
    </row>
    <row r="234" spans="1:15">
      <c r="A234" s="10">
        <v>41767</v>
      </c>
      <c r="B234" s="7" t="s">
        <v>24</v>
      </c>
      <c r="C234">
        <v>38</v>
      </c>
      <c r="D234" t="s">
        <v>19</v>
      </c>
      <c r="F234">
        <v>1.06</v>
      </c>
      <c r="J234">
        <f>82+181+218+234</f>
        <v>715</v>
      </c>
      <c r="K234">
        <v>4</v>
      </c>
      <c r="L234">
        <v>234</v>
      </c>
      <c r="N234" t="str">
        <f>IF(OR(D234="S. acutus", D234="S. tabernaemontani", D234="S. californicus"),(1/3)*(3.14159)*((F234/2)^2)*E234,"NA")</f>
        <v>NA</v>
      </c>
      <c r="O234">
        <f>IF(AND(OR(D234="S. acutus",D234="S. californicus",D234="S. tabernaemontani"),G234=0),E234*[1]Sheet1!$D$7+[1]Sheet1!$L$7,IF(AND(OR(D234="S. acutus",D234="S. tabernaemontani"),G234&gt;0),E234*[1]Sheet1!$D$8+N234*[1]Sheet1!$E$8,IF(AND(D234="S. californicus",G234&gt;0),E234*[1]Sheet1!$D$9+N234*[1]Sheet1!$E$9,IF(D234="S.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latifolia"),E234&gt;0),F234*[1]Sheet1!$C$4+E234*[1]Sheet1!$D$4+H234*[1]Sheet1!$J$4+I234*[1]Sheet1!$K$4+[1]Sheet1!$L$4,IF(AND(OR(D234="T. domingensis",D234="T. latifolia"),J234&gt;0),J234*[1]Sheet1!$G$5+K234*[1]Sheet1!$H$5+L234*[1]Sheet1!$I$5+[1]Sheet1!$L$5,0)))))))</f>
        <v>1.4910670000000081</v>
      </c>
    </row>
    <row r="235" spans="1:15">
      <c r="A235" s="9">
        <v>41767</v>
      </c>
      <c r="B235" s="7" t="s">
        <v>26</v>
      </c>
      <c r="C235">
        <v>4</v>
      </c>
      <c r="D235" t="s">
        <v>25</v>
      </c>
      <c r="E235">
        <v>89</v>
      </c>
      <c r="F235">
        <v>1.03</v>
      </c>
      <c r="N235">
        <f>IF(OR(D235="S. acutus", D235="S. tabernaemontani", D235="S. californicus"),(1/3)*(3.14159)*((F235/2)^2)*E235,"NA")</f>
        <v>24.719103496583333</v>
      </c>
      <c r="O235">
        <f>IF(AND(OR(D235="S. acutus",D235="S. californicus",D235="S. tabernaemontani"),G235=0),E235*[1]Sheet1!$D$7+[1]Sheet1!$L$7,IF(AND(OR(D235="S. acutus",D235="S. tabernaemontani"),G235&gt;0),E235*[1]Sheet1!$D$8+N235*[1]Sheet1!$E$8,IF(AND(D235="S. californicus",G235&gt;0),E235*[1]Sheet1!$D$9+N235*[1]Sheet1!$E$9,IF(D235="S.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latifolia"),E235&gt;0),F235*[1]Sheet1!$C$4+E235*[1]Sheet1!$D$4+H235*[1]Sheet1!$J$4+I235*[1]Sheet1!$K$4+[1]Sheet1!$L$4,IF(AND(OR(D235="T. domingensis",D235="T. latifolia"),J235&gt;0),J235*[1]Sheet1!$G$5+K235*[1]Sheet1!$H$5+L235*[1]Sheet1!$I$5+[1]Sheet1!$L$5,0)))))))</f>
        <v>1.6487480000000003</v>
      </c>
    </row>
    <row r="236" spans="1:15">
      <c r="A236" s="9">
        <v>41767</v>
      </c>
      <c r="B236" s="7" t="s">
        <v>26</v>
      </c>
      <c r="C236">
        <v>4</v>
      </c>
      <c r="D236" t="s">
        <v>25</v>
      </c>
      <c r="E236">
        <v>60</v>
      </c>
      <c r="F236">
        <v>0.56999999999999995</v>
      </c>
      <c r="N236">
        <f>IF(OR(D236="S. acutus", D236="S. tabernaemontani", D236="S. californicus"),(1/3)*(3.14159)*((F236/2)^2)*E236,"NA")</f>
        <v>5.1035129549999985</v>
      </c>
      <c r="O236">
        <f>IF(AND(OR(D236="S. acutus",D236="S. californicus",D236="S. tabernaemontani"),G236=0),E236*[1]Sheet1!$D$7+[1]Sheet1!$L$7,IF(AND(OR(D236="S. acutus",D236="S. tabernaemontani"),G236&gt;0),E236*[1]Sheet1!$D$8+N236*[1]Sheet1!$E$8,IF(AND(D236="S. californicus",G236&gt;0),E236*[1]Sheet1!$D$9+N236*[1]Sheet1!$E$9,IF(D236="S.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latifolia"),E236&gt;0),F236*[1]Sheet1!$C$4+E236*[1]Sheet1!$D$4+H236*[1]Sheet1!$J$4+I236*[1]Sheet1!$K$4+[1]Sheet1!$L$4,IF(AND(OR(D236="T. domingensis",D236="T. latifolia"),J236&gt;0),J236*[1]Sheet1!$G$5+K236*[1]Sheet1!$H$5+L236*[1]Sheet1!$I$5+[1]Sheet1!$L$5,0)))))))</f>
        <v>-0.38429700000000011</v>
      </c>
    </row>
    <row r="237" spans="1:15">
      <c r="A237" s="9">
        <v>41767</v>
      </c>
      <c r="B237" s="7" t="s">
        <v>26</v>
      </c>
      <c r="C237">
        <v>4</v>
      </c>
      <c r="D237" t="s">
        <v>25</v>
      </c>
      <c r="E237">
        <v>105</v>
      </c>
      <c r="F237">
        <v>1.06</v>
      </c>
      <c r="N237">
        <f>IF(OR(D237="S. acutus", D237="S. tabernaemontani", D237="S. californicus"),(1/3)*(3.14159)*((F237/2)^2)*E237,"NA")</f>
        <v>30.886542085000002</v>
      </c>
      <c r="O237">
        <f>IF(AND(OR(D237="S. acutus",D237="S. californicus",D237="S. tabernaemontani"),G237=0),E237*[1]Sheet1!$D$7+[1]Sheet1!$L$7,IF(AND(OR(D237="S. acutus",D237="S. tabernaemontani"),G237&gt;0),E237*[1]Sheet1!$D$8+N237*[1]Sheet1!$E$8,IF(AND(D237="S. californicus",G237&gt;0),E237*[1]Sheet1!$D$9+N237*[1]Sheet1!$E$9,IF(D237="S.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latifolia"),E237&gt;0),F237*[1]Sheet1!$C$4+E237*[1]Sheet1!$D$4+H237*[1]Sheet1!$J$4+I237*[1]Sheet1!$K$4+[1]Sheet1!$L$4,IF(AND(OR(D237="T. domingensis",D237="T. latifolia"),J237&gt;0),J237*[1]Sheet1!$G$5+K237*[1]Sheet1!$H$5+L237*[1]Sheet1!$I$5+[1]Sheet1!$L$5,0)))))))</f>
        <v>2.7704279999999999</v>
      </c>
    </row>
    <row r="238" spans="1:15">
      <c r="A238" s="9">
        <v>41767</v>
      </c>
      <c r="B238" s="7" t="s">
        <v>26</v>
      </c>
      <c r="C238">
        <v>4</v>
      </c>
      <c r="D238" t="s">
        <v>25</v>
      </c>
      <c r="E238">
        <v>82</v>
      </c>
      <c r="F238">
        <v>0.86</v>
      </c>
      <c r="N238">
        <f>IF(OR(D238="S. acutus", D238="S. tabernaemontani", D238="S. californicus"),(1/3)*(3.14159)*((F238/2)^2)*E238,"NA")</f>
        <v>15.877386420666662</v>
      </c>
      <c r="O238">
        <f>IF(AND(OR(D238="S. acutus",D238="S. californicus",D238="S. tabernaemontani"),G238=0),E238*[1]Sheet1!$D$7+[1]Sheet1!$L$7,IF(AND(OR(D238="S. acutus",D238="S. tabernaemontani"),G238&gt;0),E238*[1]Sheet1!$D$8+N238*[1]Sheet1!$E$8,IF(AND(D238="S. californicus",G238&gt;0),E238*[1]Sheet1!$D$9+N238*[1]Sheet1!$E$9,IF(D238="S.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latifolia"),E238&gt;0),F238*[1]Sheet1!$C$4+E238*[1]Sheet1!$D$4+H238*[1]Sheet1!$J$4+I238*[1]Sheet1!$K$4+[1]Sheet1!$L$4,IF(AND(OR(D238="T. domingensis",D238="T. latifolia"),J238&gt;0),J238*[1]Sheet1!$G$5+K238*[1]Sheet1!$H$5+L238*[1]Sheet1!$I$5+[1]Sheet1!$L$5,0)))))))</f>
        <v>1.1580130000000004</v>
      </c>
    </row>
    <row r="239" spans="1:15">
      <c r="A239" s="9">
        <v>41767</v>
      </c>
      <c r="B239" s="7" t="s">
        <v>26</v>
      </c>
      <c r="C239">
        <v>4</v>
      </c>
      <c r="D239" t="s">
        <v>25</v>
      </c>
      <c r="E239">
        <v>36</v>
      </c>
      <c r="F239">
        <v>0.31</v>
      </c>
      <c r="N239">
        <f>IF(OR(D239="S. acutus", D239="S. tabernaemontani", D239="S. californicus"),(1/3)*(3.14159)*((F239/2)^2)*E239,"NA")</f>
        <v>0.90572039699999995</v>
      </c>
      <c r="O239">
        <f>IF(AND(OR(D239="S. acutus",D239="S. californicus",D239="S. tabernaemontani"),G239=0),E239*[1]Sheet1!$D$7+[1]Sheet1!$L$7,IF(AND(OR(D239="S. acutus",D239="S. tabernaemontani"),G239&gt;0),E239*[1]Sheet1!$D$8+N239*[1]Sheet1!$E$8,IF(AND(D239="S. californicus",G239&gt;0),E239*[1]Sheet1!$D$9+N239*[1]Sheet1!$E$9,IF(D239="S.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latifolia"),E239&gt;0),F239*[1]Sheet1!$C$4+E239*[1]Sheet1!$D$4+H239*[1]Sheet1!$J$4+I239*[1]Sheet1!$K$4+[1]Sheet1!$L$4,IF(AND(OR(D239="T. domingensis",D239="T. latifolia"),J239&gt;0),J239*[1]Sheet1!$G$5+K239*[1]Sheet1!$H$5+L239*[1]Sheet1!$I$5+[1]Sheet1!$L$5,0)))))))</f>
        <v>-2.0668169999999999</v>
      </c>
    </row>
    <row r="240" spans="1:15">
      <c r="A240" s="9">
        <v>41767</v>
      </c>
      <c r="B240" s="7" t="s">
        <v>26</v>
      </c>
      <c r="C240">
        <v>4</v>
      </c>
      <c r="D240" t="s">
        <v>25</v>
      </c>
      <c r="E240">
        <v>60</v>
      </c>
      <c r="F240">
        <v>2.1</v>
      </c>
      <c r="N240">
        <f>IF(OR(D240="S. acutus", D240="S. tabernaemontani", D240="S. californicus"),(1/3)*(3.14159)*((F240/2)^2)*E240,"NA")</f>
        <v>69.272059499999997</v>
      </c>
      <c r="O240">
        <f>IF(AND(OR(D240="S. acutus",D240="S. californicus",D240="S. tabernaemontani"),G240=0),E240*[1]Sheet1!$D$7+[1]Sheet1!$L$7,IF(AND(OR(D240="S. acutus",D240="S. tabernaemontani"),G240&gt;0),E240*[1]Sheet1!$D$8+N240*[1]Sheet1!$E$8,IF(AND(D240="S. californicus",G240&gt;0),E240*[1]Sheet1!$D$9+N240*[1]Sheet1!$E$9,IF(D240="S.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latifolia"),E240&gt;0),F240*[1]Sheet1!$C$4+E240*[1]Sheet1!$D$4+H240*[1]Sheet1!$J$4+I240*[1]Sheet1!$K$4+[1]Sheet1!$L$4,IF(AND(OR(D240="T. domingensis",D240="T. latifolia"),J240&gt;0),J240*[1]Sheet1!$G$5+K240*[1]Sheet1!$H$5+L240*[1]Sheet1!$I$5+[1]Sheet1!$L$5,0)))))))</f>
        <v>-0.38429700000000011</v>
      </c>
    </row>
    <row r="241" spans="1:15">
      <c r="A241" s="9">
        <v>41767</v>
      </c>
      <c r="B241" s="7" t="s">
        <v>26</v>
      </c>
      <c r="C241">
        <v>4</v>
      </c>
      <c r="D241" t="s">
        <v>25</v>
      </c>
      <c r="E241">
        <v>171</v>
      </c>
      <c r="F241">
        <v>1.96</v>
      </c>
      <c r="N241">
        <f>IF(OR(D241="S. acutus", D241="S. tabernaemontani", D241="S. californicus"),(1/3)*(3.14159)*((F241/2)^2)*E241,"NA")</f>
        <v>171.97943305199996</v>
      </c>
      <c r="O241">
        <f>IF(AND(OR(D241="S. acutus",D241="S. californicus",D241="S. tabernaemontani"),G241=0),E241*[1]Sheet1!$D$7+[1]Sheet1!$L$7,IF(AND(OR(D241="S. acutus",D241="S. tabernaemontani"),G241&gt;0),E241*[1]Sheet1!$D$8+N241*[1]Sheet1!$E$8,IF(AND(D241="S. californicus",G241&gt;0),E241*[1]Sheet1!$D$9+N241*[1]Sheet1!$E$9,IF(D241="S.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latifolia"),E241&gt;0),F241*[1]Sheet1!$C$4+E241*[1]Sheet1!$D$4+H241*[1]Sheet1!$J$4+I241*[1]Sheet1!$K$4+[1]Sheet1!$L$4,IF(AND(OR(D241="T. domingensis",D241="T. latifolia"),J241&gt;0),J241*[1]Sheet1!$G$5+K241*[1]Sheet1!$H$5+L241*[1]Sheet1!$I$5+[1]Sheet1!$L$5,0)))))))</f>
        <v>7.3973579999999997</v>
      </c>
    </row>
    <row r="242" spans="1:15">
      <c r="A242" s="9">
        <v>41767</v>
      </c>
      <c r="B242" s="7" t="s">
        <v>26</v>
      </c>
      <c r="C242">
        <v>4</v>
      </c>
      <c r="D242" t="s">
        <v>25</v>
      </c>
      <c r="E242">
        <v>75</v>
      </c>
      <c r="F242">
        <v>0.74</v>
      </c>
      <c r="N242">
        <f>IF(OR(D242="S. acutus", D242="S. tabernaemontani", D242="S. californicus"),(1/3)*(3.14159)*((F242/2)^2)*E242,"NA")</f>
        <v>10.752091774999998</v>
      </c>
      <c r="O242">
        <f>IF(AND(OR(D242="S. acutus",D242="S. californicus",D242="S. tabernaemontani"),G242=0),E242*[1]Sheet1!$D$7+[1]Sheet1!$L$7,IF(AND(OR(D242="S. acutus",D242="S. tabernaemontani"),G242&gt;0),E242*[1]Sheet1!$D$8+N242*[1]Sheet1!$E$8,IF(AND(D242="S. californicus",G242&gt;0),E242*[1]Sheet1!$D$9+N242*[1]Sheet1!$E$9,IF(D242="S.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latifolia"),E242&gt;0),F242*[1]Sheet1!$C$4+E242*[1]Sheet1!$D$4+H242*[1]Sheet1!$J$4+I242*[1]Sheet1!$K$4+[1]Sheet1!$L$4,IF(AND(OR(D242="T. domingensis",D242="T. latifolia"),J242&gt;0),J242*[1]Sheet1!$G$5+K242*[1]Sheet1!$H$5+L242*[1]Sheet1!$I$5+[1]Sheet1!$L$5,0)))))))</f>
        <v>0.66727800000000048</v>
      </c>
    </row>
    <row r="243" spans="1:15">
      <c r="A243" s="9">
        <v>41767</v>
      </c>
      <c r="B243" s="7" t="s">
        <v>26</v>
      </c>
      <c r="C243">
        <v>4</v>
      </c>
      <c r="D243" t="s">
        <v>25</v>
      </c>
      <c r="E243">
        <v>114</v>
      </c>
      <c r="F243">
        <v>1.42</v>
      </c>
      <c r="N243">
        <f>IF(OR(D243="S. acutus", D243="S. tabernaemontani", D243="S. californicus"),(1/3)*(3.14159)*((F243/2)^2)*E243,"NA")</f>
        <v>60.179669722</v>
      </c>
      <c r="O243">
        <f>IF(AND(OR(D243="S. acutus",D243="S. californicus",D243="S. tabernaemontani"),G243=0),E243*[1]Sheet1!$D$7+[1]Sheet1!$L$7,IF(AND(OR(D243="S. acutus",D243="S. tabernaemontani"),G243&gt;0),E243*[1]Sheet1!$D$8+N243*[1]Sheet1!$E$8,IF(AND(D243="S. californicus",G243&gt;0),E243*[1]Sheet1!$D$9+N243*[1]Sheet1!$E$9,IF(D243="S.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latifolia"),E243&gt;0),F243*[1]Sheet1!$C$4+E243*[1]Sheet1!$D$4+H243*[1]Sheet1!$J$4+I243*[1]Sheet1!$K$4+[1]Sheet1!$L$4,IF(AND(OR(D243="T. domingensis",D243="T. latifolia"),J243&gt;0),J243*[1]Sheet1!$G$5+K243*[1]Sheet1!$H$5+L243*[1]Sheet1!$I$5+[1]Sheet1!$L$5,0)))))))</f>
        <v>3.4013730000000004</v>
      </c>
    </row>
    <row r="244" spans="1:15">
      <c r="A244" s="9">
        <v>41767</v>
      </c>
      <c r="B244" s="7" t="s">
        <v>26</v>
      </c>
      <c r="C244">
        <v>4</v>
      </c>
      <c r="D244" t="s">
        <v>25</v>
      </c>
      <c r="E244">
        <v>134</v>
      </c>
      <c r="F244">
        <v>1.47</v>
      </c>
      <c r="N244">
        <f>IF(OR(D244="S. acutus", D244="S. tabernaemontani", D244="S. californicus"),(1/3)*(3.14159)*((F244/2)^2)*E244,"NA")</f>
        <v>75.806723779499976</v>
      </c>
      <c r="O244">
        <f>IF(AND(OR(D244="S. acutus",D244="S. californicus",D244="S. tabernaemontani"),G244=0),E244*[1]Sheet1!$D$7+[1]Sheet1!$L$7,IF(AND(OR(D244="S. acutus",D244="S. tabernaemontani"),G244&gt;0),E244*[1]Sheet1!$D$8+N244*[1]Sheet1!$E$8,IF(AND(D244="S. californicus",G244&gt;0),E244*[1]Sheet1!$D$9+N244*[1]Sheet1!$E$9,IF(D244="S.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latifolia"),E244&gt;0),F244*[1]Sheet1!$C$4+E244*[1]Sheet1!$D$4+H244*[1]Sheet1!$J$4+I244*[1]Sheet1!$K$4+[1]Sheet1!$L$4,IF(AND(OR(D244="T. domingensis",D244="T. latifolia"),J244&gt;0),J244*[1]Sheet1!$G$5+K244*[1]Sheet1!$H$5+L244*[1]Sheet1!$I$5+[1]Sheet1!$L$5,0)))))))</f>
        <v>4.8034729999999994</v>
      </c>
    </row>
    <row r="245" spans="1:15">
      <c r="A245" s="9">
        <v>41767</v>
      </c>
      <c r="B245" s="7" t="s">
        <v>26</v>
      </c>
      <c r="C245">
        <v>4</v>
      </c>
      <c r="D245" t="s">
        <v>25</v>
      </c>
      <c r="E245">
        <v>142</v>
      </c>
      <c r="F245">
        <v>1.21</v>
      </c>
      <c r="N245">
        <f>IF(OR(D245="S. acutus", D245="S. tabernaemontani", D245="S. californicus"),(1/3)*(3.14159)*((F245/2)^2)*E245,"NA")</f>
        <v>54.428622708166657</v>
      </c>
      <c r="O245">
        <f>IF(AND(OR(D245="S. acutus",D245="S. californicus",D245="S. tabernaemontani"),G245=0),E245*[1]Sheet1!$D$7+[1]Sheet1!$L$7,IF(AND(OR(D245="S. acutus",D245="S. tabernaemontani"),G245&gt;0),E245*[1]Sheet1!$D$8+N245*[1]Sheet1!$E$8,IF(AND(D245="S. californicus",G245&gt;0),E245*[1]Sheet1!$D$9+N245*[1]Sheet1!$E$9,IF(D245="S.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latifolia"),E245&gt;0),F245*[1]Sheet1!$C$4+E245*[1]Sheet1!$D$4+H245*[1]Sheet1!$J$4+I245*[1]Sheet1!$K$4+[1]Sheet1!$L$4,IF(AND(OR(D245="T. domingensis",D245="T. latifolia"),J245&gt;0),J245*[1]Sheet1!$G$5+K245*[1]Sheet1!$H$5+L245*[1]Sheet1!$I$5+[1]Sheet1!$L$5,0)))))))</f>
        <v>5.3643130000000001</v>
      </c>
    </row>
    <row r="246" spans="1:15">
      <c r="A246" s="9">
        <v>41767</v>
      </c>
      <c r="B246" s="7" t="s">
        <v>26</v>
      </c>
      <c r="C246">
        <v>4</v>
      </c>
      <c r="D246" t="s">
        <v>25</v>
      </c>
      <c r="E246">
        <v>149</v>
      </c>
      <c r="F246">
        <v>1.29</v>
      </c>
      <c r="N246">
        <f>IF(OR(D246="S. acutus", D246="S. tabernaemontani", D246="S. californicus"),(1/3)*(3.14159)*((F246/2)^2)*E246,"NA")</f>
        <v>64.913338994249997</v>
      </c>
      <c r="O246">
        <f>IF(AND(OR(D246="S. acutus",D246="S. californicus",D246="S. tabernaemontani"),G246=0),E246*[1]Sheet1!$D$7+[1]Sheet1!$L$7,IF(AND(OR(D246="S. acutus",D246="S. tabernaemontani"),G246&gt;0),E246*[1]Sheet1!$D$8+N246*[1]Sheet1!$E$8,IF(AND(D246="S. californicus",G246&gt;0),E246*[1]Sheet1!$D$9+N246*[1]Sheet1!$E$9,IF(D246="S.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latifolia"),E246&gt;0),F246*[1]Sheet1!$C$4+E246*[1]Sheet1!$D$4+H246*[1]Sheet1!$J$4+I246*[1]Sheet1!$K$4+[1]Sheet1!$L$4,IF(AND(OR(D246="T. domingensis",D246="T. latifolia"),J246&gt;0),J246*[1]Sheet1!$G$5+K246*[1]Sheet1!$H$5+L246*[1]Sheet1!$I$5+[1]Sheet1!$L$5,0)))))))</f>
        <v>5.8550480000000009</v>
      </c>
    </row>
    <row r="247" spans="1:15">
      <c r="A247" s="9">
        <v>41767</v>
      </c>
      <c r="B247" s="7" t="s">
        <v>26</v>
      </c>
      <c r="C247">
        <v>4</v>
      </c>
      <c r="D247" t="s">
        <v>25</v>
      </c>
      <c r="E247">
        <v>48</v>
      </c>
      <c r="F247">
        <v>2.68</v>
      </c>
      <c r="N247">
        <f>IF(OR(D247="S. acutus", D247="S. tabernaemontani", D247="S. californicus"),(1/3)*(3.14159)*((F247/2)^2)*E247,"NA")</f>
        <v>90.256624063999993</v>
      </c>
      <c r="O247">
        <f>IF(AND(OR(D247="S. acutus",D247="S. californicus",D247="S. tabernaemontani"),G247=0),E247*[1]Sheet1!$D$7+[1]Sheet1!$L$7,IF(AND(OR(D247="S. acutus",D247="S. tabernaemontani"),G247&gt;0),E247*[1]Sheet1!$D$8+N247*[1]Sheet1!$E$8,IF(AND(D247="S. californicus",G247&gt;0),E247*[1]Sheet1!$D$9+N247*[1]Sheet1!$E$9,IF(D247="S.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latifolia"),E247&gt;0),F247*[1]Sheet1!$C$4+E247*[1]Sheet1!$D$4+H247*[1]Sheet1!$J$4+I247*[1]Sheet1!$K$4+[1]Sheet1!$L$4,IF(AND(OR(D247="T. domingensis",D247="T. latifolia"),J247&gt;0),J247*[1]Sheet1!$G$5+K247*[1]Sheet1!$H$5+L247*[1]Sheet1!$I$5+[1]Sheet1!$L$5,0)))))))</f>
        <v>-1.2255569999999998</v>
      </c>
    </row>
    <row r="248" spans="1:15">
      <c r="A248" s="9">
        <v>41767</v>
      </c>
      <c r="B248" s="7" t="s">
        <v>26</v>
      </c>
      <c r="C248">
        <v>9</v>
      </c>
      <c r="D248" t="s">
        <v>25</v>
      </c>
      <c r="E248">
        <v>81</v>
      </c>
      <c r="F248">
        <v>1.23</v>
      </c>
      <c r="N248">
        <f>IF(OR(D248="S. acutus", D248="S. tabernaemontani", D248="S. californicus"),(1/3)*(3.14159)*((F248/2)^2)*E248,"NA")</f>
        <v>32.082152699249995</v>
      </c>
      <c r="O248">
        <f>IF(AND(OR(D248="S. acutus",D248="S. californicus",D248="S. tabernaemontani"),G248=0),E248*[1]Sheet1!$D$7+[1]Sheet1!$L$7,IF(AND(OR(D248="S. acutus",D248="S. tabernaemontani"),G248&gt;0),E248*[1]Sheet1!$D$8+N248*[1]Sheet1!$E$8,IF(AND(D248="S. californicus",G248&gt;0),E248*[1]Sheet1!$D$9+N248*[1]Sheet1!$E$9,IF(D248="S.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latifolia"),E248&gt;0),F248*[1]Sheet1!$C$4+E248*[1]Sheet1!$D$4+H248*[1]Sheet1!$J$4+I248*[1]Sheet1!$K$4+[1]Sheet1!$L$4,IF(AND(OR(D248="T. domingensis",D248="T. latifolia"),J248&gt;0),J248*[1]Sheet1!$G$5+K248*[1]Sheet1!$H$5+L248*[1]Sheet1!$I$5+[1]Sheet1!$L$5,0)))))))</f>
        <v>1.0879080000000005</v>
      </c>
    </row>
    <row r="249" spans="1:15">
      <c r="A249" s="9">
        <v>41767</v>
      </c>
      <c r="B249" s="7" t="s">
        <v>26</v>
      </c>
      <c r="C249">
        <v>9</v>
      </c>
      <c r="D249" t="s">
        <v>25</v>
      </c>
      <c r="E249">
        <v>97</v>
      </c>
      <c r="F249">
        <v>1.03</v>
      </c>
      <c r="G249">
        <v>8</v>
      </c>
      <c r="N249">
        <f>IF(OR(D249="S. acutus", D249="S. tabernaemontani", D249="S. californicus"),(1/3)*(3.14159)*((F249/2)^2)*E249,"NA")</f>
        <v>26.941045383916666</v>
      </c>
      <c r="O249">
        <f>IF(AND(OR(D249="S. acutus",D249="S. californicus",D249="S. tabernaemontani"),G249=0),E249*[1]Sheet1!$D$7+[1]Sheet1!$L$7,IF(AND(OR(D249="S. acutus",D249="S. tabernaemontani"),G249&gt;0),E249*[1]Sheet1!$D$8+N249*[1]Sheet1!$E$8,IF(AND(D249="S. californicus",G249&gt;0),E249*[1]Sheet1!$D$9+N249*[1]Sheet1!$E$9,IF(D249="S.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latifolia"),E249&gt;0),F249*[1]Sheet1!$C$4+E249*[1]Sheet1!$D$4+H249*[1]Sheet1!$J$4+I249*[1]Sheet1!$K$4+[1]Sheet1!$L$4,IF(AND(OR(D249="T. domingensis",D249="T. latifolia"),J249&gt;0),J249*[1]Sheet1!$G$5+K249*[1]Sheet1!$H$5+L249*[1]Sheet1!$I$5+[1]Sheet1!$L$5,0)))))))</f>
        <v>3.9296770514720096</v>
      </c>
    </row>
    <row r="250" spans="1:15">
      <c r="A250" s="9">
        <v>41767</v>
      </c>
      <c r="B250" s="7" t="s">
        <v>26</v>
      </c>
      <c r="C250">
        <v>9</v>
      </c>
      <c r="D250" t="s">
        <v>25</v>
      </c>
      <c r="E250">
        <v>120</v>
      </c>
      <c r="F250">
        <v>1.34</v>
      </c>
      <c r="G250">
        <v>7</v>
      </c>
      <c r="N250">
        <f>IF(OR(D250="S. acutus", D250="S. tabernaemontani", D250="S. californicus"),(1/3)*(3.14159)*((F250/2)^2)*E250,"NA")</f>
        <v>56.410390040000003</v>
      </c>
      <c r="O250">
        <f>IF(AND(OR(D250="S. acutus",D250="S. californicus",D250="S. tabernaemontani"),G250=0),E250*[1]Sheet1!$D$7+[1]Sheet1!$L$7,IF(AND(OR(D250="S. acutus",D250="S. tabernaemontani"),G250&gt;0),E250*[1]Sheet1!$D$8+N250*[1]Sheet1!$E$8,IF(AND(D250="S. californicus",G250&gt;0),E250*[1]Sheet1!$D$9+N250*[1]Sheet1!$E$9,IF(D250="S.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latifolia"),E250&gt;0),F250*[1]Sheet1!$C$4+E250*[1]Sheet1!$D$4+H250*[1]Sheet1!$J$4+I250*[1]Sheet1!$K$4+[1]Sheet1!$L$4,IF(AND(OR(D250="T. domingensis",D250="T. latifolia"),J250&gt;0),J250*[1]Sheet1!$G$5+K250*[1]Sheet1!$H$5+L250*[1]Sheet1!$I$5+[1]Sheet1!$L$5,0)))))))</f>
        <v>6.192644835166961</v>
      </c>
    </row>
    <row r="251" spans="1:15">
      <c r="A251" s="9">
        <v>41767</v>
      </c>
      <c r="B251" s="7" t="s">
        <v>26</v>
      </c>
      <c r="C251">
        <v>9</v>
      </c>
      <c r="D251" t="s">
        <v>25</v>
      </c>
      <c r="E251">
        <v>117</v>
      </c>
      <c r="F251">
        <v>0.11</v>
      </c>
      <c r="G251">
        <v>11</v>
      </c>
      <c r="N251">
        <f>IF(OR(D251="S. acutus", D251="S. tabernaemontani", D251="S. californicus"),(1/3)*(3.14159)*((F251/2)^2)*E251,"NA")</f>
        <v>0.37062908024999996</v>
      </c>
      <c r="O251">
        <f>IF(AND(OR(D251="S. acutus",D251="S. californicus",D251="S. tabernaemontani"),G251=0),E251*[1]Sheet1!$D$7+[1]Sheet1!$L$7,IF(AND(OR(D251="S. acutus",D251="S. tabernaemontani"),G251&gt;0),E251*[1]Sheet1!$D$8+N251*[1]Sheet1!$E$8,IF(AND(D251="S. californicus",G251&gt;0),E251*[1]Sheet1!$D$9+N251*[1]Sheet1!$E$9,IF(D251="S.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latifolia"),E251&gt;0),F251*[1]Sheet1!$C$4+E251*[1]Sheet1!$D$4+H251*[1]Sheet1!$J$4+I251*[1]Sheet1!$K$4+[1]Sheet1!$L$4,IF(AND(OR(D251="T. domingensis",D251="T. latifolia"),J251&gt;0),J251*[1]Sheet1!$G$5+K251*[1]Sheet1!$H$5+L251*[1]Sheet1!$I$5+[1]Sheet1!$L$5,0)))))))</f>
        <v>2.8871268615743384</v>
      </c>
    </row>
    <row r="252" spans="1:15">
      <c r="A252" s="9">
        <v>41767</v>
      </c>
      <c r="B252" s="7" t="s">
        <v>26</v>
      </c>
      <c r="C252">
        <v>9</v>
      </c>
      <c r="D252" t="s">
        <v>25</v>
      </c>
      <c r="E252">
        <v>234</v>
      </c>
      <c r="F252">
        <v>2.12</v>
      </c>
      <c r="G252">
        <v>1</v>
      </c>
      <c r="N252">
        <f>IF(OR(D252="S. acutus", D252="S. tabernaemontani", D252="S. californicus"),(1/3)*(3.14159)*((F252/2)^2)*E252,"NA")</f>
        <v>275.33146087200004</v>
      </c>
      <c r="O252">
        <f>IF(AND(OR(D252="S. acutus",D252="S. californicus",D252="S. tabernaemontani"),G252=0),E252*[1]Sheet1!$D$7+[1]Sheet1!$L$7,IF(AND(OR(D252="S. acutus",D252="S. tabernaemontani"),G252&gt;0),E252*[1]Sheet1!$D$8+N252*[1]Sheet1!$E$8,IF(AND(D252="S. californicus",G252&gt;0),E252*[1]Sheet1!$D$9+N252*[1]Sheet1!$E$9,IF(D252="S.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latifolia"),E252&gt;0),F252*[1]Sheet1!$C$4+E252*[1]Sheet1!$D$4+H252*[1]Sheet1!$J$4+I252*[1]Sheet1!$K$4+[1]Sheet1!$L$4,IF(AND(OR(D252="T. domingensis",D252="T. latifolia"),J252&gt;0),J252*[1]Sheet1!$G$5+K252*[1]Sheet1!$H$5+L252*[1]Sheet1!$I$5+[1]Sheet1!$L$5,0)))))))</f>
        <v>21.610969074331731</v>
      </c>
    </row>
    <row r="253" spans="1:15">
      <c r="A253" s="9">
        <v>41767</v>
      </c>
      <c r="B253" s="7" t="s">
        <v>26</v>
      </c>
      <c r="C253">
        <v>9</v>
      </c>
      <c r="D253" t="s">
        <v>25</v>
      </c>
      <c r="E253">
        <v>95</v>
      </c>
      <c r="F253">
        <v>1.44</v>
      </c>
      <c r="N253">
        <f>IF(OR(D253="S. acutus", D253="S. tabernaemontani", D253="S. californicus"),(1/3)*(3.14159)*((F253/2)^2)*E253,"NA")</f>
        <v>51.572341439999988</v>
      </c>
      <c r="O253">
        <f>IF(AND(OR(D253="S. acutus",D253="S. californicus",D253="S. tabernaemontani"),G253=0),E253*[1]Sheet1!$D$7+[1]Sheet1!$L$7,IF(AND(OR(D253="S. acutus",D253="S. tabernaemontani"),G253&gt;0),E253*[1]Sheet1!$D$8+N253*[1]Sheet1!$E$8,IF(AND(D253="S. californicus",G253&gt;0),E253*[1]Sheet1!$D$9+N253*[1]Sheet1!$E$9,IF(D253="S.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latifolia"),E253&gt;0),F253*[1]Sheet1!$C$4+E253*[1]Sheet1!$D$4+H253*[1]Sheet1!$J$4+I253*[1]Sheet1!$K$4+[1]Sheet1!$L$4,IF(AND(OR(D253="T. domingensis",D253="T. latifolia"),J253&gt;0),J253*[1]Sheet1!$G$5+K253*[1]Sheet1!$H$5+L253*[1]Sheet1!$I$5+[1]Sheet1!$L$5,0)))))))</f>
        <v>2.0693780000000004</v>
      </c>
    </row>
    <row r="254" spans="1:15">
      <c r="A254" s="9">
        <v>41767</v>
      </c>
      <c r="B254" s="7" t="s">
        <v>26</v>
      </c>
      <c r="C254">
        <v>9</v>
      </c>
      <c r="D254" t="s">
        <v>25</v>
      </c>
      <c r="E254">
        <v>100</v>
      </c>
      <c r="F254">
        <v>0.75</v>
      </c>
      <c r="N254">
        <f>IF(OR(D254="S. acutus", D254="S. tabernaemontani", D254="S. californicus"),(1/3)*(3.14159)*((F254/2)^2)*E254,"NA")</f>
        <v>14.726203124999998</v>
      </c>
      <c r="O254">
        <f>IF(AND(OR(D254="S. acutus",D254="S. californicus",D254="S. tabernaemontani"),G254=0),E254*[1]Sheet1!$D$7+[1]Sheet1!$L$7,IF(AND(OR(D254="S. acutus",D254="S. tabernaemontani"),G254&gt;0),E254*[1]Sheet1!$D$8+N254*[1]Sheet1!$E$8,IF(AND(D254="S. californicus",G254&gt;0),E254*[1]Sheet1!$D$9+N254*[1]Sheet1!$E$9,IF(D254="S.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latifolia"),E254&gt;0),F254*[1]Sheet1!$C$4+E254*[1]Sheet1!$D$4+H254*[1]Sheet1!$J$4+I254*[1]Sheet1!$K$4+[1]Sheet1!$L$4,IF(AND(OR(D254="T. domingensis",D254="T. latifolia"),J254&gt;0),J254*[1]Sheet1!$G$5+K254*[1]Sheet1!$H$5+L254*[1]Sheet1!$I$5+[1]Sheet1!$L$5,0)))))))</f>
        <v>2.4199030000000006</v>
      </c>
    </row>
    <row r="255" spans="1:15">
      <c r="A255" s="9">
        <v>41767</v>
      </c>
      <c r="B255" s="7" t="s">
        <v>26</v>
      </c>
      <c r="C255">
        <v>9</v>
      </c>
      <c r="D255" t="s">
        <v>25</v>
      </c>
      <c r="E255">
        <v>143</v>
      </c>
      <c r="F255">
        <v>1.51</v>
      </c>
      <c r="N255">
        <f>IF(OR(D255="S. acutus", D255="S. tabernaemontani", D255="S. californicus"),(1/3)*(3.14159)*((F255/2)^2)*E255,"NA")</f>
        <v>85.360744028083332</v>
      </c>
      <c r="O255">
        <f>IF(AND(OR(D255="S. acutus",D255="S. californicus",D255="S. tabernaemontani"),G255=0),E255*[1]Sheet1!$D$7+[1]Sheet1!$L$7,IF(AND(OR(D255="S. acutus",D255="S. tabernaemontani"),G255&gt;0),E255*[1]Sheet1!$D$8+N255*[1]Sheet1!$E$8,IF(AND(D255="S. californicus",G255&gt;0),E255*[1]Sheet1!$D$9+N255*[1]Sheet1!$E$9,IF(D255="S.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latifolia"),E255&gt;0),F255*[1]Sheet1!$C$4+E255*[1]Sheet1!$D$4+H255*[1]Sheet1!$J$4+I255*[1]Sheet1!$K$4+[1]Sheet1!$L$4,IF(AND(OR(D255="T. domingensis",D255="T. latifolia"),J255&gt;0),J255*[1]Sheet1!$G$5+K255*[1]Sheet1!$H$5+L255*[1]Sheet1!$I$5+[1]Sheet1!$L$5,0)))))))</f>
        <v>5.434418</v>
      </c>
    </row>
    <row r="256" spans="1:15">
      <c r="A256" s="9">
        <v>41767</v>
      </c>
      <c r="B256" s="7" t="s">
        <v>26</v>
      </c>
      <c r="C256">
        <v>9</v>
      </c>
      <c r="D256" t="s">
        <v>25</v>
      </c>
      <c r="E256">
        <v>51</v>
      </c>
      <c r="F256">
        <v>0.53</v>
      </c>
      <c r="N256">
        <f>IF(OR(D256="S. acutus", D256="S. tabernaemontani", D256="S. californicus"),(1/3)*(3.14159)*((F256/2)^2)*E256,"NA")</f>
        <v>3.7505086817500004</v>
      </c>
      <c r="O256">
        <f>IF(AND(OR(D256="S. acutus",D256="S. californicus",D256="S. tabernaemontani"),G256=0),E256*[1]Sheet1!$D$7+[1]Sheet1!$L$7,IF(AND(OR(D256="S. acutus",D256="S. tabernaemontani"),G256&gt;0),E256*[1]Sheet1!$D$8+N256*[1]Sheet1!$E$8,IF(AND(D256="S. californicus",G256&gt;0),E256*[1]Sheet1!$D$9+N256*[1]Sheet1!$E$9,IF(D256="S.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latifolia"),E256&gt;0),F256*[1]Sheet1!$C$4+E256*[1]Sheet1!$D$4+H256*[1]Sheet1!$J$4+I256*[1]Sheet1!$K$4+[1]Sheet1!$L$4,IF(AND(OR(D256="T. domingensis",D256="T. latifolia"),J256&gt;0),J256*[1]Sheet1!$G$5+K256*[1]Sheet1!$H$5+L256*[1]Sheet1!$I$5+[1]Sheet1!$L$5,0)))))))</f>
        <v>-1.0152419999999998</v>
      </c>
    </row>
    <row r="257" spans="1:15">
      <c r="A257" s="9">
        <v>41767</v>
      </c>
      <c r="B257" s="7" t="s">
        <v>26</v>
      </c>
      <c r="C257">
        <v>9</v>
      </c>
      <c r="D257" t="s">
        <v>25</v>
      </c>
      <c r="E257">
        <v>155</v>
      </c>
      <c r="F257">
        <v>0.6</v>
      </c>
      <c r="G257">
        <v>5</v>
      </c>
      <c r="N257">
        <f>IF(OR(D257="S. acutus", D257="S. tabernaemontani", D257="S. californicus"),(1/3)*(3.14159)*((F257/2)^2)*E257,"NA")</f>
        <v>14.608393499999998</v>
      </c>
      <c r="O257">
        <f>IF(AND(OR(D257="S. acutus",D257="S. californicus",D257="S. tabernaemontani"),G257=0),E257*[1]Sheet1!$D$7+[1]Sheet1!$L$7,IF(AND(OR(D257="S. acutus",D257="S. tabernaemontani"),G257&gt;0),E257*[1]Sheet1!$D$8+N257*[1]Sheet1!$E$8,IF(AND(D257="S. californicus",G257&gt;0),E257*[1]Sheet1!$D$9+N257*[1]Sheet1!$E$9,IF(D257="S.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latifolia"),E257&gt;0),F257*[1]Sheet1!$C$4+E257*[1]Sheet1!$D$4+H257*[1]Sheet1!$J$4+I257*[1]Sheet1!$K$4+[1]Sheet1!$L$4,IF(AND(OR(D257="T. domingensis",D257="T. latifolia"),J257&gt;0),J257*[1]Sheet1!$G$5+K257*[1]Sheet1!$H$5+L257*[1]Sheet1!$I$5+[1]Sheet1!$L$5,0)))))))</f>
        <v>4.6390324867190005</v>
      </c>
    </row>
    <row r="258" spans="1:15">
      <c r="A258" s="9">
        <v>41767</v>
      </c>
      <c r="B258" s="7" t="s">
        <v>26</v>
      </c>
      <c r="C258">
        <v>9</v>
      </c>
      <c r="D258" t="s">
        <v>25</v>
      </c>
      <c r="E258">
        <v>32</v>
      </c>
      <c r="F258">
        <v>0.38</v>
      </c>
      <c r="N258">
        <f>IF(OR(D258="S. acutus", D258="S. tabernaemontani", D258="S. californicus"),(1/3)*(3.14159)*((F258/2)^2)*E258,"NA")</f>
        <v>1.2097215893333333</v>
      </c>
      <c r="O258">
        <f>IF(AND(OR(D258="S. acutus",D258="S. californicus",D258="S. tabernaemontani"),G258=0),E258*[1]Sheet1!$D$7+[1]Sheet1!$L$7,IF(AND(OR(D258="S. acutus",D258="S. tabernaemontani"),G258&gt;0),E258*[1]Sheet1!$D$8+N258*[1]Sheet1!$E$8,IF(AND(D258="S. californicus",G258&gt;0),E258*[1]Sheet1!$D$9+N258*[1]Sheet1!$E$9,IF(D258="S.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latifolia"),E258&gt;0),F258*[1]Sheet1!$C$4+E258*[1]Sheet1!$D$4+H258*[1]Sheet1!$J$4+I258*[1]Sheet1!$K$4+[1]Sheet1!$L$4,IF(AND(OR(D258="T. domingensis",D258="T. latifolia"),J258&gt;0),J258*[1]Sheet1!$G$5+K258*[1]Sheet1!$H$5+L258*[1]Sheet1!$I$5+[1]Sheet1!$L$5,0)))))))</f>
        <v>-2.3472369999999998</v>
      </c>
    </row>
    <row r="259" spans="1:15">
      <c r="A259" s="9">
        <v>41767</v>
      </c>
      <c r="B259" s="7" t="s">
        <v>26</v>
      </c>
      <c r="C259">
        <v>9</v>
      </c>
      <c r="D259" t="s">
        <v>25</v>
      </c>
      <c r="E259">
        <v>177</v>
      </c>
      <c r="F259">
        <v>1.1599999999999999</v>
      </c>
      <c r="G259">
        <v>9</v>
      </c>
      <c r="N259">
        <f>IF(OR(D259="S. acutus", D259="S. tabernaemontani", D259="S. californicus"),(1/3)*(3.14159)*((F259/2)^2)*E259,"NA")</f>
        <v>62.353021683999984</v>
      </c>
      <c r="O259">
        <f>IF(AND(OR(D259="S. acutus",D259="S. californicus",D259="S. tabernaemontani"),G259=0),E259*[1]Sheet1!$D$7+[1]Sheet1!$L$7,IF(AND(OR(D259="S. acutus",D259="S. tabernaemontani"),G259&gt;0),E259*[1]Sheet1!$D$8+N259*[1]Sheet1!$E$8,IF(AND(D259="S. californicus",G259&gt;0),E259*[1]Sheet1!$D$9+N259*[1]Sheet1!$E$9,IF(D259="S.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latifolia"),E259&gt;0),F259*[1]Sheet1!$C$4+E259*[1]Sheet1!$D$4+H259*[1]Sheet1!$J$4+I259*[1]Sheet1!$K$4+[1]Sheet1!$L$4,IF(AND(OR(D259="T. domingensis",D259="T. latifolia"),J259&gt;0),J259*[1]Sheet1!$G$5+K259*[1]Sheet1!$H$5+L259*[1]Sheet1!$I$5+[1]Sheet1!$L$5,0)))))))</f>
        <v>7.9315153726030161</v>
      </c>
    </row>
    <row r="260" spans="1:15">
      <c r="A260" s="9">
        <v>41767</v>
      </c>
      <c r="B260" s="7" t="s">
        <v>26</v>
      </c>
      <c r="C260">
        <v>9</v>
      </c>
      <c r="D260" t="s">
        <v>23</v>
      </c>
      <c r="F260">
        <v>2.62</v>
      </c>
      <c r="J260">
        <f>87+112+121+145+152+170+173</f>
        <v>960</v>
      </c>
      <c r="K260">
        <v>7</v>
      </c>
      <c r="L260">
        <v>173</v>
      </c>
      <c r="N260" t="str">
        <f>IF(OR(D260="S. acutus", D260="S. tabernaemontani", D260="S. californicus"),(1/3)*(3.14159)*((F260/2)^2)*E260,"NA")</f>
        <v>NA</v>
      </c>
      <c r="O260">
        <f>IF(AND(OR(D260="S. acutus",D260="S. californicus",D260="S. tabernaemontani"),G260=0),E260*[1]Sheet1!$D$7+[1]Sheet1!$L$7,IF(AND(OR(D260="S. acutus",D260="S. tabernaemontani"),G260&gt;0),E260*[1]Sheet1!$D$8+N260*[1]Sheet1!$E$8,IF(AND(D260="S. californicus",G260&gt;0),E260*[1]Sheet1!$D$9+N260*[1]Sheet1!$E$9,IF(D260="S.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latifolia"),E260&gt;0),F260*[1]Sheet1!$C$4+E260*[1]Sheet1!$D$4+H260*[1]Sheet1!$J$4+I260*[1]Sheet1!$K$4+[1]Sheet1!$L$4,IF(AND(OR(D260="T. domingensis",D260="T. latifolia"),J260&gt;0),J260*[1]Sheet1!$G$5+K260*[1]Sheet1!$H$5+L260*[1]Sheet1!$I$5+[1]Sheet1!$L$5,0)))))))</f>
        <v>21.769928000000007</v>
      </c>
    </row>
    <row r="261" spans="1:15">
      <c r="A261" s="9">
        <v>41767</v>
      </c>
      <c r="B261" s="7" t="s">
        <v>26</v>
      </c>
      <c r="C261">
        <v>9</v>
      </c>
      <c r="D261" t="s">
        <v>19</v>
      </c>
      <c r="F261">
        <v>1.4</v>
      </c>
      <c r="J261">
        <f>35+40+59+64</f>
        <v>198</v>
      </c>
      <c r="K261">
        <v>4</v>
      </c>
      <c r="L261">
        <v>64</v>
      </c>
      <c r="N261" t="str">
        <f>IF(OR(D261="S. acutus", D261="S. tabernaemontani", D261="S. californicus"),(1/3)*(3.14159)*((F261/2)^2)*E261,"NA")</f>
        <v>NA</v>
      </c>
      <c r="O261">
        <f>IF(AND(OR(D261="S. acutus",D261="S. californicus",D261="S. tabernaemontani"),G261=0),E261*[1]Sheet1!$D$7+[1]Sheet1!$L$7,IF(AND(OR(D261="S. acutus",D261="S. tabernaemontani"),G261&gt;0),E261*[1]Sheet1!$D$8+N261*[1]Sheet1!$E$8,IF(AND(D261="S. californicus",G261&gt;0),E261*[1]Sheet1!$D$9+N261*[1]Sheet1!$E$9,IF(D261="S.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latifolia"),E261&gt;0),F261*[1]Sheet1!$C$4+E261*[1]Sheet1!$D$4+H261*[1]Sheet1!$J$4+I261*[1]Sheet1!$K$4+[1]Sheet1!$L$4,IF(AND(OR(D261="T. domingensis",D261="T. latifolia"),J261&gt;0),J261*[1]Sheet1!$G$5+K261*[1]Sheet1!$H$5+L261*[1]Sheet1!$I$5+[1]Sheet1!$L$5,0)))))))</f>
        <v>4.231382</v>
      </c>
    </row>
    <row r="262" spans="1:15">
      <c r="A262" s="9">
        <v>41767</v>
      </c>
      <c r="B262" s="7" t="s">
        <v>26</v>
      </c>
      <c r="C262">
        <v>9</v>
      </c>
      <c r="D262" t="s">
        <v>19</v>
      </c>
      <c r="F262">
        <v>1.0900000000000001</v>
      </c>
      <c r="J262">
        <f>49+53+68+72</f>
        <v>242</v>
      </c>
      <c r="K262">
        <v>4</v>
      </c>
      <c r="L262">
        <v>72</v>
      </c>
      <c r="N262" t="str">
        <f>IF(OR(D262="S. acutus", D262="S. tabernaemontani", D262="S. californicus"),(1/3)*(3.14159)*((F262/2)^2)*E262,"NA")</f>
        <v>NA</v>
      </c>
      <c r="O262">
        <f>IF(AND(OR(D262="S. acutus",D262="S. californicus",D262="S. tabernaemontani"),G262=0),E262*[1]Sheet1!$D$7+[1]Sheet1!$L$7,IF(AND(OR(D262="S. acutus",D262="S. tabernaemontani"),G262&gt;0),E262*[1]Sheet1!$D$8+N262*[1]Sheet1!$E$8,IF(AND(D262="S. californicus",G262&gt;0),E262*[1]Sheet1!$D$9+N262*[1]Sheet1!$E$9,IF(D262="S.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latifolia"),E262&gt;0),F262*[1]Sheet1!$C$4+E262*[1]Sheet1!$D$4+H262*[1]Sheet1!$J$4+I262*[1]Sheet1!$K$4+[1]Sheet1!$L$4,IF(AND(OR(D262="T. domingensis",D262="T. latifolia"),J262&gt;0),J262*[1]Sheet1!$G$5+K262*[1]Sheet1!$H$5+L262*[1]Sheet1!$I$5+[1]Sheet1!$L$5,0)))))))</f>
        <v>5.9466420000000006</v>
      </c>
    </row>
    <row r="263" spans="1:15">
      <c r="A263" s="10">
        <v>41767</v>
      </c>
      <c r="B263" s="7" t="s">
        <v>26</v>
      </c>
      <c r="C263">
        <v>22</v>
      </c>
      <c r="D263" t="s">
        <v>20</v>
      </c>
      <c r="E263">
        <v>25</v>
      </c>
      <c r="F263">
        <v>0.56000000000000005</v>
      </c>
      <c r="N263">
        <f>IF(OR(D263="S. acutus", D263="S. tabernaemontani", D263="S. californicus"),(1/3)*(3.14159)*((F263/2)^2)*E263,"NA")</f>
        <v>2.0525054666666667</v>
      </c>
      <c r="O263">
        <f>IF(AND(OR(D263="S. acutus",D263="S. californicus",D263="S. tabernaemontani"),G263=0),E263*[1]Sheet1!$D$7+[1]Sheet1!$L$7,IF(AND(OR(D263="S. acutus",D263="S. tabernaemontani"),G263&gt;0),E263*[1]Sheet1!$D$8+N263*[1]Sheet1!$E$8,IF(AND(D263="S. californicus",G263&gt;0),E263*[1]Sheet1!$D$9+N263*[1]Sheet1!$E$9,IF(D263="S.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latifolia"),E263&gt;0),F263*[1]Sheet1!$C$4+E263*[1]Sheet1!$D$4+H263*[1]Sheet1!$J$4+I263*[1]Sheet1!$K$4+[1]Sheet1!$L$4,IF(AND(OR(D263="T. domingensis",D263="T. latifolia"),J263&gt;0),J263*[1]Sheet1!$G$5+K263*[1]Sheet1!$H$5+L263*[1]Sheet1!$I$5+[1]Sheet1!$L$5,0)))))))</f>
        <v>-2.8379719999999997</v>
      </c>
    </row>
    <row r="264" spans="1:15">
      <c r="A264" s="10">
        <v>41767</v>
      </c>
      <c r="B264" s="7" t="s">
        <v>26</v>
      </c>
      <c r="C264">
        <v>22</v>
      </c>
      <c r="D264" t="s">
        <v>20</v>
      </c>
      <c r="E264">
        <v>97</v>
      </c>
      <c r="F264">
        <v>1.02</v>
      </c>
      <c r="N264">
        <f>IF(OR(D264="S. acutus", D264="S. tabernaemontani", D264="S. californicus"),(1/3)*(3.14159)*((F264/2)^2)*E264,"NA")</f>
        <v>26.420457740999996</v>
      </c>
      <c r="O264">
        <f>IF(AND(OR(D264="S. acutus",D264="S. californicus",D264="S. tabernaemontani"),G264=0),E264*[1]Sheet1!$D$7+[1]Sheet1!$L$7,IF(AND(OR(D264="S. acutus",D264="S. tabernaemontani"),G264&gt;0),E264*[1]Sheet1!$D$8+N264*[1]Sheet1!$E$8,IF(AND(D264="S. californicus",G264&gt;0),E264*[1]Sheet1!$D$9+N264*[1]Sheet1!$E$9,IF(D264="S.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latifolia"),E264&gt;0),F264*[1]Sheet1!$C$4+E264*[1]Sheet1!$D$4+H264*[1]Sheet1!$J$4+I264*[1]Sheet1!$K$4+[1]Sheet1!$L$4,IF(AND(OR(D264="T. domingensis",D264="T. latifolia"),J264&gt;0),J264*[1]Sheet1!$G$5+K264*[1]Sheet1!$H$5+L264*[1]Sheet1!$I$5+[1]Sheet1!$L$5,0)))))))</f>
        <v>2.2095880000000001</v>
      </c>
    </row>
    <row r="265" spans="1:15">
      <c r="A265" s="10">
        <v>41767</v>
      </c>
      <c r="B265" s="7" t="s">
        <v>26</v>
      </c>
      <c r="C265">
        <v>22</v>
      </c>
      <c r="D265" t="s">
        <v>20</v>
      </c>
      <c r="E265">
        <v>126</v>
      </c>
      <c r="F265">
        <v>1.07</v>
      </c>
      <c r="N265">
        <f>IF(OR(D265="S. acutus", D265="S. tabernaemontani", D265="S. californicus"),(1/3)*(3.14159)*((F265/2)^2)*E265,"NA")</f>
        <v>37.766467105499991</v>
      </c>
      <c r="O265">
        <f>IF(AND(OR(D265="S. acutus",D265="S. californicus",D265="S. tabernaemontani"),G265=0),E265*[1]Sheet1!$D$7+[1]Sheet1!$L$7,IF(AND(OR(D265="S. acutus",D265="S. tabernaemontani"),G265&gt;0),E265*[1]Sheet1!$D$8+N265*[1]Sheet1!$E$8,IF(AND(D265="S. californicus",G265&gt;0),E265*[1]Sheet1!$D$9+N265*[1]Sheet1!$E$9,IF(D265="S.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latifolia"),E265&gt;0),F265*[1]Sheet1!$C$4+E265*[1]Sheet1!$D$4+H265*[1]Sheet1!$J$4+I265*[1]Sheet1!$K$4+[1]Sheet1!$L$4,IF(AND(OR(D265="T. domingensis",D265="T. latifolia"),J265&gt;0),J265*[1]Sheet1!$G$5+K265*[1]Sheet1!$H$5+L265*[1]Sheet1!$I$5+[1]Sheet1!$L$5,0)))))))</f>
        <v>4.2426330000000005</v>
      </c>
    </row>
    <row r="266" spans="1:15">
      <c r="A266" s="10">
        <v>41767</v>
      </c>
      <c r="B266" s="7" t="s">
        <v>26</v>
      </c>
      <c r="C266">
        <v>22</v>
      </c>
      <c r="D266" t="s">
        <v>20</v>
      </c>
      <c r="E266">
        <v>101</v>
      </c>
      <c r="F266">
        <v>1.05</v>
      </c>
      <c r="N266">
        <f>IF(OR(D266="S. acutus", D266="S. tabernaemontani", D266="S. californicus"),(1/3)*(3.14159)*((F266/2)^2)*E266,"NA")</f>
        <v>29.151991706249998</v>
      </c>
      <c r="O266">
        <f>IF(AND(OR(D266="S. acutus",D266="S. californicus",D266="S. tabernaemontani"),G266=0),E266*[1]Sheet1!$D$7+[1]Sheet1!$L$7,IF(AND(OR(D266="S. acutus",D266="S. tabernaemontani"),G266&gt;0),E266*[1]Sheet1!$D$8+N266*[1]Sheet1!$E$8,IF(AND(D266="S. californicus",G266&gt;0),E266*[1]Sheet1!$D$9+N266*[1]Sheet1!$E$9,IF(D266="S.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latifolia"),E266&gt;0),F266*[1]Sheet1!$C$4+E266*[1]Sheet1!$D$4+H266*[1]Sheet1!$J$4+I266*[1]Sheet1!$K$4+[1]Sheet1!$L$4,IF(AND(OR(D266="T. domingensis",D266="T. latifolia"),J266&gt;0),J266*[1]Sheet1!$G$5+K266*[1]Sheet1!$H$5+L266*[1]Sheet1!$I$5+[1]Sheet1!$L$5,0)))))))</f>
        <v>2.4900080000000004</v>
      </c>
    </row>
    <row r="267" spans="1:15">
      <c r="A267" s="10">
        <v>41767</v>
      </c>
      <c r="B267" s="7" t="s">
        <v>26</v>
      </c>
      <c r="C267">
        <v>22</v>
      </c>
      <c r="D267" t="s">
        <v>20</v>
      </c>
      <c r="E267">
        <v>38</v>
      </c>
      <c r="F267">
        <v>0.15</v>
      </c>
      <c r="N267">
        <f>IF(OR(D267="S. acutus", D267="S. tabernaemontani", D267="S. californicus"),(1/3)*(3.14159)*((F267/2)^2)*E267,"NA")</f>
        <v>0.22383828749999998</v>
      </c>
      <c r="O267">
        <f>IF(AND(OR(D267="S. acutus",D267="S. californicus",D267="S. tabernaemontani"),G267=0),E267*[1]Sheet1!$D$7+[1]Sheet1!$L$7,IF(AND(OR(D267="S. acutus",D267="S. tabernaemontani"),G267&gt;0),E267*[1]Sheet1!$D$8+N267*[1]Sheet1!$E$8,IF(AND(D267="S. californicus",G267&gt;0),E267*[1]Sheet1!$D$9+N267*[1]Sheet1!$E$9,IF(D267="S.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latifolia"),E267&gt;0),F267*[1]Sheet1!$C$4+E267*[1]Sheet1!$D$4+H267*[1]Sheet1!$J$4+I267*[1]Sheet1!$K$4+[1]Sheet1!$L$4,IF(AND(OR(D267="T. domingensis",D267="T. latifolia"),J267&gt;0),J267*[1]Sheet1!$G$5+K267*[1]Sheet1!$H$5+L267*[1]Sheet1!$I$5+[1]Sheet1!$L$5,0)))))))</f>
        <v>-1.9266069999999997</v>
      </c>
    </row>
    <row r="268" spans="1:15">
      <c r="A268" s="10">
        <v>41767</v>
      </c>
      <c r="B268" s="7" t="s">
        <v>26</v>
      </c>
      <c r="C268">
        <v>22</v>
      </c>
      <c r="D268" t="s">
        <v>20</v>
      </c>
      <c r="E268">
        <v>41</v>
      </c>
      <c r="F268">
        <v>0.87</v>
      </c>
      <c r="N268">
        <f>IF(OR(D268="S. acutus", D268="S. tabernaemontani", D268="S. californicus"),(1/3)*(3.14159)*((F268/2)^2)*E268,"NA")</f>
        <v>8.1243873592499991</v>
      </c>
      <c r="O268">
        <f>IF(AND(OR(D268="S. acutus",D268="S. californicus",D268="S. tabernaemontani"),G268=0),E268*[1]Sheet1!$D$7+[1]Sheet1!$L$7,IF(AND(OR(D268="S. acutus",D268="S. tabernaemontani"),G268&gt;0),E268*[1]Sheet1!$D$8+N268*[1]Sheet1!$E$8,IF(AND(D268="S. californicus",G268&gt;0),E268*[1]Sheet1!$D$9+N268*[1]Sheet1!$E$9,IF(D268="S.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latifolia"),E268&gt;0),F268*[1]Sheet1!$C$4+E268*[1]Sheet1!$D$4+H268*[1]Sheet1!$J$4+I268*[1]Sheet1!$K$4+[1]Sheet1!$L$4,IF(AND(OR(D268="T. domingensis",D268="T. latifolia"),J268&gt;0),J268*[1]Sheet1!$G$5+K268*[1]Sheet1!$H$5+L268*[1]Sheet1!$I$5+[1]Sheet1!$L$5,0)))))))</f>
        <v>-1.7162919999999997</v>
      </c>
    </row>
    <row r="269" spans="1:15">
      <c r="A269" s="10">
        <v>41767</v>
      </c>
      <c r="B269" s="7" t="s">
        <v>26</v>
      </c>
      <c r="C269">
        <v>22</v>
      </c>
      <c r="D269" t="s">
        <v>20</v>
      </c>
      <c r="E269">
        <v>49</v>
      </c>
      <c r="F269">
        <v>0.81</v>
      </c>
      <c r="N269">
        <f>IF(OR(D269="S. acutus", D269="S. tabernaemontani", D269="S. californicus"),(1/3)*(3.14159)*((F269/2)^2)*E269,"NA")</f>
        <v>8.416555229250001</v>
      </c>
      <c r="O269">
        <f>IF(AND(OR(D269="S. acutus",D269="S. californicus",D269="S. tabernaemontani"),G269=0),E269*[1]Sheet1!$D$7+[1]Sheet1!$L$7,IF(AND(OR(D269="S. acutus",D269="S. tabernaemontani"),G269&gt;0),E269*[1]Sheet1!$D$8+N269*[1]Sheet1!$E$8,IF(AND(D269="S. californicus",G269&gt;0),E269*[1]Sheet1!$D$9+N269*[1]Sheet1!$E$9,IF(D269="S.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latifolia"),E269&gt;0),F269*[1]Sheet1!$C$4+E269*[1]Sheet1!$D$4+H269*[1]Sheet1!$J$4+I269*[1]Sheet1!$K$4+[1]Sheet1!$L$4,IF(AND(OR(D269="T. domingensis",D269="T. latifolia"),J269&gt;0),J269*[1]Sheet1!$G$5+K269*[1]Sheet1!$H$5+L269*[1]Sheet1!$I$5+[1]Sheet1!$L$5,0)))))))</f>
        <v>-1.1554519999999999</v>
      </c>
    </row>
    <row r="270" spans="1:15">
      <c r="A270" s="10">
        <v>41767</v>
      </c>
      <c r="B270" s="7" t="s">
        <v>26</v>
      </c>
      <c r="C270">
        <v>22</v>
      </c>
      <c r="D270" t="s">
        <v>20</v>
      </c>
      <c r="E270">
        <v>36</v>
      </c>
      <c r="F270">
        <v>0.62</v>
      </c>
      <c r="N270">
        <f>IF(OR(D270="S. acutus", D270="S. tabernaemontani", D270="S. californicus"),(1/3)*(3.14159)*((F270/2)^2)*E270,"NA")</f>
        <v>3.6228815879999998</v>
      </c>
      <c r="O270">
        <f>IF(AND(OR(D270="S. acutus",D270="S. californicus",D270="S. tabernaemontani"),G270=0),E270*[1]Sheet1!$D$7+[1]Sheet1!$L$7,IF(AND(OR(D270="S. acutus",D270="S. tabernaemontani"),G270&gt;0),E270*[1]Sheet1!$D$8+N270*[1]Sheet1!$E$8,IF(AND(D270="S. californicus",G270&gt;0),E270*[1]Sheet1!$D$9+N270*[1]Sheet1!$E$9,IF(D270="S.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latifolia"),E270&gt;0),F270*[1]Sheet1!$C$4+E270*[1]Sheet1!$D$4+H270*[1]Sheet1!$J$4+I270*[1]Sheet1!$K$4+[1]Sheet1!$L$4,IF(AND(OR(D270="T. domingensis",D270="T. latifolia"),J270&gt;0),J270*[1]Sheet1!$G$5+K270*[1]Sheet1!$H$5+L270*[1]Sheet1!$I$5+[1]Sheet1!$L$5,0)))))))</f>
        <v>-2.0668169999999999</v>
      </c>
    </row>
    <row r="271" spans="1:15">
      <c r="A271" s="10">
        <v>41767</v>
      </c>
      <c r="B271" s="7" t="s">
        <v>26</v>
      </c>
      <c r="C271">
        <v>22</v>
      </c>
      <c r="D271" t="s">
        <v>20</v>
      </c>
      <c r="E271">
        <v>100</v>
      </c>
      <c r="F271">
        <v>1.22</v>
      </c>
      <c r="N271">
        <f>IF(OR(D271="S. acutus", D271="S. tabernaemontani", D271="S. californicus"),(1/3)*(3.14159)*((F271/2)^2)*E271,"NA")</f>
        <v>38.966187966666659</v>
      </c>
      <c r="O271">
        <f>IF(AND(OR(D271="S. acutus",D271="S. californicus",D271="S. tabernaemontani"),G271=0),E271*[1]Sheet1!$D$7+[1]Sheet1!$L$7,IF(AND(OR(D271="S. acutus",D271="S. tabernaemontani"),G271&gt;0),E271*[1]Sheet1!$D$8+N271*[1]Sheet1!$E$8,IF(AND(D271="S. californicus",G271&gt;0),E271*[1]Sheet1!$D$9+N271*[1]Sheet1!$E$9,IF(D271="S.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latifolia"),E271&gt;0),F271*[1]Sheet1!$C$4+E271*[1]Sheet1!$D$4+H271*[1]Sheet1!$J$4+I271*[1]Sheet1!$K$4+[1]Sheet1!$L$4,IF(AND(OR(D271="T. domingensis",D271="T. latifolia"),J271&gt;0),J271*[1]Sheet1!$G$5+K271*[1]Sheet1!$H$5+L271*[1]Sheet1!$I$5+[1]Sheet1!$L$5,0)))))))</f>
        <v>2.4199030000000006</v>
      </c>
    </row>
    <row r="272" spans="1:15">
      <c r="A272" s="10">
        <v>41767</v>
      </c>
      <c r="B272" s="7" t="s">
        <v>26</v>
      </c>
      <c r="C272">
        <v>22</v>
      </c>
      <c r="D272" t="s">
        <v>20</v>
      </c>
      <c r="E272">
        <v>119</v>
      </c>
      <c r="F272">
        <v>0.88</v>
      </c>
      <c r="N272">
        <f>IF(OR(D272="S. acutus", D272="S. tabernaemontani", D272="S. californicus"),(1/3)*(3.14159)*((F272/2)^2)*E272,"NA")</f>
        <v>24.125735685333328</v>
      </c>
      <c r="O272">
        <f>IF(AND(OR(D272="S. acutus",D272="S. californicus",D272="S. tabernaemontani"),G272=0),E272*[1]Sheet1!$D$7+[1]Sheet1!$L$7,IF(AND(OR(D272="S. acutus",D272="S. tabernaemontani"),G272&gt;0),E272*[1]Sheet1!$D$8+N272*[1]Sheet1!$E$8,IF(AND(D272="S. californicus",G272&gt;0),E272*[1]Sheet1!$D$9+N272*[1]Sheet1!$E$9,IF(D272="S.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latifolia"),E272&gt;0),F272*[1]Sheet1!$C$4+E272*[1]Sheet1!$D$4+H272*[1]Sheet1!$J$4+I272*[1]Sheet1!$K$4+[1]Sheet1!$L$4,IF(AND(OR(D272="T. domingensis",D272="T. latifolia"),J272&gt;0),J272*[1]Sheet1!$G$5+K272*[1]Sheet1!$H$5+L272*[1]Sheet1!$I$5+[1]Sheet1!$L$5,0)))))))</f>
        <v>3.7518979999999997</v>
      </c>
    </row>
    <row r="273" spans="1:15">
      <c r="A273" s="10">
        <v>41767</v>
      </c>
      <c r="B273" s="7" t="s">
        <v>26</v>
      </c>
      <c r="C273">
        <v>22</v>
      </c>
      <c r="D273" t="s">
        <v>20</v>
      </c>
      <c r="E273">
        <v>75</v>
      </c>
      <c r="F273">
        <v>0.7</v>
      </c>
      <c r="N273">
        <f>IF(OR(D273="S. acutus", D273="S. tabernaemontani", D273="S. californicus"),(1/3)*(3.14159)*((F273/2)^2)*E273,"NA")</f>
        <v>9.6211193749999975</v>
      </c>
      <c r="O273">
        <f>IF(AND(OR(D273="S. acutus",D273="S. californicus",D273="S. tabernaemontani"),G273=0),E273*[1]Sheet1!$D$7+[1]Sheet1!$L$7,IF(AND(OR(D273="S. acutus",D273="S. tabernaemontani"),G273&gt;0),E273*[1]Sheet1!$D$8+N273*[1]Sheet1!$E$8,IF(AND(D273="S. californicus",G273&gt;0),E273*[1]Sheet1!$D$9+N273*[1]Sheet1!$E$9,IF(D273="S.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latifolia"),E273&gt;0),F273*[1]Sheet1!$C$4+E273*[1]Sheet1!$D$4+H273*[1]Sheet1!$J$4+I273*[1]Sheet1!$K$4+[1]Sheet1!$L$4,IF(AND(OR(D273="T. domingensis",D273="T. latifolia"),J273&gt;0),J273*[1]Sheet1!$G$5+K273*[1]Sheet1!$H$5+L273*[1]Sheet1!$I$5+[1]Sheet1!$L$5,0)))))))</f>
        <v>0.66727800000000048</v>
      </c>
    </row>
    <row r="274" spans="1:15">
      <c r="A274" s="10">
        <v>41767</v>
      </c>
      <c r="B274" s="7" t="s">
        <v>26</v>
      </c>
      <c r="C274">
        <v>22</v>
      </c>
      <c r="D274" t="s">
        <v>20</v>
      </c>
      <c r="E274">
        <v>167</v>
      </c>
      <c r="F274">
        <v>0.39</v>
      </c>
      <c r="N274">
        <f>IF(OR(D274="S. acutus", D274="S. tabernaemontani", D274="S. californicus"),(1/3)*(3.14159)*((F274/2)^2)*E274,"NA")</f>
        <v>6.6498820927499995</v>
      </c>
      <c r="O274">
        <f>IF(AND(OR(D274="S. acutus",D274="S. californicus",D274="S. tabernaemontani"),G274=0),E274*[1]Sheet1!$D$7+[1]Sheet1!$L$7,IF(AND(OR(D274="S. acutus",D274="S. tabernaemontani"),G274&gt;0),E274*[1]Sheet1!$D$8+N274*[1]Sheet1!$E$8,IF(AND(D274="S. californicus",G274&gt;0),E274*[1]Sheet1!$D$9+N274*[1]Sheet1!$E$9,IF(D274="S.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latifolia"),E274&gt;0),F274*[1]Sheet1!$C$4+E274*[1]Sheet1!$D$4+H274*[1]Sheet1!$J$4+I274*[1]Sheet1!$K$4+[1]Sheet1!$L$4,IF(AND(OR(D274="T. domingensis",D274="T. latifolia"),J274&gt;0),J274*[1]Sheet1!$G$5+K274*[1]Sheet1!$H$5+L274*[1]Sheet1!$I$5+[1]Sheet1!$L$5,0)))))))</f>
        <v>7.1169380000000002</v>
      </c>
    </row>
    <row r="275" spans="1:15">
      <c r="A275" s="10">
        <v>41767</v>
      </c>
      <c r="B275" s="7" t="s">
        <v>26</v>
      </c>
      <c r="C275">
        <v>22</v>
      </c>
      <c r="D275" t="s">
        <v>20</v>
      </c>
      <c r="E275">
        <v>75</v>
      </c>
      <c r="F275">
        <v>0.78</v>
      </c>
      <c r="N275">
        <f>IF(OR(D275="S. acutus", D275="S. tabernaemontani", D275="S. californicus"),(1/3)*(3.14159)*((F275/2)^2)*E275,"NA")</f>
        <v>11.945895974999999</v>
      </c>
      <c r="O275">
        <f>IF(AND(OR(D275="S. acutus",D275="S. californicus",D275="S. tabernaemontani"),G275=0),E275*[1]Sheet1!$D$7+[1]Sheet1!$L$7,IF(AND(OR(D275="S. acutus",D275="S. tabernaemontani"),G275&gt;0),E275*[1]Sheet1!$D$8+N275*[1]Sheet1!$E$8,IF(AND(D275="S. californicus",G275&gt;0),E275*[1]Sheet1!$D$9+N275*[1]Sheet1!$E$9,IF(D275="S.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latifolia"),E275&gt;0),F275*[1]Sheet1!$C$4+E275*[1]Sheet1!$D$4+H275*[1]Sheet1!$J$4+I275*[1]Sheet1!$K$4+[1]Sheet1!$L$4,IF(AND(OR(D275="T. domingensis",D275="T. latifolia"),J275&gt;0),J275*[1]Sheet1!$G$5+K275*[1]Sheet1!$H$5+L275*[1]Sheet1!$I$5+[1]Sheet1!$L$5,0)))))))</f>
        <v>0.66727800000000048</v>
      </c>
    </row>
    <row r="276" spans="1:15">
      <c r="A276" s="10">
        <v>41767</v>
      </c>
      <c r="B276" s="7" t="s">
        <v>26</v>
      </c>
      <c r="C276">
        <v>22</v>
      </c>
      <c r="D276" t="s">
        <v>20</v>
      </c>
      <c r="E276">
        <v>200</v>
      </c>
      <c r="F276">
        <v>1.45</v>
      </c>
      <c r="N276">
        <f>IF(OR(D276="S. acutus", D276="S. tabernaemontani", D276="S. californicus"),(1/3)*(3.14159)*((F276/2)^2)*E276,"NA")</f>
        <v>110.08654958333332</v>
      </c>
      <c r="O276">
        <f>IF(AND(OR(D276="S. acutus",D276="S. californicus",D276="S. tabernaemontani"),G276=0),E276*[1]Sheet1!$D$7+[1]Sheet1!$L$7,IF(AND(OR(D276="S. acutus",D276="S. tabernaemontani"),G276&gt;0),E276*[1]Sheet1!$D$8+N276*[1]Sheet1!$E$8,IF(AND(D276="S. californicus",G276&gt;0),E276*[1]Sheet1!$D$9+N276*[1]Sheet1!$E$9,IF(D276="S.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latifolia"),E276&gt;0),F276*[1]Sheet1!$C$4+E276*[1]Sheet1!$D$4+H276*[1]Sheet1!$J$4+I276*[1]Sheet1!$K$4+[1]Sheet1!$L$4,IF(AND(OR(D276="T. domingensis",D276="T. latifolia"),J276&gt;0),J276*[1]Sheet1!$G$5+K276*[1]Sheet1!$H$5+L276*[1]Sheet1!$I$5+[1]Sheet1!$L$5,0)))))))</f>
        <v>9.4304030000000019</v>
      </c>
    </row>
    <row r="277" spans="1:15">
      <c r="A277" s="10">
        <v>41767</v>
      </c>
      <c r="B277" s="7" t="s">
        <v>26</v>
      </c>
      <c r="C277">
        <v>22</v>
      </c>
      <c r="D277" t="s">
        <v>20</v>
      </c>
      <c r="E277">
        <v>136</v>
      </c>
      <c r="F277">
        <v>0.88</v>
      </c>
      <c r="N277">
        <f>IF(OR(D277="S. acutus", D277="S. tabernaemontani", D277="S. californicus"),(1/3)*(3.14159)*((F277/2)^2)*E277,"NA")</f>
        <v>27.572269354666663</v>
      </c>
      <c r="O277">
        <f>IF(AND(OR(D277="S. acutus",D277="S. californicus",D277="S. tabernaemontani"),G277=0),E277*[1]Sheet1!$D$7+[1]Sheet1!$L$7,IF(AND(OR(D277="S. acutus",D277="S. tabernaemontani"),G277&gt;0),E277*[1]Sheet1!$D$8+N277*[1]Sheet1!$E$8,IF(AND(D277="S. californicus",G277&gt;0),E277*[1]Sheet1!$D$9+N277*[1]Sheet1!$E$9,IF(D277="S.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latifolia"),E277&gt;0),F277*[1]Sheet1!$C$4+E277*[1]Sheet1!$D$4+H277*[1]Sheet1!$J$4+I277*[1]Sheet1!$K$4+[1]Sheet1!$L$4,IF(AND(OR(D277="T. domingensis",D277="T. latifolia"),J277&gt;0),J277*[1]Sheet1!$G$5+K277*[1]Sheet1!$H$5+L277*[1]Sheet1!$I$5+[1]Sheet1!$L$5,0)))))))</f>
        <v>4.9436830000000009</v>
      </c>
    </row>
    <row r="278" spans="1:15">
      <c r="A278" s="10">
        <v>41767</v>
      </c>
      <c r="B278" s="7" t="s">
        <v>26</v>
      </c>
      <c r="C278">
        <v>22</v>
      </c>
      <c r="D278" t="s">
        <v>20</v>
      </c>
      <c r="E278">
        <v>135</v>
      </c>
      <c r="F278">
        <v>1.1100000000000001</v>
      </c>
      <c r="N278">
        <f>IF(OR(D278="S. acutus", D278="S. tabernaemontani", D278="S. californicus"),(1/3)*(3.14159)*((F278/2)^2)*E278,"NA")</f>
        <v>43.545971688750001</v>
      </c>
      <c r="O278">
        <f>IF(AND(OR(D278="S. acutus",D278="S. californicus",D278="S. tabernaemontani"),G278=0),E278*[1]Sheet1!$D$7+[1]Sheet1!$L$7,IF(AND(OR(D278="S. acutus",D278="S. tabernaemontani"),G278&gt;0),E278*[1]Sheet1!$D$8+N278*[1]Sheet1!$E$8,IF(AND(D278="S. californicus",G278&gt;0),E278*[1]Sheet1!$D$9+N278*[1]Sheet1!$E$9,IF(D278="S.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latifolia"),E278&gt;0),F278*[1]Sheet1!$C$4+E278*[1]Sheet1!$D$4+H278*[1]Sheet1!$J$4+I278*[1]Sheet1!$K$4+[1]Sheet1!$L$4,IF(AND(OR(D278="T. domingensis",D278="T. latifolia"),J278&gt;0),J278*[1]Sheet1!$G$5+K278*[1]Sheet1!$H$5+L278*[1]Sheet1!$I$5+[1]Sheet1!$L$5,0)))))))</f>
        <v>4.8735780000000011</v>
      </c>
    </row>
    <row r="279" spans="1:15">
      <c r="A279" s="10">
        <v>41767</v>
      </c>
      <c r="B279" s="7" t="s">
        <v>26</v>
      </c>
      <c r="C279">
        <v>22</v>
      </c>
      <c r="D279" t="s">
        <v>19</v>
      </c>
      <c r="F279">
        <v>1.48</v>
      </c>
      <c r="J279">
        <f>96+134+137+155</f>
        <v>522</v>
      </c>
      <c r="K279">
        <v>4</v>
      </c>
      <c r="L279">
        <v>155</v>
      </c>
      <c r="N279" t="str">
        <f>IF(OR(D279="S. acutus", D279="S. tabernaemontani", D279="S. californicus"),(1/3)*(3.14159)*((F279/2)^2)*E279,"NA")</f>
        <v>NA</v>
      </c>
      <c r="O279">
        <f>IF(AND(OR(D279="S. acutus",D279="S. californicus",D279="S. tabernaemontani"),G279=0),E279*[1]Sheet1!$D$7+[1]Sheet1!$L$7,IF(AND(OR(D279="S. acutus",D279="S. tabernaemontani"),G279&gt;0),E279*[1]Sheet1!$D$8+N279*[1]Sheet1!$E$8,IF(AND(D279="S. californicus",G279&gt;0),E279*[1]Sheet1!$D$9+N279*[1]Sheet1!$E$9,IF(D279="S.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latifolia"),E279&gt;0),F279*[1]Sheet1!$C$4+E279*[1]Sheet1!$D$4+H279*[1]Sheet1!$J$4+I279*[1]Sheet1!$K$4+[1]Sheet1!$L$4,IF(AND(OR(D279="T. domingensis",D279="T. latifolia"),J279&gt;0),J279*[1]Sheet1!$G$5+K279*[1]Sheet1!$H$5+L279*[1]Sheet1!$I$5+[1]Sheet1!$L$5,0)))))))</f>
        <v>7.1947070000000046</v>
      </c>
    </row>
    <row r="280" spans="1:15">
      <c r="A280" s="10">
        <v>41767</v>
      </c>
      <c r="B280" s="7" t="s">
        <v>26</v>
      </c>
      <c r="C280">
        <v>22</v>
      </c>
      <c r="D280" t="s">
        <v>19</v>
      </c>
      <c r="F280">
        <v>1.65</v>
      </c>
      <c r="J280">
        <f>82+133+136+174+181</f>
        <v>706</v>
      </c>
      <c r="K280">
        <v>5</v>
      </c>
      <c r="L280">
        <v>181</v>
      </c>
      <c r="N280" t="str">
        <f>IF(OR(D280="S. acutus", D280="S. tabernaemontani", D280="S. californicus"),(1/3)*(3.14159)*((F280/2)^2)*E280,"NA")</f>
        <v>NA</v>
      </c>
      <c r="O280">
        <f>IF(AND(OR(D280="S. acutus",D280="S. californicus",D280="S. tabernaemontani"),G280=0),E280*[1]Sheet1!$D$7+[1]Sheet1!$L$7,IF(AND(OR(D280="S. acutus",D280="S. tabernaemontani"),G280&gt;0),E280*[1]Sheet1!$D$8+N280*[1]Sheet1!$E$8,IF(AND(D280="S. californicus",G280&gt;0),E280*[1]Sheet1!$D$9+N280*[1]Sheet1!$E$9,IF(D280="S.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latifolia"),E280&gt;0),F280*[1]Sheet1!$C$4+E280*[1]Sheet1!$D$4+H280*[1]Sheet1!$J$4+I280*[1]Sheet1!$K$4+[1]Sheet1!$L$4,IF(AND(OR(D280="T. domingensis",D280="T. latifolia"),J280&gt;0),J280*[1]Sheet1!$G$5+K280*[1]Sheet1!$H$5+L280*[1]Sheet1!$I$5+[1]Sheet1!$L$5,0)))))))</f>
        <v>9.5909040000000019</v>
      </c>
    </row>
    <row r="281" spans="1:15">
      <c r="A281" s="10">
        <v>41767</v>
      </c>
      <c r="B281" s="7" t="s">
        <v>26</v>
      </c>
      <c r="C281">
        <v>22</v>
      </c>
      <c r="D281" t="s">
        <v>19</v>
      </c>
      <c r="F281">
        <v>1.74</v>
      </c>
      <c r="J281">
        <f>61+97+110+110</f>
        <v>378</v>
      </c>
      <c r="K281">
        <v>4</v>
      </c>
      <c r="L281">
        <v>110</v>
      </c>
      <c r="N281" t="str">
        <f>IF(OR(D281="S. acutus", D281="S. tabernaemontani", D281="S. californicus"),(1/3)*(3.14159)*((F281/2)^2)*E281,"NA")</f>
        <v>NA</v>
      </c>
      <c r="O281">
        <f>IF(AND(OR(D281="S. acutus",D281="S. californicus",D281="S. tabernaemontani"),G281=0),E281*[1]Sheet1!$D$7+[1]Sheet1!$L$7,IF(AND(OR(D281="S. acutus",D281="S. tabernaemontani"),G281&gt;0),E281*[1]Sheet1!$D$8+N281*[1]Sheet1!$E$8,IF(AND(D281="S. californicus",G281&gt;0),E281*[1]Sheet1!$D$9+N281*[1]Sheet1!$E$9,IF(D281="S.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latifolia"),E281&gt;0),F281*[1]Sheet1!$C$4+E281*[1]Sheet1!$D$4+H281*[1]Sheet1!$J$4+I281*[1]Sheet1!$K$4+[1]Sheet1!$L$4,IF(AND(OR(D281="T. domingensis",D281="T. latifolia"),J281&gt;0),J281*[1]Sheet1!$G$5+K281*[1]Sheet1!$H$5+L281*[1]Sheet1!$I$5+[1]Sheet1!$L$5,0)))))))</f>
        <v>7.2500120000000017</v>
      </c>
    </row>
    <row r="282" spans="1:15">
      <c r="A282" s="10">
        <v>41767</v>
      </c>
      <c r="B282" s="7" t="s">
        <v>26</v>
      </c>
      <c r="C282">
        <v>22</v>
      </c>
      <c r="D282" t="s">
        <v>19</v>
      </c>
      <c r="F282">
        <v>2.4300000000000002</v>
      </c>
      <c r="J282">
        <f>103+124+147+160+169+186</f>
        <v>889</v>
      </c>
      <c r="K282">
        <v>6</v>
      </c>
      <c r="L282">
        <v>186</v>
      </c>
      <c r="N282" t="str">
        <f>IF(OR(D282="S. acutus", D282="S. tabernaemontani", D282="S. californicus"),(1/3)*(3.14159)*((F282/2)^2)*E282,"NA")</f>
        <v>NA</v>
      </c>
      <c r="O282">
        <f>IF(AND(OR(D282="S. acutus",D282="S. californicus",D282="S. tabernaemontani"),G282=0),E282*[1]Sheet1!$D$7+[1]Sheet1!$L$7,IF(AND(OR(D282="S. acutus",D282="S. tabernaemontani"),G282&gt;0),E282*[1]Sheet1!$D$8+N282*[1]Sheet1!$E$8,IF(AND(D282="S. californicus",G282&gt;0),E282*[1]Sheet1!$D$9+N282*[1]Sheet1!$E$9,IF(D282="S.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latifolia"),E282&gt;0),F282*[1]Sheet1!$C$4+E282*[1]Sheet1!$D$4+H282*[1]Sheet1!$J$4+I282*[1]Sheet1!$K$4+[1]Sheet1!$L$4,IF(AND(OR(D282="T. domingensis",D282="T. latifolia"),J282&gt;0),J282*[1]Sheet1!$G$5+K282*[1]Sheet1!$H$5+L282*[1]Sheet1!$I$5+[1]Sheet1!$L$5,0)))))))</f>
        <v>18.219491000000005</v>
      </c>
    </row>
    <row r="283" spans="1:15">
      <c r="A283" s="10">
        <v>41767</v>
      </c>
      <c r="B283" s="7" t="s">
        <v>26</v>
      </c>
      <c r="C283">
        <v>22</v>
      </c>
      <c r="D283" t="s">
        <v>19</v>
      </c>
      <c r="F283">
        <v>0.87</v>
      </c>
      <c r="J283">
        <f>42+63+65+88</f>
        <v>258</v>
      </c>
      <c r="K283">
        <v>4</v>
      </c>
      <c r="L283">
        <v>88</v>
      </c>
      <c r="N283" t="str">
        <f>IF(OR(D283="S. acutus", D283="S. tabernaemontani", D283="S. californicus"),(1/3)*(3.14159)*((F283/2)^2)*E283,"NA")</f>
        <v>NA</v>
      </c>
      <c r="O283">
        <f>IF(AND(OR(D283="S. acutus",D283="S. californicus",D283="S. tabernaemontani"),G283=0),E283*[1]Sheet1!$D$7+[1]Sheet1!$L$7,IF(AND(OR(D283="S. acutus",D283="S. tabernaemontani"),G283&gt;0),E283*[1]Sheet1!$D$8+N283*[1]Sheet1!$E$8,IF(AND(D283="S. californicus",G283&gt;0),E283*[1]Sheet1!$D$9+N283*[1]Sheet1!$E$9,IF(D283="S.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latifolia"),E283&gt;0),F283*[1]Sheet1!$C$4+E283*[1]Sheet1!$D$4+H283*[1]Sheet1!$J$4+I283*[1]Sheet1!$K$4+[1]Sheet1!$L$4,IF(AND(OR(D283="T. domingensis",D283="T. latifolia"),J283&gt;0),J283*[1]Sheet1!$G$5+K283*[1]Sheet1!$H$5+L283*[1]Sheet1!$I$5+[1]Sheet1!$L$5,0)))))))</f>
        <v>2.6268019999999979</v>
      </c>
    </row>
    <row r="284" spans="1:15">
      <c r="A284" s="10">
        <v>41767</v>
      </c>
      <c r="B284" s="7" t="s">
        <v>26</v>
      </c>
      <c r="C284">
        <v>23</v>
      </c>
      <c r="D284" t="s">
        <v>20</v>
      </c>
      <c r="E284">
        <v>46</v>
      </c>
      <c r="F284">
        <v>0.68</v>
      </c>
      <c r="N284">
        <f>IF(OR(D284="S. acutus", D284="S. tabernaemontani", D284="S. californicus"),(1/3)*(3.14159)*((F284/2)^2)*E284,"NA")</f>
        <v>5.5685729946666669</v>
      </c>
      <c r="O284">
        <f>IF(AND(OR(D284="S. acutus",D284="S. californicus",D284="S. tabernaemontani"),G284=0),E284*[1]Sheet1!$D$7+[1]Sheet1!$L$7,IF(AND(OR(D284="S. acutus",D284="S. tabernaemontani"),G284&gt;0),E284*[1]Sheet1!$D$8+N284*[1]Sheet1!$E$8,IF(AND(D284="S. californicus",G284&gt;0),E284*[1]Sheet1!$D$9+N284*[1]Sheet1!$E$9,IF(D284="S.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latifolia"),E284&gt;0),F284*[1]Sheet1!$C$4+E284*[1]Sheet1!$D$4+H284*[1]Sheet1!$J$4+I284*[1]Sheet1!$K$4+[1]Sheet1!$L$4,IF(AND(OR(D284="T. domingensis",D284="T. latifolia"),J284&gt;0),J284*[1]Sheet1!$G$5+K284*[1]Sheet1!$H$5+L284*[1]Sheet1!$I$5+[1]Sheet1!$L$5,0)))))))</f>
        <v>-1.365767</v>
      </c>
    </row>
    <row r="285" spans="1:15">
      <c r="A285" s="10">
        <v>41767</v>
      </c>
      <c r="B285" s="7" t="s">
        <v>26</v>
      </c>
      <c r="C285">
        <v>23</v>
      </c>
      <c r="D285" t="s">
        <v>20</v>
      </c>
      <c r="E285">
        <v>161</v>
      </c>
      <c r="F285">
        <v>1.28</v>
      </c>
      <c r="N285">
        <f>IF(OR(D285="S. acutus", D285="S. tabernaemontani", D285="S. californicus"),(1/3)*(3.14159)*((F285/2)^2)*E285,"NA")</f>
        <v>69.058012501333337</v>
      </c>
      <c r="O285">
        <f>IF(AND(OR(D285="S. acutus",D285="S. californicus",D285="S. tabernaemontani"),G285=0),E285*[1]Sheet1!$D$7+[1]Sheet1!$L$7,IF(AND(OR(D285="S. acutus",D285="S. tabernaemontani"),G285&gt;0),E285*[1]Sheet1!$D$8+N285*[1]Sheet1!$E$8,IF(AND(D285="S. californicus",G285&gt;0),E285*[1]Sheet1!$D$9+N285*[1]Sheet1!$E$9,IF(D285="S.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latifolia"),E285&gt;0),F285*[1]Sheet1!$C$4+E285*[1]Sheet1!$D$4+H285*[1]Sheet1!$J$4+I285*[1]Sheet1!$K$4+[1]Sheet1!$L$4,IF(AND(OR(D285="T. domingensis",D285="T. latifolia"),J285&gt;0),J285*[1]Sheet1!$G$5+K285*[1]Sheet1!$H$5+L285*[1]Sheet1!$I$5+[1]Sheet1!$L$5,0)))))))</f>
        <v>6.696308000000001</v>
      </c>
    </row>
    <row r="286" spans="1:15">
      <c r="A286" s="10">
        <v>41767</v>
      </c>
      <c r="B286" s="7" t="s">
        <v>26</v>
      </c>
      <c r="C286">
        <v>23</v>
      </c>
      <c r="D286" t="s">
        <v>19</v>
      </c>
      <c r="F286">
        <v>2.54</v>
      </c>
      <c r="J286">
        <f>95+113+120+125+156+131+151</f>
        <v>891</v>
      </c>
      <c r="K286">
        <v>7</v>
      </c>
      <c r="L286">
        <v>156</v>
      </c>
      <c r="N286" t="str">
        <f>IF(OR(D286="S. acutus", D286="S. tabernaemontani", D286="S. californicus"),(1/3)*(3.14159)*((F286/2)^2)*E286,"NA")</f>
        <v>NA</v>
      </c>
      <c r="O286">
        <f>IF(AND(OR(D286="S. acutus",D286="S. californicus",D286="S. tabernaemontani"),G286=0),E286*[1]Sheet1!$D$7+[1]Sheet1!$L$7,IF(AND(OR(D286="S. acutus",D286="S. tabernaemontani"),G286&gt;0),E286*[1]Sheet1!$D$8+N286*[1]Sheet1!$E$8,IF(AND(D286="S. californicus",G286&gt;0),E286*[1]Sheet1!$D$9+N286*[1]Sheet1!$E$9,IF(D286="S.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latifolia"),E286&gt;0),F286*[1]Sheet1!$C$4+E286*[1]Sheet1!$D$4+H286*[1]Sheet1!$J$4+I286*[1]Sheet1!$K$4+[1]Sheet1!$L$4,IF(AND(OR(D286="T. domingensis",D286="T. latifolia"),J286&gt;0),J286*[1]Sheet1!$G$5+K286*[1]Sheet1!$H$5+L286*[1]Sheet1!$I$5+[1]Sheet1!$L$5,0)))))))</f>
        <v>20.421998000000009</v>
      </c>
    </row>
    <row r="287" spans="1:15">
      <c r="A287" s="10">
        <v>41767</v>
      </c>
      <c r="B287" s="7" t="s">
        <v>26</v>
      </c>
      <c r="C287">
        <v>23</v>
      </c>
      <c r="D287" t="s">
        <v>19</v>
      </c>
      <c r="F287">
        <v>0.7</v>
      </c>
      <c r="J287">
        <f>28+31+57+59+74</f>
        <v>249</v>
      </c>
      <c r="K287">
        <v>5</v>
      </c>
      <c r="L287">
        <v>74</v>
      </c>
      <c r="N287" t="str">
        <f>IF(OR(D287="S. acutus", D287="S. tabernaemontani", D287="S. californicus"),(1/3)*(3.14159)*((F287/2)^2)*E287,"NA")</f>
        <v>NA</v>
      </c>
      <c r="O287">
        <f>IF(AND(OR(D287="S. acutus",D287="S. californicus",D287="S. tabernaemontani"),G287=0),E287*[1]Sheet1!$D$7+[1]Sheet1!$L$7,IF(AND(OR(D287="S. acutus",D287="S. tabernaemontani"),G287&gt;0),E287*[1]Sheet1!$D$8+N287*[1]Sheet1!$E$8,IF(AND(D287="S. californicus",G287&gt;0),E287*[1]Sheet1!$D$9+N287*[1]Sheet1!$E$9,IF(D287="S.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latifolia"),E287&gt;0),F287*[1]Sheet1!$C$4+E287*[1]Sheet1!$D$4+H287*[1]Sheet1!$J$4+I287*[1]Sheet1!$K$4+[1]Sheet1!$L$4,IF(AND(OR(D287="T. domingensis",D287="T. latifolia"),J287&gt;0),J287*[1]Sheet1!$G$5+K287*[1]Sheet1!$H$5+L287*[1]Sheet1!$I$5+[1]Sheet1!$L$5,0)))))))</f>
        <v>-1.0219159999999974</v>
      </c>
    </row>
    <row r="288" spans="1:15">
      <c r="A288" s="10">
        <v>41767</v>
      </c>
      <c r="B288" s="7" t="s">
        <v>26</v>
      </c>
      <c r="C288">
        <v>37</v>
      </c>
      <c r="D288" t="s">
        <v>23</v>
      </c>
      <c r="F288">
        <v>2.16</v>
      </c>
      <c r="J288">
        <f>39+71+109+108+132+139+159</f>
        <v>757</v>
      </c>
      <c r="K288">
        <v>7</v>
      </c>
      <c r="L288">
        <v>159</v>
      </c>
      <c r="N288" t="str">
        <f>IF(OR(D288="S. acutus", D288="S. tabernaemontani", D288="S. californicus"),(1/3)*(3.14159)*((F288/2)^2)*E288,"NA")</f>
        <v>NA</v>
      </c>
      <c r="O288">
        <f>IF(AND(OR(D288="S. acutus",D288="S. californicus",D288="S. tabernaemontani"),G288=0),E288*[1]Sheet1!$D$7+[1]Sheet1!$L$7,IF(AND(OR(D288="S. acutus",D288="S. tabernaemontani"),G288&gt;0),E288*[1]Sheet1!$D$8+N288*[1]Sheet1!$E$8,IF(AND(D288="S. californicus",G288&gt;0),E288*[1]Sheet1!$D$9+N288*[1]Sheet1!$E$9,IF(D288="S.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latifolia"),E288&gt;0),F288*[1]Sheet1!$C$4+E288*[1]Sheet1!$D$4+H288*[1]Sheet1!$J$4+I288*[1]Sheet1!$K$4+[1]Sheet1!$L$4,IF(AND(OR(D288="T. domingensis",D288="T. latifolia"),J288&gt;0),J288*[1]Sheet1!$G$5+K288*[1]Sheet1!$H$5+L288*[1]Sheet1!$I$5+[1]Sheet1!$L$5,0)))))))</f>
        <v>6.9550930000000122</v>
      </c>
    </row>
    <row r="289" spans="1:15">
      <c r="A289" s="10">
        <v>41767</v>
      </c>
      <c r="B289" s="7" t="s">
        <v>26</v>
      </c>
      <c r="C289">
        <v>37</v>
      </c>
      <c r="D289" t="s">
        <v>19</v>
      </c>
      <c r="F289">
        <v>1.5</v>
      </c>
      <c r="J289">
        <f>49+60+106+155</f>
        <v>370</v>
      </c>
      <c r="K289">
        <v>4</v>
      </c>
      <c r="L289">
        <v>155</v>
      </c>
      <c r="N289" t="str">
        <f>IF(OR(D289="S. acutus", D289="S. tabernaemontani", D289="S. californicus"),(1/3)*(3.14159)*((F289/2)^2)*E289,"NA")</f>
        <v>NA</v>
      </c>
      <c r="O289">
        <f>IF(AND(OR(D289="S. acutus",D289="S. californicus",D289="S. tabernaemontani"),G289=0),E289*[1]Sheet1!$D$7+[1]Sheet1!$L$7,IF(AND(OR(D289="S. acutus",D289="S. tabernaemontani"),G289&gt;0),E289*[1]Sheet1!$D$8+N289*[1]Sheet1!$E$8,IF(AND(D289="S. californicus",G289&gt;0),E289*[1]Sheet1!$D$9+N289*[1]Sheet1!$E$9,IF(D289="S.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latifolia"),E289&gt;0),F289*[1]Sheet1!$C$4+E289*[1]Sheet1!$D$4+H289*[1]Sheet1!$J$4+I289*[1]Sheet1!$K$4+[1]Sheet1!$L$4,IF(AND(OR(D289="T. domingensis",D289="T. latifolia"),J289&gt;0),J289*[1]Sheet1!$G$5+K289*[1]Sheet1!$H$5+L289*[1]Sheet1!$I$5+[1]Sheet1!$L$5,0)))))))</f>
        <v>-7.0560529999999986</v>
      </c>
    </row>
    <row r="290" spans="1:15">
      <c r="A290" s="10">
        <v>41767</v>
      </c>
      <c r="B290" s="7" t="s">
        <v>26</v>
      </c>
      <c r="C290">
        <v>37</v>
      </c>
      <c r="D290" t="s">
        <v>19</v>
      </c>
      <c r="F290">
        <v>1.17</v>
      </c>
      <c r="J290">
        <f>49+53+55+85</f>
        <v>242</v>
      </c>
      <c r="K290">
        <v>4</v>
      </c>
      <c r="L290">
        <v>85</v>
      </c>
      <c r="N290" t="str">
        <f>IF(OR(D290="S. acutus", D290="S. tabernaemontani", D290="S. californicus"),(1/3)*(3.14159)*((F290/2)^2)*E290,"NA")</f>
        <v>NA</v>
      </c>
      <c r="O290">
        <f>IF(AND(OR(D290="S. acutus",D290="S. californicus",D290="S. tabernaemontani"),G290=0),E290*[1]Sheet1!$D$7+[1]Sheet1!$L$7,IF(AND(OR(D290="S. acutus",D290="S. tabernaemontani"),G290&gt;0),E290*[1]Sheet1!$D$8+N290*[1]Sheet1!$E$8,IF(AND(D290="S. californicus",G290&gt;0),E290*[1]Sheet1!$D$9+N290*[1]Sheet1!$E$9,IF(D290="S.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latifolia"),E290&gt;0),F290*[1]Sheet1!$C$4+E290*[1]Sheet1!$D$4+H290*[1]Sheet1!$J$4+I290*[1]Sheet1!$K$4+[1]Sheet1!$L$4,IF(AND(OR(D290="T. domingensis",D290="T. latifolia"),J290&gt;0),J290*[1]Sheet1!$G$5+K290*[1]Sheet1!$H$5+L290*[1]Sheet1!$I$5+[1]Sheet1!$L$5,0)))))))</f>
        <v>2.0304569999999984</v>
      </c>
    </row>
    <row r="291" spans="1:15">
      <c r="A291" s="10">
        <v>41767</v>
      </c>
      <c r="B291" s="7" t="s">
        <v>26</v>
      </c>
      <c r="C291">
        <v>37</v>
      </c>
      <c r="D291" t="s">
        <v>19</v>
      </c>
      <c r="F291">
        <v>2.31</v>
      </c>
      <c r="J291">
        <f>106+192+130+135+169+170</f>
        <v>902</v>
      </c>
      <c r="K291">
        <v>6</v>
      </c>
      <c r="L291">
        <v>192</v>
      </c>
      <c r="N291" t="str">
        <f>IF(OR(D291="S. acutus", D291="S. tabernaemontani", D291="S. californicus"),(1/3)*(3.14159)*((F291/2)^2)*E291,"NA")</f>
        <v>NA</v>
      </c>
      <c r="O291">
        <f>IF(AND(OR(D291="S. acutus",D291="S. californicus",D291="S. tabernaemontani"),G291=0),E291*[1]Sheet1!$D$7+[1]Sheet1!$L$7,IF(AND(OR(D291="S. acutus",D291="S. tabernaemontani"),G291&gt;0),E291*[1]Sheet1!$D$8+N291*[1]Sheet1!$E$8,IF(AND(D291="S. californicus",G291&gt;0),E291*[1]Sheet1!$D$9+N291*[1]Sheet1!$E$9,IF(D291="S.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latifolia"),E291&gt;0),F291*[1]Sheet1!$C$4+E291*[1]Sheet1!$D$4+H291*[1]Sheet1!$J$4+I291*[1]Sheet1!$K$4+[1]Sheet1!$L$4,IF(AND(OR(D291="T. domingensis",D291="T. latifolia"),J291&gt;0),J291*[1]Sheet1!$G$5+K291*[1]Sheet1!$H$5+L291*[1]Sheet1!$I$5+[1]Sheet1!$L$5,0)))))))</f>
        <v>17.630836000000009</v>
      </c>
    </row>
    <row r="292" spans="1:15">
      <c r="A292" s="10">
        <v>41767</v>
      </c>
      <c r="B292" s="7" t="s">
        <v>26</v>
      </c>
      <c r="C292">
        <v>37</v>
      </c>
      <c r="D292" t="s">
        <v>19</v>
      </c>
      <c r="F292">
        <v>1.8</v>
      </c>
      <c r="J292">
        <f>104+120+138+169+172</f>
        <v>703</v>
      </c>
      <c r="K292">
        <v>5</v>
      </c>
      <c r="L292">
        <v>172</v>
      </c>
      <c r="N292" t="str">
        <f>IF(OR(D292="S. acutus", D292="S. tabernaemontani", D292="S. californicus"),(1/3)*(3.14159)*((F292/2)^2)*E292,"NA")</f>
        <v>NA</v>
      </c>
      <c r="O292">
        <f>IF(AND(OR(D292="S. acutus",D292="S. californicus",D292="S. tabernaemontani"),G292=0),E292*[1]Sheet1!$D$7+[1]Sheet1!$L$7,IF(AND(OR(D292="S. acutus",D292="S. tabernaemontani"),G292&gt;0),E292*[1]Sheet1!$D$8+N292*[1]Sheet1!$E$8,IF(AND(D292="S. californicus",G292&gt;0),E292*[1]Sheet1!$D$9+N292*[1]Sheet1!$E$9,IF(D292="S.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latifolia"),E292&gt;0),F292*[1]Sheet1!$C$4+E292*[1]Sheet1!$D$4+H292*[1]Sheet1!$J$4+I292*[1]Sheet1!$K$4+[1]Sheet1!$L$4,IF(AND(OR(D292="T. domingensis",D292="T. latifolia"),J292&gt;0),J292*[1]Sheet1!$G$5+K292*[1]Sheet1!$H$5+L292*[1]Sheet1!$I$5+[1]Sheet1!$L$5,0)))))))</f>
        <v>12.020844000000011</v>
      </c>
    </row>
    <row r="293" spans="1:15">
      <c r="A293" s="10">
        <v>41767</v>
      </c>
      <c r="B293" s="7" t="s">
        <v>26</v>
      </c>
      <c r="C293">
        <v>37</v>
      </c>
      <c r="D293" t="s">
        <v>19</v>
      </c>
      <c r="F293">
        <v>2.2400000000000002</v>
      </c>
      <c r="J293">
        <f>36+71+98+122+126+145+147</f>
        <v>745</v>
      </c>
      <c r="K293">
        <v>7</v>
      </c>
      <c r="L293">
        <v>147</v>
      </c>
      <c r="N293" t="str">
        <f>IF(OR(D293="S. acutus", D293="S. tabernaemontani", D293="S. californicus"),(1/3)*(3.14159)*((F293/2)^2)*E293,"NA")</f>
        <v>NA</v>
      </c>
      <c r="O293">
        <f>IF(AND(OR(D293="S. acutus",D293="S. californicus",D293="S. tabernaemontani"),G293=0),E293*[1]Sheet1!$D$7+[1]Sheet1!$L$7,IF(AND(OR(D293="S. acutus",D293="S. tabernaemontani"),G293&gt;0),E293*[1]Sheet1!$D$8+N293*[1]Sheet1!$E$8,IF(AND(D293="S. californicus",G293&gt;0),E293*[1]Sheet1!$D$9+N293*[1]Sheet1!$E$9,IF(D293="S.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latifolia"),E293&gt;0),F293*[1]Sheet1!$C$4+E293*[1]Sheet1!$D$4+H293*[1]Sheet1!$J$4+I293*[1]Sheet1!$K$4+[1]Sheet1!$L$4,IF(AND(OR(D293="T. domingensis",D293="T. latifolia"),J293&gt;0),J293*[1]Sheet1!$G$5+K293*[1]Sheet1!$H$5+L293*[1]Sheet1!$I$5+[1]Sheet1!$L$5,0)))))))</f>
        <v>9.4449730000000045</v>
      </c>
    </row>
    <row r="294" spans="1:15">
      <c r="A294" s="10">
        <v>41767</v>
      </c>
      <c r="B294" s="7" t="s">
        <v>26</v>
      </c>
      <c r="C294">
        <v>37</v>
      </c>
      <c r="D294" t="s">
        <v>19</v>
      </c>
      <c r="F294">
        <v>1.77</v>
      </c>
      <c r="J294">
        <f>108+124+160+162+113+127+149+152</f>
        <v>1095</v>
      </c>
      <c r="K294">
        <v>8</v>
      </c>
      <c r="L294">
        <v>162</v>
      </c>
      <c r="N294" t="str">
        <f>IF(OR(D294="S. acutus", D294="S. tabernaemontani", D294="S. californicus"),(1/3)*(3.14159)*((F294/2)^2)*E294,"NA")</f>
        <v>NA</v>
      </c>
      <c r="O294">
        <f>IF(AND(OR(D294="S. acutus",D294="S. californicus",D294="S. tabernaemontani"),G294=0),E294*[1]Sheet1!$D$7+[1]Sheet1!$L$7,IF(AND(OR(D294="S. acutus",D294="S. tabernaemontani"),G294&gt;0),E294*[1]Sheet1!$D$8+N294*[1]Sheet1!$E$8,IF(AND(D294="S. californicus",G294&gt;0),E294*[1]Sheet1!$D$9+N294*[1]Sheet1!$E$9,IF(D294="S.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latifolia"),E294&gt;0),F294*[1]Sheet1!$C$4+E294*[1]Sheet1!$D$4+H294*[1]Sheet1!$J$4+I294*[1]Sheet1!$K$4+[1]Sheet1!$L$4,IF(AND(OR(D294="T. domingensis",D294="T. latifolia"),J294&gt;0),J294*[1]Sheet1!$G$5+K294*[1]Sheet1!$H$5+L294*[1]Sheet1!$I$5+[1]Sheet1!$L$5,0)))))))</f>
        <v>30.718195000000001</v>
      </c>
    </row>
    <row r="295" spans="1:15">
      <c r="A295" s="10">
        <v>41767</v>
      </c>
      <c r="B295" s="7" t="s">
        <v>26</v>
      </c>
      <c r="C295">
        <v>37</v>
      </c>
      <c r="D295" t="s">
        <v>19</v>
      </c>
      <c r="F295">
        <v>1.63</v>
      </c>
      <c r="J295">
        <f>72+76+92+98</f>
        <v>338</v>
      </c>
      <c r="K295">
        <v>4</v>
      </c>
      <c r="L295">
        <v>98</v>
      </c>
      <c r="N295" t="str">
        <f>IF(OR(D295="S. acutus", D295="S. tabernaemontani", D295="S. californicus"),(1/3)*(3.14159)*((F295/2)^2)*E295,"NA")</f>
        <v>NA</v>
      </c>
      <c r="O295">
        <f>IF(AND(OR(D295="S. acutus",D295="S. californicus",D295="S. tabernaemontani"),G295=0),E295*[1]Sheet1!$D$7+[1]Sheet1!$L$7,IF(AND(OR(D295="S. acutus",D295="S. tabernaemontani"),G295&gt;0),E295*[1]Sheet1!$D$8+N295*[1]Sheet1!$E$8,IF(AND(D295="S. californicus",G295&gt;0),E295*[1]Sheet1!$D$9+N295*[1]Sheet1!$E$9,IF(D295="S.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latifolia"),E295&gt;0),F295*[1]Sheet1!$C$4+E295*[1]Sheet1!$D$4+H295*[1]Sheet1!$J$4+I295*[1]Sheet1!$K$4+[1]Sheet1!$L$4,IF(AND(OR(D295="T. domingensis",D295="T. latifolia"),J295&gt;0),J295*[1]Sheet1!$G$5+K295*[1]Sheet1!$H$5+L295*[1]Sheet1!$I$5+[1]Sheet1!$L$5,0)))))))</f>
        <v>7.1147519999999993</v>
      </c>
    </row>
    <row r="296" spans="1:15">
      <c r="A296" s="10">
        <v>41767</v>
      </c>
      <c r="B296" s="7" t="s">
        <v>26</v>
      </c>
      <c r="C296">
        <v>37</v>
      </c>
      <c r="D296" t="s">
        <v>19</v>
      </c>
      <c r="F296">
        <v>1.25</v>
      </c>
      <c r="J296">
        <f>67+77+100+104+120</f>
        <v>468</v>
      </c>
      <c r="K296">
        <v>5</v>
      </c>
      <c r="L296">
        <v>120</v>
      </c>
      <c r="N296" t="str">
        <f>IF(OR(D296="S. acutus", D296="S. tabernaemontani", D296="S. californicus"),(1/3)*(3.14159)*((F296/2)^2)*E296,"NA")</f>
        <v>NA</v>
      </c>
      <c r="O296">
        <f>IF(AND(OR(D296="S. acutus",D296="S. californicus",D296="S. tabernaemontani"),G296=0),E296*[1]Sheet1!$D$7+[1]Sheet1!$L$7,IF(AND(OR(D296="S. acutus",D296="S. tabernaemontani"),G296&gt;0),E296*[1]Sheet1!$D$8+N296*[1]Sheet1!$E$8,IF(AND(D296="S. californicus",G296&gt;0),E296*[1]Sheet1!$D$9+N296*[1]Sheet1!$E$9,IF(D296="S.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latifolia"),E296&gt;0),F296*[1]Sheet1!$C$4+E296*[1]Sheet1!$D$4+H296*[1]Sheet1!$J$4+I296*[1]Sheet1!$K$4+[1]Sheet1!$L$4,IF(AND(OR(D296="T. domingensis",D296="T. latifolia"),J296&gt;0),J296*[1]Sheet1!$G$5+K296*[1]Sheet1!$H$5+L296*[1]Sheet1!$I$5+[1]Sheet1!$L$5,0)))))))</f>
        <v>5.6531590000000023</v>
      </c>
    </row>
    <row r="297" spans="1:15">
      <c r="A297" s="10">
        <v>41767</v>
      </c>
      <c r="B297" s="7" t="s">
        <v>26</v>
      </c>
      <c r="C297">
        <v>37</v>
      </c>
      <c r="D297" t="s">
        <v>19</v>
      </c>
      <c r="F297">
        <v>2.36</v>
      </c>
      <c r="J297">
        <f>59+94+93+139+139+163+168</f>
        <v>855</v>
      </c>
      <c r="K297">
        <v>7</v>
      </c>
      <c r="L297">
        <v>168</v>
      </c>
      <c r="N297" t="str">
        <f>IF(OR(D297="S. acutus", D297="S. tabernaemontani", D297="S. californicus"),(1/3)*(3.14159)*((F297/2)^2)*E297,"NA")</f>
        <v>NA</v>
      </c>
      <c r="O297">
        <f>IF(AND(OR(D297="S. acutus",D297="S. californicus",D297="S. tabernaemontani"),G297=0),E297*[1]Sheet1!$D$7+[1]Sheet1!$L$7,IF(AND(OR(D297="S. acutus",D297="S. tabernaemontani"),G297&gt;0),E297*[1]Sheet1!$D$8+N297*[1]Sheet1!$E$8,IF(AND(D297="S. californicus",G297&gt;0),E297*[1]Sheet1!$D$9+N297*[1]Sheet1!$E$9,IF(D297="S.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latifolia"),E297&gt;0),F297*[1]Sheet1!$C$4+E297*[1]Sheet1!$D$4+H297*[1]Sheet1!$J$4+I297*[1]Sheet1!$K$4+[1]Sheet1!$L$4,IF(AND(OR(D297="T. domingensis",D297="T. latifolia"),J297&gt;0),J297*[1]Sheet1!$G$5+K297*[1]Sheet1!$H$5+L297*[1]Sheet1!$I$5+[1]Sheet1!$L$5,0)))))))</f>
        <v>13.431878000000012</v>
      </c>
    </row>
    <row r="298" spans="1:15">
      <c r="A298" s="10">
        <v>41767</v>
      </c>
      <c r="B298" s="7" t="s">
        <v>26</v>
      </c>
      <c r="C298">
        <v>37</v>
      </c>
      <c r="D298" t="s">
        <v>19</v>
      </c>
      <c r="F298">
        <v>2.68</v>
      </c>
      <c r="J298">
        <f>68+107+120+123+150+164+195+197</f>
        <v>1124</v>
      </c>
      <c r="K298">
        <v>8</v>
      </c>
      <c r="L298">
        <v>197</v>
      </c>
      <c r="N298" t="str">
        <f>IF(OR(D298="S. acutus", D298="S. tabernaemontani", D298="S. californicus"),(1/3)*(3.14159)*((F298/2)^2)*E298,"NA")</f>
        <v>NA</v>
      </c>
      <c r="O298">
        <f>IF(AND(OR(D298="S. acutus",D298="S. californicus",D298="S. tabernaemontani"),G298=0),E298*[1]Sheet1!$D$7+[1]Sheet1!$L$7,IF(AND(OR(D298="S. acutus",D298="S. tabernaemontani"),G298&gt;0),E298*[1]Sheet1!$D$8+N298*[1]Sheet1!$E$8,IF(AND(D298="S. californicus",G298&gt;0),E298*[1]Sheet1!$D$9+N298*[1]Sheet1!$E$9,IF(D298="S.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latifolia"),E298&gt;0),F298*[1]Sheet1!$C$4+E298*[1]Sheet1!$D$4+H298*[1]Sheet1!$J$4+I298*[1]Sheet1!$K$4+[1]Sheet1!$L$4,IF(AND(OR(D298="T. domingensis",D298="T. latifolia"),J298&gt;0),J298*[1]Sheet1!$G$5+K298*[1]Sheet1!$H$5+L298*[1]Sheet1!$I$5+[1]Sheet1!$L$5,0)))))))</f>
        <v>22.893515000000008</v>
      </c>
    </row>
    <row r="299" spans="1:15">
      <c r="A299" s="10">
        <v>41767</v>
      </c>
      <c r="B299" s="7" t="s">
        <v>26</v>
      </c>
      <c r="C299">
        <v>37</v>
      </c>
      <c r="D299" t="s">
        <v>19</v>
      </c>
      <c r="F299">
        <v>0.35</v>
      </c>
      <c r="J299">
        <f>26+28+29</f>
        <v>83</v>
      </c>
      <c r="K299">
        <v>3</v>
      </c>
      <c r="L299">
        <v>29</v>
      </c>
      <c r="N299" t="str">
        <f>IF(OR(D299="S. acutus", D299="S. tabernaemontani", D299="S. californicus"),(1/3)*(3.14159)*((F299/2)^2)*E299,"NA")</f>
        <v>NA</v>
      </c>
      <c r="O299">
        <f>IF(AND(OR(D299="S. acutus",D299="S. californicus",D299="S. tabernaemontani"),G299=0),E299*[1]Sheet1!$D$7+[1]Sheet1!$L$7,IF(AND(OR(D299="S. acutus",D299="S. tabernaemontani"),G299&gt;0),E299*[1]Sheet1!$D$8+N299*[1]Sheet1!$E$8,IF(AND(D299="S. californicus",G299&gt;0),E299*[1]Sheet1!$D$9+N299*[1]Sheet1!$E$9,IF(D299="S.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latifolia"),E299&gt;0),F299*[1]Sheet1!$C$4+E299*[1]Sheet1!$D$4+H299*[1]Sheet1!$J$4+I299*[1]Sheet1!$K$4+[1]Sheet1!$L$4,IF(AND(OR(D299="T. domingensis",D299="T. latifolia"),J299&gt;0),J299*[1]Sheet1!$G$5+K299*[1]Sheet1!$H$5+L299*[1]Sheet1!$I$5+[1]Sheet1!$L$5,0)))))))</f>
        <v>11.015484999999998</v>
      </c>
    </row>
    <row r="300" spans="1:15">
      <c r="A300" s="10">
        <v>41767</v>
      </c>
      <c r="B300" s="7" t="s">
        <v>26</v>
      </c>
      <c r="C300">
        <v>37</v>
      </c>
      <c r="D300" t="s">
        <v>19</v>
      </c>
      <c r="F300">
        <v>1.66</v>
      </c>
      <c r="J300">
        <f>57+90+128+149+173+188</f>
        <v>785</v>
      </c>
      <c r="K300">
        <v>6</v>
      </c>
      <c r="L300">
        <v>188</v>
      </c>
      <c r="N300" t="str">
        <f>IF(OR(D300="S. acutus", D300="S. tabernaemontani", D300="S. californicus"),(1/3)*(3.14159)*((F300/2)^2)*E300,"NA")</f>
        <v>NA</v>
      </c>
      <c r="O300">
        <f>IF(AND(OR(D300="S. acutus",D300="S. californicus",D300="S. tabernaemontani"),G300=0),E300*[1]Sheet1!$D$7+[1]Sheet1!$L$7,IF(AND(OR(D300="S. acutus",D300="S. tabernaemontani"),G300&gt;0),E300*[1]Sheet1!$D$8+N300*[1]Sheet1!$E$8,IF(AND(D300="S. californicus",G300&gt;0),E300*[1]Sheet1!$D$9+N300*[1]Sheet1!$E$9,IF(D300="S.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latifolia"),E300&gt;0),F300*[1]Sheet1!$C$4+E300*[1]Sheet1!$D$4+H300*[1]Sheet1!$J$4+I300*[1]Sheet1!$K$4+[1]Sheet1!$L$4,IF(AND(OR(D300="T. domingensis",D300="T. latifolia"),J300&gt;0),J300*[1]Sheet1!$G$5+K300*[1]Sheet1!$H$5+L300*[1]Sheet1!$I$5+[1]Sheet1!$L$5,0)))))))</f>
        <v>7.8664810000000074</v>
      </c>
    </row>
    <row r="301" spans="1:15">
      <c r="A301" s="9">
        <v>41767</v>
      </c>
      <c r="B301" s="7" t="s">
        <v>27</v>
      </c>
      <c r="C301">
        <v>3</v>
      </c>
      <c r="D301" t="s">
        <v>25</v>
      </c>
      <c r="E301">
        <v>118</v>
      </c>
      <c r="F301">
        <v>1.34</v>
      </c>
      <c r="G301">
        <v>9</v>
      </c>
      <c r="N301">
        <f>IF(OR(D301="S. acutus", D301="S. tabernaemontani", D301="S. californicus"),(1/3)*(3.14159)*((F301/2)^2)*E301,"NA")</f>
        <v>55.470216872666668</v>
      </c>
      <c r="O301">
        <f>IF(AND(OR(D301="S. acutus",D301="S. californicus",D301="S. tabernaemontani"),G301=0),E301*[1]Sheet1!$D$7+[1]Sheet1!$L$7,IF(AND(OR(D301="S. acutus",D301="S. tabernaemontani"),G301&gt;0),E301*[1]Sheet1!$D$8+N301*[1]Sheet1!$E$8,IF(AND(D301="S. californicus",G301&gt;0),E301*[1]Sheet1!$D$9+N301*[1]Sheet1!$E$9,IF(D301="S.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latifolia"),E301&gt;0),F301*[1]Sheet1!$C$4+E301*[1]Sheet1!$D$4+H301*[1]Sheet1!$J$4+I301*[1]Sheet1!$K$4+[1]Sheet1!$L$4,IF(AND(OR(D301="T. domingensis",D301="T. latifolia"),J301&gt;0),J301*[1]Sheet1!$G$5+K301*[1]Sheet1!$H$5+L301*[1]Sheet1!$I$5+[1]Sheet1!$L$5,0)))))))</f>
        <v>6.089434087914178</v>
      </c>
    </row>
    <row r="302" spans="1:15">
      <c r="A302" s="9">
        <v>41767</v>
      </c>
      <c r="B302" s="7" t="s">
        <v>27</v>
      </c>
      <c r="C302">
        <v>3</v>
      </c>
      <c r="D302" t="s">
        <v>25</v>
      </c>
      <c r="E302">
        <v>82</v>
      </c>
      <c r="F302">
        <v>1.25</v>
      </c>
      <c r="N302">
        <f>IF(OR(D302="S. acutus", D302="S. tabernaemontani", D302="S. californicus"),(1/3)*(3.14159)*((F302/2)^2)*E302,"NA")</f>
        <v>33.543018229166663</v>
      </c>
      <c r="O302">
        <f>IF(AND(OR(D302="S. acutus",D302="S. californicus",D302="S. tabernaemontani"),G302=0),E302*[1]Sheet1!$D$7+[1]Sheet1!$L$7,IF(AND(OR(D302="S. acutus",D302="S. tabernaemontani"),G302&gt;0),E302*[1]Sheet1!$D$8+N302*[1]Sheet1!$E$8,IF(AND(D302="S. californicus",G302&gt;0),E302*[1]Sheet1!$D$9+N302*[1]Sheet1!$E$9,IF(D302="S.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latifolia"),E302&gt;0),F302*[1]Sheet1!$C$4+E302*[1]Sheet1!$D$4+H302*[1]Sheet1!$J$4+I302*[1]Sheet1!$K$4+[1]Sheet1!$L$4,IF(AND(OR(D302="T. domingensis",D302="T. latifolia"),J302&gt;0),J302*[1]Sheet1!$G$5+K302*[1]Sheet1!$H$5+L302*[1]Sheet1!$I$5+[1]Sheet1!$L$5,0)))))))</f>
        <v>1.1580130000000004</v>
      </c>
    </row>
    <row r="303" spans="1:15">
      <c r="A303" s="9">
        <v>41767</v>
      </c>
      <c r="B303" s="7" t="s">
        <v>27</v>
      </c>
      <c r="C303">
        <v>3</v>
      </c>
      <c r="D303" t="s">
        <v>25</v>
      </c>
      <c r="E303">
        <v>96</v>
      </c>
      <c r="F303">
        <v>1.1399999999999999</v>
      </c>
      <c r="G303">
        <v>7</v>
      </c>
      <c r="N303">
        <f>IF(OR(D303="S. acutus", D303="S. tabernaemontani", D303="S. californicus"),(1/3)*(3.14159)*((F303/2)^2)*E303,"NA")</f>
        <v>32.662482911999987</v>
      </c>
      <c r="O303">
        <f>IF(AND(OR(D303="S. acutus",D303="S. californicus",D303="S. tabernaemontani"),G303=0),E303*[1]Sheet1!$D$7+[1]Sheet1!$L$7,IF(AND(OR(D303="S. acutus",D303="S. tabernaemontani"),G303&gt;0),E303*[1]Sheet1!$D$8+N303*[1]Sheet1!$E$8,IF(AND(D303="S. californicus",G303&gt;0),E303*[1]Sheet1!$D$9+N303*[1]Sheet1!$E$9,IF(D303="S.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latifolia"),E303&gt;0),F303*[1]Sheet1!$C$4+E303*[1]Sheet1!$D$4+H303*[1]Sheet1!$J$4+I303*[1]Sheet1!$K$4+[1]Sheet1!$L$4,IF(AND(OR(D303="T. domingensis",D303="T. latifolia"),J303&gt;0),J303*[1]Sheet1!$G$5+K303*[1]Sheet1!$H$5+L303*[1]Sheet1!$I$5+[1]Sheet1!$L$5,0)))))))</f>
        <v>4.2351616394666873</v>
      </c>
    </row>
    <row r="304" spans="1:15">
      <c r="A304" s="9">
        <v>41767</v>
      </c>
      <c r="B304" s="7" t="s">
        <v>27</v>
      </c>
      <c r="C304">
        <v>3</v>
      </c>
      <c r="D304" t="s">
        <v>25</v>
      </c>
      <c r="E304">
        <v>138</v>
      </c>
      <c r="F304">
        <v>1.82</v>
      </c>
      <c r="N304">
        <f>IF(OR(D304="S. acutus", D304="S. tabernaemontani", D304="S. californicus"),(1/3)*(3.14159)*((F304/2)^2)*E304,"NA")</f>
        <v>119.67133123399999</v>
      </c>
      <c r="O304">
        <f>IF(AND(OR(D304="S. acutus",D304="S. californicus",D304="S. tabernaemontani"),G304=0),E304*[1]Sheet1!$D$7+[1]Sheet1!$L$7,IF(AND(OR(D304="S. acutus",D304="S. tabernaemontani"),G304&gt;0),E304*[1]Sheet1!$D$8+N304*[1]Sheet1!$E$8,IF(AND(D304="S. californicus",G304&gt;0),E304*[1]Sheet1!$D$9+N304*[1]Sheet1!$E$9,IF(D304="S.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latifolia"),E304&gt;0),F304*[1]Sheet1!$C$4+E304*[1]Sheet1!$D$4+H304*[1]Sheet1!$J$4+I304*[1]Sheet1!$K$4+[1]Sheet1!$L$4,IF(AND(OR(D304="T. domingensis",D304="T. latifolia"),J304&gt;0),J304*[1]Sheet1!$G$5+K304*[1]Sheet1!$H$5+L304*[1]Sheet1!$I$5+[1]Sheet1!$L$5,0)))))))</f>
        <v>5.0838930000000007</v>
      </c>
    </row>
    <row r="305" spans="1:15">
      <c r="A305" s="9">
        <v>41767</v>
      </c>
      <c r="B305" s="7" t="s">
        <v>27</v>
      </c>
      <c r="C305">
        <v>3</v>
      </c>
      <c r="D305" t="s">
        <v>25</v>
      </c>
      <c r="E305">
        <v>167</v>
      </c>
      <c r="F305">
        <v>2.2799999999999998</v>
      </c>
      <c r="G305">
        <v>6</v>
      </c>
      <c r="N305">
        <f>IF(OR(D305="S. acutus", D305="S. tabernaemontani", D305="S. californicus"),(1/3)*(3.14159)*((F305/2)^2)*E305,"NA")</f>
        <v>227.27644359599995</v>
      </c>
      <c r="O305">
        <f>IF(AND(OR(D305="S. acutus",D305="S. californicus",D305="S. tabernaemontani"),G305=0),E305*[1]Sheet1!$D$7+[1]Sheet1!$L$7,IF(AND(OR(D305="S. acutus",D305="S. tabernaemontani"),G305&gt;0),E305*[1]Sheet1!$D$8+N305*[1]Sheet1!$E$8,IF(AND(D305="S. californicus",G305&gt;0),E305*[1]Sheet1!$D$9+N305*[1]Sheet1!$E$9,IF(D305="S.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latifolia"),E305&gt;0),F305*[1]Sheet1!$C$4+E305*[1]Sheet1!$D$4+H305*[1]Sheet1!$J$4+I305*[1]Sheet1!$K$4+[1]Sheet1!$L$4,IF(AND(OR(D305="T. domingensis",D305="T. latifolia"),J305&gt;0),J305*[1]Sheet1!$G$5+K305*[1]Sheet1!$H$5+L305*[1]Sheet1!$I$5+[1]Sheet1!$L$5,0)))))))</f>
        <v>17.198372807955703</v>
      </c>
    </row>
    <row r="306" spans="1:15">
      <c r="A306" s="9">
        <v>41767</v>
      </c>
      <c r="B306" s="7" t="s">
        <v>27</v>
      </c>
      <c r="C306">
        <v>3</v>
      </c>
      <c r="D306" t="s">
        <v>25</v>
      </c>
      <c r="E306">
        <v>167</v>
      </c>
      <c r="F306">
        <v>1.77</v>
      </c>
      <c r="G306">
        <v>7</v>
      </c>
      <c r="N306">
        <f>IF(OR(D306="S. acutus", D306="S. tabernaemontani", D306="S. californicus"),(1/3)*(3.14159)*((F306/2)^2)*E306,"NA")</f>
        <v>136.97183174475001</v>
      </c>
      <c r="O306">
        <f>IF(AND(OR(D306="S. acutus",D306="S. californicus",D306="S. tabernaemontani"),G306=0),E306*[1]Sheet1!$D$7+[1]Sheet1!$L$7,IF(AND(OR(D306="S. acutus",D306="S. tabernaemontani"),G306&gt;0),E306*[1]Sheet1!$D$8+N306*[1]Sheet1!$E$8,IF(AND(D306="S. californicus",G306&gt;0),E306*[1]Sheet1!$D$9+N306*[1]Sheet1!$E$9,IF(D306="S.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latifolia"),E306&gt;0),F306*[1]Sheet1!$C$4+E306*[1]Sheet1!$D$4+H306*[1]Sheet1!$J$4+I306*[1]Sheet1!$K$4+[1]Sheet1!$L$4,IF(AND(OR(D306="T. domingensis",D306="T. latifolia"),J306&gt;0),J306*[1]Sheet1!$G$5+K306*[1]Sheet1!$H$5+L306*[1]Sheet1!$I$5+[1]Sheet1!$L$5,0)))))))</f>
        <v>11.990144624046714</v>
      </c>
    </row>
    <row r="307" spans="1:15">
      <c r="A307" s="9">
        <v>41767</v>
      </c>
      <c r="B307" s="7" t="s">
        <v>27</v>
      </c>
      <c r="C307">
        <v>3</v>
      </c>
      <c r="D307" t="s">
        <v>25</v>
      </c>
      <c r="E307">
        <v>149</v>
      </c>
      <c r="F307">
        <v>1.35</v>
      </c>
      <c r="G307">
        <v>9</v>
      </c>
      <c r="N307">
        <f>IF(OR(D307="S. acutus", D307="S. tabernaemontani", D307="S. californicus"),(1/3)*(3.14159)*((F307/2)^2)*E307,"NA")</f>
        <v>71.09221820625001</v>
      </c>
      <c r="O307">
        <f>IF(AND(OR(D307="S. acutus",D307="S. californicus",D307="S. tabernaemontani"),G307=0),E307*[1]Sheet1!$D$7+[1]Sheet1!$L$7,IF(AND(OR(D307="S. acutus",D307="S. tabernaemontani"),G307&gt;0),E307*[1]Sheet1!$D$8+N307*[1]Sheet1!$E$8,IF(AND(D307="S. californicus",G307&gt;0),E307*[1]Sheet1!$D$9+N307*[1]Sheet1!$E$9,IF(D307="S.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latifolia"),E307&gt;0),F307*[1]Sheet1!$C$4+E307*[1]Sheet1!$D$4+H307*[1]Sheet1!$J$4+I307*[1]Sheet1!$K$4+[1]Sheet1!$L$4,IF(AND(OR(D307="T. domingensis",D307="T. latifolia"),J307&gt;0),J307*[1]Sheet1!$G$5+K307*[1]Sheet1!$H$5+L307*[1]Sheet1!$I$5+[1]Sheet1!$L$5,0)))))))</f>
        <v>7.7497189928272636</v>
      </c>
    </row>
    <row r="308" spans="1:15">
      <c r="A308" s="9">
        <v>41767</v>
      </c>
      <c r="B308" s="7" t="s">
        <v>27</v>
      </c>
      <c r="C308">
        <v>3</v>
      </c>
      <c r="D308" t="s">
        <v>25</v>
      </c>
      <c r="E308">
        <v>51</v>
      </c>
      <c r="F308">
        <v>1.84</v>
      </c>
      <c r="N308">
        <f>IF(OR(D308="S. acutus", D308="S. tabernaemontani", D308="S. californicus"),(1/3)*(3.14159)*((F308/2)^2)*E308,"NA")</f>
        <v>45.203710191999996</v>
      </c>
      <c r="O308">
        <f>IF(AND(OR(D308="S. acutus",D308="S. californicus",D308="S. tabernaemontani"),G308=0),E308*[1]Sheet1!$D$7+[1]Sheet1!$L$7,IF(AND(OR(D308="S. acutus",D308="S. tabernaemontani"),G308&gt;0),E308*[1]Sheet1!$D$8+N308*[1]Sheet1!$E$8,IF(AND(D308="S. californicus",G308&gt;0),E308*[1]Sheet1!$D$9+N308*[1]Sheet1!$E$9,IF(D308="S.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latifolia"),E308&gt;0),F308*[1]Sheet1!$C$4+E308*[1]Sheet1!$D$4+H308*[1]Sheet1!$J$4+I308*[1]Sheet1!$K$4+[1]Sheet1!$L$4,IF(AND(OR(D308="T. domingensis",D308="T. latifolia"),J308&gt;0),J308*[1]Sheet1!$G$5+K308*[1]Sheet1!$H$5+L308*[1]Sheet1!$I$5+[1]Sheet1!$L$5,0)))))))</f>
        <v>-1.0152419999999998</v>
      </c>
    </row>
    <row r="309" spans="1:15">
      <c r="A309" s="9">
        <v>41767</v>
      </c>
      <c r="B309" s="7" t="s">
        <v>27</v>
      </c>
      <c r="C309">
        <v>3</v>
      </c>
      <c r="D309" t="s">
        <v>25</v>
      </c>
      <c r="E309">
        <v>186</v>
      </c>
      <c r="F309">
        <v>1.86</v>
      </c>
      <c r="G309">
        <v>10</v>
      </c>
      <c r="N309">
        <f>IF(OR(D309="S. acutus", D309="S. tabernaemontani", D309="S. californicus"),(1/3)*(3.14159)*((F309/2)^2)*E309,"NA")</f>
        <v>168.46399384200001</v>
      </c>
      <c r="O309">
        <f>IF(AND(OR(D309="S. acutus",D309="S. californicus",D309="S. tabernaemontani"),G309=0),E309*[1]Sheet1!$D$7+[1]Sheet1!$L$7,IF(AND(OR(D309="S. acutus",D309="S. tabernaemontani"),G309&gt;0),E309*[1]Sheet1!$D$8+N309*[1]Sheet1!$E$8,IF(AND(D309="S. californicus",G309&gt;0),E309*[1]Sheet1!$D$9+N309*[1]Sheet1!$E$9,IF(D309="S.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latifolia"),E309&gt;0),F309*[1]Sheet1!$C$4+E309*[1]Sheet1!$D$4+H309*[1]Sheet1!$J$4+I309*[1]Sheet1!$K$4+[1]Sheet1!$L$4,IF(AND(OR(D309="T. domingensis",D309="T. latifolia"),J309&gt;0),J309*[1]Sheet1!$G$5+K309*[1]Sheet1!$H$5+L309*[1]Sheet1!$I$5+[1]Sheet1!$L$5,0)))))))</f>
        <v>14.271801980843509</v>
      </c>
    </row>
    <row r="310" spans="1:15">
      <c r="A310" s="9">
        <v>41767</v>
      </c>
      <c r="B310" s="7" t="s">
        <v>27</v>
      </c>
      <c r="C310">
        <v>3</v>
      </c>
      <c r="D310" t="s">
        <v>25</v>
      </c>
      <c r="E310">
        <v>102</v>
      </c>
      <c r="F310">
        <v>1.28</v>
      </c>
      <c r="G310">
        <v>12</v>
      </c>
      <c r="N310">
        <f>IF(OR(D310="S. acutus", D310="S. tabernaemontani", D310="S. californicus"),(1/3)*(3.14159)*((F310/2)^2)*E310,"NA")</f>
        <v>43.751038975999997</v>
      </c>
      <c r="O310">
        <f>IF(AND(OR(D310="S. acutus",D310="S. californicus",D310="S. tabernaemontani"),G310=0),E310*[1]Sheet1!$D$7+[1]Sheet1!$L$7,IF(AND(OR(D310="S. acutus",D310="S. tabernaemontani"),G310&gt;0),E310*[1]Sheet1!$D$8+N310*[1]Sheet1!$E$8,IF(AND(D310="S. californicus",G310&gt;0),E310*[1]Sheet1!$D$9+N310*[1]Sheet1!$E$9,IF(D310="S.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latifolia"),E310&gt;0),F310*[1]Sheet1!$C$4+E310*[1]Sheet1!$D$4+H310*[1]Sheet1!$J$4+I310*[1]Sheet1!$K$4+[1]Sheet1!$L$4,IF(AND(OR(D310="T. domingensis",D310="T. latifolia"),J310&gt;0),J310*[1]Sheet1!$G$5+K310*[1]Sheet1!$H$5+L310*[1]Sheet1!$I$5+[1]Sheet1!$L$5,0)))))))</f>
        <v>5.0216446219018245</v>
      </c>
    </row>
    <row r="311" spans="1:15">
      <c r="A311" s="9">
        <v>41767</v>
      </c>
      <c r="B311" s="7" t="s">
        <v>27</v>
      </c>
      <c r="C311">
        <v>3</v>
      </c>
      <c r="D311" t="s">
        <v>25</v>
      </c>
      <c r="E311">
        <v>240</v>
      </c>
      <c r="F311">
        <v>2.5</v>
      </c>
      <c r="G311">
        <v>6</v>
      </c>
      <c r="N311">
        <f>IF(OR(D311="S. acutus", D311="S. tabernaemontani", D311="S. californicus"),(1/3)*(3.14159)*((F311/2)^2)*E311,"NA")</f>
        <v>392.69874999999996</v>
      </c>
      <c r="O311">
        <f>IF(AND(OR(D311="S. acutus",D311="S. californicus",D311="S. tabernaemontani"),G311=0),E311*[1]Sheet1!$D$7+[1]Sheet1!$L$7,IF(AND(OR(D311="S. acutus",D311="S. tabernaemontani"),G311&gt;0),E311*[1]Sheet1!$D$8+N311*[1]Sheet1!$E$8,IF(AND(D311="S. californicus",G311&gt;0),E311*[1]Sheet1!$D$9+N311*[1]Sheet1!$E$9,IF(D311="S.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latifolia"),E311&gt;0),F311*[1]Sheet1!$C$4+E311*[1]Sheet1!$D$4+H311*[1]Sheet1!$J$4+I311*[1]Sheet1!$K$4+[1]Sheet1!$L$4,IF(AND(OR(D311="T. domingensis",D311="T. latifolia"),J311&gt;0),J311*[1]Sheet1!$G$5+K311*[1]Sheet1!$H$5+L311*[1]Sheet1!$I$5+[1]Sheet1!$L$5,0)))))))</f>
        <v>28.5269717075</v>
      </c>
    </row>
    <row r="312" spans="1:15">
      <c r="A312" s="9">
        <v>41767</v>
      </c>
      <c r="B312" s="7" t="s">
        <v>27</v>
      </c>
      <c r="C312">
        <v>3</v>
      </c>
      <c r="D312" t="s">
        <v>25</v>
      </c>
      <c r="E312">
        <v>87</v>
      </c>
      <c r="F312">
        <v>1.7</v>
      </c>
      <c r="N312">
        <f>IF(OR(D312="S. acutus", D312="S. tabernaemontani", D312="S. californicus"),(1/3)*(3.14159)*((F312/2)^2)*E312,"NA")</f>
        <v>65.824164474999975</v>
      </c>
      <c r="O312">
        <f>IF(AND(OR(D312="S. acutus",D312="S. californicus",D312="S. tabernaemontani"),G312=0),E312*[1]Sheet1!$D$7+[1]Sheet1!$L$7,IF(AND(OR(D312="S. acutus",D312="S. tabernaemontani"),G312&gt;0),E312*[1]Sheet1!$D$8+N312*[1]Sheet1!$E$8,IF(AND(D312="S. californicus",G312&gt;0),E312*[1]Sheet1!$D$9+N312*[1]Sheet1!$E$9,IF(D312="S.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latifolia"),E312&gt;0),F312*[1]Sheet1!$C$4+E312*[1]Sheet1!$D$4+H312*[1]Sheet1!$J$4+I312*[1]Sheet1!$K$4+[1]Sheet1!$L$4,IF(AND(OR(D312="T. domingensis",D312="T. latifolia"),J312&gt;0),J312*[1]Sheet1!$G$5+K312*[1]Sheet1!$H$5+L312*[1]Sheet1!$I$5+[1]Sheet1!$L$5,0)))))))</f>
        <v>1.5085380000000006</v>
      </c>
    </row>
    <row r="313" spans="1:15">
      <c r="A313" s="9">
        <v>41767</v>
      </c>
      <c r="B313" s="7" t="s">
        <v>27</v>
      </c>
      <c r="C313">
        <v>3</v>
      </c>
      <c r="D313" t="s">
        <v>25</v>
      </c>
      <c r="E313">
        <v>82</v>
      </c>
      <c r="F313">
        <v>1.76</v>
      </c>
      <c r="N313">
        <f>IF(OR(D313="S. acutus", D313="S. tabernaemontani", D313="S. californicus"),(1/3)*(3.14159)*((F313/2)^2)*E313,"NA")</f>
        <v>66.497826090666649</v>
      </c>
      <c r="O313">
        <f>IF(AND(OR(D313="S. acutus",D313="S. californicus",D313="S. tabernaemontani"),G313=0),E313*[1]Sheet1!$D$7+[1]Sheet1!$L$7,IF(AND(OR(D313="S. acutus",D313="S. tabernaemontani"),G313&gt;0),E313*[1]Sheet1!$D$8+N313*[1]Sheet1!$E$8,IF(AND(D313="S. californicus",G313&gt;0),E313*[1]Sheet1!$D$9+N313*[1]Sheet1!$E$9,IF(D313="S.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latifolia"),E313&gt;0),F313*[1]Sheet1!$C$4+E313*[1]Sheet1!$D$4+H313*[1]Sheet1!$J$4+I313*[1]Sheet1!$K$4+[1]Sheet1!$L$4,IF(AND(OR(D313="T. domingensis",D313="T. latifolia"),J313&gt;0),J313*[1]Sheet1!$G$5+K313*[1]Sheet1!$H$5+L313*[1]Sheet1!$I$5+[1]Sheet1!$L$5,0)))))))</f>
        <v>1.1580130000000004</v>
      </c>
    </row>
    <row r="314" spans="1:15">
      <c r="A314" s="9">
        <v>41767</v>
      </c>
      <c r="B314" s="7" t="s">
        <v>27</v>
      </c>
      <c r="C314">
        <v>3</v>
      </c>
      <c r="D314" t="s">
        <v>25</v>
      </c>
      <c r="E314">
        <v>169</v>
      </c>
      <c r="F314">
        <v>2.52</v>
      </c>
      <c r="N314">
        <f>IF(OR(D314="S. acutus", D314="S. tabernaemontani", D314="S. californicus"),(1/3)*(3.14159)*((F314/2)^2)*E314,"NA")</f>
        <v>280.967473332</v>
      </c>
      <c r="O314">
        <f>IF(AND(OR(D314="S. acutus",D314="S. californicus",D314="S. tabernaemontani"),G314=0),E314*[1]Sheet1!$D$7+[1]Sheet1!$L$7,IF(AND(OR(D314="S. acutus",D314="S. tabernaemontani"),G314&gt;0),E314*[1]Sheet1!$D$8+N314*[1]Sheet1!$E$8,IF(AND(D314="S. californicus",G314&gt;0),E314*[1]Sheet1!$D$9+N314*[1]Sheet1!$E$9,IF(D314="S.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latifolia"),E314&gt;0),F314*[1]Sheet1!$C$4+E314*[1]Sheet1!$D$4+H314*[1]Sheet1!$J$4+I314*[1]Sheet1!$K$4+[1]Sheet1!$L$4,IF(AND(OR(D314="T. domingensis",D314="T. latifolia"),J314&gt;0),J314*[1]Sheet1!$G$5+K314*[1]Sheet1!$H$5+L314*[1]Sheet1!$I$5+[1]Sheet1!$L$5,0)))))))</f>
        <v>7.2571479999999999</v>
      </c>
    </row>
    <row r="315" spans="1:15">
      <c r="A315" s="9">
        <v>41767</v>
      </c>
      <c r="B315" s="7" t="s">
        <v>27</v>
      </c>
      <c r="C315">
        <v>3</v>
      </c>
      <c r="D315" t="s">
        <v>25</v>
      </c>
      <c r="E315">
        <v>244</v>
      </c>
      <c r="F315">
        <v>2.16</v>
      </c>
      <c r="N315">
        <f>IF(OR(D315="S. acutus", D315="S. tabernaemontani", D315="S. californicus"),(1/3)*(3.14159)*((F315/2)^2)*E315,"NA")</f>
        <v>298.033846848</v>
      </c>
      <c r="O315">
        <f>IF(AND(OR(D315="S. acutus",D315="S. californicus",D315="S. tabernaemontani"),G315=0),E315*[1]Sheet1!$D$7+[1]Sheet1!$L$7,IF(AND(OR(D315="S. acutus",D315="S. tabernaemontani"),G315&gt;0),E315*[1]Sheet1!$D$8+N315*[1]Sheet1!$E$8,IF(AND(D315="S. californicus",G315&gt;0),E315*[1]Sheet1!$D$9+N315*[1]Sheet1!$E$9,IF(D315="S.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latifolia"),E315&gt;0),F315*[1]Sheet1!$C$4+E315*[1]Sheet1!$D$4+H315*[1]Sheet1!$J$4+I315*[1]Sheet1!$K$4+[1]Sheet1!$L$4,IF(AND(OR(D315="T. domingensis",D315="T. latifolia"),J315&gt;0),J315*[1]Sheet1!$G$5+K315*[1]Sheet1!$H$5+L315*[1]Sheet1!$I$5+[1]Sheet1!$L$5,0)))))))</f>
        <v>12.515023000000003</v>
      </c>
    </row>
    <row r="316" spans="1:15">
      <c r="A316" s="9">
        <v>41767</v>
      </c>
      <c r="B316" s="7" t="s">
        <v>27</v>
      </c>
      <c r="C316">
        <v>3</v>
      </c>
      <c r="D316" t="s">
        <v>25</v>
      </c>
      <c r="E316">
        <v>234</v>
      </c>
      <c r="F316">
        <v>2.89</v>
      </c>
      <c r="N316">
        <f>IF(OR(D316="S. acutus", D316="S. tabernaemontani", D316="S. californicus"),(1/3)*(3.14159)*((F316/2)^2)*E316,"NA")</f>
        <v>511.65803986049997</v>
      </c>
      <c r="O316">
        <f>IF(AND(OR(D316="S. acutus",D316="S. californicus",D316="S. tabernaemontani"),G316=0),E316*[1]Sheet1!$D$7+[1]Sheet1!$L$7,IF(AND(OR(D316="S. acutus",D316="S. tabernaemontani"),G316&gt;0),E316*[1]Sheet1!$D$8+N316*[1]Sheet1!$E$8,IF(AND(D316="S. californicus",G316&gt;0),E316*[1]Sheet1!$D$9+N316*[1]Sheet1!$E$9,IF(D316="S.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latifolia"),E316&gt;0),F316*[1]Sheet1!$C$4+E316*[1]Sheet1!$D$4+H316*[1]Sheet1!$J$4+I316*[1]Sheet1!$K$4+[1]Sheet1!$L$4,IF(AND(OR(D316="T. domingensis",D316="T. latifolia"),J316&gt;0),J316*[1]Sheet1!$G$5+K316*[1]Sheet1!$H$5+L316*[1]Sheet1!$I$5+[1]Sheet1!$L$5,0)))))))</f>
        <v>11.813973000000001</v>
      </c>
    </row>
    <row r="317" spans="1:15">
      <c r="A317" s="9">
        <v>41767</v>
      </c>
      <c r="B317" s="7" t="s">
        <v>27</v>
      </c>
      <c r="C317">
        <v>3</v>
      </c>
      <c r="D317" t="s">
        <v>25</v>
      </c>
      <c r="E317">
        <v>65</v>
      </c>
      <c r="F317">
        <v>2.09</v>
      </c>
      <c r="N317">
        <f>IF(OR(D317="S. acutus", D317="S. tabernaemontani", D317="S. californicus"),(1/3)*(3.14159)*((F317/2)^2)*E317,"NA")</f>
        <v>74.331721094583315</v>
      </c>
      <c r="O317">
        <f>IF(AND(OR(D317="S. acutus",D317="S. californicus",D317="S. tabernaemontani"),G317=0),E317*[1]Sheet1!$D$7+[1]Sheet1!$L$7,IF(AND(OR(D317="S. acutus",D317="S. tabernaemontani"),G317&gt;0),E317*[1]Sheet1!$D$8+N317*[1]Sheet1!$E$8,IF(AND(D317="S. californicus",G317&gt;0),E317*[1]Sheet1!$D$9+N317*[1]Sheet1!$E$9,IF(D317="S.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latifolia"),E317&gt;0),F317*[1]Sheet1!$C$4+E317*[1]Sheet1!$D$4+H317*[1]Sheet1!$J$4+I317*[1]Sheet1!$K$4+[1]Sheet1!$L$4,IF(AND(OR(D317="T. domingensis",D317="T. latifolia"),J317&gt;0),J317*[1]Sheet1!$G$5+K317*[1]Sheet1!$H$5+L317*[1]Sheet1!$I$5+[1]Sheet1!$L$5,0)))))))</f>
        <v>-3.3771999999999913E-2</v>
      </c>
    </row>
    <row r="318" spans="1:15">
      <c r="A318" s="9">
        <v>41767</v>
      </c>
      <c r="B318" s="7" t="s">
        <v>27</v>
      </c>
      <c r="C318">
        <v>3</v>
      </c>
      <c r="D318" t="s">
        <v>25</v>
      </c>
      <c r="E318">
        <v>120</v>
      </c>
      <c r="F318">
        <v>1.59</v>
      </c>
      <c r="G318">
        <v>7</v>
      </c>
      <c r="N318">
        <f>IF(OR(D318="S. acutus", D318="S. tabernaemontani", D318="S. californicus"),(1/3)*(3.14159)*((F318/2)^2)*E318,"NA")</f>
        <v>79.422536790000009</v>
      </c>
      <c r="O318">
        <f>IF(AND(OR(D318="S. acutus",D318="S. californicus",D318="S. tabernaemontani"),G318=0),E318*[1]Sheet1!$D$7+[1]Sheet1!$L$7,IF(AND(OR(D318="S. acutus",D318="S. tabernaemontani"),G318&gt;0),E318*[1]Sheet1!$D$8+N318*[1]Sheet1!$E$8,IF(AND(D318="S. californicus",G318&gt;0),E318*[1]Sheet1!$D$9+N318*[1]Sheet1!$E$9,IF(D318="S.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latifolia"),E318&gt;0),F318*[1]Sheet1!$C$4+E318*[1]Sheet1!$D$4+H318*[1]Sheet1!$J$4+I318*[1]Sheet1!$K$4+[1]Sheet1!$L$4,IF(AND(OR(D318="T. domingensis",D318="T. latifolia"),J318&gt;0),J318*[1]Sheet1!$G$5+K318*[1]Sheet1!$H$5+L318*[1]Sheet1!$I$5+[1]Sheet1!$L$5,0)))))))</f>
        <v>7.519847386826461</v>
      </c>
    </row>
    <row r="319" spans="1:15">
      <c r="A319" s="9">
        <v>41767</v>
      </c>
      <c r="B319" s="7" t="s">
        <v>27</v>
      </c>
      <c r="C319">
        <v>3</v>
      </c>
      <c r="D319" t="s">
        <v>25</v>
      </c>
      <c r="E319">
        <v>243</v>
      </c>
      <c r="F319">
        <v>2.68</v>
      </c>
      <c r="G319">
        <v>8</v>
      </c>
      <c r="N319">
        <f>IF(OR(D319="S. acutus", D319="S. tabernaemontani", D319="S. californicus"),(1/3)*(3.14159)*((F319/2)^2)*E319,"NA")</f>
        <v>456.92415932400002</v>
      </c>
      <c r="O319">
        <f>IF(AND(OR(D319="S. acutus",D319="S. californicus",D319="S. tabernaemontani"),G319=0),E319*[1]Sheet1!$D$7+[1]Sheet1!$L$7,IF(AND(OR(D319="S. acutus",D319="S. tabernaemontani"),G319&gt;0),E319*[1]Sheet1!$D$8+N319*[1]Sheet1!$E$8,IF(AND(D319="S. californicus",G319&gt;0),E319*[1]Sheet1!$D$9+N319*[1]Sheet1!$E$9,IF(D319="S.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latifolia"),E319&gt;0),F319*[1]Sheet1!$C$4+E319*[1]Sheet1!$D$4+H319*[1]Sheet1!$J$4+I319*[1]Sheet1!$K$4+[1]Sheet1!$L$4,IF(AND(OR(D319="T. domingensis",D319="T. latifolia"),J319&gt;0),J319*[1]Sheet1!$G$5+K319*[1]Sheet1!$H$5+L319*[1]Sheet1!$I$5+[1]Sheet1!$L$5,0)))))))</f>
        <v>32.304588764852383</v>
      </c>
    </row>
    <row r="320" spans="1:15">
      <c r="A320" s="9">
        <v>41767</v>
      </c>
      <c r="B320" s="7" t="s">
        <v>27</v>
      </c>
      <c r="C320">
        <v>3</v>
      </c>
      <c r="D320" t="s">
        <v>25</v>
      </c>
      <c r="E320">
        <v>129</v>
      </c>
      <c r="F320">
        <v>1.79</v>
      </c>
      <c r="G320">
        <v>10</v>
      </c>
      <c r="N320">
        <f>IF(OR(D320="S. acutus", D320="S. tabernaemontani", D320="S. californicus"),(1/3)*(3.14159)*((F320/2)^2)*E320,"NA")</f>
        <v>108.20916157924998</v>
      </c>
      <c r="O320">
        <f>IF(AND(OR(D320="S. acutus",D320="S. californicus",D320="S. tabernaemontani"),G320=0),E320*[1]Sheet1!$D$7+[1]Sheet1!$L$7,IF(AND(OR(D320="S. acutus",D320="S. tabernaemontani"),G320&gt;0),E320*[1]Sheet1!$D$8+N320*[1]Sheet1!$E$8,IF(AND(D320="S. californicus",G320&gt;0),E320*[1]Sheet1!$D$9+N320*[1]Sheet1!$E$9,IF(D320="S.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latifolia"),E320&gt;0),F320*[1]Sheet1!$C$4+E320*[1]Sheet1!$D$4+H320*[1]Sheet1!$J$4+I320*[1]Sheet1!$K$4+[1]Sheet1!$L$4,IF(AND(OR(D320="T. domingensis",D320="T. latifolia"),J320&gt;0),J320*[1]Sheet1!$G$5+K320*[1]Sheet1!$H$5+L320*[1]Sheet1!$I$5+[1]Sheet1!$L$5,0)))))))</f>
        <v>9.4005295849216637</v>
      </c>
    </row>
    <row r="321" spans="1:15">
      <c r="A321" s="9">
        <v>41767</v>
      </c>
      <c r="B321" s="7" t="s">
        <v>27</v>
      </c>
      <c r="C321">
        <v>3</v>
      </c>
      <c r="D321" t="s">
        <v>19</v>
      </c>
      <c r="F321">
        <v>1.84</v>
      </c>
      <c r="J321">
        <f>22+33+35+34+36+38+48</f>
        <v>246</v>
      </c>
      <c r="K321">
        <v>7</v>
      </c>
      <c r="L321">
        <v>48</v>
      </c>
      <c r="N321" t="str">
        <f>IF(OR(D321="S. acutus", D321="S. tabernaemontani", D321="S. californicus"),(1/3)*(3.14159)*((F321/2)^2)*E321,"NA")</f>
        <v>NA</v>
      </c>
      <c r="O321">
        <f>IF(AND(OR(D321="S. acutus",D321="S. californicus",D321="S. tabernaemontani"),G321=0),E321*[1]Sheet1!$D$7+[1]Sheet1!$L$7,IF(AND(OR(D321="S. acutus",D321="S. tabernaemontani"),G321&gt;0),E321*[1]Sheet1!$D$8+N321*[1]Sheet1!$E$8,IF(AND(D321="S. californicus",G321&gt;0),E321*[1]Sheet1!$D$9+N321*[1]Sheet1!$E$9,IF(D321="S.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latifolia"),E321&gt;0),F321*[1]Sheet1!$C$4+E321*[1]Sheet1!$D$4+H321*[1]Sheet1!$J$4+I321*[1]Sheet1!$K$4+[1]Sheet1!$L$4,IF(AND(OR(D321="T. domingensis",D321="T. latifolia"),J321&gt;0),J321*[1]Sheet1!$G$5+K321*[1]Sheet1!$H$5+L321*[1]Sheet1!$I$5+[1]Sheet1!$L$5,0)))))))</f>
        <v>-7.5155169999999956</v>
      </c>
    </row>
    <row r="322" spans="1:15">
      <c r="A322" s="9">
        <v>41767</v>
      </c>
      <c r="B322" s="7" t="s">
        <v>27</v>
      </c>
      <c r="C322">
        <v>3</v>
      </c>
      <c r="D322" t="s">
        <v>19</v>
      </c>
      <c r="F322">
        <v>3.99</v>
      </c>
      <c r="J322">
        <f>99+35+41+40+41+39</f>
        <v>295</v>
      </c>
      <c r="K322">
        <v>6</v>
      </c>
      <c r="L322">
        <v>39</v>
      </c>
      <c r="N322" t="str">
        <f>IF(OR(D322="S. acutus", D322="S. tabernaemontani", D322="S. californicus"),(1/3)*(3.14159)*((F322/2)^2)*E322,"NA")</f>
        <v>NA</v>
      </c>
      <c r="O322">
        <f>IF(AND(OR(D322="S. acutus",D322="S. californicus",D322="S. tabernaemontani"),G322=0),E322*[1]Sheet1!$D$7+[1]Sheet1!$L$7,IF(AND(OR(D322="S. acutus",D322="S. tabernaemontani"),G322&gt;0),E322*[1]Sheet1!$D$8+N322*[1]Sheet1!$E$8,IF(AND(D322="S. californicus",G322&gt;0),E322*[1]Sheet1!$D$9+N322*[1]Sheet1!$E$9,IF(D322="S.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latifolia"),E322&gt;0),F322*[1]Sheet1!$C$4+E322*[1]Sheet1!$D$4+H322*[1]Sheet1!$J$4+I322*[1]Sheet1!$K$4+[1]Sheet1!$L$4,IF(AND(OR(D322="T. domingensis",D322="T. latifolia"),J322&gt;0),J322*[1]Sheet1!$G$5+K322*[1]Sheet1!$H$5+L322*[1]Sheet1!$I$5+[1]Sheet1!$L$5,0)))))))</f>
        <v>6.8120359999999991</v>
      </c>
    </row>
    <row r="323" spans="1:15">
      <c r="A323" s="9">
        <v>41767</v>
      </c>
      <c r="B323" s="7" t="s">
        <v>27</v>
      </c>
      <c r="C323">
        <v>11</v>
      </c>
      <c r="D323" t="s">
        <v>25</v>
      </c>
      <c r="E323">
        <v>144</v>
      </c>
      <c r="F323">
        <v>1.48</v>
      </c>
      <c r="N323">
        <f>IF(OR(D323="S. acutus", D323="S. tabernaemontani", D323="S. californicus"),(1/3)*(3.14159)*((F323/2)^2)*E323,"NA")</f>
        <v>82.576064831999986</v>
      </c>
      <c r="O323">
        <f>IF(AND(OR(D323="S. acutus",D323="S. californicus",D323="S. tabernaemontani"),G323=0),E323*[1]Sheet1!$D$7+[1]Sheet1!$L$7,IF(AND(OR(D323="S. acutus",D323="S. tabernaemontani"),G323&gt;0),E323*[1]Sheet1!$D$8+N323*[1]Sheet1!$E$8,IF(AND(D323="S. californicus",G323&gt;0),E323*[1]Sheet1!$D$9+N323*[1]Sheet1!$E$9,IF(D323="S.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latifolia"),E323&gt;0),F323*[1]Sheet1!$C$4+E323*[1]Sheet1!$D$4+H323*[1]Sheet1!$J$4+I323*[1]Sheet1!$K$4+[1]Sheet1!$L$4,IF(AND(OR(D323="T. domingensis",D323="T. latifolia"),J323&gt;0),J323*[1]Sheet1!$G$5+K323*[1]Sheet1!$H$5+L323*[1]Sheet1!$I$5+[1]Sheet1!$L$5,0)))))))</f>
        <v>5.5045229999999998</v>
      </c>
    </row>
    <row r="324" spans="1:15">
      <c r="A324" s="9">
        <v>41767</v>
      </c>
      <c r="B324" s="7" t="s">
        <v>27</v>
      </c>
      <c r="C324">
        <v>11</v>
      </c>
      <c r="D324" t="s">
        <v>25</v>
      </c>
      <c r="E324">
        <v>153</v>
      </c>
      <c r="F324">
        <v>1.37</v>
      </c>
      <c r="N324">
        <f>IF(OR(D324="S. acutus", D324="S. tabernaemontani", D324="S. californicus"),(1/3)*(3.14159)*((F324/2)^2)*E324,"NA")</f>
        <v>75.179740955249997</v>
      </c>
      <c r="O324">
        <f>IF(AND(OR(D324="S. acutus",D324="S. californicus",D324="S. tabernaemontani"),G324=0),E324*[1]Sheet1!$D$7+[1]Sheet1!$L$7,IF(AND(OR(D324="S. acutus",D324="S. tabernaemontani"),G324&gt;0),E324*[1]Sheet1!$D$8+N324*[1]Sheet1!$E$8,IF(AND(D324="S. californicus",G324&gt;0),E324*[1]Sheet1!$D$9+N324*[1]Sheet1!$E$9,IF(D324="S.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latifolia"),E324&gt;0),F324*[1]Sheet1!$C$4+E324*[1]Sheet1!$D$4+H324*[1]Sheet1!$J$4+I324*[1]Sheet1!$K$4+[1]Sheet1!$L$4,IF(AND(OR(D324="T. domingensis",D324="T. latifolia"),J324&gt;0),J324*[1]Sheet1!$G$5+K324*[1]Sheet1!$H$5+L324*[1]Sheet1!$I$5+[1]Sheet1!$L$5,0)))))))</f>
        <v>6.1354680000000004</v>
      </c>
    </row>
    <row r="325" spans="1:15">
      <c r="A325" s="9">
        <v>41767</v>
      </c>
      <c r="B325" s="7" t="s">
        <v>27</v>
      </c>
      <c r="C325">
        <v>11</v>
      </c>
      <c r="D325" t="s">
        <v>19</v>
      </c>
      <c r="F325">
        <v>1.2</v>
      </c>
      <c r="J325">
        <f>60+73+100+106</f>
        <v>339</v>
      </c>
      <c r="K325">
        <v>4</v>
      </c>
      <c r="L325">
        <v>106</v>
      </c>
      <c r="N325" t="str">
        <f>IF(OR(D325="S. acutus", D325="S. tabernaemontani", D325="S. californicus"),(1/3)*(3.14159)*((F325/2)^2)*E325,"NA")</f>
        <v>NA</v>
      </c>
      <c r="O325">
        <f>IF(AND(OR(D325="S. acutus",D325="S. californicus",D325="S. tabernaemontani"),G325=0),E325*[1]Sheet1!$D$7+[1]Sheet1!$L$7,IF(AND(OR(D325="S. acutus",D325="S. tabernaemontani"),G325&gt;0),E325*[1]Sheet1!$D$8+N325*[1]Sheet1!$E$8,IF(AND(D325="S. californicus",G325&gt;0),E325*[1]Sheet1!$D$9+N325*[1]Sheet1!$E$9,IF(D325="S.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latifolia"),E325&gt;0),F325*[1]Sheet1!$C$4+E325*[1]Sheet1!$D$4+H325*[1]Sheet1!$J$4+I325*[1]Sheet1!$K$4+[1]Sheet1!$L$4,IF(AND(OR(D325="T. domingensis",D325="T. latifolia"),J325&gt;0),J325*[1]Sheet1!$G$5+K325*[1]Sheet1!$H$5+L325*[1]Sheet1!$I$5+[1]Sheet1!$L$5,0)))))))</f>
        <v>4.7985469999999992</v>
      </c>
    </row>
    <row r="326" spans="1:15">
      <c r="A326" s="9">
        <v>41767</v>
      </c>
      <c r="B326" s="7" t="s">
        <v>27</v>
      </c>
      <c r="C326">
        <v>11</v>
      </c>
      <c r="D326" t="s">
        <v>19</v>
      </c>
      <c r="F326">
        <v>2.0499999999999998</v>
      </c>
      <c r="J326">
        <f>62+97+104+137+148</f>
        <v>548</v>
      </c>
      <c r="K326">
        <v>5</v>
      </c>
      <c r="L326">
        <v>148</v>
      </c>
      <c r="N326" t="str">
        <f>IF(OR(D326="S. acutus", D326="S. tabernaemontani", D326="S. californicus"),(1/3)*(3.14159)*((F326/2)^2)*E326,"NA")</f>
        <v>NA</v>
      </c>
      <c r="O326">
        <f>IF(AND(OR(D326="S. acutus",D326="S. californicus",D326="S. tabernaemontani"),G326=0),E326*[1]Sheet1!$D$7+[1]Sheet1!$L$7,IF(AND(OR(D326="S. acutus",D326="S. tabernaemontani"),G326&gt;0),E326*[1]Sheet1!$D$8+N326*[1]Sheet1!$E$8,IF(AND(D326="S. californicus",G326&gt;0),E326*[1]Sheet1!$D$9+N326*[1]Sheet1!$E$9,IF(D326="S.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latifolia"),E326&gt;0),F326*[1]Sheet1!$C$4+E326*[1]Sheet1!$D$4+H326*[1]Sheet1!$J$4+I326*[1]Sheet1!$K$4+[1]Sheet1!$L$4,IF(AND(OR(D326="T. domingensis",D326="T. latifolia"),J326&gt;0),J326*[1]Sheet1!$G$5+K326*[1]Sheet1!$H$5+L326*[1]Sheet1!$I$5+[1]Sheet1!$L$5,0)))))))</f>
        <v>4.7186990000000009</v>
      </c>
    </row>
    <row r="327" spans="1:15">
      <c r="A327" s="9">
        <v>41767</v>
      </c>
      <c r="B327" s="7" t="s">
        <v>27</v>
      </c>
      <c r="C327">
        <v>11</v>
      </c>
      <c r="D327" t="s">
        <v>19</v>
      </c>
      <c r="F327">
        <v>1.92</v>
      </c>
      <c r="J327">
        <f>77+109+142+142+146+169</f>
        <v>785</v>
      </c>
      <c r="K327">
        <v>6</v>
      </c>
      <c r="L327">
        <v>169</v>
      </c>
      <c r="N327" t="str">
        <f>IF(OR(D327="S. acutus", D327="S. tabernaemontani", D327="S. californicus"),(1/3)*(3.14159)*((F327/2)^2)*E327,"NA")</f>
        <v>NA</v>
      </c>
      <c r="O327">
        <f>IF(AND(OR(D327="S. acutus",D327="S. californicus",D327="S. tabernaemontani"),G327=0),E327*[1]Sheet1!$D$7+[1]Sheet1!$L$7,IF(AND(OR(D327="S. acutus",D327="S. tabernaemontani"),G327&gt;0),E327*[1]Sheet1!$D$8+N327*[1]Sheet1!$E$8,IF(AND(D327="S. californicus",G327&gt;0),E327*[1]Sheet1!$D$9+N327*[1]Sheet1!$E$9,IF(D327="S.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latifolia"),E327&gt;0),F327*[1]Sheet1!$C$4+E327*[1]Sheet1!$D$4+H327*[1]Sheet1!$J$4+I327*[1]Sheet1!$K$4+[1]Sheet1!$L$4,IF(AND(OR(D327="T. domingensis",D327="T. latifolia"),J327&gt;0),J327*[1]Sheet1!$G$5+K327*[1]Sheet1!$H$5+L327*[1]Sheet1!$I$5+[1]Sheet1!$L$5,0)))))))</f>
        <v>13.590136000000008</v>
      </c>
    </row>
    <row r="328" spans="1:15">
      <c r="A328" s="9">
        <v>41767</v>
      </c>
      <c r="B328" s="7" t="s">
        <v>27</v>
      </c>
      <c r="C328">
        <v>11</v>
      </c>
      <c r="D328" t="s">
        <v>19</v>
      </c>
      <c r="F328">
        <v>3.96</v>
      </c>
      <c r="J328">
        <f>99+137+162+134+184+176</f>
        <v>892</v>
      </c>
      <c r="K328">
        <v>6</v>
      </c>
      <c r="L328">
        <v>176</v>
      </c>
      <c r="N328" t="str">
        <f>IF(OR(D328="S. acutus", D328="S. tabernaemontani", D328="S. californicus"),(1/3)*(3.14159)*((F328/2)^2)*E328,"NA")</f>
        <v>NA</v>
      </c>
      <c r="O328">
        <f>IF(AND(OR(D328="S. acutus",D328="S. californicus",D328="S. tabernaemontani"),G328=0),E328*[1]Sheet1!$D$7+[1]Sheet1!$L$7,IF(AND(OR(D328="S. acutus",D328="S. tabernaemontani"),G328&gt;0),E328*[1]Sheet1!$D$8+N328*[1]Sheet1!$E$8,IF(AND(D328="S. californicus",G328&gt;0),E328*[1]Sheet1!$D$9+N328*[1]Sheet1!$E$9,IF(D328="S.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latifolia"),E328&gt;0),F328*[1]Sheet1!$C$4+E328*[1]Sheet1!$D$4+H328*[1]Sheet1!$J$4+I328*[1]Sheet1!$K$4+[1]Sheet1!$L$4,IF(AND(OR(D328="T. domingensis",D328="T. latifolia"),J328&gt;0),J328*[1]Sheet1!$G$5+K328*[1]Sheet1!$H$5+L328*[1]Sheet1!$I$5+[1]Sheet1!$L$5,0)))))))</f>
        <v>21.513206000000004</v>
      </c>
    </row>
    <row r="329" spans="1:15">
      <c r="A329" s="9">
        <v>41767</v>
      </c>
      <c r="B329" s="7" t="s">
        <v>27</v>
      </c>
      <c r="C329">
        <v>11</v>
      </c>
      <c r="D329" t="s">
        <v>19</v>
      </c>
      <c r="F329">
        <v>1.1599999999999999</v>
      </c>
      <c r="J329">
        <f>38+96</f>
        <v>134</v>
      </c>
      <c r="K329">
        <v>2</v>
      </c>
      <c r="L329">
        <v>96</v>
      </c>
      <c r="N329" t="str">
        <f>IF(OR(D329="S. acutus", D329="S. tabernaemontani", D329="S. californicus"),(1/3)*(3.14159)*((F329/2)^2)*E329,"NA")</f>
        <v>NA</v>
      </c>
      <c r="O329">
        <f>IF(AND(OR(D329="S. acutus",D329="S. californicus",D329="S. tabernaemontani"),G329=0),E329*[1]Sheet1!$D$7+[1]Sheet1!$L$7,IF(AND(OR(D329="S. acutus",D329="S. tabernaemontani"),G329&gt;0),E329*[1]Sheet1!$D$8+N329*[1]Sheet1!$E$8,IF(AND(D329="S. californicus",G329&gt;0),E329*[1]Sheet1!$D$9+N329*[1]Sheet1!$E$9,IF(D329="S.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latifolia"),E329&gt;0),F329*[1]Sheet1!$C$4+E329*[1]Sheet1!$D$4+H329*[1]Sheet1!$J$4+I329*[1]Sheet1!$K$4+[1]Sheet1!$L$4,IF(AND(OR(D329="T. domingensis",D329="T. latifolia"),J329&gt;0),J329*[1]Sheet1!$G$5+K329*[1]Sheet1!$H$5+L329*[1]Sheet1!$I$5+[1]Sheet1!$L$5,0)))))))</f>
        <v>2.6359279999999998</v>
      </c>
    </row>
    <row r="330" spans="1:15">
      <c r="A330" s="9">
        <v>41767</v>
      </c>
      <c r="B330" s="7" t="s">
        <v>27</v>
      </c>
      <c r="C330">
        <v>11</v>
      </c>
      <c r="D330" t="s">
        <v>19</v>
      </c>
      <c r="F330">
        <v>0.79</v>
      </c>
      <c r="J330">
        <f>29+29+38</f>
        <v>96</v>
      </c>
      <c r="K330">
        <v>3</v>
      </c>
      <c r="L330">
        <v>38</v>
      </c>
      <c r="N330" t="str">
        <f>IF(OR(D330="S. acutus", D330="S. tabernaemontani", D330="S. californicus"),(1/3)*(3.14159)*((F330/2)^2)*E330,"NA")</f>
        <v>NA</v>
      </c>
      <c r="O330">
        <f>IF(AND(OR(D330="S. acutus",D330="S. californicus",D330="S. tabernaemontani"),G330=0),E330*[1]Sheet1!$D$7+[1]Sheet1!$L$7,IF(AND(OR(D330="S. acutus",D330="S. tabernaemontani"),G330&gt;0),E330*[1]Sheet1!$D$8+N330*[1]Sheet1!$E$8,IF(AND(D330="S. californicus",G330&gt;0),E330*[1]Sheet1!$D$9+N330*[1]Sheet1!$E$9,IF(D330="S.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latifolia"),E330&gt;0),F330*[1]Sheet1!$C$4+E330*[1]Sheet1!$D$4+H330*[1]Sheet1!$J$4+I330*[1]Sheet1!$K$4+[1]Sheet1!$L$4,IF(AND(OR(D330="T. domingensis",D330="T. latifolia"),J330&gt;0),J330*[1]Sheet1!$G$5+K330*[1]Sheet1!$H$5+L330*[1]Sheet1!$I$5+[1]Sheet1!$L$5,0)))))))</f>
        <v>9.5230949999999979</v>
      </c>
    </row>
    <row r="331" spans="1:15">
      <c r="A331" s="9">
        <v>41767</v>
      </c>
      <c r="B331" s="7" t="s">
        <v>27</v>
      </c>
      <c r="C331">
        <v>11</v>
      </c>
      <c r="D331" t="s">
        <v>19</v>
      </c>
      <c r="F331">
        <v>10.48</v>
      </c>
      <c r="J331">
        <f>82+127+189+222+286+299+316+326+337+338</f>
        <v>2522</v>
      </c>
      <c r="K331">
        <v>10</v>
      </c>
      <c r="L331">
        <v>338</v>
      </c>
      <c r="N331" t="str">
        <f>IF(OR(D331="S. acutus", D331="S. tabernaemontani", D331="S. californicus"),(1/3)*(3.14159)*((F331/2)^2)*E331,"NA")</f>
        <v>NA</v>
      </c>
      <c r="O331">
        <f>IF(AND(OR(D331="S. acutus",D331="S. californicus",D331="S. tabernaemontani"),G331=0),E331*[1]Sheet1!$D$7+[1]Sheet1!$L$7,IF(AND(OR(D331="S. acutus",D331="S. tabernaemontani"),G331&gt;0),E331*[1]Sheet1!$D$8+N331*[1]Sheet1!$E$8,IF(AND(D331="S. californicus",G331&gt;0),E331*[1]Sheet1!$D$9+N331*[1]Sheet1!$E$9,IF(D331="S.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latifolia"),E331&gt;0),F331*[1]Sheet1!$C$4+E331*[1]Sheet1!$D$4+H331*[1]Sheet1!$J$4+I331*[1]Sheet1!$K$4+[1]Sheet1!$L$4,IF(AND(OR(D331="T. domingensis",D331="T. latifolia"),J331&gt;0),J331*[1]Sheet1!$G$5+K331*[1]Sheet1!$H$5+L331*[1]Sheet1!$I$5+[1]Sheet1!$L$5,0)))))))</f>
        <v>97.442754000000008</v>
      </c>
    </row>
    <row r="332" spans="1:15">
      <c r="A332" s="9">
        <v>41767</v>
      </c>
      <c r="B332" s="7" t="s">
        <v>27</v>
      </c>
      <c r="C332">
        <v>25</v>
      </c>
      <c r="D332" t="s">
        <v>25</v>
      </c>
      <c r="E332">
        <v>29</v>
      </c>
      <c r="F332">
        <v>1.05</v>
      </c>
      <c r="N332">
        <f>IF(OR(D332="S. acutus", D332="S. tabernaemontani", D332="S. californicus"),(1/3)*(3.14159)*((F332/2)^2)*E332,"NA")</f>
        <v>8.3703738562499996</v>
      </c>
      <c r="O332">
        <f>IF(AND(OR(D332="S. acutus",D332="S. californicus",D332="S. tabernaemontani"),G332=0),E332*[1]Sheet1!$D$7+[1]Sheet1!$L$7,IF(AND(OR(D332="S. acutus",D332="S. tabernaemontani"),G332&gt;0),E332*[1]Sheet1!$D$8+N332*[1]Sheet1!$E$8,IF(AND(D332="S. californicus",G332&gt;0),E332*[1]Sheet1!$D$9+N332*[1]Sheet1!$E$9,IF(D332="S.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latifolia"),E332&gt;0),F332*[1]Sheet1!$C$4+E332*[1]Sheet1!$D$4+H332*[1]Sheet1!$J$4+I332*[1]Sheet1!$K$4+[1]Sheet1!$L$4,IF(AND(OR(D332="T. domingensis",D332="T. latifolia"),J332&gt;0),J332*[1]Sheet1!$G$5+K332*[1]Sheet1!$H$5+L332*[1]Sheet1!$I$5+[1]Sheet1!$L$5,0)))))))</f>
        <v>-2.5575519999999998</v>
      </c>
    </row>
    <row r="333" spans="1:15">
      <c r="A333" s="9">
        <v>41767</v>
      </c>
      <c r="B333" s="7" t="s">
        <v>27</v>
      </c>
      <c r="C333">
        <v>25</v>
      </c>
      <c r="D333" t="s">
        <v>25</v>
      </c>
      <c r="E333">
        <v>177</v>
      </c>
      <c r="F333">
        <v>1.76</v>
      </c>
      <c r="N333">
        <f>IF(OR(D333="S. acutus", D333="S. tabernaemontani", D333="S. californicus"),(1/3)*(3.14159)*((F333/2)^2)*E333,"NA")</f>
        <v>143.53799046399999</v>
      </c>
      <c r="O333">
        <f>IF(AND(OR(D333="S. acutus",D333="S. californicus",D333="S. tabernaemontani"),G333=0),E333*[1]Sheet1!$D$7+[1]Sheet1!$L$7,IF(AND(OR(D333="S. acutus",D333="S. tabernaemontani"),G333&gt;0),E333*[1]Sheet1!$D$8+N333*[1]Sheet1!$E$8,IF(AND(D333="S. californicus",G333&gt;0),E333*[1]Sheet1!$D$9+N333*[1]Sheet1!$E$9,IF(D333="S.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latifolia"),E333&gt;0),F333*[1]Sheet1!$C$4+E333*[1]Sheet1!$D$4+H333*[1]Sheet1!$J$4+I333*[1]Sheet1!$K$4+[1]Sheet1!$L$4,IF(AND(OR(D333="T. domingensis",D333="T. latifolia"),J333&gt;0),J333*[1]Sheet1!$G$5+K333*[1]Sheet1!$H$5+L333*[1]Sheet1!$I$5+[1]Sheet1!$L$5,0)))))))</f>
        <v>7.8179880000000006</v>
      </c>
    </row>
    <row r="334" spans="1:15">
      <c r="A334" s="9">
        <v>41767</v>
      </c>
      <c r="B334" s="7" t="s">
        <v>27</v>
      </c>
      <c r="C334">
        <v>25</v>
      </c>
      <c r="D334" t="s">
        <v>25</v>
      </c>
      <c r="E334">
        <v>206</v>
      </c>
      <c r="F334">
        <v>1.6</v>
      </c>
      <c r="N334">
        <f>IF(OR(D334="S. acutus", D334="S. tabernaemontani", D334="S. californicus"),(1/3)*(3.14159)*((F334/2)^2)*E334,"NA")</f>
        <v>138.06240853333335</v>
      </c>
      <c r="O334">
        <f>IF(AND(OR(D334="S. acutus",D334="S. californicus",D334="S. tabernaemontani"),G334=0),E334*[1]Sheet1!$D$7+[1]Sheet1!$L$7,IF(AND(OR(D334="S. acutus",D334="S. tabernaemontani"),G334&gt;0),E334*[1]Sheet1!$D$8+N334*[1]Sheet1!$E$8,IF(AND(D334="S. californicus",G334&gt;0),E334*[1]Sheet1!$D$9+N334*[1]Sheet1!$E$9,IF(D334="S.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latifolia"),E334&gt;0),F334*[1]Sheet1!$C$4+E334*[1]Sheet1!$D$4+H334*[1]Sheet1!$J$4+I334*[1]Sheet1!$K$4+[1]Sheet1!$L$4,IF(AND(OR(D334="T. domingensis",D334="T. latifolia"),J334&gt;0),J334*[1]Sheet1!$G$5+K334*[1]Sheet1!$H$5+L334*[1]Sheet1!$I$5+[1]Sheet1!$L$5,0)))))))</f>
        <v>9.851033000000001</v>
      </c>
    </row>
    <row r="335" spans="1:15">
      <c r="A335" s="9">
        <v>41767</v>
      </c>
      <c r="B335" s="7" t="s">
        <v>27</v>
      </c>
      <c r="C335">
        <v>25</v>
      </c>
      <c r="D335" t="s">
        <v>25</v>
      </c>
      <c r="E335">
        <v>39</v>
      </c>
      <c r="F335">
        <v>0.8</v>
      </c>
      <c r="N335">
        <f>IF(OR(D335="S. acutus", D335="S. tabernaemontani", D335="S. californicus"),(1/3)*(3.14159)*((F335/2)^2)*E335,"NA")</f>
        <v>6.5345072000000002</v>
      </c>
      <c r="O335">
        <f>IF(AND(OR(D335="S. acutus",D335="S. californicus",D335="S. tabernaemontani"),G335=0),E335*[1]Sheet1!$D$7+[1]Sheet1!$L$7,IF(AND(OR(D335="S. acutus",D335="S. tabernaemontani"),G335&gt;0),E335*[1]Sheet1!$D$8+N335*[1]Sheet1!$E$8,IF(AND(D335="S. californicus",G335&gt;0),E335*[1]Sheet1!$D$9+N335*[1]Sheet1!$E$9,IF(D335="S.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latifolia"),E335&gt;0),F335*[1]Sheet1!$C$4+E335*[1]Sheet1!$D$4+H335*[1]Sheet1!$J$4+I335*[1]Sheet1!$K$4+[1]Sheet1!$L$4,IF(AND(OR(D335="T. domingensis",D335="T. latifolia"),J335&gt;0),J335*[1]Sheet1!$G$5+K335*[1]Sheet1!$H$5+L335*[1]Sheet1!$I$5+[1]Sheet1!$L$5,0)))))))</f>
        <v>-1.8565019999999999</v>
      </c>
    </row>
    <row r="336" spans="1:15">
      <c r="A336" s="9">
        <v>41767</v>
      </c>
      <c r="B336" s="7" t="s">
        <v>27</v>
      </c>
      <c r="C336">
        <v>25</v>
      </c>
      <c r="D336" t="s">
        <v>25</v>
      </c>
      <c r="E336">
        <v>244</v>
      </c>
      <c r="F336">
        <v>1.66</v>
      </c>
      <c r="G336">
        <v>6</v>
      </c>
      <c r="N336">
        <f>IF(OR(D336="S. acutus", D336="S. tabernaemontani", D336="S. californicus"),(1/3)*(3.14159)*((F336/2)^2)*E336,"NA")</f>
        <v>176.02496321466663</v>
      </c>
      <c r="O336">
        <f>IF(AND(OR(D336="S. acutus",D336="S. californicus",D336="S. tabernaemontani"),G336=0),E336*[1]Sheet1!$D$7+[1]Sheet1!$L$7,IF(AND(OR(D336="S. acutus",D336="S. tabernaemontani"),G336&gt;0),E336*[1]Sheet1!$D$8+N336*[1]Sheet1!$E$8,IF(AND(D336="S. californicus",G336&gt;0),E336*[1]Sheet1!$D$9+N336*[1]Sheet1!$E$9,IF(D336="S.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latifolia"),E336&gt;0),F336*[1]Sheet1!$C$4+E336*[1]Sheet1!$D$4+H336*[1]Sheet1!$J$4+I336*[1]Sheet1!$K$4+[1]Sheet1!$L$4,IF(AND(OR(D336="T. domingensis",D336="T. latifolia"),J336&gt;0),J336*[1]Sheet1!$G$5+K336*[1]Sheet1!$H$5+L336*[1]Sheet1!$I$5+[1]Sheet1!$L$5,0)))))))</f>
        <v>16.128502128442683</v>
      </c>
    </row>
    <row r="337" spans="1:15">
      <c r="A337" s="9">
        <v>41767</v>
      </c>
      <c r="B337" s="7" t="s">
        <v>27</v>
      </c>
      <c r="C337">
        <v>25</v>
      </c>
      <c r="D337" t="s">
        <v>25</v>
      </c>
      <c r="E337">
        <v>66</v>
      </c>
      <c r="F337">
        <v>1.65</v>
      </c>
      <c r="N337">
        <f>IF(OR(D337="S. acutus", D337="S. tabernaemontani", D337="S. californicus"),(1/3)*(3.14159)*((F337/2)^2)*E337,"NA")</f>
        <v>47.041383262499991</v>
      </c>
      <c r="O337">
        <f>IF(AND(OR(D337="S. acutus",D337="S. californicus",D337="S. tabernaemontani"),G337=0),E337*[1]Sheet1!$D$7+[1]Sheet1!$L$7,IF(AND(OR(D337="S. acutus",D337="S. tabernaemontani"),G337&gt;0),E337*[1]Sheet1!$D$8+N337*[1]Sheet1!$E$8,IF(AND(D337="S. californicus",G337&gt;0),E337*[1]Sheet1!$D$9+N337*[1]Sheet1!$E$9,IF(D337="S.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latifolia"),E337&gt;0),F337*[1]Sheet1!$C$4+E337*[1]Sheet1!$D$4+H337*[1]Sheet1!$J$4+I337*[1]Sheet1!$K$4+[1]Sheet1!$L$4,IF(AND(OR(D337="T. domingensis",D337="T. latifolia"),J337&gt;0),J337*[1]Sheet1!$G$5+K337*[1]Sheet1!$H$5+L337*[1]Sheet1!$I$5+[1]Sheet1!$L$5,0)))))))</f>
        <v>3.6332999999999949E-2</v>
      </c>
    </row>
    <row r="338" spans="1:15">
      <c r="A338" s="9">
        <v>41767</v>
      </c>
      <c r="B338" s="7" t="s">
        <v>27</v>
      </c>
      <c r="C338">
        <v>25</v>
      </c>
      <c r="D338" t="s">
        <v>25</v>
      </c>
      <c r="E338">
        <v>244</v>
      </c>
      <c r="F338">
        <v>1.55</v>
      </c>
      <c r="N338">
        <f>IF(OR(D338="S. acutus", D338="S. tabernaemontani", D338="S. californicus"),(1/3)*(3.14159)*((F338/2)^2)*E338,"NA")</f>
        <v>153.46928949166667</v>
      </c>
      <c r="O338">
        <f>IF(AND(OR(D338="S. acutus",D338="S. californicus",D338="S. tabernaemontani"),G338=0),E338*[1]Sheet1!$D$7+[1]Sheet1!$L$7,IF(AND(OR(D338="S. acutus",D338="S. tabernaemontani"),G338&gt;0),E338*[1]Sheet1!$D$8+N338*[1]Sheet1!$E$8,IF(AND(D338="S. californicus",G338&gt;0),E338*[1]Sheet1!$D$9+N338*[1]Sheet1!$E$9,IF(D338="S.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latifolia"),E338&gt;0),F338*[1]Sheet1!$C$4+E338*[1]Sheet1!$D$4+H338*[1]Sheet1!$J$4+I338*[1]Sheet1!$K$4+[1]Sheet1!$L$4,IF(AND(OR(D338="T. domingensis",D338="T. latifolia"),J338&gt;0),J338*[1]Sheet1!$G$5+K338*[1]Sheet1!$H$5+L338*[1]Sheet1!$I$5+[1]Sheet1!$L$5,0)))))))</f>
        <v>12.515023000000003</v>
      </c>
    </row>
    <row r="339" spans="1:15">
      <c r="A339" s="10">
        <v>41767</v>
      </c>
      <c r="B339" s="7" t="s">
        <v>27</v>
      </c>
      <c r="C339">
        <v>32</v>
      </c>
      <c r="D339" t="s">
        <v>20</v>
      </c>
      <c r="E339">
        <v>198</v>
      </c>
      <c r="F339">
        <v>1.44</v>
      </c>
      <c r="G339">
        <v>9</v>
      </c>
      <c r="N339">
        <f>IF(OR(D339="S. acutus", D339="S. tabernaemontani", D339="S. californicus"),(1/3)*(3.14159)*((F339/2)^2)*E339,"NA")</f>
        <v>107.48761689599998</v>
      </c>
      <c r="O339">
        <f>IF(AND(OR(D339="S. acutus",D339="S. californicus",D339="S. tabernaemontani"),G339=0),E339*[1]Sheet1!$D$7+[1]Sheet1!$L$7,IF(AND(OR(D339="S. acutus",D339="S. tabernaemontani"),G339&gt;0),E339*[1]Sheet1!$D$8+N339*[1]Sheet1!$E$8,IF(AND(D339="S. californicus",G339&gt;0),E339*[1]Sheet1!$D$9+N339*[1]Sheet1!$E$9,IF(D339="S.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latifolia"),E339&gt;0),F339*[1]Sheet1!$C$4+E339*[1]Sheet1!$D$4+H339*[1]Sheet1!$J$4+I339*[1]Sheet1!$K$4+[1]Sheet1!$L$4,IF(AND(OR(D339="T. domingensis",D339="T. latifolia"),J339&gt;0),J339*[1]Sheet1!$G$5+K339*[1]Sheet1!$H$5+L339*[1]Sheet1!$I$5+[1]Sheet1!$L$5,0)))))))</f>
        <v>11.085603802906405</v>
      </c>
    </row>
    <row r="340" spans="1:15">
      <c r="A340" s="10">
        <v>41767</v>
      </c>
      <c r="B340" s="7" t="s">
        <v>27</v>
      </c>
      <c r="C340">
        <v>32</v>
      </c>
      <c r="D340" t="s">
        <v>20</v>
      </c>
      <c r="E340">
        <v>354</v>
      </c>
      <c r="F340">
        <v>1.17</v>
      </c>
      <c r="G340">
        <v>7</v>
      </c>
      <c r="N340">
        <f>IF(OR(D340="S. acutus", D340="S. tabernaemontani", D340="S. californicus"),(1/3)*(3.14159)*((F340/2)^2)*E340,"NA")</f>
        <v>126.86541525449996</v>
      </c>
      <c r="O340">
        <f>IF(AND(OR(D340="S. acutus",D340="S. californicus",D340="S. tabernaemontani"),G340=0),E340*[1]Sheet1!$D$7+[1]Sheet1!$L$7,IF(AND(OR(D340="S. acutus",D340="S. tabernaemontani"),G340&gt;0),E340*[1]Sheet1!$D$8+N340*[1]Sheet1!$E$8,IF(AND(D340="S. californicus",G340&gt;0),E340*[1]Sheet1!$D$9+N340*[1]Sheet1!$E$9,IF(D340="S.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latifolia"),E340&gt;0),F340*[1]Sheet1!$C$4+E340*[1]Sheet1!$D$4+H340*[1]Sheet1!$J$4+I340*[1]Sheet1!$K$4+[1]Sheet1!$L$4,IF(AND(OR(D340="T. domingensis",D340="T. latifolia"),J340&gt;0),J340*[1]Sheet1!$G$5+K340*[1]Sheet1!$H$5+L340*[1]Sheet1!$I$5+[1]Sheet1!$L$5,0)))))))</f>
        <v>17.716693950068628</v>
      </c>
    </row>
    <row r="341" spans="1:15">
      <c r="A341" s="10">
        <v>41767</v>
      </c>
      <c r="B341" s="7" t="s">
        <v>27</v>
      </c>
      <c r="C341">
        <v>32</v>
      </c>
      <c r="D341" t="s">
        <v>20</v>
      </c>
      <c r="E341">
        <v>337</v>
      </c>
      <c r="F341">
        <v>1.24</v>
      </c>
      <c r="G341">
        <v>3</v>
      </c>
      <c r="N341">
        <f>IF(OR(D341="S. acutus", D341="S. tabernaemontani", D341="S. californicus"),(1/3)*(3.14159)*((F341/2)^2)*E341,"NA")</f>
        <v>135.65678835066666</v>
      </c>
      <c r="O341">
        <f>IF(AND(OR(D341="S. acutus",D341="S. californicus",D341="S. tabernaemontani"),G341=0),E341*[1]Sheet1!$D$7+[1]Sheet1!$L$7,IF(AND(OR(D341="S. acutus",D341="S. tabernaemontani"),G341&gt;0),E341*[1]Sheet1!$D$8+N341*[1]Sheet1!$E$8,IF(AND(D341="S. californicus",G341&gt;0),E341*[1]Sheet1!$D$9+N341*[1]Sheet1!$E$9,IF(D341="S.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latifolia"),E341&gt;0),F341*[1]Sheet1!$C$4+E341*[1]Sheet1!$D$4+H341*[1]Sheet1!$J$4+I341*[1]Sheet1!$K$4+[1]Sheet1!$L$4,IF(AND(OR(D341="T. domingensis",D341="T. latifolia"),J341&gt;0),J341*[1]Sheet1!$G$5+K341*[1]Sheet1!$H$5+L341*[1]Sheet1!$I$5+[1]Sheet1!$L$5,0)))))))</f>
        <v>17.345163376000983</v>
      </c>
    </row>
    <row r="342" spans="1:15">
      <c r="A342" s="10">
        <v>41767</v>
      </c>
      <c r="B342" s="7" t="s">
        <v>27</v>
      </c>
      <c r="C342">
        <v>32</v>
      </c>
      <c r="D342" t="s">
        <v>20</v>
      </c>
      <c r="E342">
        <v>253</v>
      </c>
      <c r="F342">
        <v>1.32</v>
      </c>
      <c r="G342">
        <v>12</v>
      </c>
      <c r="N342">
        <f>IF(OR(D342="S. acutus", D342="S. tabernaemontani", D342="S. californicus"),(1/3)*(3.14159)*((F342/2)^2)*E342,"NA")</f>
        <v>115.408193604</v>
      </c>
      <c r="O342">
        <f>IF(AND(OR(D342="S. acutus",D342="S. californicus",D342="S. tabernaemontani"),G342=0),E342*[1]Sheet1!$D$7+[1]Sheet1!$L$7,IF(AND(OR(D342="S. acutus",D342="S. tabernaemontani"),G342&gt;0),E342*[1]Sheet1!$D$8+N342*[1]Sheet1!$E$8,IF(AND(D342="S. californicus",G342&gt;0),E342*[1]Sheet1!$D$9+N342*[1]Sheet1!$E$9,IF(D342="S.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latifolia"),E342&gt;0),F342*[1]Sheet1!$C$4+E342*[1]Sheet1!$D$4+H342*[1]Sheet1!$J$4+I342*[1]Sheet1!$K$4+[1]Sheet1!$L$4,IF(AND(OR(D342="T. domingensis",D342="T. latifolia"),J342&gt;0),J342*[1]Sheet1!$G$5+K342*[1]Sheet1!$H$5+L342*[1]Sheet1!$I$5+[1]Sheet1!$L$5,0)))))))</f>
        <v>13.458544001423045</v>
      </c>
    </row>
    <row r="343" spans="1:15">
      <c r="A343" s="10">
        <v>41767</v>
      </c>
      <c r="B343" s="7" t="s">
        <v>27</v>
      </c>
      <c r="C343">
        <v>32</v>
      </c>
      <c r="D343" t="s">
        <v>20</v>
      </c>
      <c r="E343">
        <v>43</v>
      </c>
      <c r="F343">
        <v>0.7</v>
      </c>
      <c r="N343">
        <f>IF(OR(D343="S. acutus", D343="S. tabernaemontani", D343="S. californicus"),(1/3)*(3.14159)*((F343/2)^2)*E343,"NA")</f>
        <v>5.516108441666665</v>
      </c>
      <c r="O343">
        <f>IF(AND(OR(D343="S. acutus",D343="S. californicus",D343="S. tabernaemontani"),G343=0),E343*[1]Sheet1!$D$7+[1]Sheet1!$L$7,IF(AND(OR(D343="S. acutus",D343="S. tabernaemontani"),G343&gt;0),E343*[1]Sheet1!$D$8+N343*[1]Sheet1!$E$8,IF(AND(D343="S. californicus",G343&gt;0),E343*[1]Sheet1!$D$9+N343*[1]Sheet1!$E$9,IF(D343="S.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latifolia"),E343&gt;0),F343*[1]Sheet1!$C$4+E343*[1]Sheet1!$D$4+H343*[1]Sheet1!$J$4+I343*[1]Sheet1!$K$4+[1]Sheet1!$L$4,IF(AND(OR(D343="T. domingensis",D343="T. latifolia"),J343&gt;0),J343*[1]Sheet1!$G$5+K343*[1]Sheet1!$H$5+L343*[1]Sheet1!$I$5+[1]Sheet1!$L$5,0)))))))</f>
        <v>-1.576082</v>
      </c>
    </row>
    <row r="344" spans="1:15">
      <c r="A344" s="10">
        <v>41767</v>
      </c>
      <c r="B344" s="7" t="s">
        <v>27</v>
      </c>
      <c r="C344">
        <v>32</v>
      </c>
      <c r="D344" t="s">
        <v>20</v>
      </c>
      <c r="E344">
        <v>388</v>
      </c>
      <c r="F344">
        <v>1.54</v>
      </c>
      <c r="G344">
        <v>19</v>
      </c>
      <c r="N344">
        <f>IF(OR(D344="S. acutus", D344="S. tabernaemontani", D344="S. californicus"),(1/3)*(3.14159)*((F344/2)^2)*E344,"NA")</f>
        <v>240.90256662266663</v>
      </c>
      <c r="O344">
        <f>IF(AND(OR(D344="S. acutus",D344="S. californicus",D344="S. tabernaemontani"),G344=0),E344*[1]Sheet1!$D$7+[1]Sheet1!$L$7,IF(AND(OR(D344="S. acutus",D344="S. tabernaemontani"),G344&gt;0),E344*[1]Sheet1!$D$8+N344*[1]Sheet1!$E$8,IF(AND(D344="S. californicus",G344&gt;0),E344*[1]Sheet1!$D$9+N344*[1]Sheet1!$E$9,IF(D344="S.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latifolia"),E344&gt;0),F344*[1]Sheet1!$C$4+E344*[1]Sheet1!$D$4+H344*[1]Sheet1!$J$4+I344*[1]Sheet1!$K$4+[1]Sheet1!$L$4,IF(AND(OR(D344="T. domingensis",D344="T. latifolia"),J344&gt;0),J344*[1]Sheet1!$G$5+K344*[1]Sheet1!$H$5+L344*[1]Sheet1!$I$5+[1]Sheet1!$L$5,0)))))))</f>
        <v>22.698034257559826</v>
      </c>
    </row>
    <row r="345" spans="1:15">
      <c r="A345" s="10">
        <v>41767</v>
      </c>
      <c r="B345" s="7" t="s">
        <v>27</v>
      </c>
      <c r="C345">
        <v>32</v>
      </c>
      <c r="D345" t="s">
        <v>20</v>
      </c>
      <c r="E345">
        <v>46</v>
      </c>
      <c r="F345">
        <v>0.78</v>
      </c>
      <c r="N345">
        <f>IF(OR(D345="S. acutus", D345="S. tabernaemontani", D345="S. californicus"),(1/3)*(3.14159)*((F345/2)^2)*E345,"NA")</f>
        <v>7.3268161979999995</v>
      </c>
      <c r="O345">
        <f>IF(AND(OR(D345="S. acutus",D345="S. californicus",D345="S. tabernaemontani"),G345=0),E345*[1]Sheet1!$D$7+[1]Sheet1!$L$7,IF(AND(OR(D345="S. acutus",D345="S. tabernaemontani"),G345&gt;0),E345*[1]Sheet1!$D$8+N345*[1]Sheet1!$E$8,IF(AND(D345="S. californicus",G345&gt;0),E345*[1]Sheet1!$D$9+N345*[1]Sheet1!$E$9,IF(D345="S.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latifolia"),E345&gt;0),F345*[1]Sheet1!$C$4+E345*[1]Sheet1!$D$4+H345*[1]Sheet1!$J$4+I345*[1]Sheet1!$K$4+[1]Sheet1!$L$4,IF(AND(OR(D345="T. domingensis",D345="T. latifolia"),J345&gt;0),J345*[1]Sheet1!$G$5+K345*[1]Sheet1!$H$5+L345*[1]Sheet1!$I$5+[1]Sheet1!$L$5,0)))))))</f>
        <v>-1.365767</v>
      </c>
    </row>
    <row r="346" spans="1:15">
      <c r="A346" s="10">
        <v>41767</v>
      </c>
      <c r="B346" s="7" t="s">
        <v>27</v>
      </c>
      <c r="C346">
        <v>32</v>
      </c>
      <c r="D346" t="s">
        <v>20</v>
      </c>
      <c r="E346">
        <v>343</v>
      </c>
      <c r="F346">
        <v>1.48</v>
      </c>
      <c r="G346">
        <v>5</v>
      </c>
      <c r="N346">
        <f>IF(OR(D346="S. acutus", D346="S. tabernaemontani", D346="S. californicus"),(1/3)*(3.14159)*((F346/2)^2)*E346,"NA")</f>
        <v>196.69159887066664</v>
      </c>
      <c r="O346">
        <f>IF(AND(OR(D346="S. acutus",D346="S. californicus",D346="S. tabernaemontani"),G346=0),E346*[1]Sheet1!$D$7+[1]Sheet1!$L$7,IF(AND(OR(D346="S. acutus",D346="S. tabernaemontani"),G346&gt;0),E346*[1]Sheet1!$D$8+N346*[1]Sheet1!$E$8,IF(AND(D346="S. californicus",G346&gt;0),E346*[1]Sheet1!$D$9+N346*[1]Sheet1!$E$9,IF(D346="S.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latifolia"),E346&gt;0),F346*[1]Sheet1!$C$4+E346*[1]Sheet1!$D$4+H346*[1]Sheet1!$J$4+I346*[1]Sheet1!$K$4+[1]Sheet1!$L$4,IF(AND(OR(D346="T. domingensis",D346="T. latifolia"),J346&gt;0),J346*[1]Sheet1!$G$5+K346*[1]Sheet1!$H$5+L346*[1]Sheet1!$I$5+[1]Sheet1!$L$5,0)))))))</f>
        <v>19.541581806074451</v>
      </c>
    </row>
    <row r="347" spans="1:15">
      <c r="A347" s="10">
        <v>41767</v>
      </c>
      <c r="B347" s="7" t="s">
        <v>27</v>
      </c>
      <c r="C347">
        <v>32</v>
      </c>
      <c r="D347" t="s">
        <v>20</v>
      </c>
      <c r="E347">
        <v>200</v>
      </c>
      <c r="F347">
        <v>1.23</v>
      </c>
      <c r="N347">
        <f>IF(OR(D347="S. acutus", D347="S. tabernaemontani", D347="S. californicus"),(1/3)*(3.14159)*((F347/2)^2)*E347,"NA")</f>
        <v>79.215191849999982</v>
      </c>
      <c r="O347">
        <f>IF(AND(OR(D347="S. acutus",D347="S. californicus",D347="S. tabernaemontani"),G347=0),E347*[1]Sheet1!$D$7+[1]Sheet1!$L$7,IF(AND(OR(D347="S. acutus",D347="S. tabernaemontani"),G347&gt;0),E347*[1]Sheet1!$D$8+N347*[1]Sheet1!$E$8,IF(AND(D347="S. californicus",G347&gt;0),E347*[1]Sheet1!$D$9+N347*[1]Sheet1!$E$9,IF(D347="S.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latifolia"),E347&gt;0),F347*[1]Sheet1!$C$4+E347*[1]Sheet1!$D$4+H347*[1]Sheet1!$J$4+I347*[1]Sheet1!$K$4+[1]Sheet1!$L$4,IF(AND(OR(D347="T. domingensis",D347="T. latifolia"),J347&gt;0),J347*[1]Sheet1!$G$5+K347*[1]Sheet1!$H$5+L347*[1]Sheet1!$I$5+[1]Sheet1!$L$5,0)))))))</f>
        <v>9.4304030000000019</v>
      </c>
    </row>
    <row r="348" spans="1:15">
      <c r="A348" s="10">
        <v>41767</v>
      </c>
      <c r="B348" s="7" t="s">
        <v>27</v>
      </c>
      <c r="C348">
        <v>32</v>
      </c>
      <c r="D348" t="s">
        <v>20</v>
      </c>
      <c r="E348">
        <v>63</v>
      </c>
      <c r="F348">
        <v>0.76</v>
      </c>
      <c r="N348">
        <f>IF(OR(D348="S. acutus", D348="S. tabernaemontani", D348="S. californicus"),(1/3)*(3.14159)*((F348/2)^2)*E348,"NA")</f>
        <v>9.5265575160000004</v>
      </c>
      <c r="O348">
        <f>IF(AND(OR(D348="S. acutus",D348="S. californicus",D348="S. tabernaemontani"),G348=0),E348*[1]Sheet1!$D$7+[1]Sheet1!$L$7,IF(AND(OR(D348="S. acutus",D348="S. tabernaemontani"),G348&gt;0),E348*[1]Sheet1!$D$8+N348*[1]Sheet1!$E$8,IF(AND(D348="S. californicus",G348&gt;0),E348*[1]Sheet1!$D$9+N348*[1]Sheet1!$E$9,IF(D348="S.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latifolia"),E348&gt;0),F348*[1]Sheet1!$C$4+E348*[1]Sheet1!$D$4+H348*[1]Sheet1!$J$4+I348*[1]Sheet1!$K$4+[1]Sheet1!$L$4,IF(AND(OR(D348="T. domingensis",D348="T. latifolia"),J348&gt;0),J348*[1]Sheet1!$G$5+K348*[1]Sheet1!$H$5+L348*[1]Sheet1!$I$5+[1]Sheet1!$L$5,0)))))))</f>
        <v>-0.17398199999999964</v>
      </c>
    </row>
    <row r="349" spans="1:15">
      <c r="A349" s="10">
        <v>41767</v>
      </c>
      <c r="B349" s="7" t="s">
        <v>27</v>
      </c>
      <c r="C349">
        <v>32</v>
      </c>
      <c r="D349" t="s">
        <v>20</v>
      </c>
      <c r="E349">
        <v>410</v>
      </c>
      <c r="F349">
        <v>1.54</v>
      </c>
      <c r="G349">
        <v>11</v>
      </c>
      <c r="N349">
        <f>IF(OR(D349="S. acutus", D349="S. tabernaemontani", D349="S. californicus"),(1/3)*(3.14159)*((F349/2)^2)*E349,"NA")</f>
        <v>254.56199050333328</v>
      </c>
      <c r="O349">
        <f>IF(AND(OR(D349="S. acutus",D349="S. californicus",D349="S. tabernaemontani"),G349=0),E349*[1]Sheet1!$D$7+[1]Sheet1!$L$7,IF(AND(OR(D349="S. acutus",D349="S. tabernaemontani"),G349&gt;0),E349*[1]Sheet1!$D$8+N349*[1]Sheet1!$E$8,IF(AND(D349="S. californicus",G349&gt;0),E349*[1]Sheet1!$D$9+N349*[1]Sheet1!$E$9,IF(D349="S.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latifolia"),E349&gt;0),F349*[1]Sheet1!$C$4+E349*[1]Sheet1!$D$4+H349*[1]Sheet1!$J$4+I349*[1]Sheet1!$K$4+[1]Sheet1!$L$4,IF(AND(OR(D349="T. domingensis",D349="T. latifolia"),J349&gt;0),J349*[1]Sheet1!$G$5+K349*[1]Sheet1!$H$5+L349*[1]Sheet1!$I$5+[1]Sheet1!$L$5,0)))))))</f>
        <v>23.985036199998785</v>
      </c>
    </row>
    <row r="350" spans="1:15">
      <c r="A350" s="10">
        <v>41767</v>
      </c>
      <c r="B350" s="7" t="s">
        <v>27</v>
      </c>
      <c r="C350">
        <v>32</v>
      </c>
      <c r="D350" t="s">
        <v>20</v>
      </c>
      <c r="E350">
        <v>172</v>
      </c>
      <c r="F350">
        <v>1.21</v>
      </c>
      <c r="G350">
        <v>18</v>
      </c>
      <c r="N350">
        <f>IF(OR(D350="S. acutus", D350="S. tabernaemontani", D350="S. californicus"),(1/3)*(3.14159)*((F350/2)^2)*E350,"NA")</f>
        <v>65.927627505666649</v>
      </c>
      <c r="O350">
        <f>IF(AND(OR(D350="S. acutus",D350="S. californicus",D350="S. tabernaemontani"),G350=0),E350*[1]Sheet1!$D$7+[1]Sheet1!$L$7,IF(AND(OR(D350="S. acutus",D350="S. tabernaemontani"),G350&gt;0),E350*[1]Sheet1!$D$8+N350*[1]Sheet1!$E$8,IF(AND(D350="S. californicus",G350&gt;0),E350*[1]Sheet1!$D$9+N350*[1]Sheet1!$E$9,IF(D350="S.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latifolia"),E350&gt;0),F350*[1]Sheet1!$C$4+E350*[1]Sheet1!$D$4+H350*[1]Sheet1!$J$4+I350*[1]Sheet1!$K$4+[1]Sheet1!$L$4,IF(AND(OR(D350="T. domingensis",D350="T. latifolia"),J350&gt;0),J350*[1]Sheet1!$G$5+K350*[1]Sheet1!$H$5+L350*[1]Sheet1!$I$5+[1]Sheet1!$L$5,0)))))))</f>
        <v>8.746150140547222</v>
      </c>
    </row>
    <row r="351" spans="1:15">
      <c r="A351" s="10">
        <v>41767</v>
      </c>
      <c r="B351" s="7" t="s">
        <v>27</v>
      </c>
      <c r="C351">
        <v>32</v>
      </c>
      <c r="D351" t="s">
        <v>20</v>
      </c>
      <c r="E351">
        <v>370</v>
      </c>
      <c r="F351">
        <v>1.3</v>
      </c>
      <c r="G351">
        <v>5</v>
      </c>
      <c r="N351">
        <f>IF(OR(D351="S. acutus", D351="S. tabernaemontani", D351="S. californicus"),(1/3)*(3.14159)*((F351/2)^2)*E351,"NA")</f>
        <v>163.70301891666665</v>
      </c>
      <c r="O351">
        <f>IF(AND(OR(D351="S. acutus",D351="S. californicus",D351="S. tabernaemontani"),G351=0),E351*[1]Sheet1!$D$7+[1]Sheet1!$L$7,IF(AND(OR(D351="S. acutus",D351="S. tabernaemontani"),G351&gt;0),E351*[1]Sheet1!$D$8+N351*[1]Sheet1!$E$8,IF(AND(D351="S. californicus",G351&gt;0),E351*[1]Sheet1!$D$9+N351*[1]Sheet1!$E$9,IF(D351="S.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latifolia"),E351&gt;0),F351*[1]Sheet1!$C$4+E351*[1]Sheet1!$D$4+H351*[1]Sheet1!$J$4+I351*[1]Sheet1!$K$4+[1]Sheet1!$L$4,IF(AND(OR(D351="T. domingensis",D351="T. latifolia"),J351&gt;0),J351*[1]Sheet1!$G$5+K351*[1]Sheet1!$H$5+L351*[1]Sheet1!$I$5+[1]Sheet1!$L$5,0)))))))</f>
        <v>19.519011541833692</v>
      </c>
    </row>
    <row r="352" spans="1:15">
      <c r="A352" s="10">
        <v>41767</v>
      </c>
      <c r="B352" s="7" t="s">
        <v>27</v>
      </c>
      <c r="C352">
        <v>32</v>
      </c>
      <c r="D352" t="s">
        <v>20</v>
      </c>
      <c r="E352">
        <v>409</v>
      </c>
      <c r="F352">
        <v>1.37</v>
      </c>
      <c r="G352">
        <v>12</v>
      </c>
      <c r="N352">
        <f>IF(OR(D352="S. acutus", D352="S. tabernaemontani", D352="S. californicus"),(1/3)*(3.14159)*((F352/2)^2)*E352,"NA")</f>
        <v>200.97068006991668</v>
      </c>
      <c r="O352">
        <f>IF(AND(OR(D352="S. acutus",D352="S. californicus",D352="S. tabernaemontani"),G352=0),E352*[1]Sheet1!$D$7+[1]Sheet1!$L$7,IF(AND(OR(D352="S. acutus",D352="S. tabernaemontani"),G352&gt;0),E352*[1]Sheet1!$D$8+N352*[1]Sheet1!$E$8,IF(AND(D352="S. californicus",G352&gt;0),E352*[1]Sheet1!$D$9+N352*[1]Sheet1!$E$9,IF(D352="S.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latifolia"),E352&gt;0),F352*[1]Sheet1!$C$4+E352*[1]Sheet1!$D$4+H352*[1]Sheet1!$J$4+I352*[1]Sheet1!$K$4+[1]Sheet1!$L$4,IF(AND(OR(D352="T. domingensis",D352="T. latifolia"),J352&gt;0),J352*[1]Sheet1!$G$5+K352*[1]Sheet1!$H$5+L352*[1]Sheet1!$I$5+[1]Sheet1!$L$5,0)))))))</f>
        <v>22.220840671863378</v>
      </c>
    </row>
    <row r="353" spans="1:15">
      <c r="A353" s="10">
        <v>41767</v>
      </c>
      <c r="B353" s="7" t="s">
        <v>27</v>
      </c>
      <c r="C353">
        <v>32</v>
      </c>
      <c r="D353" t="s">
        <v>20</v>
      </c>
      <c r="E353">
        <v>269</v>
      </c>
      <c r="F353">
        <v>1.45</v>
      </c>
      <c r="G353">
        <v>21</v>
      </c>
      <c r="N353">
        <f>IF(OR(D353="S. acutus", D353="S. tabernaemontani", D353="S. californicus"),(1/3)*(3.14159)*((F353/2)^2)*E353,"NA")</f>
        <v>148.06640918958331</v>
      </c>
      <c r="O353">
        <f>IF(AND(OR(D353="S. acutus",D353="S. californicus",D353="S. tabernaemontani"),G353=0),E353*[1]Sheet1!$D$7+[1]Sheet1!$L$7,IF(AND(OR(D353="S. acutus",D353="S. tabernaemontani"),G353&gt;0),E353*[1]Sheet1!$D$8+N353*[1]Sheet1!$E$8,IF(AND(D353="S. californicus",G353&gt;0),E353*[1]Sheet1!$D$9+N353*[1]Sheet1!$E$9,IF(D353="S.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latifolia"),E353&gt;0),F353*[1]Sheet1!$C$4+E353*[1]Sheet1!$D$4+H353*[1]Sheet1!$J$4+I353*[1]Sheet1!$K$4+[1]Sheet1!$L$4,IF(AND(OR(D353="T. domingensis",D353="T. latifolia"),J353&gt;0),J353*[1]Sheet1!$G$5+K353*[1]Sheet1!$H$5+L353*[1]Sheet1!$I$5+[1]Sheet1!$L$5,0)))))))</f>
        <v>15.126281535672852</v>
      </c>
    </row>
    <row r="354" spans="1:15">
      <c r="A354" s="10">
        <v>41767</v>
      </c>
      <c r="B354" s="7" t="s">
        <v>27</v>
      </c>
      <c r="C354">
        <v>32</v>
      </c>
      <c r="D354" t="s">
        <v>20</v>
      </c>
      <c r="E354">
        <v>211</v>
      </c>
      <c r="F354">
        <v>1.08</v>
      </c>
      <c r="G354">
        <v>3</v>
      </c>
      <c r="N354">
        <f>IF(OR(D354="S. acutus", D354="S. tabernaemontani", D354="S. californicus"),(1/3)*(3.14159)*((F354/2)^2)*E354,"NA")</f>
        <v>64.431497628000002</v>
      </c>
      <c r="O354">
        <f>IF(AND(OR(D354="S. acutus",D354="S. californicus",D354="S. tabernaemontani"),G354=0),E354*[1]Sheet1!$D$7+[1]Sheet1!$L$7,IF(AND(OR(D354="S. acutus",D354="S. tabernaemontani"),G354&gt;0),E354*[1]Sheet1!$D$8+N354*[1]Sheet1!$E$8,IF(AND(D354="S. californicus",G354&gt;0),E354*[1]Sheet1!$D$9+N354*[1]Sheet1!$E$9,IF(D354="S.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latifolia"),E354&gt;0),F354*[1]Sheet1!$C$4+E354*[1]Sheet1!$D$4+H354*[1]Sheet1!$J$4+I354*[1]Sheet1!$K$4+[1]Sheet1!$L$4,IF(AND(OR(D354="T. domingensis",D354="T. latifolia"),J354&gt;0),J354*[1]Sheet1!$G$5+K354*[1]Sheet1!$H$5+L354*[1]Sheet1!$I$5+[1]Sheet1!$L$5,0)))))))</f>
        <v>10.199750311969467</v>
      </c>
    </row>
    <row r="355" spans="1:15">
      <c r="A355" s="10">
        <v>41767</v>
      </c>
      <c r="B355" s="7" t="s">
        <v>27</v>
      </c>
      <c r="C355">
        <v>32</v>
      </c>
      <c r="D355" t="s">
        <v>20</v>
      </c>
      <c r="E355">
        <v>188</v>
      </c>
      <c r="F355">
        <v>0.97</v>
      </c>
      <c r="G355">
        <v>4</v>
      </c>
      <c r="N355">
        <f>IF(OR(D355="S. acutus", D355="S. tabernaemontani", D355="S. californicus"),(1/3)*(3.14159)*((F355/2)^2)*E355,"NA")</f>
        <v>46.309445152333325</v>
      </c>
      <c r="O355">
        <f>IF(AND(OR(D355="S. acutus",D355="S. californicus",D355="S. tabernaemontani"),G355=0),E355*[1]Sheet1!$D$7+[1]Sheet1!$L$7,IF(AND(OR(D355="S. acutus",D355="S. tabernaemontani"),G355&gt;0),E355*[1]Sheet1!$D$8+N355*[1]Sheet1!$E$8,IF(AND(D355="S. californicus",G355&gt;0),E355*[1]Sheet1!$D$9+N355*[1]Sheet1!$E$9,IF(D355="S.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latifolia"),E355&gt;0),F355*[1]Sheet1!$C$4+E355*[1]Sheet1!$D$4+H355*[1]Sheet1!$J$4+I355*[1]Sheet1!$K$4+[1]Sheet1!$L$4,IF(AND(OR(D355="T. domingensis",D355="T. latifolia"),J355&gt;0),J355*[1]Sheet1!$G$5+K355*[1]Sheet1!$H$5+L355*[1]Sheet1!$I$5+[1]Sheet1!$L$5,0)))))))</f>
        <v>8.7305406124057718</v>
      </c>
    </row>
    <row r="356" spans="1:15">
      <c r="A356" s="10">
        <v>41767</v>
      </c>
      <c r="B356" s="7" t="s">
        <v>27</v>
      </c>
      <c r="C356">
        <v>32</v>
      </c>
      <c r="D356" t="s">
        <v>20</v>
      </c>
      <c r="E356">
        <v>369</v>
      </c>
      <c r="F356">
        <v>1.54</v>
      </c>
      <c r="G356">
        <v>8</v>
      </c>
      <c r="N356">
        <f>IF(OR(D356="S. acutus", D356="S. tabernaemontani", D356="S. californicus"),(1/3)*(3.14159)*((F356/2)^2)*E356,"NA")</f>
        <v>229.10579145299997</v>
      </c>
      <c r="O356">
        <f>IF(AND(OR(D356="S. acutus",D356="S. californicus",D356="S. tabernaemontani"),G356=0),E356*[1]Sheet1!$D$7+[1]Sheet1!$L$7,IF(AND(OR(D356="S. acutus",D356="S. tabernaemontani"),G356&gt;0),E356*[1]Sheet1!$D$8+N356*[1]Sheet1!$E$8,IF(AND(D356="S. californicus",G356&gt;0),E356*[1]Sheet1!$D$9+N356*[1]Sheet1!$E$9,IF(D356="S.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latifolia"),E356&gt;0),F356*[1]Sheet1!$C$4+E356*[1]Sheet1!$D$4+H356*[1]Sheet1!$J$4+I356*[1]Sheet1!$K$4+[1]Sheet1!$L$4,IF(AND(OR(D356="T. domingensis",D356="T. latifolia"),J356&gt;0),J356*[1]Sheet1!$G$5+K356*[1]Sheet1!$H$5+L356*[1]Sheet1!$I$5+[1]Sheet1!$L$5,0)))))))</f>
        <v>21.586532579998906</v>
      </c>
    </row>
    <row r="357" spans="1:15">
      <c r="A357" s="10">
        <v>41767</v>
      </c>
      <c r="B357" s="7" t="s">
        <v>27</v>
      </c>
      <c r="C357">
        <v>32</v>
      </c>
      <c r="D357" t="s">
        <v>20</v>
      </c>
      <c r="E357">
        <v>280</v>
      </c>
      <c r="F357">
        <v>1.32</v>
      </c>
      <c r="G357">
        <v>8</v>
      </c>
      <c r="N357">
        <f>IF(OR(D357="S. acutus", D357="S. tabernaemontani", D357="S. californicus"),(1/3)*(3.14159)*((F357/2)^2)*E357,"NA")</f>
        <v>127.72448304</v>
      </c>
      <c r="O357">
        <f>IF(AND(OR(D357="S. acutus",D357="S. californicus",D357="S. tabernaemontani"),G357=0),E357*[1]Sheet1!$D$7+[1]Sheet1!$L$7,IF(AND(OR(D357="S. acutus",D357="S. tabernaemontani"),G357&gt;0),E357*[1]Sheet1!$D$8+N357*[1]Sheet1!$E$8,IF(AND(D357="S. californicus",G357&gt;0),E357*[1]Sheet1!$D$9+N357*[1]Sheet1!$E$9,IF(D357="S.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latifolia"),E357&gt;0),F357*[1]Sheet1!$C$4+E357*[1]Sheet1!$D$4+H357*[1]Sheet1!$J$4+I357*[1]Sheet1!$K$4+[1]Sheet1!$L$4,IF(AND(OR(D357="T. domingensis",D357="T. latifolia"),J357&gt;0),J357*[1]Sheet1!$G$5+K357*[1]Sheet1!$H$5+L357*[1]Sheet1!$I$5+[1]Sheet1!$L$5,0)))))))</f>
        <v>14.894831305922736</v>
      </c>
    </row>
    <row r="358" spans="1:15">
      <c r="A358" s="10">
        <v>41767</v>
      </c>
      <c r="B358" s="7" t="s">
        <v>27</v>
      </c>
      <c r="C358">
        <v>32</v>
      </c>
      <c r="D358" t="s">
        <v>20</v>
      </c>
      <c r="E358">
        <v>76</v>
      </c>
      <c r="F358">
        <v>0.96</v>
      </c>
      <c r="N358">
        <f>IF(OR(D358="S. acutus", D358="S. tabernaemontani", D358="S. californicus"),(1/3)*(3.14159)*((F358/2)^2)*E358,"NA")</f>
        <v>18.336832511999997</v>
      </c>
      <c r="O358">
        <f>IF(AND(OR(D358="S. acutus",D358="S. californicus",D358="S. tabernaemontani"),G358=0),E358*[1]Sheet1!$D$7+[1]Sheet1!$L$7,IF(AND(OR(D358="S. acutus",D358="S. tabernaemontani"),G358&gt;0),E358*[1]Sheet1!$D$8+N358*[1]Sheet1!$E$8,IF(AND(D358="S. californicus",G358&gt;0),E358*[1]Sheet1!$D$9+N358*[1]Sheet1!$E$9,IF(D358="S.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latifolia"),E358&gt;0),F358*[1]Sheet1!$C$4+E358*[1]Sheet1!$D$4+H358*[1]Sheet1!$J$4+I358*[1]Sheet1!$K$4+[1]Sheet1!$L$4,IF(AND(OR(D358="T. domingensis",D358="T. latifolia"),J358&gt;0),J358*[1]Sheet1!$G$5+K358*[1]Sheet1!$H$5+L358*[1]Sheet1!$I$5+[1]Sheet1!$L$5,0)))))))</f>
        <v>0.73738300000000034</v>
      </c>
    </row>
    <row r="359" spans="1:15">
      <c r="A359" s="10">
        <v>41767</v>
      </c>
      <c r="B359" s="7" t="s">
        <v>27</v>
      </c>
      <c r="C359">
        <v>32</v>
      </c>
      <c r="D359" t="s">
        <v>20</v>
      </c>
      <c r="E359">
        <v>323</v>
      </c>
      <c r="F359">
        <v>1.5</v>
      </c>
      <c r="N359">
        <f>IF(OR(D359="S. acutus", D359="S. tabernaemontani", D359="S. californicus"),(1/3)*(3.14159)*((F359/2)^2)*E359,"NA")</f>
        <v>190.26254437499998</v>
      </c>
      <c r="O359">
        <f>IF(AND(OR(D359="S. acutus",D359="S. californicus",D359="S. tabernaemontani"),G359=0),E359*[1]Sheet1!$D$7+[1]Sheet1!$L$7,IF(AND(OR(D359="S. acutus",D359="S. tabernaemontani"),G359&gt;0),E359*[1]Sheet1!$D$8+N359*[1]Sheet1!$E$8,IF(AND(D359="S. californicus",G359&gt;0),E359*[1]Sheet1!$D$9+N359*[1]Sheet1!$E$9,IF(D359="S.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latifolia"),E359&gt;0),F359*[1]Sheet1!$C$4+E359*[1]Sheet1!$D$4+H359*[1]Sheet1!$J$4+I359*[1]Sheet1!$K$4+[1]Sheet1!$L$4,IF(AND(OR(D359="T. domingensis",D359="T. latifolia"),J359&gt;0),J359*[1]Sheet1!$G$5+K359*[1]Sheet1!$H$5+L359*[1]Sheet1!$I$5+[1]Sheet1!$L$5,0)))))))</f>
        <v>18.053318000000001</v>
      </c>
    </row>
    <row r="360" spans="1:15">
      <c r="A360" s="10">
        <v>41767</v>
      </c>
      <c r="B360" s="7" t="s">
        <v>27</v>
      </c>
      <c r="C360">
        <v>32</v>
      </c>
      <c r="D360" t="s">
        <v>20</v>
      </c>
      <c r="E360">
        <v>239</v>
      </c>
      <c r="F360">
        <v>0.98</v>
      </c>
      <c r="G360">
        <v>6</v>
      </c>
      <c r="N360">
        <f>IF(OR(D360="S. acutus", D360="S. tabernaemontani", D360="S. californicus"),(1/3)*(3.14159)*((F360/2)^2)*E360,"NA")</f>
        <v>60.092228800333324</v>
      </c>
      <c r="O360">
        <f>IF(AND(OR(D360="S. acutus",D360="S. californicus",D360="S. tabernaemontani"),G360=0),E360*[1]Sheet1!$D$7+[1]Sheet1!$L$7,IF(AND(OR(D360="S. acutus",D360="S. tabernaemontani"),G360&gt;0),E360*[1]Sheet1!$D$8+N360*[1]Sheet1!$E$8,IF(AND(D360="S. californicus",G360&gt;0),E360*[1]Sheet1!$D$9+N360*[1]Sheet1!$E$9,IF(D360="S.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latifolia"),E360&gt;0),F360*[1]Sheet1!$C$4+E360*[1]Sheet1!$D$4+H360*[1]Sheet1!$J$4+I360*[1]Sheet1!$K$4+[1]Sheet1!$L$4,IF(AND(OR(D360="T. domingensis",D360="T. latifolia"),J360&gt;0),J360*[1]Sheet1!$G$5+K360*[1]Sheet1!$H$5+L360*[1]Sheet1!$I$5+[1]Sheet1!$L$5,0)))))))</f>
        <v>11.138220750376654</v>
      </c>
    </row>
    <row r="361" spans="1:15">
      <c r="A361" s="10">
        <v>41767</v>
      </c>
      <c r="B361" s="7" t="s">
        <v>27</v>
      </c>
      <c r="C361">
        <v>32</v>
      </c>
      <c r="D361" t="s">
        <v>20</v>
      </c>
      <c r="E361">
        <v>266</v>
      </c>
      <c r="F361">
        <v>1.22</v>
      </c>
      <c r="G361">
        <v>7</v>
      </c>
      <c r="N361">
        <f>IF(OR(D361="S. acutus", D361="S. tabernaemontani", D361="S. californicus"),(1/3)*(3.14159)*((F361/2)^2)*E361,"NA")</f>
        <v>103.65005999133332</v>
      </c>
      <c r="O361">
        <f>IF(AND(OR(D361="S. acutus",D361="S. californicus",D361="S. tabernaemontani"),G361=0),E361*[1]Sheet1!$D$7+[1]Sheet1!$L$7,IF(AND(OR(D361="S. acutus",D361="S. tabernaemontani"),G361&gt;0),E361*[1]Sheet1!$D$8+N361*[1]Sheet1!$E$8,IF(AND(D361="S. californicus",G361&gt;0),E361*[1]Sheet1!$D$9+N361*[1]Sheet1!$E$9,IF(D361="S.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latifolia"),E361&gt;0),F361*[1]Sheet1!$C$4+E361*[1]Sheet1!$D$4+H361*[1]Sheet1!$J$4+I361*[1]Sheet1!$K$4+[1]Sheet1!$L$4,IF(AND(OR(D361="T. domingensis",D361="T. latifolia"),J361&gt;0),J361*[1]Sheet1!$G$5+K361*[1]Sheet1!$H$5+L361*[1]Sheet1!$I$5+[1]Sheet1!$L$5,0)))))))</f>
        <v>13.580513816774925</v>
      </c>
    </row>
    <row r="362" spans="1:15">
      <c r="A362" s="10">
        <v>41767</v>
      </c>
      <c r="B362" s="7" t="s">
        <v>27</v>
      </c>
      <c r="C362">
        <v>32</v>
      </c>
      <c r="D362" t="s">
        <v>20</v>
      </c>
      <c r="E362">
        <v>97</v>
      </c>
      <c r="F362">
        <v>1</v>
      </c>
      <c r="N362">
        <f>IF(OR(D362="S. acutus", D362="S. tabernaemontani", D362="S. californicus"),(1/3)*(3.14159)*((F362/2)^2)*E362,"NA")</f>
        <v>25.394519166666665</v>
      </c>
      <c r="O362">
        <f>IF(AND(OR(D362="S. acutus",D362="S. californicus",D362="S. tabernaemontani"),G362=0),E362*[1]Sheet1!$D$7+[1]Sheet1!$L$7,IF(AND(OR(D362="S. acutus",D362="S. tabernaemontani"),G362&gt;0),E362*[1]Sheet1!$D$8+N362*[1]Sheet1!$E$8,IF(AND(D362="S. californicus",G362&gt;0),E362*[1]Sheet1!$D$9+N362*[1]Sheet1!$E$9,IF(D362="S.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latifolia"),E362&gt;0),F362*[1]Sheet1!$C$4+E362*[1]Sheet1!$D$4+H362*[1]Sheet1!$J$4+I362*[1]Sheet1!$K$4+[1]Sheet1!$L$4,IF(AND(OR(D362="T. domingensis",D362="T. latifolia"),J362&gt;0),J362*[1]Sheet1!$G$5+K362*[1]Sheet1!$H$5+L362*[1]Sheet1!$I$5+[1]Sheet1!$L$5,0)))))))</f>
        <v>2.2095880000000001</v>
      </c>
    </row>
    <row r="363" spans="1:15">
      <c r="A363" s="10">
        <v>41767</v>
      </c>
      <c r="B363" s="7" t="s">
        <v>27</v>
      </c>
      <c r="C363">
        <v>32</v>
      </c>
      <c r="D363" t="s">
        <v>20</v>
      </c>
      <c r="E363">
        <v>246</v>
      </c>
      <c r="F363">
        <v>1.29</v>
      </c>
      <c r="G363">
        <v>4</v>
      </c>
      <c r="N363">
        <f>IF(OR(D363="S. acutus", D363="S. tabernaemontani", D363="S. californicus"),(1/3)*(3.14159)*((F363/2)^2)*E363,"NA")</f>
        <v>107.17235833949999</v>
      </c>
      <c r="O363">
        <f>IF(AND(OR(D363="S. acutus",D363="S. californicus",D363="S. tabernaemontani"),G363=0),E363*[1]Sheet1!$D$7+[1]Sheet1!$L$7,IF(AND(OR(D363="S. acutus",D363="S. tabernaemontani"),G363&gt;0),E363*[1]Sheet1!$D$8+N363*[1]Sheet1!$E$8,IF(AND(D363="S. californicus",G363&gt;0),E363*[1]Sheet1!$D$9+N363*[1]Sheet1!$E$9,IF(D363="S.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latifolia"),E363&gt;0),F363*[1]Sheet1!$C$4+E363*[1]Sheet1!$D$4+H363*[1]Sheet1!$J$4+I363*[1]Sheet1!$K$4+[1]Sheet1!$L$4,IF(AND(OR(D363="T. domingensis",D363="T. latifolia"),J363&gt;0),J363*[1]Sheet1!$G$5+K363*[1]Sheet1!$H$5+L363*[1]Sheet1!$I$5+[1]Sheet1!$L$5,0)))))))</f>
        <v>12.923792993654406</v>
      </c>
    </row>
    <row r="364" spans="1:15">
      <c r="A364" s="10">
        <v>41767</v>
      </c>
      <c r="B364" s="7" t="s">
        <v>27</v>
      </c>
      <c r="C364">
        <v>32</v>
      </c>
      <c r="D364" t="s">
        <v>23</v>
      </c>
      <c r="F364">
        <v>2.2200000000000002</v>
      </c>
      <c r="J364">
        <f>167+120+113+172+137+205+209+230+247+249</f>
        <v>1849</v>
      </c>
      <c r="K364">
        <v>10</v>
      </c>
      <c r="L364">
        <v>249</v>
      </c>
      <c r="N364" t="str">
        <f>IF(OR(D364="S. acutus", D364="S. tabernaemontani", D364="S. californicus"),(1/3)*(3.14159)*((F364/2)^2)*E364,"NA")</f>
        <v>NA</v>
      </c>
      <c r="O364">
        <f>IF(AND(OR(D364="S. acutus",D364="S. californicus",D364="S. tabernaemontani"),G364=0),E364*[1]Sheet1!$D$7+[1]Sheet1!$L$7,IF(AND(OR(D364="S. acutus",D364="S. tabernaemontani"),G364&gt;0),E364*[1]Sheet1!$D$8+N364*[1]Sheet1!$E$8,IF(AND(D364="S. californicus",G364&gt;0),E364*[1]Sheet1!$D$9+N364*[1]Sheet1!$E$9,IF(D364="S.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latifolia"),E364&gt;0),F364*[1]Sheet1!$C$4+E364*[1]Sheet1!$D$4+H364*[1]Sheet1!$J$4+I364*[1]Sheet1!$K$4+[1]Sheet1!$L$4,IF(AND(OR(D364="T. domingensis",D364="T. latifolia"),J364&gt;0),J364*[1]Sheet1!$G$5+K364*[1]Sheet1!$H$5+L364*[1]Sheet1!$I$5+[1]Sheet1!$L$5,0)))))))</f>
        <v>61.156444000000029</v>
      </c>
    </row>
    <row r="365" spans="1:15">
      <c r="A365" s="10">
        <v>41767</v>
      </c>
      <c r="B365" s="7" t="s">
        <v>27</v>
      </c>
      <c r="C365">
        <v>32</v>
      </c>
      <c r="D365" t="s">
        <v>23</v>
      </c>
      <c r="F365">
        <v>2.81</v>
      </c>
      <c r="J365">
        <f>150+154+193+197+249+257+283+279+290+298</f>
        <v>2350</v>
      </c>
      <c r="K365">
        <v>7</v>
      </c>
      <c r="L365">
        <v>298</v>
      </c>
      <c r="N365" t="str">
        <f>IF(OR(D365="S. acutus", D365="S. tabernaemontani", D365="S. californicus"),(1/3)*(3.14159)*((F365/2)^2)*E365,"NA")</f>
        <v>NA</v>
      </c>
      <c r="O365">
        <f>IF(AND(OR(D365="S. acutus",D365="S. californicus",D365="S. tabernaemontani"),G365=0),E365*[1]Sheet1!$D$7+[1]Sheet1!$L$7,IF(AND(OR(D365="S. acutus",D365="S. tabernaemontani"),G365&gt;0),E365*[1]Sheet1!$D$8+N365*[1]Sheet1!$E$8,IF(AND(D365="S. californicus",G365&gt;0),E365*[1]Sheet1!$D$9+N365*[1]Sheet1!$E$9,IF(D365="S.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latifolia"),E365&gt;0),F365*[1]Sheet1!$C$4+E365*[1]Sheet1!$D$4+H365*[1]Sheet1!$J$4+I365*[1]Sheet1!$K$4+[1]Sheet1!$L$4,IF(AND(OR(D365="T. domingensis",D365="T. latifolia"),J365&gt;0),J365*[1]Sheet1!$G$5+K365*[1]Sheet1!$H$5+L365*[1]Sheet1!$I$5+[1]Sheet1!$L$5,0)))))))</f>
        <v>114.433753</v>
      </c>
    </row>
    <row r="366" spans="1:15">
      <c r="A366" s="10">
        <v>41767</v>
      </c>
      <c r="B366" s="7" t="s">
        <v>27</v>
      </c>
      <c r="C366">
        <v>32</v>
      </c>
      <c r="D366" t="s">
        <v>23</v>
      </c>
      <c r="F366">
        <v>2.0499999999999998</v>
      </c>
      <c r="J366">
        <f>101+125+139+179+192+212+215</f>
        <v>1163</v>
      </c>
      <c r="K366">
        <v>7</v>
      </c>
      <c r="L366">
        <v>215</v>
      </c>
      <c r="N366" t="str">
        <f>IF(OR(D366="S. acutus", D366="S. tabernaemontani", D366="S. californicus"),(1/3)*(3.14159)*((F366/2)^2)*E366,"NA")</f>
        <v>NA</v>
      </c>
      <c r="O366">
        <f>IF(AND(OR(D366="S. acutus",D366="S. californicus",D366="S. tabernaemontani"),G366=0),E366*[1]Sheet1!$D$7+[1]Sheet1!$L$7,IF(AND(OR(D366="S. acutus",D366="S. tabernaemontani"),G366&gt;0),E366*[1]Sheet1!$D$8+N366*[1]Sheet1!$E$8,IF(AND(D366="S. californicus",G366&gt;0),E366*[1]Sheet1!$D$9+N366*[1]Sheet1!$E$9,IF(D366="S.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latifolia"),E366&gt;0),F366*[1]Sheet1!$C$4+E366*[1]Sheet1!$D$4+H366*[1]Sheet1!$J$4+I366*[1]Sheet1!$K$4+[1]Sheet1!$L$4,IF(AND(OR(D366="T. domingensis",D366="T. latifolia"),J366&gt;0),J366*[1]Sheet1!$G$5+K366*[1]Sheet1!$H$5+L366*[1]Sheet1!$I$5+[1]Sheet1!$L$5,0)))))))</f>
        <v>28.149903000000016</v>
      </c>
    </row>
    <row r="367" spans="1:15">
      <c r="A367" s="10">
        <v>41767</v>
      </c>
      <c r="B367" s="7" t="s">
        <v>27</v>
      </c>
      <c r="C367">
        <v>32</v>
      </c>
      <c r="D367" t="s">
        <v>23</v>
      </c>
      <c r="F367">
        <v>2.0299999999999998</v>
      </c>
      <c r="J367">
        <f>78+128+145+180+184+203+226+231</f>
        <v>1375</v>
      </c>
      <c r="K367">
        <v>8</v>
      </c>
      <c r="L367">
        <v>231</v>
      </c>
      <c r="N367" t="str">
        <f>IF(OR(D367="S. acutus", D367="S. tabernaemontani", D367="S. californicus"),(1/3)*(3.14159)*((F367/2)^2)*E367,"NA")</f>
        <v>NA</v>
      </c>
      <c r="O367">
        <f>IF(AND(OR(D367="S. acutus",D367="S. californicus",D367="S. tabernaemontani"),G367=0),E367*[1]Sheet1!$D$7+[1]Sheet1!$L$7,IF(AND(OR(D367="S. acutus",D367="S. tabernaemontani"),G367&gt;0),E367*[1]Sheet1!$D$8+N367*[1]Sheet1!$E$8,IF(AND(D367="S. californicus",G367&gt;0),E367*[1]Sheet1!$D$9+N367*[1]Sheet1!$E$9,IF(D367="S.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latifolia"),E367&gt;0),F367*[1]Sheet1!$C$4+E367*[1]Sheet1!$D$4+H367*[1]Sheet1!$J$4+I367*[1]Sheet1!$K$4+[1]Sheet1!$L$4,IF(AND(OR(D367="T. domingensis",D367="T. latifolia"),J367&gt;0),J367*[1]Sheet1!$G$5+K367*[1]Sheet1!$H$5+L367*[1]Sheet1!$I$5+[1]Sheet1!$L$5,0)))))))</f>
        <v>36.18369000000002</v>
      </c>
    </row>
    <row r="368" spans="1:15">
      <c r="A368" s="10">
        <v>41767</v>
      </c>
      <c r="B368" s="7" t="s">
        <v>27</v>
      </c>
      <c r="C368">
        <v>32</v>
      </c>
      <c r="D368" t="s">
        <v>23</v>
      </c>
      <c r="F368">
        <v>1.24</v>
      </c>
      <c r="J368">
        <f>98+121+169+211+239+255</f>
        <v>1093</v>
      </c>
      <c r="K368">
        <v>6</v>
      </c>
      <c r="L368">
        <v>255</v>
      </c>
      <c r="N368" t="str">
        <f>IF(OR(D368="S. acutus", D368="S. tabernaemontani", D368="S. californicus"),(1/3)*(3.14159)*((F368/2)^2)*E368,"NA")</f>
        <v>NA</v>
      </c>
      <c r="O368">
        <f>IF(AND(OR(D368="S. acutus",D368="S. californicus",D368="S. tabernaemontani"),G368=0),E368*[1]Sheet1!$D$7+[1]Sheet1!$L$7,IF(AND(OR(D368="S. acutus",D368="S. tabernaemontani"),G368&gt;0),E368*[1]Sheet1!$D$8+N368*[1]Sheet1!$E$8,IF(AND(D368="S. californicus",G368&gt;0),E368*[1]Sheet1!$D$9+N368*[1]Sheet1!$E$9,IF(D368="S.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latifolia"),E368&gt;0),F368*[1]Sheet1!$C$4+E368*[1]Sheet1!$D$4+H368*[1]Sheet1!$J$4+I368*[1]Sheet1!$K$4+[1]Sheet1!$L$4,IF(AND(OR(D368="T. domingensis",D368="T. latifolia"),J368&gt;0),J368*[1]Sheet1!$G$5+K368*[1]Sheet1!$H$5+L368*[1]Sheet1!$I$5+[1]Sheet1!$L$5,0)))))))</f>
        <v>16.559605999999995</v>
      </c>
    </row>
    <row r="369" spans="1:15">
      <c r="A369" s="10">
        <v>41767</v>
      </c>
      <c r="B369" s="7" t="s">
        <v>27</v>
      </c>
      <c r="C369">
        <v>32</v>
      </c>
      <c r="D369" t="s">
        <v>23</v>
      </c>
      <c r="F369">
        <v>1.28</v>
      </c>
      <c r="J369">
        <f>82+203+243+268+309+315</f>
        <v>1420</v>
      </c>
      <c r="K369">
        <v>6</v>
      </c>
      <c r="L369">
        <v>315</v>
      </c>
      <c r="N369" t="str">
        <f>IF(OR(D369="S. acutus", D369="S. tabernaemontani", D369="S. californicus"),(1/3)*(3.14159)*((F369/2)^2)*E369,"NA")</f>
        <v>NA</v>
      </c>
      <c r="O369">
        <f>IF(AND(OR(D369="S. acutus",D369="S. californicus",D369="S. tabernaemontani"),G369=0),E369*[1]Sheet1!$D$7+[1]Sheet1!$L$7,IF(AND(OR(D369="S. acutus",D369="S. tabernaemontani"),G369&gt;0),E369*[1]Sheet1!$D$8+N369*[1]Sheet1!$E$8,IF(AND(D369="S. californicus",G369&gt;0),E369*[1]Sheet1!$D$9+N369*[1]Sheet1!$E$9,IF(D369="S.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latifolia"),E369&gt;0),F369*[1]Sheet1!$C$4+E369*[1]Sheet1!$D$4+H369*[1]Sheet1!$J$4+I369*[1]Sheet1!$K$4+[1]Sheet1!$L$4,IF(AND(OR(D369="T. domingensis",D369="T. latifolia"),J369&gt;0),J369*[1]Sheet1!$G$5+K369*[1]Sheet1!$H$5+L369*[1]Sheet1!$I$5+[1]Sheet1!$L$5,0)))))))</f>
        <v>29.14279100000001</v>
      </c>
    </row>
    <row r="370" spans="1:15">
      <c r="A370" s="10">
        <v>41767</v>
      </c>
      <c r="B370" s="7" t="s">
        <v>27</v>
      </c>
      <c r="C370">
        <v>32</v>
      </c>
      <c r="D370" t="s">
        <v>19</v>
      </c>
      <c r="F370">
        <v>1.1200000000000001</v>
      </c>
      <c r="J370">
        <f>51+101+138+165+178</f>
        <v>633</v>
      </c>
      <c r="K370">
        <v>5</v>
      </c>
      <c r="L370">
        <v>178</v>
      </c>
      <c r="N370" t="str">
        <f>IF(OR(D370="S. acutus", D370="S. tabernaemontani", D370="S. californicus"),(1/3)*(3.14159)*((F370/2)^2)*E370,"NA")</f>
        <v>NA</v>
      </c>
      <c r="O370">
        <f>IF(AND(OR(D370="S. acutus",D370="S. californicus",D370="S. tabernaemontani"),G370=0),E370*[1]Sheet1!$D$7+[1]Sheet1!$L$7,IF(AND(OR(D370="S. acutus",D370="S. tabernaemontani"),G370&gt;0),E370*[1]Sheet1!$D$8+N370*[1]Sheet1!$E$8,IF(AND(D370="S. californicus",G370&gt;0),E370*[1]Sheet1!$D$9+N370*[1]Sheet1!$E$9,IF(D370="S.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latifolia"),E370&gt;0),F370*[1]Sheet1!$C$4+E370*[1]Sheet1!$D$4+H370*[1]Sheet1!$J$4+I370*[1]Sheet1!$K$4+[1]Sheet1!$L$4,IF(AND(OR(D370="T. domingensis",D370="T. latifolia"),J370&gt;0),J370*[1]Sheet1!$G$5+K370*[1]Sheet1!$H$5+L370*[1]Sheet1!$I$5+[1]Sheet1!$L$5,0)))))))</f>
        <v>3.6505240000000043</v>
      </c>
    </row>
    <row r="371" spans="1:15">
      <c r="A371" s="10">
        <v>41767</v>
      </c>
      <c r="B371" s="7" t="s">
        <v>27</v>
      </c>
      <c r="C371">
        <v>32</v>
      </c>
      <c r="D371" t="s">
        <v>19</v>
      </c>
      <c r="F371">
        <v>1.28</v>
      </c>
      <c r="J371">
        <f>65+82+132+144+196+200</f>
        <v>819</v>
      </c>
      <c r="K371">
        <v>6</v>
      </c>
      <c r="L371">
        <v>200</v>
      </c>
      <c r="N371" t="str">
        <f>IF(OR(D371="S. acutus", D371="S. tabernaemontani", D371="S. californicus"),(1/3)*(3.14159)*((F371/2)^2)*E371,"NA")</f>
        <v>NA</v>
      </c>
      <c r="O371">
        <f>IF(AND(OR(D371="S. acutus",D371="S. californicus",D371="S. tabernaemontani"),G371=0),E371*[1]Sheet1!$D$7+[1]Sheet1!$L$7,IF(AND(OR(D371="S. acutus",D371="S. tabernaemontani"),G371&gt;0),E371*[1]Sheet1!$D$8+N371*[1]Sheet1!$E$8,IF(AND(D371="S. californicus",G371&gt;0),E371*[1]Sheet1!$D$9+N371*[1]Sheet1!$E$9,IF(D371="S.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latifolia"),E371&gt;0),F371*[1]Sheet1!$C$4+E371*[1]Sheet1!$D$4+H371*[1]Sheet1!$J$4+I371*[1]Sheet1!$K$4+[1]Sheet1!$L$4,IF(AND(OR(D371="T. domingensis",D371="T. latifolia"),J371&gt;0),J371*[1]Sheet1!$G$5+K371*[1]Sheet1!$H$5+L371*[1]Sheet1!$I$5+[1]Sheet1!$L$5,0)))))))</f>
        <v>7.4392110000000073</v>
      </c>
    </row>
    <row r="372" spans="1:15">
      <c r="A372" s="10">
        <v>41767</v>
      </c>
      <c r="B372" s="7" t="s">
        <v>27</v>
      </c>
      <c r="C372">
        <v>32</v>
      </c>
      <c r="D372" t="s">
        <v>19</v>
      </c>
      <c r="F372">
        <v>1.25</v>
      </c>
      <c r="J372">
        <f>74+84+145+160+206+218</f>
        <v>887</v>
      </c>
      <c r="K372">
        <v>6</v>
      </c>
      <c r="L372">
        <v>218</v>
      </c>
      <c r="N372" t="str">
        <f>IF(OR(D372="S. acutus", D372="S. tabernaemontani", D372="S. californicus"),(1/3)*(3.14159)*((F372/2)^2)*E372,"NA")</f>
        <v>NA</v>
      </c>
      <c r="O372">
        <f>IF(AND(OR(D372="S. acutus",D372="S. californicus",D372="S. tabernaemontani"),G372=0),E372*[1]Sheet1!$D$7+[1]Sheet1!$L$7,IF(AND(OR(D372="S. acutus",D372="S. tabernaemontani"),G372&gt;0),E372*[1]Sheet1!$D$8+N372*[1]Sheet1!$E$8,IF(AND(D372="S. californicus",G372&gt;0),E372*[1]Sheet1!$D$9+N372*[1]Sheet1!$E$9,IF(D372="S.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latifolia"),E372&gt;0),F372*[1]Sheet1!$C$4+E372*[1]Sheet1!$D$4+H372*[1]Sheet1!$J$4+I372*[1]Sheet1!$K$4+[1]Sheet1!$L$4,IF(AND(OR(D372="T. domingensis",D372="T. latifolia"),J372&gt;0),J372*[1]Sheet1!$G$5+K372*[1]Sheet1!$H$5+L372*[1]Sheet1!$I$5+[1]Sheet1!$L$5,0)))))))</f>
        <v>8.3921410000000023</v>
      </c>
    </row>
    <row r="373" spans="1:15">
      <c r="A373" s="10">
        <v>41767</v>
      </c>
      <c r="B373" s="7" t="s">
        <v>27</v>
      </c>
      <c r="C373">
        <v>32</v>
      </c>
      <c r="D373" t="s">
        <v>19</v>
      </c>
      <c r="F373">
        <v>1.1100000000000001</v>
      </c>
      <c r="J373">
        <f>80+119+142+154+169</f>
        <v>664</v>
      </c>
      <c r="K373">
        <v>5</v>
      </c>
      <c r="L373">
        <v>169</v>
      </c>
      <c r="N373" t="str">
        <f>IF(OR(D373="S. acutus", D373="S. tabernaemontani", D373="S. californicus"),(1/3)*(3.14159)*((F373/2)^2)*E373,"NA")</f>
        <v>NA</v>
      </c>
      <c r="O373">
        <f>IF(AND(OR(D373="S. acutus",D373="S. californicus",D373="S. tabernaemontani"),G373=0),E373*[1]Sheet1!$D$7+[1]Sheet1!$L$7,IF(AND(OR(D373="S. acutus",D373="S. tabernaemontani"),G373&gt;0),E373*[1]Sheet1!$D$8+N373*[1]Sheet1!$E$8,IF(AND(D373="S. californicus",G373&gt;0),E373*[1]Sheet1!$D$9+N373*[1]Sheet1!$E$9,IF(D373="S.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latifolia"),E373&gt;0),F373*[1]Sheet1!$C$4+E373*[1]Sheet1!$D$4+H373*[1]Sheet1!$J$4+I373*[1]Sheet1!$K$4+[1]Sheet1!$L$4,IF(AND(OR(D373="T. domingensis",D373="T. latifolia"),J373&gt;0),J373*[1]Sheet1!$G$5+K373*[1]Sheet1!$H$5+L373*[1]Sheet1!$I$5+[1]Sheet1!$L$5,0)))))))</f>
        <v>9.2681340000000034</v>
      </c>
    </row>
    <row r="374" spans="1:15">
      <c r="A374" s="10">
        <v>41767</v>
      </c>
      <c r="B374" s="7" t="s">
        <v>27</v>
      </c>
      <c r="C374">
        <v>32</v>
      </c>
      <c r="D374" t="s">
        <v>19</v>
      </c>
      <c r="F374">
        <v>2.1</v>
      </c>
      <c r="J374">
        <f>90+129+158+179+118+139+173+183+117</f>
        <v>1286</v>
      </c>
      <c r="K374">
        <v>9</v>
      </c>
      <c r="L374">
        <v>183</v>
      </c>
      <c r="N374" t="str">
        <f>IF(OR(D374="S. acutus", D374="S. tabernaemontani", D374="S. californicus"),(1/3)*(3.14159)*((F374/2)^2)*E374,"NA")</f>
        <v>NA</v>
      </c>
      <c r="O374">
        <f>IF(AND(OR(D374="S. acutus",D374="S. californicus",D374="S. tabernaemontani"),G374=0),E374*[1]Sheet1!$D$7+[1]Sheet1!$L$7,IF(AND(OR(D374="S. acutus",D374="S. tabernaemontani"),G374&gt;0),E374*[1]Sheet1!$D$8+N374*[1]Sheet1!$E$8,IF(AND(D374="S. californicus",G374&gt;0),E374*[1]Sheet1!$D$9+N374*[1]Sheet1!$E$9,IF(D374="S.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latifolia"),E374&gt;0),F374*[1]Sheet1!$C$4+E374*[1]Sheet1!$D$4+H374*[1]Sheet1!$J$4+I374*[1]Sheet1!$K$4+[1]Sheet1!$L$4,IF(AND(OR(D374="T. domingensis",D374="T. latifolia"),J374&gt;0),J374*[1]Sheet1!$G$5+K374*[1]Sheet1!$H$5+L374*[1]Sheet1!$I$5+[1]Sheet1!$L$5,0)))))))</f>
        <v>35.276902000000007</v>
      </c>
    </row>
    <row r="375" spans="1:15">
      <c r="A375" s="10">
        <v>41767</v>
      </c>
      <c r="B375" s="7" t="s">
        <v>27</v>
      </c>
      <c r="C375">
        <v>32</v>
      </c>
      <c r="D375" t="s">
        <v>19</v>
      </c>
      <c r="F375">
        <v>1.46</v>
      </c>
      <c r="J375">
        <f>59+111+118+161+208+214</f>
        <v>871</v>
      </c>
      <c r="K375">
        <v>6</v>
      </c>
      <c r="L375">
        <v>214</v>
      </c>
      <c r="N375" t="str">
        <f>IF(OR(D375="S. acutus", D375="S. tabernaemontani", D375="S. californicus"),(1/3)*(3.14159)*((F375/2)^2)*E375,"NA")</f>
        <v>NA</v>
      </c>
      <c r="O375">
        <f>IF(AND(OR(D375="S. acutus",D375="S. californicus",D375="S. tabernaemontani"),G375=0),E375*[1]Sheet1!$D$7+[1]Sheet1!$L$7,IF(AND(OR(D375="S. acutus",D375="S. tabernaemontani"),G375&gt;0),E375*[1]Sheet1!$D$8+N375*[1]Sheet1!$E$8,IF(AND(D375="S. californicus",G375&gt;0),E375*[1]Sheet1!$D$9+N375*[1]Sheet1!$E$9,IF(D375="S.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latifolia"),E375&gt;0),F375*[1]Sheet1!$C$4+E375*[1]Sheet1!$D$4+H375*[1]Sheet1!$J$4+I375*[1]Sheet1!$K$4+[1]Sheet1!$L$4,IF(AND(OR(D375="T. domingensis",D375="T. latifolia"),J375&gt;0),J375*[1]Sheet1!$G$5+K375*[1]Sheet1!$H$5+L375*[1]Sheet1!$I$5+[1]Sheet1!$L$5,0)))))))</f>
        <v>8.0970409999999973</v>
      </c>
    </row>
    <row r="376" spans="1:15">
      <c r="A376" s="10">
        <v>41767</v>
      </c>
      <c r="B376" s="7" t="s">
        <v>27</v>
      </c>
      <c r="C376">
        <v>32</v>
      </c>
      <c r="D376" t="s">
        <v>19</v>
      </c>
      <c r="F376">
        <v>0.97</v>
      </c>
      <c r="J376">
        <f>101+126+161+166</f>
        <v>554</v>
      </c>
      <c r="K376">
        <v>4</v>
      </c>
      <c r="L376">
        <v>166</v>
      </c>
      <c r="N376" t="str">
        <f>IF(OR(D376="S. acutus", D376="S. tabernaemontani", D376="S. californicus"),(1/3)*(3.14159)*((F376/2)^2)*E376,"NA")</f>
        <v>NA</v>
      </c>
      <c r="O376">
        <f>IF(AND(OR(D376="S. acutus",D376="S. californicus",D376="S. tabernaemontani"),G376=0),E376*[1]Sheet1!$D$7+[1]Sheet1!$L$7,IF(AND(OR(D376="S. acutus",D376="S. tabernaemontani"),G376&gt;0),E376*[1]Sheet1!$D$8+N376*[1]Sheet1!$E$8,IF(AND(D376="S. californicus",G376&gt;0),E376*[1]Sheet1!$D$9+N376*[1]Sheet1!$E$9,IF(D376="S.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latifolia"),E376&gt;0),F376*[1]Sheet1!$C$4+E376*[1]Sheet1!$D$4+H376*[1]Sheet1!$J$4+I376*[1]Sheet1!$K$4+[1]Sheet1!$L$4,IF(AND(OR(D376="T. domingensis",D376="T. latifolia"),J376&gt;0),J376*[1]Sheet1!$G$5+K376*[1]Sheet1!$H$5+L376*[1]Sheet1!$I$5+[1]Sheet1!$L$5,0)))))))</f>
        <v>6.881172000000003</v>
      </c>
    </row>
    <row r="377" spans="1:15">
      <c r="A377" s="10">
        <v>41767</v>
      </c>
      <c r="B377" s="7" t="s">
        <v>27</v>
      </c>
      <c r="C377">
        <v>32</v>
      </c>
      <c r="D377" t="s">
        <v>19</v>
      </c>
      <c r="F377">
        <v>0.96</v>
      </c>
      <c r="J377">
        <f>35+73+52+134+135+163</f>
        <v>592</v>
      </c>
      <c r="K377">
        <v>6</v>
      </c>
      <c r="L377">
        <v>163</v>
      </c>
      <c r="N377" t="str">
        <f>IF(OR(D377="S. acutus", D377="S. tabernaemontani", D377="S. californicus"),(1/3)*(3.14159)*((F377/2)^2)*E377,"NA")</f>
        <v>NA</v>
      </c>
      <c r="O377">
        <f>IF(AND(OR(D377="S. acutus",D377="S. californicus",D377="S. tabernaemontani"),G377=0),E377*[1]Sheet1!$D$7+[1]Sheet1!$L$7,IF(AND(OR(D377="S. acutus",D377="S. tabernaemontani"),G377&gt;0),E377*[1]Sheet1!$D$8+N377*[1]Sheet1!$E$8,IF(AND(D377="S. californicus",G377&gt;0),E377*[1]Sheet1!$D$9+N377*[1]Sheet1!$E$9,IF(D377="S.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latifolia"),E377&gt;0),F377*[1]Sheet1!$C$4+E377*[1]Sheet1!$D$4+H377*[1]Sheet1!$J$4+I377*[1]Sheet1!$K$4+[1]Sheet1!$L$4,IF(AND(OR(D377="T. domingensis",D377="T. latifolia"),J377&gt;0),J377*[1]Sheet1!$G$5+K377*[1]Sheet1!$H$5+L377*[1]Sheet1!$I$5+[1]Sheet1!$L$5,0)))))))</f>
        <v>-2.6971089999999975</v>
      </c>
    </row>
    <row r="378" spans="1:15">
      <c r="A378" s="10">
        <v>41767</v>
      </c>
      <c r="B378" s="7" t="s">
        <v>27</v>
      </c>
      <c r="C378">
        <v>32</v>
      </c>
      <c r="D378" t="s">
        <v>19</v>
      </c>
      <c r="F378">
        <v>1.3</v>
      </c>
      <c r="J378">
        <f>21+70+28+47+197+212</f>
        <v>575</v>
      </c>
      <c r="K378">
        <v>6</v>
      </c>
      <c r="L378">
        <v>212</v>
      </c>
      <c r="N378" t="str">
        <f>IF(OR(D378="S. acutus", D378="S. tabernaemontani", D378="S. californicus"),(1/3)*(3.14159)*((F378/2)^2)*E378,"NA")</f>
        <v>NA</v>
      </c>
      <c r="O378">
        <f>IF(AND(OR(D378="S. acutus",D378="S. californicus",D378="S. tabernaemontani"),G378=0),E378*[1]Sheet1!$D$7+[1]Sheet1!$L$7,IF(AND(OR(D378="S. acutus",D378="S. tabernaemontani"),G378&gt;0),E378*[1]Sheet1!$D$8+N378*[1]Sheet1!$E$8,IF(AND(D378="S. californicus",G378&gt;0),E378*[1]Sheet1!$D$9+N378*[1]Sheet1!$E$9,IF(D378="S.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latifolia"),E378&gt;0),F378*[1]Sheet1!$C$4+E378*[1]Sheet1!$D$4+H378*[1]Sheet1!$J$4+I378*[1]Sheet1!$K$4+[1]Sheet1!$L$4,IF(AND(OR(D378="T. domingensis",D378="T. latifolia"),J378&gt;0),J378*[1]Sheet1!$G$5+K378*[1]Sheet1!$H$5+L378*[1]Sheet1!$I$5+[1]Sheet1!$L$5,0)))))))</f>
        <v>-19.051949</v>
      </c>
    </row>
    <row r="379" spans="1:15">
      <c r="A379" s="10">
        <v>41767</v>
      </c>
      <c r="B379" s="7" t="s">
        <v>27</v>
      </c>
      <c r="C379">
        <v>32</v>
      </c>
      <c r="D379" t="s">
        <v>19</v>
      </c>
      <c r="F379">
        <v>0.9</v>
      </c>
      <c r="J379">
        <f>62+75+119+136+181+183</f>
        <v>756</v>
      </c>
      <c r="K379">
        <v>6</v>
      </c>
      <c r="L379">
        <v>183</v>
      </c>
      <c r="N379" t="str">
        <f>IF(OR(D379="S. acutus", D379="S. tabernaemontani", D379="S. californicus"),(1/3)*(3.14159)*((F379/2)^2)*E379,"NA")</f>
        <v>NA</v>
      </c>
      <c r="O379">
        <f>IF(AND(OR(D379="S. acutus",D379="S. californicus",D379="S. tabernaemontani"),G379=0),E379*[1]Sheet1!$D$7+[1]Sheet1!$L$7,IF(AND(OR(D379="S. acutus",D379="S. tabernaemontani"),G379&gt;0),E379*[1]Sheet1!$D$8+N379*[1]Sheet1!$E$8,IF(AND(D379="S. californicus",G379&gt;0),E379*[1]Sheet1!$D$9+N379*[1]Sheet1!$E$9,IF(D379="S.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latifolia"),E379&gt;0),F379*[1]Sheet1!$C$4+E379*[1]Sheet1!$D$4+H379*[1]Sheet1!$J$4+I379*[1]Sheet1!$K$4+[1]Sheet1!$L$4,IF(AND(OR(D379="T. domingensis",D379="T. latifolia"),J379&gt;0),J379*[1]Sheet1!$G$5+K379*[1]Sheet1!$H$5+L379*[1]Sheet1!$I$5+[1]Sheet1!$L$5,0)))))))</f>
        <v>6.6538110000000046</v>
      </c>
    </row>
    <row r="380" spans="1:15">
      <c r="A380" s="10">
        <v>41767</v>
      </c>
      <c r="B380" s="7" t="s">
        <v>27</v>
      </c>
      <c r="C380">
        <v>32</v>
      </c>
      <c r="D380" t="s">
        <v>19</v>
      </c>
      <c r="F380">
        <v>0.87</v>
      </c>
      <c r="J380">
        <f>42+61+88+106</f>
        <v>297</v>
      </c>
      <c r="K380">
        <v>4</v>
      </c>
      <c r="L380">
        <v>106</v>
      </c>
      <c r="N380" t="str">
        <f>IF(OR(D380="S. acutus", D380="S. tabernaemontani", D380="S. californicus"),(1/3)*(3.14159)*((F380/2)^2)*E380,"NA")</f>
        <v>NA</v>
      </c>
      <c r="O380">
        <f>IF(AND(OR(D380="S. acutus",D380="S. californicus",D380="S. tabernaemontani"),G380=0),E380*[1]Sheet1!$D$7+[1]Sheet1!$L$7,IF(AND(OR(D380="S. acutus",D380="S. tabernaemontani"),G380&gt;0),E380*[1]Sheet1!$D$8+N380*[1]Sheet1!$E$8,IF(AND(D380="S. californicus",G380&gt;0),E380*[1]Sheet1!$D$9+N380*[1]Sheet1!$E$9,IF(D380="S.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latifolia"),E380&gt;0),F380*[1]Sheet1!$C$4+E380*[1]Sheet1!$D$4+H380*[1]Sheet1!$J$4+I380*[1]Sheet1!$K$4+[1]Sheet1!$L$4,IF(AND(OR(D380="T. domingensis",D380="T. latifolia"),J380&gt;0),J380*[1]Sheet1!$G$5+K380*[1]Sheet1!$H$5+L380*[1]Sheet1!$I$5+[1]Sheet1!$L$5,0)))))))</f>
        <v>0.86083699999999652</v>
      </c>
    </row>
    <row r="381" spans="1:15">
      <c r="A381" s="10">
        <v>41767</v>
      </c>
      <c r="B381" s="7" t="s">
        <v>27</v>
      </c>
      <c r="C381">
        <v>32</v>
      </c>
      <c r="D381" t="s">
        <v>19</v>
      </c>
      <c r="F381">
        <v>1.56</v>
      </c>
      <c r="J381">
        <f>42+72+127+138+194+195</f>
        <v>768</v>
      </c>
      <c r="K381">
        <v>6</v>
      </c>
      <c r="L381">
        <v>195</v>
      </c>
      <c r="N381" t="str">
        <f>IF(OR(D381="S. acutus", D381="S. tabernaemontani", D381="S. californicus"),(1/3)*(3.14159)*((F381/2)^2)*E381,"NA")</f>
        <v>NA</v>
      </c>
      <c r="O381">
        <f>IF(AND(OR(D381="S. acutus",D381="S. californicus",D381="S. tabernaemontani"),G381=0),E381*[1]Sheet1!$D$7+[1]Sheet1!$L$7,IF(AND(OR(D381="S. acutus",D381="S. tabernaemontani"),G381&gt;0),E381*[1]Sheet1!$D$8+N381*[1]Sheet1!$E$8,IF(AND(D381="S. californicus",G381&gt;0),E381*[1]Sheet1!$D$9+N381*[1]Sheet1!$E$9,IF(D381="S.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latifolia"),E381&gt;0),F381*[1]Sheet1!$C$4+E381*[1]Sheet1!$D$4+H381*[1]Sheet1!$J$4+I381*[1]Sheet1!$K$4+[1]Sheet1!$L$4,IF(AND(OR(D381="T. domingensis",D381="T. latifolia"),J381&gt;0),J381*[1]Sheet1!$G$5+K381*[1]Sheet1!$H$5+L381*[1]Sheet1!$I$5+[1]Sheet1!$L$5,0)))))))</f>
        <v>4.1639309999999981</v>
      </c>
    </row>
    <row r="382" spans="1:15">
      <c r="A382" s="10">
        <v>41767</v>
      </c>
      <c r="B382" s="7" t="s">
        <v>27</v>
      </c>
      <c r="C382">
        <v>32</v>
      </c>
      <c r="D382" t="s">
        <v>19</v>
      </c>
      <c r="F382">
        <v>1.1299999999999999</v>
      </c>
      <c r="J382">
        <f>74+99+150+160+203</f>
        <v>686</v>
      </c>
      <c r="K382">
        <v>5</v>
      </c>
      <c r="L382">
        <v>203</v>
      </c>
      <c r="N382" t="str">
        <f>IF(OR(D382="S. acutus", D382="S. tabernaemontani", D382="S. californicus"),(1/3)*(3.14159)*((F382/2)^2)*E382,"NA")</f>
        <v>NA</v>
      </c>
      <c r="O382">
        <f>IF(AND(OR(D382="S. acutus",D382="S. californicus",D382="S. tabernaemontani"),G382=0),E382*[1]Sheet1!$D$7+[1]Sheet1!$L$7,IF(AND(OR(D382="S. acutus",D382="S. tabernaemontani"),G382&gt;0),E382*[1]Sheet1!$D$8+N382*[1]Sheet1!$E$8,IF(AND(D382="S. californicus",G382&gt;0),E382*[1]Sheet1!$D$9+N382*[1]Sheet1!$E$9,IF(D382="S.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latifolia"),E382&gt;0),F382*[1]Sheet1!$C$4+E382*[1]Sheet1!$D$4+H382*[1]Sheet1!$J$4+I382*[1]Sheet1!$K$4+[1]Sheet1!$L$4,IF(AND(OR(D382="T. domingensis",D382="T. latifolia"),J382&gt;0),J382*[1]Sheet1!$G$5+K382*[1]Sheet1!$H$5+L382*[1]Sheet1!$I$5+[1]Sheet1!$L$5,0)))))))</f>
        <v>1.0884140000000073</v>
      </c>
    </row>
    <row r="383" spans="1:15">
      <c r="A383" s="10">
        <v>41767</v>
      </c>
      <c r="B383" s="7" t="s">
        <v>27</v>
      </c>
      <c r="C383">
        <v>50</v>
      </c>
      <c r="D383" t="s">
        <v>19</v>
      </c>
      <c r="F383">
        <v>2.56</v>
      </c>
      <c r="J383">
        <f>73+75+109+107+133+142+155+161</f>
        <v>955</v>
      </c>
      <c r="K383">
        <v>8</v>
      </c>
      <c r="L383">
        <v>161</v>
      </c>
      <c r="N383" t="str">
        <f>IF(OR(D383="S. acutus", D383="S. tabernaemontani", D383="S. californicus"),(1/3)*(3.14159)*((F383/2)^2)*E383,"NA")</f>
        <v>NA</v>
      </c>
      <c r="O383">
        <f>IF(AND(OR(D383="S. acutus",D383="S. californicus",D383="S. tabernaemontani"),G383=0),E383*[1]Sheet1!$D$7+[1]Sheet1!$L$7,IF(AND(OR(D383="S. acutus",D383="S. tabernaemontani"),G383&gt;0),E383*[1]Sheet1!$D$8+N383*[1]Sheet1!$E$8,IF(AND(D383="S. californicus",G383&gt;0),E383*[1]Sheet1!$D$9+N383*[1]Sheet1!$E$9,IF(D383="S.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latifolia"),E383&gt;0),F383*[1]Sheet1!$C$4+E383*[1]Sheet1!$D$4+H383*[1]Sheet1!$J$4+I383*[1]Sheet1!$K$4+[1]Sheet1!$L$4,IF(AND(OR(D383="T. domingensis",D383="T. latifolia"),J383&gt;0),J383*[1]Sheet1!$G$5+K383*[1]Sheet1!$H$5+L383*[1]Sheet1!$I$5+[1]Sheet1!$L$5,0)))))))</f>
        <v>17.893740000000008</v>
      </c>
    </row>
    <row r="384" spans="1:15">
      <c r="A384" s="10">
        <v>41767</v>
      </c>
      <c r="B384" s="7" t="s">
        <v>27</v>
      </c>
      <c r="C384">
        <v>50</v>
      </c>
      <c r="D384" t="s">
        <v>19</v>
      </c>
      <c r="F384">
        <v>1.64</v>
      </c>
      <c r="J384">
        <f>86+90+122+124+140+48</f>
        <v>610</v>
      </c>
      <c r="K384">
        <v>6</v>
      </c>
      <c r="L384">
        <v>140</v>
      </c>
      <c r="N384" t="str">
        <f>IF(OR(D384="S. acutus", D384="S. tabernaemontani", D384="S. californicus"),(1/3)*(3.14159)*((F384/2)^2)*E384,"NA")</f>
        <v>NA</v>
      </c>
      <c r="O384">
        <f>IF(AND(OR(D384="S. acutus",D384="S. californicus",D384="S. tabernaemontani"),G384=0),E384*[1]Sheet1!$D$7+[1]Sheet1!$L$7,IF(AND(OR(D384="S. acutus",D384="S. tabernaemontani"),G384&gt;0),E384*[1]Sheet1!$D$8+N384*[1]Sheet1!$E$8,IF(AND(D384="S. californicus",G384&gt;0),E384*[1]Sheet1!$D$9+N384*[1]Sheet1!$E$9,IF(D384="S.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latifolia"),E384&gt;0),F384*[1]Sheet1!$C$4+E384*[1]Sheet1!$D$4+H384*[1]Sheet1!$J$4+I384*[1]Sheet1!$K$4+[1]Sheet1!$L$4,IF(AND(OR(D384="T. domingensis",D384="T. latifolia"),J384&gt;0),J384*[1]Sheet1!$G$5+K384*[1]Sheet1!$H$5+L384*[1]Sheet1!$I$5+[1]Sheet1!$L$5,0)))))))</f>
        <v>5.9191160000000025</v>
      </c>
    </row>
    <row r="385" spans="1:15">
      <c r="A385" s="10">
        <v>41767</v>
      </c>
      <c r="B385" s="7" t="s">
        <v>27</v>
      </c>
      <c r="C385">
        <v>50</v>
      </c>
      <c r="D385" t="s">
        <v>19</v>
      </c>
      <c r="F385">
        <v>2.4</v>
      </c>
      <c r="J385">
        <f>50+90+100+127+130+147+157</f>
        <v>801</v>
      </c>
      <c r="K385">
        <v>7</v>
      </c>
      <c r="L385">
        <v>157</v>
      </c>
      <c r="N385" t="str">
        <f>IF(OR(D385="S. acutus", D385="S. tabernaemontani", D385="S. californicus"),(1/3)*(3.14159)*((F385/2)^2)*E385,"NA")</f>
        <v>NA</v>
      </c>
      <c r="O385">
        <f>IF(AND(OR(D385="S. acutus",D385="S. californicus",D385="S. tabernaemontani"),G385=0),E385*[1]Sheet1!$D$7+[1]Sheet1!$L$7,IF(AND(OR(D385="S. acutus",D385="S. tabernaemontani"),G385&gt;0),E385*[1]Sheet1!$D$8+N385*[1]Sheet1!$E$8,IF(AND(D385="S. californicus",G385&gt;0),E385*[1]Sheet1!$D$9+N385*[1]Sheet1!$E$9,IF(D385="S.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latifolia"),E385&gt;0),F385*[1]Sheet1!$C$4+E385*[1]Sheet1!$D$4+H385*[1]Sheet1!$J$4+I385*[1]Sheet1!$K$4+[1]Sheet1!$L$4,IF(AND(OR(D385="T. domingensis",D385="T. latifolia"),J385&gt;0),J385*[1]Sheet1!$G$5+K385*[1]Sheet1!$H$5+L385*[1]Sheet1!$I$5+[1]Sheet1!$L$5,0)))))))</f>
        <v>11.682803000000007</v>
      </c>
    </row>
    <row r="386" spans="1:15">
      <c r="A386" s="10">
        <v>41767</v>
      </c>
      <c r="B386" s="7" t="s">
        <v>27</v>
      </c>
      <c r="C386">
        <v>50</v>
      </c>
      <c r="D386" t="s">
        <v>19</v>
      </c>
      <c r="F386">
        <v>4.43</v>
      </c>
      <c r="J386">
        <f>90+124+130+143+163+164+181+186+198+203</f>
        <v>1582</v>
      </c>
      <c r="K386">
        <v>10</v>
      </c>
      <c r="L386">
        <v>203</v>
      </c>
      <c r="N386" t="str">
        <f>IF(OR(D386="S. acutus", D386="S. tabernaemontani", D386="S. californicus"),(1/3)*(3.14159)*((F386/2)^2)*E386,"NA")</f>
        <v>NA</v>
      </c>
      <c r="O386">
        <f>IF(AND(OR(D386="S. acutus",D386="S. californicus",D386="S. tabernaemontani"),G386=0),E386*[1]Sheet1!$D$7+[1]Sheet1!$L$7,IF(AND(OR(D386="S. acutus",D386="S. tabernaemontani"),G386&gt;0),E386*[1]Sheet1!$D$8+N386*[1]Sheet1!$E$8,IF(AND(D386="S. californicus",G386&gt;0),E386*[1]Sheet1!$D$9+N386*[1]Sheet1!$E$9,IF(D386="S.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latifolia"),E386&gt;0),F386*[1]Sheet1!$C$4+E386*[1]Sheet1!$D$4+H386*[1]Sheet1!$J$4+I386*[1]Sheet1!$K$4+[1]Sheet1!$L$4,IF(AND(OR(D386="T. domingensis",D386="T. latifolia"),J386&gt;0),J386*[1]Sheet1!$G$5+K386*[1]Sheet1!$H$5+L386*[1]Sheet1!$I$5+[1]Sheet1!$L$5,0)))))))</f>
        <v>49.98112900000001</v>
      </c>
    </row>
    <row r="387" spans="1:15">
      <c r="A387" s="10">
        <v>41767</v>
      </c>
      <c r="B387" s="7" t="s">
        <v>27</v>
      </c>
      <c r="C387">
        <v>50</v>
      </c>
      <c r="D387" t="s">
        <v>19</v>
      </c>
      <c r="F387">
        <v>4.01</v>
      </c>
      <c r="J387">
        <f>93+130+135+162+173+188+200+204</f>
        <v>1285</v>
      </c>
      <c r="K387">
        <v>8</v>
      </c>
      <c r="L387">
        <v>204</v>
      </c>
      <c r="N387" t="str">
        <f>IF(OR(D387="S. acutus", D387="S. tabernaemontani", D387="S. californicus"),(1/3)*(3.14159)*((F387/2)^2)*E387,"NA")</f>
        <v>NA</v>
      </c>
      <c r="O387">
        <f>IF(AND(OR(D387="S. acutus",D387="S. californicus",D387="S. tabernaemontani"),G387=0),E387*[1]Sheet1!$D$7+[1]Sheet1!$L$7,IF(AND(OR(D387="S. acutus",D387="S. tabernaemontani"),G387&gt;0),E387*[1]Sheet1!$D$8+N387*[1]Sheet1!$E$8,IF(AND(D387="S. californicus",G387&gt;0),E387*[1]Sheet1!$D$9+N387*[1]Sheet1!$E$9,IF(D387="S.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latifolia"),E387&gt;0),F387*[1]Sheet1!$C$4+E387*[1]Sheet1!$D$4+H387*[1]Sheet1!$J$4+I387*[1]Sheet1!$K$4+[1]Sheet1!$L$4,IF(AND(OR(D387="T. domingensis",D387="T. latifolia"),J387&gt;0),J387*[1]Sheet1!$G$5+K387*[1]Sheet1!$H$5+L387*[1]Sheet1!$I$5+[1]Sheet1!$L$5,0)))))))</f>
        <v>35.879355000000018</v>
      </c>
    </row>
    <row r="388" spans="1:15">
      <c r="A388" s="10">
        <v>41767</v>
      </c>
      <c r="B388" s="7" t="s">
        <v>27</v>
      </c>
      <c r="C388">
        <v>50</v>
      </c>
      <c r="D388" t="s">
        <v>19</v>
      </c>
      <c r="F388">
        <v>2.6</v>
      </c>
      <c r="J388">
        <f>28+75+87+103+123+129+151+153</f>
        <v>849</v>
      </c>
      <c r="K388">
        <v>8</v>
      </c>
      <c r="L388">
        <v>153</v>
      </c>
      <c r="N388" t="str">
        <f>IF(OR(D388="S. acutus", D388="S. tabernaemontani", D388="S. californicus"),(1/3)*(3.14159)*((F388/2)^2)*E388,"NA")</f>
        <v>NA</v>
      </c>
      <c r="O388">
        <f>IF(AND(OR(D388="S. acutus",D388="S. californicus",D388="S. tabernaemontani"),G388=0),E388*[1]Sheet1!$D$7+[1]Sheet1!$L$7,IF(AND(OR(D388="S. acutus",D388="S. tabernaemontani"),G388&gt;0),E388*[1]Sheet1!$D$8+N388*[1]Sheet1!$E$8,IF(AND(D388="S. californicus",G388&gt;0),E388*[1]Sheet1!$D$9+N388*[1]Sheet1!$E$9,IF(D388="S.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latifolia"),E388&gt;0),F388*[1]Sheet1!$C$4+E388*[1]Sheet1!$D$4+H388*[1]Sheet1!$J$4+I388*[1]Sheet1!$K$4+[1]Sheet1!$L$4,IF(AND(OR(D388="T. domingensis",D388="T. latifolia"),J388&gt;0),J388*[1]Sheet1!$G$5+K388*[1]Sheet1!$H$5+L388*[1]Sheet1!$I$5+[1]Sheet1!$L$5,0)))))))</f>
        <v>10.365669999999994</v>
      </c>
    </row>
    <row r="389" spans="1:15">
      <c r="A389" s="6">
        <v>41774</v>
      </c>
      <c r="B389" s="7" t="s">
        <v>32</v>
      </c>
      <c r="C389">
        <v>3</v>
      </c>
      <c r="D389" t="s">
        <v>20</v>
      </c>
      <c r="E389">
        <v>98</v>
      </c>
      <c r="F389">
        <v>1.1100000000000001</v>
      </c>
      <c r="G389">
        <v>6</v>
      </c>
      <c r="N389">
        <f>IF(OR(D389="S. acutus", D389="S. tabernaemontani", D389="S. californicus"),(1/3)*(3.14159)*((F389/2)^2)*E389,"NA")</f>
        <v>31.611149818499999</v>
      </c>
      <c r="O389">
        <f>IF(AND(OR(D389="S. acutus",D389="S. californicus",D389="S. tabernaemontani"),G389=0),E389*[1]Sheet1!$D$7+[1]Sheet1!$L$7,IF(AND(OR(D389="S. acutus",D389="S. tabernaemontani"),G389&gt;0),E389*[1]Sheet1!$D$8+N389*[1]Sheet1!$E$8,IF(AND(D389="S. californicus",G389&gt;0),E389*[1]Sheet1!$D$9+N389*[1]Sheet1!$E$9,IF(D389="S.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latifolia"),E389&gt;0),F389*[1]Sheet1!$C$4+E389*[1]Sheet1!$D$4+H389*[1]Sheet1!$J$4+I389*[1]Sheet1!$K$4+[1]Sheet1!$L$4,IF(AND(OR(D389="T. domingensis",D389="T. latifolia"),J389&gt;0),J389*[1]Sheet1!$G$5+K389*[1]Sheet1!$H$5+L389*[1]Sheet1!$I$5+[1]Sheet1!$L$5,0)))))))</f>
        <v>4.7916032741905363</v>
      </c>
    </row>
    <row r="390" spans="1:15">
      <c r="A390" s="6">
        <v>41774</v>
      </c>
      <c r="B390" s="7" t="s">
        <v>32</v>
      </c>
      <c r="C390">
        <v>3</v>
      </c>
      <c r="D390" t="s">
        <v>20</v>
      </c>
      <c r="E390">
        <v>90</v>
      </c>
      <c r="F390">
        <v>2.2999999999999998</v>
      </c>
      <c r="N390">
        <f>IF(OR(D390="S. acutus", D390="S. tabernaemontani", D390="S. californicus"),(1/3)*(3.14159)*((F390/2)^2)*E390,"NA")</f>
        <v>124.64258324999996</v>
      </c>
      <c r="O390">
        <f>IF(AND(OR(D390="S. acutus",D390="S. californicus",D390="S. tabernaemontani"),G390=0),E390*[1]Sheet1!$D$7+[1]Sheet1!$L$7,IF(AND(OR(D390="S. acutus",D390="S. tabernaemontani"),G390&gt;0),E390*[1]Sheet1!$D$8+N390*[1]Sheet1!$E$8,IF(AND(D390="S. californicus",G390&gt;0),E390*[1]Sheet1!$D$9+N390*[1]Sheet1!$E$9,IF(D390="S.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latifolia"),E390&gt;0),F390*[1]Sheet1!$C$4+E390*[1]Sheet1!$D$4+H390*[1]Sheet1!$J$4+I390*[1]Sheet1!$K$4+[1]Sheet1!$L$4,IF(AND(OR(D390="T. domingensis",D390="T. latifolia"),J390&gt;0),J390*[1]Sheet1!$G$5+K390*[1]Sheet1!$H$5+L390*[1]Sheet1!$I$5+[1]Sheet1!$L$5,0)))))))</f>
        <v>1.7188530000000002</v>
      </c>
    </row>
    <row r="391" spans="1:15">
      <c r="A391" s="6">
        <v>41774</v>
      </c>
      <c r="B391" s="7" t="s">
        <v>32</v>
      </c>
      <c r="C391">
        <v>3</v>
      </c>
      <c r="D391" t="s">
        <v>20</v>
      </c>
      <c r="E391">
        <v>62</v>
      </c>
      <c r="F391">
        <v>1.1000000000000001</v>
      </c>
      <c r="N391">
        <f>IF(OR(D391="S. acutus", D391="S. tabernaemontani", D391="S. californicus"),(1/3)*(3.14159)*((F391/2)^2)*E391,"NA")</f>
        <v>19.640173483333335</v>
      </c>
      <c r="O391">
        <f>IF(AND(OR(D391="S. acutus",D391="S. californicus",D391="S. tabernaemontani"),G391=0),E391*[1]Sheet1!$D$7+[1]Sheet1!$L$7,IF(AND(OR(D391="S. acutus",D391="S. tabernaemontani"),G391&gt;0),E391*[1]Sheet1!$D$8+N391*[1]Sheet1!$E$8,IF(AND(D391="S. californicus",G391&gt;0),E391*[1]Sheet1!$D$9+N391*[1]Sheet1!$E$9,IF(D391="S.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latifolia"),E391&gt;0),F391*[1]Sheet1!$C$4+E391*[1]Sheet1!$D$4+H391*[1]Sheet1!$J$4+I391*[1]Sheet1!$K$4+[1]Sheet1!$L$4,IF(AND(OR(D391="T. domingensis",D391="T. latifolia"),J391&gt;0),J391*[1]Sheet1!$G$5+K391*[1]Sheet1!$H$5+L391*[1]Sheet1!$I$5+[1]Sheet1!$L$5,0)))))))</f>
        <v>-0.2440869999999995</v>
      </c>
    </row>
    <row r="392" spans="1:15">
      <c r="A392" s="6">
        <v>41774</v>
      </c>
      <c r="B392" s="7" t="s">
        <v>32</v>
      </c>
      <c r="C392">
        <v>3</v>
      </c>
      <c r="D392" t="s">
        <v>20</v>
      </c>
      <c r="E392">
        <v>205</v>
      </c>
      <c r="F392">
        <v>1.3</v>
      </c>
      <c r="G392">
        <v>5</v>
      </c>
      <c r="N392">
        <f>IF(OR(D392="S. acutus", D392="S. tabernaemontani", D392="S. californicus"),(1/3)*(3.14159)*((F392/2)^2)*E392,"NA")</f>
        <v>90.700321291666668</v>
      </c>
      <c r="O392">
        <f>IF(AND(OR(D392="S. acutus",D392="S. californicus",D392="S. tabernaemontani"),G392=0),E392*[1]Sheet1!$D$7+[1]Sheet1!$L$7,IF(AND(OR(D392="S. acutus",D392="S. tabernaemontani"),G392&gt;0),E392*[1]Sheet1!$D$8+N392*[1]Sheet1!$E$8,IF(AND(D392="S. californicus",G392&gt;0),E392*[1]Sheet1!$D$9+N392*[1]Sheet1!$E$9,IF(D392="S.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latifolia"),E392&gt;0),F392*[1]Sheet1!$C$4+E392*[1]Sheet1!$D$4+H392*[1]Sheet1!$J$4+I392*[1]Sheet1!$K$4+[1]Sheet1!$L$4,IF(AND(OR(D392="T. domingensis",D392="T. latifolia"),J392&gt;0),J392*[1]Sheet1!$G$5+K392*[1]Sheet1!$H$5+L392*[1]Sheet1!$I$5+[1]Sheet1!$L$5,0)))))))</f>
        <v>10.814587475880829</v>
      </c>
    </row>
    <row r="393" spans="1:15">
      <c r="A393" s="6">
        <v>41774</v>
      </c>
      <c r="B393" s="7" t="s">
        <v>32</v>
      </c>
      <c r="C393">
        <v>3</v>
      </c>
      <c r="D393" t="s">
        <v>20</v>
      </c>
      <c r="E393">
        <v>32</v>
      </c>
      <c r="F393">
        <v>1.04</v>
      </c>
      <c r="N393">
        <f>IF(OR(D393="S. acutus", D393="S. tabernaemontani", D393="S. californicus"),(1/3)*(3.14159)*((F393/2)^2)*E393,"NA")</f>
        <v>9.0611833173333327</v>
      </c>
      <c r="O393">
        <f>IF(AND(OR(D393="S. acutus",D393="S. californicus",D393="S. tabernaemontani"),G393=0),E393*[1]Sheet1!$D$7+[1]Sheet1!$L$7,IF(AND(OR(D393="S. acutus",D393="S. tabernaemontani"),G393&gt;0),E393*[1]Sheet1!$D$8+N393*[1]Sheet1!$E$8,IF(AND(D393="S. californicus",G393&gt;0),E393*[1]Sheet1!$D$9+N393*[1]Sheet1!$E$9,IF(D393="S.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latifolia"),E393&gt;0),F393*[1]Sheet1!$C$4+E393*[1]Sheet1!$D$4+H393*[1]Sheet1!$J$4+I393*[1]Sheet1!$K$4+[1]Sheet1!$L$4,IF(AND(OR(D393="T. domingensis",D393="T. latifolia"),J393&gt;0),J393*[1]Sheet1!$G$5+K393*[1]Sheet1!$H$5+L393*[1]Sheet1!$I$5+[1]Sheet1!$L$5,0)))))))</f>
        <v>-2.3472369999999998</v>
      </c>
    </row>
    <row r="394" spans="1:15">
      <c r="A394" s="6">
        <v>41774</v>
      </c>
      <c r="B394" s="7" t="s">
        <v>32</v>
      </c>
      <c r="C394">
        <v>3</v>
      </c>
      <c r="D394" t="s">
        <v>20</v>
      </c>
      <c r="E394">
        <v>211</v>
      </c>
      <c r="F394">
        <v>2.06</v>
      </c>
      <c r="G394">
        <v>17</v>
      </c>
      <c r="N394">
        <f>IF(OR(D394="S. acutus", D394="S. tabernaemontani", D394="S. californicus"),(1/3)*(3.14159)*((F394/2)^2)*E394,"NA")</f>
        <v>234.41486911366664</v>
      </c>
      <c r="O394">
        <f>IF(AND(OR(D394="S. acutus",D394="S. californicus",D394="S. tabernaemontani"),G394=0),E394*[1]Sheet1!$D$7+[1]Sheet1!$L$7,IF(AND(OR(D394="S. acutus",D394="S. tabernaemontani"),G394&gt;0),E394*[1]Sheet1!$D$8+N394*[1]Sheet1!$E$8,IF(AND(D394="S. californicus",G394&gt;0),E394*[1]Sheet1!$D$9+N394*[1]Sheet1!$E$9,IF(D394="S.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latifolia"),E394&gt;0),F394*[1]Sheet1!$C$4+E394*[1]Sheet1!$D$4+H394*[1]Sheet1!$J$4+I394*[1]Sheet1!$K$4+[1]Sheet1!$L$4,IF(AND(OR(D394="T. domingensis",D394="T. latifolia"),J394&gt;0),J394*[1]Sheet1!$G$5+K394*[1]Sheet1!$H$5+L394*[1]Sheet1!$I$5+[1]Sheet1!$L$5,0)))))))</f>
        <v>15.673367858842269</v>
      </c>
    </row>
    <row r="395" spans="1:15">
      <c r="A395" s="6">
        <v>41774</v>
      </c>
      <c r="B395" s="7" t="s">
        <v>32</v>
      </c>
      <c r="C395">
        <v>3</v>
      </c>
      <c r="D395" t="s">
        <v>20</v>
      </c>
      <c r="E395">
        <v>162</v>
      </c>
      <c r="F395">
        <v>0.76</v>
      </c>
      <c r="N395">
        <f>IF(OR(D395="S. acutus", D395="S. tabernaemontani", D395="S. californicus"),(1/3)*(3.14159)*((F395/2)^2)*E395,"NA")</f>
        <v>24.496862183999998</v>
      </c>
      <c r="O395">
        <f>IF(AND(OR(D395="S. acutus",D395="S. californicus",D395="S. tabernaemontani"),G395=0),E395*[1]Sheet1!$D$7+[1]Sheet1!$L$7,IF(AND(OR(D395="S. acutus",D395="S. tabernaemontani"),G395&gt;0),E395*[1]Sheet1!$D$8+N395*[1]Sheet1!$E$8,IF(AND(D395="S. californicus",G395&gt;0),E395*[1]Sheet1!$D$9+N395*[1]Sheet1!$E$9,IF(D395="S.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latifolia"),E395&gt;0),F395*[1]Sheet1!$C$4+E395*[1]Sheet1!$D$4+H395*[1]Sheet1!$J$4+I395*[1]Sheet1!$K$4+[1]Sheet1!$L$4,IF(AND(OR(D395="T. domingensis",D395="T. latifolia"),J395&gt;0),J395*[1]Sheet1!$G$5+K395*[1]Sheet1!$H$5+L395*[1]Sheet1!$I$5+[1]Sheet1!$L$5,0)))))))</f>
        <v>6.7664130000000009</v>
      </c>
    </row>
    <row r="396" spans="1:15">
      <c r="A396" s="6">
        <v>41774</v>
      </c>
      <c r="B396" s="7" t="s">
        <v>32</v>
      </c>
      <c r="C396">
        <v>3</v>
      </c>
      <c r="D396" t="s">
        <v>20</v>
      </c>
      <c r="E396">
        <v>24</v>
      </c>
      <c r="F396">
        <v>1.97</v>
      </c>
      <c r="N396">
        <f>IF(OR(D396="S. acutus", D396="S. tabernaemontani", D396="S. californicus"),(1/3)*(3.14159)*((F396/2)^2)*E396,"NA")</f>
        <v>24.384393262</v>
      </c>
      <c r="O396">
        <f>IF(AND(OR(D396="S. acutus",D396="S. californicus",D396="S. tabernaemontani"),G396=0),E396*[1]Sheet1!$D$7+[1]Sheet1!$L$7,IF(AND(OR(D396="S. acutus",D396="S. tabernaemontani"),G396&gt;0),E396*[1]Sheet1!$D$8+N396*[1]Sheet1!$E$8,IF(AND(D396="S. californicus",G396&gt;0),E396*[1]Sheet1!$D$9+N396*[1]Sheet1!$E$9,IF(D396="S.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latifolia"),E396&gt;0),F396*[1]Sheet1!$C$4+E396*[1]Sheet1!$D$4+H396*[1]Sheet1!$J$4+I396*[1]Sheet1!$K$4+[1]Sheet1!$L$4,IF(AND(OR(D396="T. domingensis",D396="T. latifolia"),J396&gt;0),J396*[1]Sheet1!$G$5+K396*[1]Sheet1!$H$5+L396*[1]Sheet1!$I$5+[1]Sheet1!$L$5,0)))))))</f>
        <v>-2.9080769999999996</v>
      </c>
    </row>
    <row r="397" spans="1:15">
      <c r="A397" s="6">
        <v>41774</v>
      </c>
      <c r="B397" s="7" t="s">
        <v>32</v>
      </c>
      <c r="C397">
        <v>3</v>
      </c>
      <c r="D397" t="s">
        <v>20</v>
      </c>
      <c r="E397">
        <v>207</v>
      </c>
      <c r="F397">
        <v>1.79</v>
      </c>
      <c r="G397">
        <v>6</v>
      </c>
      <c r="N397">
        <f>IF(OR(D397="S. acutus", D397="S. tabernaemontani", D397="S. californicus"),(1/3)*(3.14159)*((F397/2)^2)*E397,"NA")</f>
        <v>173.63795695274996</v>
      </c>
      <c r="O397">
        <f>IF(AND(OR(D397="S. acutus",D397="S. californicus",D397="S. tabernaemontani"),G397=0),E397*[1]Sheet1!$D$7+[1]Sheet1!$L$7,IF(AND(OR(D397="S. acutus",D397="S. tabernaemontani"),G397&gt;0),E397*[1]Sheet1!$D$8+N397*[1]Sheet1!$E$8,IF(AND(D397="S. californicus",G397&gt;0),E397*[1]Sheet1!$D$9+N397*[1]Sheet1!$E$9,IF(D397="S.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latifolia"),E397&gt;0),F397*[1]Sheet1!$C$4+E397*[1]Sheet1!$D$4+H397*[1]Sheet1!$J$4+I397*[1]Sheet1!$K$4+[1]Sheet1!$L$4,IF(AND(OR(D397="T. domingensis",D397="T. latifolia"),J397&gt;0),J397*[1]Sheet1!$G$5+K397*[1]Sheet1!$H$5+L397*[1]Sheet1!$I$5+[1]Sheet1!$L$5,0)))))))</f>
        <v>13.562268188039805</v>
      </c>
    </row>
    <row r="398" spans="1:15">
      <c r="A398" s="6">
        <v>41774</v>
      </c>
      <c r="B398" s="7" t="s">
        <v>32</v>
      </c>
      <c r="C398">
        <v>3</v>
      </c>
      <c r="D398" t="s">
        <v>20</v>
      </c>
      <c r="E398">
        <v>220</v>
      </c>
      <c r="F398">
        <v>2.4900000000000002</v>
      </c>
      <c r="N398">
        <f>IF(OR(D398="S. acutus", D398="S. tabernaemontani", D398="S. californicus"),(1/3)*(3.14159)*((F398/2)^2)*E398,"NA")</f>
        <v>357.099822915</v>
      </c>
      <c r="O398">
        <f>IF(AND(OR(D398="S. acutus",D398="S. californicus",D398="S. tabernaemontani"),G398=0),E398*[1]Sheet1!$D$7+[1]Sheet1!$L$7,IF(AND(OR(D398="S. acutus",D398="S. tabernaemontani"),G398&gt;0),E398*[1]Sheet1!$D$8+N398*[1]Sheet1!$E$8,IF(AND(D398="S. californicus",G398&gt;0),E398*[1]Sheet1!$D$9+N398*[1]Sheet1!$E$9,IF(D398="S.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latifolia"),E398&gt;0),F398*[1]Sheet1!$C$4+E398*[1]Sheet1!$D$4+H398*[1]Sheet1!$J$4+I398*[1]Sheet1!$K$4+[1]Sheet1!$L$4,IF(AND(OR(D398="T. domingensis",D398="T. latifolia"),J398&gt;0),J398*[1]Sheet1!$G$5+K398*[1]Sheet1!$H$5+L398*[1]Sheet1!$I$5+[1]Sheet1!$L$5,0)))))))</f>
        <v>10.832502999999999</v>
      </c>
    </row>
    <row r="399" spans="1:15">
      <c r="A399" s="6">
        <v>41774</v>
      </c>
      <c r="B399" s="7" t="s">
        <v>32</v>
      </c>
      <c r="C399">
        <v>3</v>
      </c>
      <c r="D399" t="s">
        <v>20</v>
      </c>
      <c r="E399">
        <v>96</v>
      </c>
      <c r="F399">
        <v>1.82</v>
      </c>
      <c r="N399">
        <f>IF(OR(D399="S. acutus", D399="S. tabernaemontani", D399="S. californicus"),(1/3)*(3.14159)*((F399/2)^2)*E399,"NA")</f>
        <v>83.249621727999994</v>
      </c>
      <c r="O399">
        <f>IF(AND(OR(D399="S. acutus",D399="S. californicus",D399="S. tabernaemontani"),G399=0),E399*[1]Sheet1!$D$7+[1]Sheet1!$L$7,IF(AND(OR(D399="S. acutus",D399="S. tabernaemontani"),G399&gt;0),E399*[1]Sheet1!$D$8+N399*[1]Sheet1!$E$8,IF(AND(D399="S. californicus",G399&gt;0),E399*[1]Sheet1!$D$9+N399*[1]Sheet1!$E$9,IF(D399="S.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latifolia"),E399&gt;0),F399*[1]Sheet1!$C$4+E399*[1]Sheet1!$D$4+H399*[1]Sheet1!$J$4+I399*[1]Sheet1!$K$4+[1]Sheet1!$L$4,IF(AND(OR(D399="T. domingensis",D399="T. latifolia"),J399&gt;0),J399*[1]Sheet1!$G$5+K399*[1]Sheet1!$H$5+L399*[1]Sheet1!$I$5+[1]Sheet1!$L$5,0)))))))</f>
        <v>2.1394830000000002</v>
      </c>
    </row>
    <row r="400" spans="1:15">
      <c r="A400" s="6">
        <v>41774</v>
      </c>
      <c r="B400" s="7" t="s">
        <v>32</v>
      </c>
      <c r="C400">
        <v>3</v>
      </c>
      <c r="D400" t="s">
        <v>20</v>
      </c>
      <c r="E400">
        <v>170</v>
      </c>
      <c r="F400">
        <v>2.35</v>
      </c>
      <c r="N400">
        <f>IF(OR(D400="S. acutus", D400="S. tabernaemontani", D400="S. californicus"),(1/3)*(3.14159)*((F400/2)^2)*E400,"NA")</f>
        <v>245.78360264583333</v>
      </c>
      <c r="O400">
        <f>IF(AND(OR(D400="S. acutus",D400="S. californicus",D400="S. tabernaemontani"),G400=0),E400*[1]Sheet1!$D$7+[1]Sheet1!$L$7,IF(AND(OR(D400="S. acutus",D400="S. tabernaemontani"),G400&gt;0),E400*[1]Sheet1!$D$8+N400*[1]Sheet1!$E$8,IF(AND(D400="S. californicus",G400&gt;0),E400*[1]Sheet1!$D$9+N400*[1]Sheet1!$E$9,IF(D400="S.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latifolia"),E400&gt;0),F400*[1]Sheet1!$C$4+E400*[1]Sheet1!$D$4+H400*[1]Sheet1!$J$4+I400*[1]Sheet1!$K$4+[1]Sheet1!$L$4,IF(AND(OR(D400="T. domingensis",D400="T. latifolia"),J400&gt;0),J400*[1]Sheet1!$G$5+K400*[1]Sheet1!$H$5+L400*[1]Sheet1!$I$5+[1]Sheet1!$L$5,0)))))))</f>
        <v>7.3272529999999998</v>
      </c>
    </row>
    <row r="401" spans="1:15">
      <c r="A401" s="6">
        <v>41774</v>
      </c>
      <c r="B401" s="7" t="s">
        <v>32</v>
      </c>
      <c r="C401">
        <v>3</v>
      </c>
      <c r="D401" t="s">
        <v>25</v>
      </c>
      <c r="E401">
        <v>139</v>
      </c>
      <c r="F401">
        <v>1.55</v>
      </c>
      <c r="N401">
        <f>IF(OR(D401="S. acutus", D401="S. tabernaemontani", D401="S. californicus"),(1/3)*(3.14159)*((F401/2)^2)*E401,"NA")</f>
        <v>87.427177210416659</v>
      </c>
      <c r="O401">
        <f>IF(AND(OR(D401="S. acutus",D401="S. californicus",D401="S. tabernaemontani"),G401=0),E401*[1]Sheet1!$D$7+[1]Sheet1!$L$7,IF(AND(OR(D401="S. acutus",D401="S. tabernaemontani"),G401&gt;0),E401*[1]Sheet1!$D$8+N401*[1]Sheet1!$E$8,IF(AND(D401="S. californicus",G401&gt;0),E401*[1]Sheet1!$D$9+N401*[1]Sheet1!$E$9,IF(D401="S.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latifolia"),E401&gt;0),F401*[1]Sheet1!$C$4+E401*[1]Sheet1!$D$4+H401*[1]Sheet1!$J$4+I401*[1]Sheet1!$K$4+[1]Sheet1!$L$4,IF(AND(OR(D401="T. domingensis",D401="T. latifolia"),J401&gt;0),J401*[1]Sheet1!$G$5+K401*[1]Sheet1!$H$5+L401*[1]Sheet1!$I$5+[1]Sheet1!$L$5,0)))))))</f>
        <v>5.1539980000000005</v>
      </c>
    </row>
    <row r="402" spans="1:15">
      <c r="A402" s="6">
        <v>41774</v>
      </c>
      <c r="B402" s="7" t="s">
        <v>32</v>
      </c>
      <c r="C402">
        <v>3</v>
      </c>
      <c r="D402" t="s">
        <v>25</v>
      </c>
      <c r="E402">
        <v>215</v>
      </c>
      <c r="F402">
        <v>1.97</v>
      </c>
      <c r="N402">
        <f>IF(OR(D402="S. acutus", D402="S. tabernaemontani", D402="S. californicus"),(1/3)*(3.14159)*((F402/2)^2)*E402,"NA")</f>
        <v>218.44352297208334</v>
      </c>
      <c r="O402">
        <f>IF(AND(OR(D402="S. acutus",D402="S. californicus",D402="S. tabernaemontani"),G402=0),E402*[1]Sheet1!$D$7+[1]Sheet1!$L$7,IF(AND(OR(D402="S. acutus",D402="S. tabernaemontani"),G402&gt;0),E402*[1]Sheet1!$D$8+N402*[1]Sheet1!$E$8,IF(AND(D402="S. californicus",G402&gt;0),E402*[1]Sheet1!$D$9+N402*[1]Sheet1!$E$9,IF(D402="S.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latifolia"),E402&gt;0),F402*[1]Sheet1!$C$4+E402*[1]Sheet1!$D$4+H402*[1]Sheet1!$J$4+I402*[1]Sheet1!$K$4+[1]Sheet1!$L$4,IF(AND(OR(D402="T. domingensis",D402="T. latifolia"),J402&gt;0),J402*[1]Sheet1!$G$5+K402*[1]Sheet1!$H$5+L402*[1]Sheet1!$I$5+[1]Sheet1!$L$5,0)))))))</f>
        <v>10.481978000000002</v>
      </c>
    </row>
    <row r="403" spans="1:15">
      <c r="A403" s="6">
        <v>41774</v>
      </c>
      <c r="B403" s="7" t="s">
        <v>32</v>
      </c>
      <c r="C403">
        <v>3</v>
      </c>
      <c r="D403" t="s">
        <v>25</v>
      </c>
      <c r="E403">
        <v>263</v>
      </c>
      <c r="F403">
        <v>2.64</v>
      </c>
      <c r="G403">
        <v>5</v>
      </c>
      <c r="N403">
        <f>IF(OR(D403="S. acutus", D403="S. tabernaemontani", D403="S. californicus"),(1/3)*(3.14159)*((F403/2)^2)*E403,"NA")</f>
        <v>479.87912913600002</v>
      </c>
      <c r="O403">
        <f>IF(AND(OR(D403="S. acutus",D403="S. californicus",D403="S. tabernaemontani"),G403=0),E403*[1]Sheet1!$D$7+[1]Sheet1!$L$7,IF(AND(OR(D403="S. acutus",D403="S. tabernaemontani"),G403&gt;0),E403*[1]Sheet1!$D$8+N403*[1]Sheet1!$E$8,IF(AND(D403="S. californicus",G403&gt;0),E403*[1]Sheet1!$D$9+N403*[1]Sheet1!$E$9,IF(D403="S.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latifolia"),E403&gt;0),F403*[1]Sheet1!$C$4+E403*[1]Sheet1!$D$4+H403*[1]Sheet1!$J$4+I403*[1]Sheet1!$K$4+[1]Sheet1!$L$4,IF(AND(OR(D403="T. domingensis",D403="T. latifolia"),J403&gt;0),J403*[1]Sheet1!$G$5+K403*[1]Sheet1!$H$5+L403*[1]Sheet1!$I$5+[1]Sheet1!$L$5,0)))))))</f>
        <v>34.118365693789663</v>
      </c>
    </row>
    <row r="404" spans="1:15">
      <c r="A404" s="6">
        <v>41774</v>
      </c>
      <c r="B404" s="7" t="s">
        <v>32</v>
      </c>
      <c r="C404">
        <v>3</v>
      </c>
      <c r="D404" t="s">
        <v>25</v>
      </c>
      <c r="E404">
        <v>66</v>
      </c>
      <c r="F404">
        <v>1.9</v>
      </c>
      <c r="N404">
        <f>IF(OR(D404="S. acutus", D404="S. tabernaemontani", D404="S. californicus"),(1/3)*(3.14159)*((F404/2)^2)*E404,"NA")</f>
        <v>62.376269449999995</v>
      </c>
      <c r="O404">
        <f>IF(AND(OR(D404="S. acutus",D404="S. californicus",D404="S. tabernaemontani"),G404=0),E404*[1]Sheet1!$D$7+[1]Sheet1!$L$7,IF(AND(OR(D404="S. acutus",D404="S. tabernaemontani"),G404&gt;0),E404*[1]Sheet1!$D$8+N404*[1]Sheet1!$E$8,IF(AND(D404="S. californicus",G404&gt;0),E404*[1]Sheet1!$D$9+N404*[1]Sheet1!$E$9,IF(D404="S.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latifolia"),E404&gt;0),F404*[1]Sheet1!$C$4+E404*[1]Sheet1!$D$4+H404*[1]Sheet1!$J$4+I404*[1]Sheet1!$K$4+[1]Sheet1!$L$4,IF(AND(OR(D404="T. domingensis",D404="T. latifolia"),J404&gt;0),J404*[1]Sheet1!$G$5+K404*[1]Sheet1!$H$5+L404*[1]Sheet1!$I$5+[1]Sheet1!$L$5,0)))))))</f>
        <v>3.6332999999999949E-2</v>
      </c>
    </row>
    <row r="405" spans="1:15">
      <c r="A405" s="6">
        <v>41774</v>
      </c>
      <c r="B405" s="7" t="s">
        <v>32</v>
      </c>
      <c r="C405">
        <v>3</v>
      </c>
      <c r="D405" t="s">
        <v>23</v>
      </c>
      <c r="F405">
        <v>3.21</v>
      </c>
      <c r="J405">
        <f>78+126+130+139+167+184+200+209</f>
        <v>1233</v>
      </c>
      <c r="K405">
        <v>8</v>
      </c>
      <c r="L405">
        <v>209</v>
      </c>
      <c r="N405" t="str">
        <f>IF(OR(D405="S. acutus", D405="S. tabernaemontani", D405="S. californicus"),(1/3)*(3.14159)*((F405/2)^2)*E405,"NA")</f>
        <v>NA</v>
      </c>
      <c r="O405">
        <f>IF(AND(OR(D405="S. acutus",D405="S. californicus",D405="S. tabernaemontani"),G405=0),E405*[1]Sheet1!$D$7+[1]Sheet1!$L$7,IF(AND(OR(D405="S. acutus",D405="S. tabernaemontani"),G405&gt;0),E405*[1]Sheet1!$D$8+N405*[1]Sheet1!$E$8,IF(AND(D405="S. californicus",G405&gt;0),E405*[1]Sheet1!$D$9+N405*[1]Sheet1!$E$9,IF(D405="S.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latifolia"),E405&gt;0),F405*[1]Sheet1!$C$4+E405*[1]Sheet1!$D$4+H405*[1]Sheet1!$J$4+I405*[1]Sheet1!$K$4+[1]Sheet1!$L$4,IF(AND(OR(D405="T. domingensis",D405="T. latifolia"),J405&gt;0),J405*[1]Sheet1!$G$5+K405*[1]Sheet1!$H$5+L405*[1]Sheet1!$I$5+[1]Sheet1!$L$5,0)))))))</f>
        <v>29.497870000000013</v>
      </c>
    </row>
    <row r="406" spans="1:15">
      <c r="A406" s="6">
        <v>41774</v>
      </c>
      <c r="B406" s="7" t="s">
        <v>32</v>
      </c>
      <c r="C406">
        <v>3</v>
      </c>
      <c r="D406" t="s">
        <v>23</v>
      </c>
      <c r="F406">
        <v>2.89</v>
      </c>
      <c r="J406">
        <f>125+178+200+211+220+236+245+247+254</f>
        <v>1916</v>
      </c>
      <c r="K406">
        <v>9</v>
      </c>
      <c r="L406">
        <v>254</v>
      </c>
      <c r="N406" t="str">
        <f>IF(OR(D406="S. acutus", D406="S. tabernaemontani", D406="S. californicus"),(1/3)*(3.14159)*((F406/2)^2)*E406,"NA")</f>
        <v>NA</v>
      </c>
      <c r="O406">
        <f>IF(AND(OR(D406="S. acutus",D406="S. californicus",D406="S. tabernaemontani"),G406=0),E406*[1]Sheet1!$D$7+[1]Sheet1!$L$7,IF(AND(OR(D406="S. acutus",D406="S. tabernaemontani"),G406&gt;0),E406*[1]Sheet1!$D$8+N406*[1]Sheet1!$E$8,IF(AND(D406="S. californicus",G406&gt;0),E406*[1]Sheet1!$D$9+N406*[1]Sheet1!$E$9,IF(D406="S.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latifolia"),E406&gt;0),F406*[1]Sheet1!$C$4+E406*[1]Sheet1!$D$4+H406*[1]Sheet1!$J$4+I406*[1]Sheet1!$K$4+[1]Sheet1!$L$4,IF(AND(OR(D406="T. domingensis",D406="T. latifolia"),J406&gt;0),J406*[1]Sheet1!$G$5+K406*[1]Sheet1!$H$5+L406*[1]Sheet1!$I$5+[1]Sheet1!$L$5,0)))))))</f>
        <v>72.954157000000009</v>
      </c>
    </row>
    <row r="407" spans="1:15">
      <c r="A407" s="6">
        <v>41774</v>
      </c>
      <c r="B407" s="7" t="s">
        <v>32</v>
      </c>
      <c r="C407">
        <v>3</v>
      </c>
      <c r="D407" t="s">
        <v>19</v>
      </c>
      <c r="F407">
        <v>4.16</v>
      </c>
      <c r="J407">
        <f>75+111+146+197+173+165+177+196+208+207+238+227+224</f>
        <v>2344</v>
      </c>
      <c r="K407">
        <v>13</v>
      </c>
      <c r="L407">
        <v>238</v>
      </c>
      <c r="N407" t="str">
        <f>IF(OR(D407="S. acutus", D407="S. tabernaemontani", D407="S. californicus"),(1/3)*(3.14159)*((F407/2)^2)*E407,"NA")</f>
        <v>NA</v>
      </c>
      <c r="O407">
        <f>IF(AND(OR(D407="S. acutus",D407="S. californicus",D407="S. tabernaemontani"),G407=0),E407*[1]Sheet1!$D$7+[1]Sheet1!$L$7,IF(AND(OR(D407="S. acutus",D407="S. tabernaemontani"),G407&gt;0),E407*[1]Sheet1!$D$8+N407*[1]Sheet1!$E$8,IF(AND(D407="S. californicus",G407&gt;0),E407*[1]Sheet1!$D$9+N407*[1]Sheet1!$E$9,IF(D407="S.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latifolia"),E407&gt;0),F407*[1]Sheet1!$C$4+E407*[1]Sheet1!$D$4+H407*[1]Sheet1!$J$4+I407*[1]Sheet1!$K$4+[1]Sheet1!$L$4,IF(AND(OR(D407="T. domingensis",D407="T. latifolia"),J407&gt;0),J407*[1]Sheet1!$G$5+K407*[1]Sheet1!$H$5+L407*[1]Sheet1!$I$5+[1]Sheet1!$L$5,0)))))))</f>
        <v>89.811805000000021</v>
      </c>
    </row>
    <row r="408" spans="1:15">
      <c r="A408" s="6">
        <v>41774</v>
      </c>
      <c r="B408" s="7" t="s">
        <v>32</v>
      </c>
      <c r="C408">
        <v>3</v>
      </c>
      <c r="D408" t="s">
        <v>19</v>
      </c>
      <c r="F408">
        <v>1.5</v>
      </c>
      <c r="J408">
        <f>52+57+76+78+104</f>
        <v>367</v>
      </c>
      <c r="K408">
        <v>5</v>
      </c>
      <c r="L408">
        <v>104</v>
      </c>
      <c r="N408" t="str">
        <f>IF(OR(D408="S. acutus", D408="S. tabernaemontani", D408="S. californicus"),(1/3)*(3.14159)*((F408/2)^2)*E408,"NA")</f>
        <v>NA</v>
      </c>
      <c r="O408">
        <f>IF(AND(OR(D408="S. acutus",D408="S. californicus",D408="S. tabernaemontani"),G408=0),E408*[1]Sheet1!$D$7+[1]Sheet1!$L$7,IF(AND(OR(D408="S. acutus",D408="S. tabernaemontani"),G408&gt;0),E408*[1]Sheet1!$D$8+N408*[1]Sheet1!$E$8,IF(AND(D408="S. californicus",G408&gt;0),E408*[1]Sheet1!$D$9+N408*[1]Sheet1!$E$9,IF(D408="S.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latifolia"),E408&gt;0),F408*[1]Sheet1!$C$4+E408*[1]Sheet1!$D$4+H408*[1]Sheet1!$J$4+I408*[1]Sheet1!$K$4+[1]Sheet1!$L$4,IF(AND(OR(D408="T. domingensis",D408="T. latifolia"),J408&gt;0),J408*[1]Sheet1!$G$5+K408*[1]Sheet1!$H$5+L408*[1]Sheet1!$I$5+[1]Sheet1!$L$5,0)))))))</f>
        <v>1.0038240000000016</v>
      </c>
    </row>
    <row r="409" spans="1:15">
      <c r="A409" s="6">
        <v>41774</v>
      </c>
      <c r="B409" s="7" t="s">
        <v>32</v>
      </c>
      <c r="C409">
        <v>3</v>
      </c>
      <c r="D409" t="s">
        <v>19</v>
      </c>
      <c r="F409">
        <v>3.31</v>
      </c>
      <c r="J409">
        <f>72+90+180+208+152+163+165+174</f>
        <v>1204</v>
      </c>
      <c r="K409">
        <v>8</v>
      </c>
      <c r="L409">
        <v>174</v>
      </c>
      <c r="N409" t="str">
        <f>IF(OR(D409="S. acutus", D409="S. tabernaemontani", D409="S. californicus"),(1/3)*(3.14159)*((F409/2)^2)*E409,"NA")</f>
        <v>NA</v>
      </c>
      <c r="O409">
        <f>IF(AND(OR(D409="S. acutus",D409="S. californicus",D409="S. tabernaemontani"),G409=0),E409*[1]Sheet1!$D$7+[1]Sheet1!$L$7,IF(AND(OR(D409="S. acutus",D409="S. tabernaemontani"),G409&gt;0),E409*[1]Sheet1!$D$8+N409*[1]Sheet1!$E$8,IF(AND(D409="S. californicus",G409&gt;0),E409*[1]Sheet1!$D$9+N409*[1]Sheet1!$E$9,IF(D409="S.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latifolia"),E409&gt;0),F409*[1]Sheet1!$C$4+E409*[1]Sheet1!$D$4+H409*[1]Sheet1!$J$4+I409*[1]Sheet1!$K$4+[1]Sheet1!$L$4,IF(AND(OR(D409="T. domingensis",D409="T. latifolia"),J409&gt;0),J409*[1]Sheet1!$G$5+K409*[1]Sheet1!$H$5+L409*[1]Sheet1!$I$5+[1]Sheet1!$L$5,0)))))))</f>
        <v>37.322550000000007</v>
      </c>
    </row>
    <row r="410" spans="1:15">
      <c r="A410" s="6">
        <v>41774</v>
      </c>
      <c r="B410" s="7" t="s">
        <v>32</v>
      </c>
      <c r="C410">
        <v>3</v>
      </c>
      <c r="D410" t="s">
        <v>19</v>
      </c>
      <c r="F410">
        <v>0.57999999999999996</v>
      </c>
      <c r="J410">
        <f>50+136</f>
        <v>186</v>
      </c>
      <c r="K410">
        <v>2</v>
      </c>
      <c r="L410">
        <v>136</v>
      </c>
      <c r="N410" t="str">
        <f>IF(OR(D410="S. acutus", D410="S. tabernaemontani", D410="S. californicus"),(1/3)*(3.14159)*((F410/2)^2)*E410,"NA")</f>
        <v>NA</v>
      </c>
      <c r="O410">
        <f>IF(AND(OR(D410="S. acutus",D410="S. californicus",D410="S. tabernaemontani"),G410=0),E410*[1]Sheet1!$D$7+[1]Sheet1!$L$7,IF(AND(OR(D410="S. acutus",D410="S. tabernaemontani"),G410&gt;0),E410*[1]Sheet1!$D$8+N410*[1]Sheet1!$E$8,IF(AND(D410="S. californicus",G410&gt;0),E410*[1]Sheet1!$D$9+N410*[1]Sheet1!$E$9,IF(D410="S.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latifolia"),E410&gt;0),F410*[1]Sheet1!$C$4+E410*[1]Sheet1!$D$4+H410*[1]Sheet1!$J$4+I410*[1]Sheet1!$K$4+[1]Sheet1!$L$4,IF(AND(OR(D410="T. domingensis",D410="T. latifolia"),J410&gt;0),J410*[1]Sheet1!$G$5+K410*[1]Sheet1!$H$5+L410*[1]Sheet1!$I$5+[1]Sheet1!$L$5,0)))))))</f>
        <v>-4.5386120000000005</v>
      </c>
    </row>
    <row r="411" spans="1:15">
      <c r="A411" s="6">
        <v>41774</v>
      </c>
      <c r="B411" s="7" t="s">
        <v>32</v>
      </c>
      <c r="C411">
        <v>12</v>
      </c>
      <c r="D411" t="s">
        <v>20</v>
      </c>
      <c r="E411">
        <v>36</v>
      </c>
      <c r="F411">
        <v>0.7</v>
      </c>
      <c r="N411">
        <f>IF(OR(D411="S. acutus", D411="S. tabernaemontani", D411="S. californicus"),(1/3)*(3.14159)*((F411/2)^2)*E411,"NA")</f>
        <v>4.618137299999999</v>
      </c>
      <c r="O411">
        <f>IF(AND(OR(D411="S. acutus",D411="S. californicus",D411="S. tabernaemontani"),G411=0),E411*[1]Sheet1!$D$7+[1]Sheet1!$L$7,IF(AND(OR(D411="S. acutus",D411="S. tabernaemontani"),G411&gt;0),E411*[1]Sheet1!$D$8+N411*[1]Sheet1!$E$8,IF(AND(D411="S. californicus",G411&gt;0),E411*[1]Sheet1!$D$9+N411*[1]Sheet1!$E$9,IF(D411="S.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latifolia"),E411&gt;0),F411*[1]Sheet1!$C$4+E411*[1]Sheet1!$D$4+H411*[1]Sheet1!$J$4+I411*[1]Sheet1!$K$4+[1]Sheet1!$L$4,IF(AND(OR(D411="T. domingensis",D411="T. latifolia"),J411&gt;0),J411*[1]Sheet1!$G$5+K411*[1]Sheet1!$H$5+L411*[1]Sheet1!$I$5+[1]Sheet1!$L$5,0)))))))</f>
        <v>-2.0668169999999999</v>
      </c>
    </row>
    <row r="412" spans="1:15">
      <c r="A412" s="6">
        <v>41774</v>
      </c>
      <c r="B412" s="7" t="s">
        <v>32</v>
      </c>
      <c r="C412">
        <v>12</v>
      </c>
      <c r="D412" t="s">
        <v>20</v>
      </c>
      <c r="E412">
        <v>52</v>
      </c>
      <c r="F412">
        <v>0.69</v>
      </c>
      <c r="N412">
        <f>IF(OR(D412="S. acutus", D412="S. tabernaemontani", D412="S. californicus"),(1/3)*(3.14159)*((F412/2)^2)*E412,"NA")</f>
        <v>6.4814143289999979</v>
      </c>
      <c r="O412">
        <f>IF(AND(OR(D412="S. acutus",D412="S. californicus",D412="S. tabernaemontani"),G412=0),E412*[1]Sheet1!$D$7+[1]Sheet1!$L$7,IF(AND(OR(D412="S. acutus",D412="S. tabernaemontani"),G412&gt;0),E412*[1]Sheet1!$D$8+N412*[1]Sheet1!$E$8,IF(AND(D412="S. californicus",G412&gt;0),E412*[1]Sheet1!$D$9+N412*[1]Sheet1!$E$9,IF(D412="S.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latifolia"),E412&gt;0),F412*[1]Sheet1!$C$4+E412*[1]Sheet1!$D$4+H412*[1]Sheet1!$J$4+I412*[1]Sheet1!$K$4+[1]Sheet1!$L$4,IF(AND(OR(D412="T. domingensis",D412="T. latifolia"),J412&gt;0),J412*[1]Sheet1!$G$5+K412*[1]Sheet1!$H$5+L412*[1]Sheet1!$I$5+[1]Sheet1!$L$5,0)))))))</f>
        <v>-0.94513699999999989</v>
      </c>
    </row>
    <row r="413" spans="1:15">
      <c r="A413" s="6">
        <v>41774</v>
      </c>
      <c r="B413" s="7" t="s">
        <v>32</v>
      </c>
      <c r="C413">
        <v>12</v>
      </c>
      <c r="D413" t="s">
        <v>20</v>
      </c>
      <c r="E413">
        <v>230</v>
      </c>
      <c r="F413">
        <v>1.18</v>
      </c>
      <c r="N413">
        <f>IF(OR(D413="S. acutus", D413="S. tabernaemontani", D413="S. californicus"),(1/3)*(3.14159)*((F413/2)^2)*E413,"NA")</f>
        <v>83.841706723333317</v>
      </c>
      <c r="O413">
        <f>IF(AND(OR(D413="S. acutus",D413="S. californicus",D413="S. tabernaemontani"),G413=0),E413*[1]Sheet1!$D$7+[1]Sheet1!$L$7,IF(AND(OR(D413="S. acutus",D413="S. tabernaemontani"),G413&gt;0),E413*[1]Sheet1!$D$8+N413*[1]Sheet1!$E$8,IF(AND(D413="S. californicus",G413&gt;0),E413*[1]Sheet1!$D$9+N413*[1]Sheet1!$E$9,IF(D413="S.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latifolia"),E413&gt;0),F413*[1]Sheet1!$C$4+E413*[1]Sheet1!$D$4+H413*[1]Sheet1!$J$4+I413*[1]Sheet1!$K$4+[1]Sheet1!$L$4,IF(AND(OR(D413="T. domingensis",D413="T. latifolia"),J413&gt;0),J413*[1]Sheet1!$G$5+K413*[1]Sheet1!$H$5+L413*[1]Sheet1!$I$5+[1]Sheet1!$L$5,0)))))))</f>
        <v>11.533553000000001</v>
      </c>
    </row>
    <row r="414" spans="1:15">
      <c r="A414" s="6">
        <v>41774</v>
      </c>
      <c r="B414" s="7" t="s">
        <v>32</v>
      </c>
      <c r="C414">
        <v>12</v>
      </c>
      <c r="D414" t="s">
        <v>20</v>
      </c>
      <c r="E414">
        <v>221</v>
      </c>
      <c r="F414">
        <v>1.48</v>
      </c>
      <c r="N414">
        <f>IF(OR(D414="S. acutus", D414="S. tabernaemontani", D414="S. californicus"),(1/3)*(3.14159)*((F414/2)^2)*E414,"NA")</f>
        <v>126.73132172133332</v>
      </c>
      <c r="O414">
        <f>IF(AND(OR(D414="S. acutus",D414="S. californicus",D414="S. tabernaemontani"),G414=0),E414*[1]Sheet1!$D$7+[1]Sheet1!$L$7,IF(AND(OR(D414="S. acutus",D414="S. tabernaemontani"),G414&gt;0),E414*[1]Sheet1!$D$8+N414*[1]Sheet1!$E$8,IF(AND(D414="S. californicus",G414&gt;0),E414*[1]Sheet1!$D$9+N414*[1]Sheet1!$E$9,IF(D414="S.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latifolia"),E414&gt;0),F414*[1]Sheet1!$C$4+E414*[1]Sheet1!$D$4+H414*[1]Sheet1!$J$4+I414*[1]Sheet1!$K$4+[1]Sheet1!$L$4,IF(AND(OR(D414="T. domingensis",D414="T. latifolia"),J414&gt;0),J414*[1]Sheet1!$G$5+K414*[1]Sheet1!$H$5+L414*[1]Sheet1!$I$5+[1]Sheet1!$L$5,0)))))))</f>
        <v>10.902608000000001</v>
      </c>
    </row>
    <row r="415" spans="1:15">
      <c r="A415" s="6">
        <v>41774</v>
      </c>
      <c r="B415" s="7" t="s">
        <v>32</v>
      </c>
      <c r="C415">
        <v>12</v>
      </c>
      <c r="D415" t="s">
        <v>20</v>
      </c>
      <c r="E415">
        <v>196</v>
      </c>
      <c r="F415">
        <v>1.8</v>
      </c>
      <c r="N415">
        <f>IF(OR(D415="S. acutus", D415="S. tabernaemontani", D415="S. californicus"),(1/3)*(3.14159)*((F415/2)^2)*E415,"NA")</f>
        <v>166.2529428</v>
      </c>
      <c r="O415">
        <f>IF(AND(OR(D415="S. acutus",D415="S. californicus",D415="S. tabernaemontani"),G415=0),E415*[1]Sheet1!$D$7+[1]Sheet1!$L$7,IF(AND(OR(D415="S. acutus",D415="S. tabernaemontani"),G415&gt;0),E415*[1]Sheet1!$D$8+N415*[1]Sheet1!$E$8,IF(AND(D415="S. californicus",G415&gt;0),E415*[1]Sheet1!$D$9+N415*[1]Sheet1!$E$9,IF(D415="S.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latifolia"),E415&gt;0),F415*[1]Sheet1!$C$4+E415*[1]Sheet1!$D$4+H415*[1]Sheet1!$J$4+I415*[1]Sheet1!$K$4+[1]Sheet1!$L$4,IF(AND(OR(D415="T. domingensis",D415="T. latifolia"),J415&gt;0),J415*[1]Sheet1!$G$5+K415*[1]Sheet1!$H$5+L415*[1]Sheet1!$I$5+[1]Sheet1!$L$5,0)))))))</f>
        <v>9.1499829999999989</v>
      </c>
    </row>
    <row r="416" spans="1:15">
      <c r="A416" s="6">
        <v>41774</v>
      </c>
      <c r="B416" s="7" t="s">
        <v>32</v>
      </c>
      <c r="C416">
        <v>12</v>
      </c>
      <c r="D416" t="s">
        <v>20</v>
      </c>
      <c r="E416">
        <v>123</v>
      </c>
      <c r="F416">
        <v>1.0900000000000001</v>
      </c>
      <c r="N416">
        <f>IF(OR(D416="S. acutus", D416="S. tabernaemontani", D416="S. californicus"),(1/3)*(3.14159)*((F416/2)^2)*E416,"NA")</f>
        <v>38.258361559750007</v>
      </c>
      <c r="O416">
        <f>IF(AND(OR(D416="S. acutus",D416="S. californicus",D416="S. tabernaemontani"),G416=0),E416*[1]Sheet1!$D$7+[1]Sheet1!$L$7,IF(AND(OR(D416="S. acutus",D416="S. tabernaemontani"),G416&gt;0),E416*[1]Sheet1!$D$8+N416*[1]Sheet1!$E$8,IF(AND(D416="S. californicus",G416&gt;0),E416*[1]Sheet1!$D$9+N416*[1]Sheet1!$E$9,IF(D416="S.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latifolia"),E416&gt;0),F416*[1]Sheet1!$C$4+E416*[1]Sheet1!$D$4+H416*[1]Sheet1!$J$4+I416*[1]Sheet1!$K$4+[1]Sheet1!$L$4,IF(AND(OR(D416="T. domingensis",D416="T. latifolia"),J416&gt;0),J416*[1]Sheet1!$G$5+K416*[1]Sheet1!$H$5+L416*[1]Sheet1!$I$5+[1]Sheet1!$L$5,0)))))))</f>
        <v>4.032318000000001</v>
      </c>
    </row>
    <row r="417" spans="1:15">
      <c r="A417" s="6">
        <v>41774</v>
      </c>
      <c r="B417" s="7" t="s">
        <v>32</v>
      </c>
      <c r="C417">
        <v>12</v>
      </c>
      <c r="D417" t="s">
        <v>20</v>
      </c>
      <c r="E417">
        <v>203</v>
      </c>
      <c r="F417">
        <v>1.21</v>
      </c>
      <c r="N417">
        <f>IF(OR(D417="S. acutus", D417="S. tabernaemontani", D417="S. californicus"),(1/3)*(3.14159)*((F417/2)^2)*E417,"NA")</f>
        <v>77.809932463083314</v>
      </c>
      <c r="O417">
        <f>IF(AND(OR(D417="S. acutus",D417="S. californicus",D417="S. tabernaemontani"),G417=0),E417*[1]Sheet1!$D$7+[1]Sheet1!$L$7,IF(AND(OR(D417="S. acutus",D417="S. tabernaemontani"),G417&gt;0),E417*[1]Sheet1!$D$8+N417*[1]Sheet1!$E$8,IF(AND(D417="S. californicus",G417&gt;0),E417*[1]Sheet1!$D$9+N417*[1]Sheet1!$E$9,IF(D417="S.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latifolia"),E417&gt;0),F417*[1]Sheet1!$C$4+E417*[1]Sheet1!$D$4+H417*[1]Sheet1!$J$4+I417*[1]Sheet1!$K$4+[1]Sheet1!$L$4,IF(AND(OR(D417="T. domingensis",D417="T. latifolia"),J417&gt;0),J417*[1]Sheet1!$G$5+K417*[1]Sheet1!$H$5+L417*[1]Sheet1!$I$5+[1]Sheet1!$L$5,0)))))))</f>
        <v>9.6407179999999997</v>
      </c>
    </row>
    <row r="418" spans="1:15">
      <c r="A418" s="6">
        <v>41774</v>
      </c>
      <c r="B418" s="7" t="s">
        <v>32</v>
      </c>
      <c r="C418">
        <v>12</v>
      </c>
      <c r="D418" t="s">
        <v>20</v>
      </c>
      <c r="E418">
        <v>257</v>
      </c>
      <c r="F418">
        <v>1.52</v>
      </c>
      <c r="N418">
        <f>IF(OR(D418="S. acutus", D418="S. tabernaemontani", D418="S. californicus"),(1/3)*(3.14159)*((F418/2)^2)*E418,"NA")</f>
        <v>155.44922422933334</v>
      </c>
      <c r="O418">
        <f>IF(AND(OR(D418="S. acutus",D418="S. californicus",D418="S. tabernaemontani"),G418=0),E418*[1]Sheet1!$D$7+[1]Sheet1!$L$7,IF(AND(OR(D418="S. acutus",D418="S. tabernaemontani"),G418&gt;0),E418*[1]Sheet1!$D$8+N418*[1]Sheet1!$E$8,IF(AND(D418="S. californicus",G418&gt;0),E418*[1]Sheet1!$D$9+N418*[1]Sheet1!$E$9,IF(D418="S.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latifolia"),E418&gt;0),F418*[1]Sheet1!$C$4+E418*[1]Sheet1!$D$4+H418*[1]Sheet1!$J$4+I418*[1]Sheet1!$K$4+[1]Sheet1!$L$4,IF(AND(OR(D418="T. domingensis",D418="T. latifolia"),J418&gt;0),J418*[1]Sheet1!$G$5+K418*[1]Sheet1!$H$5+L418*[1]Sheet1!$I$5+[1]Sheet1!$L$5,0)))))))</f>
        <v>13.426388000000003</v>
      </c>
    </row>
    <row r="419" spans="1:15">
      <c r="A419" s="6">
        <v>41774</v>
      </c>
      <c r="B419" s="7" t="s">
        <v>32</v>
      </c>
      <c r="C419">
        <v>12</v>
      </c>
      <c r="D419" t="s">
        <v>20</v>
      </c>
      <c r="E419">
        <v>179</v>
      </c>
      <c r="F419">
        <v>1.23</v>
      </c>
      <c r="N419">
        <f>IF(OR(D419="S. acutus", D419="S. tabernaemontani", D419="S. californicus"),(1/3)*(3.14159)*((F419/2)^2)*E419,"NA")</f>
        <v>70.89759670574999</v>
      </c>
      <c r="O419">
        <f>IF(AND(OR(D419="S. acutus",D419="S. californicus",D419="S. tabernaemontani"),G419=0),E419*[1]Sheet1!$D$7+[1]Sheet1!$L$7,IF(AND(OR(D419="S. acutus",D419="S. tabernaemontani"),G419&gt;0),E419*[1]Sheet1!$D$8+N419*[1]Sheet1!$E$8,IF(AND(D419="S. californicus",G419&gt;0),E419*[1]Sheet1!$D$9+N419*[1]Sheet1!$E$9,IF(D419="S.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latifolia"),E419&gt;0),F419*[1]Sheet1!$C$4+E419*[1]Sheet1!$D$4+H419*[1]Sheet1!$J$4+I419*[1]Sheet1!$K$4+[1]Sheet1!$L$4,IF(AND(OR(D419="T. domingensis",D419="T. latifolia"),J419&gt;0),J419*[1]Sheet1!$G$5+K419*[1]Sheet1!$H$5+L419*[1]Sheet1!$I$5+[1]Sheet1!$L$5,0)))))))</f>
        <v>7.9581980000000003</v>
      </c>
    </row>
    <row r="420" spans="1:15">
      <c r="A420" s="6">
        <v>41774</v>
      </c>
      <c r="B420" s="7" t="s">
        <v>32</v>
      </c>
      <c r="C420">
        <v>12</v>
      </c>
      <c r="D420" t="s">
        <v>20</v>
      </c>
      <c r="E420">
        <v>345</v>
      </c>
      <c r="F420">
        <v>2.73</v>
      </c>
      <c r="N420">
        <f>IF(OR(D420="S. acutus", D420="S. tabernaemontani", D420="S. californicus"),(1/3)*(3.14159)*((F420/2)^2)*E420,"NA")</f>
        <v>673.15123819124983</v>
      </c>
      <c r="O420">
        <f>IF(AND(OR(D420="S. acutus",D420="S. californicus",D420="S. tabernaemontani"),G420=0),E420*[1]Sheet1!$D$7+[1]Sheet1!$L$7,IF(AND(OR(D420="S. acutus",D420="S. tabernaemontani"),G420&gt;0),E420*[1]Sheet1!$D$8+N420*[1]Sheet1!$E$8,IF(AND(D420="S. californicus",G420&gt;0),E420*[1]Sheet1!$D$9+N420*[1]Sheet1!$E$9,IF(D420="S.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latifolia"),E420&gt;0),F420*[1]Sheet1!$C$4+E420*[1]Sheet1!$D$4+H420*[1]Sheet1!$J$4+I420*[1]Sheet1!$K$4+[1]Sheet1!$L$4,IF(AND(OR(D420="T. domingensis",D420="T. latifolia"),J420&gt;0),J420*[1]Sheet1!$G$5+K420*[1]Sheet1!$H$5+L420*[1]Sheet1!$I$5+[1]Sheet1!$L$5,0)))))))</f>
        <v>19.595628000000001</v>
      </c>
    </row>
    <row r="421" spans="1:15">
      <c r="A421" s="6">
        <v>41774</v>
      </c>
      <c r="B421" s="7" t="s">
        <v>32</v>
      </c>
      <c r="C421">
        <v>12</v>
      </c>
      <c r="D421" t="s">
        <v>20</v>
      </c>
      <c r="E421">
        <v>70</v>
      </c>
      <c r="F421">
        <v>1.36</v>
      </c>
      <c r="N421">
        <f>IF(OR(D421="S. acutus", D421="S. tabernaemontani", D421="S. californicus"),(1/3)*(3.14159)*((F421/2)^2)*E421,"NA")</f>
        <v>33.895661706666665</v>
      </c>
      <c r="O421">
        <f>IF(AND(OR(D421="S. acutus",D421="S. californicus",D421="S. tabernaemontani"),G421=0),E421*[1]Sheet1!$D$7+[1]Sheet1!$L$7,IF(AND(OR(D421="S. acutus",D421="S. tabernaemontani"),G421&gt;0),E421*[1]Sheet1!$D$8+N421*[1]Sheet1!$E$8,IF(AND(D421="S. californicus",G421&gt;0),E421*[1]Sheet1!$D$9+N421*[1]Sheet1!$E$9,IF(D421="S.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latifolia"),E421&gt;0),F421*[1]Sheet1!$C$4+E421*[1]Sheet1!$D$4+H421*[1]Sheet1!$J$4+I421*[1]Sheet1!$K$4+[1]Sheet1!$L$4,IF(AND(OR(D421="T. domingensis",D421="T. latifolia"),J421&gt;0),J421*[1]Sheet1!$G$5+K421*[1]Sheet1!$H$5+L421*[1]Sheet1!$I$5+[1]Sheet1!$L$5,0)))))))</f>
        <v>0.31675300000000028</v>
      </c>
    </row>
    <row r="422" spans="1:15">
      <c r="A422" s="6">
        <v>41774</v>
      </c>
      <c r="B422" s="7" t="s">
        <v>32</v>
      </c>
      <c r="C422">
        <v>12</v>
      </c>
      <c r="D422" t="s">
        <v>20</v>
      </c>
      <c r="E422">
        <v>172</v>
      </c>
      <c r="F422">
        <v>1.44</v>
      </c>
      <c r="N422">
        <f>IF(OR(D422="S. acutus", D422="S. tabernaemontani", D422="S. californicus"),(1/3)*(3.14159)*((F422/2)^2)*E422,"NA")</f>
        <v>93.373081343999985</v>
      </c>
      <c r="O422">
        <f>IF(AND(OR(D422="S. acutus",D422="S. californicus",D422="S. tabernaemontani"),G422=0),E422*[1]Sheet1!$D$7+[1]Sheet1!$L$7,IF(AND(OR(D422="S. acutus",D422="S. tabernaemontani"),G422&gt;0),E422*[1]Sheet1!$D$8+N422*[1]Sheet1!$E$8,IF(AND(D422="S. californicus",G422&gt;0),E422*[1]Sheet1!$D$9+N422*[1]Sheet1!$E$9,IF(D422="S.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latifolia"),E422&gt;0),F422*[1]Sheet1!$C$4+E422*[1]Sheet1!$D$4+H422*[1]Sheet1!$J$4+I422*[1]Sheet1!$K$4+[1]Sheet1!$L$4,IF(AND(OR(D422="T. domingensis",D422="T. latifolia"),J422&gt;0),J422*[1]Sheet1!$G$5+K422*[1]Sheet1!$H$5+L422*[1]Sheet1!$I$5+[1]Sheet1!$L$5,0)))))))</f>
        <v>7.4674629999999995</v>
      </c>
    </row>
    <row r="423" spans="1:15">
      <c r="A423" s="6">
        <v>41774</v>
      </c>
      <c r="B423" s="7" t="s">
        <v>32</v>
      </c>
      <c r="C423">
        <v>12</v>
      </c>
      <c r="D423" t="s">
        <v>20</v>
      </c>
      <c r="E423">
        <v>43</v>
      </c>
      <c r="F423">
        <v>2.2400000000000002</v>
      </c>
      <c r="N423">
        <f>IF(OR(D423="S. acutus", D423="S. tabernaemontani", D423="S. californicus"),(1/3)*(3.14159)*((F423/2)^2)*E423,"NA")</f>
        <v>56.484950442666666</v>
      </c>
      <c r="O423">
        <f>IF(AND(OR(D423="S. acutus",D423="S. californicus",D423="S. tabernaemontani"),G423=0),E423*[1]Sheet1!$D$7+[1]Sheet1!$L$7,IF(AND(OR(D423="S. acutus",D423="S. tabernaemontani"),G423&gt;0),E423*[1]Sheet1!$D$8+N423*[1]Sheet1!$E$8,IF(AND(D423="S. californicus",G423&gt;0),E423*[1]Sheet1!$D$9+N423*[1]Sheet1!$E$9,IF(D423="S.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latifolia"),E423&gt;0),F423*[1]Sheet1!$C$4+E423*[1]Sheet1!$D$4+H423*[1]Sheet1!$J$4+I423*[1]Sheet1!$K$4+[1]Sheet1!$L$4,IF(AND(OR(D423="T. domingensis",D423="T. latifolia"),J423&gt;0),J423*[1]Sheet1!$G$5+K423*[1]Sheet1!$H$5+L423*[1]Sheet1!$I$5+[1]Sheet1!$L$5,0)))))))</f>
        <v>-1.576082</v>
      </c>
    </row>
    <row r="424" spans="1:15">
      <c r="A424" s="6">
        <v>41774</v>
      </c>
      <c r="B424" s="7" t="s">
        <v>32</v>
      </c>
      <c r="C424">
        <v>12</v>
      </c>
      <c r="D424" t="s">
        <v>20</v>
      </c>
      <c r="E424">
        <v>136</v>
      </c>
      <c r="F424">
        <v>1.51</v>
      </c>
      <c r="N424">
        <f>IF(OR(D424="S. acutus", D424="S. tabernaemontani", D424="S. californicus"),(1/3)*(3.14159)*((F424/2)^2)*E424,"NA")</f>
        <v>81.182246068666657</v>
      </c>
      <c r="O424">
        <f>IF(AND(OR(D424="S. acutus",D424="S. californicus",D424="S. tabernaemontani"),G424=0),E424*[1]Sheet1!$D$7+[1]Sheet1!$L$7,IF(AND(OR(D424="S. acutus",D424="S. tabernaemontani"),G424&gt;0),E424*[1]Sheet1!$D$8+N424*[1]Sheet1!$E$8,IF(AND(D424="S. californicus",G424&gt;0),E424*[1]Sheet1!$D$9+N424*[1]Sheet1!$E$9,IF(D424="S.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latifolia"),E424&gt;0),F424*[1]Sheet1!$C$4+E424*[1]Sheet1!$D$4+H424*[1]Sheet1!$J$4+I424*[1]Sheet1!$K$4+[1]Sheet1!$L$4,IF(AND(OR(D424="T. domingensis",D424="T. latifolia"),J424&gt;0),J424*[1]Sheet1!$G$5+K424*[1]Sheet1!$H$5+L424*[1]Sheet1!$I$5+[1]Sheet1!$L$5,0)))))))</f>
        <v>4.9436830000000009</v>
      </c>
    </row>
    <row r="425" spans="1:15">
      <c r="A425" s="6">
        <v>41774</v>
      </c>
      <c r="B425" s="7" t="s">
        <v>32</v>
      </c>
      <c r="C425">
        <v>12</v>
      </c>
      <c r="D425" t="s">
        <v>20</v>
      </c>
      <c r="E425">
        <v>260</v>
      </c>
      <c r="F425">
        <v>1.42</v>
      </c>
      <c r="N425">
        <f>IF(OR(D425="S. acutus", D425="S. tabernaemontani", D425="S. californicus"),(1/3)*(3.14159)*((F425/2)^2)*E425,"NA")</f>
        <v>137.25187831333332</v>
      </c>
      <c r="O425">
        <f>IF(AND(OR(D425="S. acutus",D425="S. californicus",D425="S. tabernaemontani"),G425=0),E425*[1]Sheet1!$D$7+[1]Sheet1!$L$7,IF(AND(OR(D425="S. acutus",D425="S. tabernaemontani"),G425&gt;0),E425*[1]Sheet1!$D$8+N425*[1]Sheet1!$E$8,IF(AND(D425="S. californicus",G425&gt;0),E425*[1]Sheet1!$D$9+N425*[1]Sheet1!$E$9,IF(D425="S.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latifolia"),E425&gt;0),F425*[1]Sheet1!$C$4+E425*[1]Sheet1!$D$4+H425*[1]Sheet1!$J$4+I425*[1]Sheet1!$K$4+[1]Sheet1!$L$4,IF(AND(OR(D425="T. domingensis",D425="T. latifolia"),J425&gt;0),J425*[1]Sheet1!$G$5+K425*[1]Sheet1!$H$5+L425*[1]Sheet1!$I$5+[1]Sheet1!$L$5,0)))))))</f>
        <v>13.636703000000001</v>
      </c>
    </row>
    <row r="426" spans="1:15">
      <c r="A426" s="6">
        <v>41774</v>
      </c>
      <c r="B426" s="7" t="s">
        <v>32</v>
      </c>
      <c r="C426">
        <v>16</v>
      </c>
      <c r="D426" t="s">
        <v>20</v>
      </c>
      <c r="E426">
        <v>196</v>
      </c>
      <c r="F426">
        <v>3.01</v>
      </c>
      <c r="N426">
        <f>IF(OR(D426="S. acutus", D426="S. tabernaemontani", D426="S. californicus"),(1/3)*(3.14159)*((F426/2)^2)*E426,"NA")</f>
        <v>464.89761946366656</v>
      </c>
      <c r="O426">
        <f>IF(AND(OR(D426="S. acutus",D426="S. californicus",D426="S. tabernaemontani"),G426=0),E426*[1]Sheet1!$D$7+[1]Sheet1!$L$7,IF(AND(OR(D426="S. acutus",D426="S. tabernaemontani"),G426&gt;0),E426*[1]Sheet1!$D$8+N426*[1]Sheet1!$E$8,IF(AND(D426="S. californicus",G426&gt;0),E426*[1]Sheet1!$D$9+N426*[1]Sheet1!$E$9,IF(D426="S.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latifolia"),E426&gt;0),F426*[1]Sheet1!$C$4+E426*[1]Sheet1!$D$4+H426*[1]Sheet1!$J$4+I426*[1]Sheet1!$K$4+[1]Sheet1!$L$4,IF(AND(OR(D426="T. domingensis",D426="T. latifolia"),J426&gt;0),J426*[1]Sheet1!$G$5+K426*[1]Sheet1!$H$5+L426*[1]Sheet1!$I$5+[1]Sheet1!$L$5,0)))))))</f>
        <v>9.1499829999999989</v>
      </c>
    </row>
    <row r="427" spans="1:15">
      <c r="A427" s="6">
        <v>41774</v>
      </c>
      <c r="B427" s="7" t="s">
        <v>32</v>
      </c>
      <c r="C427">
        <v>16</v>
      </c>
      <c r="D427" t="s">
        <v>20</v>
      </c>
      <c r="E427">
        <v>92</v>
      </c>
      <c r="F427">
        <v>1.27</v>
      </c>
      <c r="N427">
        <f>IF(OR(D427="S. acutus", D427="S. tabernaemontani", D427="S. californicus"),(1/3)*(3.14159)*((F427/2)^2)*E427,"NA")</f>
        <v>38.847540584333331</v>
      </c>
      <c r="O427">
        <f>IF(AND(OR(D427="S. acutus",D427="S. californicus",D427="S. tabernaemontani"),G427=0),E427*[1]Sheet1!$D$7+[1]Sheet1!$L$7,IF(AND(OR(D427="S. acutus",D427="S. tabernaemontani"),G427&gt;0),E427*[1]Sheet1!$D$8+N427*[1]Sheet1!$E$8,IF(AND(D427="S. californicus",G427&gt;0),E427*[1]Sheet1!$D$9+N427*[1]Sheet1!$E$9,IF(D427="S.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latifolia"),E427&gt;0),F427*[1]Sheet1!$C$4+E427*[1]Sheet1!$D$4+H427*[1]Sheet1!$J$4+I427*[1]Sheet1!$K$4+[1]Sheet1!$L$4,IF(AND(OR(D427="T. domingensis",D427="T. latifolia"),J427&gt;0),J427*[1]Sheet1!$G$5+K427*[1]Sheet1!$H$5+L427*[1]Sheet1!$I$5+[1]Sheet1!$L$5,0)))))))</f>
        <v>1.8590629999999999</v>
      </c>
    </row>
    <row r="428" spans="1:15">
      <c r="A428" s="6">
        <v>41774</v>
      </c>
      <c r="B428" s="7" t="s">
        <v>32</v>
      </c>
      <c r="C428">
        <v>16</v>
      </c>
      <c r="D428" t="s">
        <v>20</v>
      </c>
      <c r="E428">
        <v>25</v>
      </c>
      <c r="F428">
        <v>1.61</v>
      </c>
      <c r="N428">
        <f>IF(OR(D428="S. acutus", D428="S. tabernaemontani", D428="S. californicus"),(1/3)*(3.14159)*((F428/2)^2)*E428,"NA")</f>
        <v>16.965240497916668</v>
      </c>
      <c r="O428">
        <f>IF(AND(OR(D428="S. acutus",D428="S. californicus",D428="S. tabernaemontani"),G428=0),E428*[1]Sheet1!$D$7+[1]Sheet1!$L$7,IF(AND(OR(D428="S. acutus",D428="S. tabernaemontani"),G428&gt;0),E428*[1]Sheet1!$D$8+N428*[1]Sheet1!$E$8,IF(AND(D428="S. californicus",G428&gt;0),E428*[1]Sheet1!$D$9+N428*[1]Sheet1!$E$9,IF(D428="S.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latifolia"),E428&gt;0),F428*[1]Sheet1!$C$4+E428*[1]Sheet1!$D$4+H428*[1]Sheet1!$J$4+I428*[1]Sheet1!$K$4+[1]Sheet1!$L$4,IF(AND(OR(D428="T. domingensis",D428="T. latifolia"),J428&gt;0),J428*[1]Sheet1!$G$5+K428*[1]Sheet1!$H$5+L428*[1]Sheet1!$I$5+[1]Sheet1!$L$5,0)))))))</f>
        <v>-2.8379719999999997</v>
      </c>
    </row>
    <row r="429" spans="1:15">
      <c r="A429" s="6">
        <v>41774</v>
      </c>
      <c r="B429" s="7" t="s">
        <v>32</v>
      </c>
      <c r="C429">
        <v>16</v>
      </c>
      <c r="D429" t="s">
        <v>20</v>
      </c>
      <c r="E429">
        <v>35</v>
      </c>
      <c r="F429">
        <v>0.76</v>
      </c>
      <c r="N429">
        <f>IF(OR(D429="S. acutus", D429="S. tabernaemontani", D429="S. californicus"),(1/3)*(3.14159)*((F429/2)^2)*E429,"NA")</f>
        <v>5.2925319533333335</v>
      </c>
      <c r="O429">
        <f>IF(AND(OR(D429="S. acutus",D429="S. californicus",D429="S. tabernaemontani"),G429=0),E429*[1]Sheet1!$D$7+[1]Sheet1!$L$7,IF(AND(OR(D429="S. acutus",D429="S. tabernaemontani"),G429&gt;0),E429*[1]Sheet1!$D$8+N429*[1]Sheet1!$E$8,IF(AND(D429="S. californicus",G429&gt;0),E429*[1]Sheet1!$D$9+N429*[1]Sheet1!$E$9,IF(D429="S.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latifolia"),E429&gt;0),F429*[1]Sheet1!$C$4+E429*[1]Sheet1!$D$4+H429*[1]Sheet1!$J$4+I429*[1]Sheet1!$K$4+[1]Sheet1!$L$4,IF(AND(OR(D429="T. domingensis",D429="T. latifolia"),J429&gt;0),J429*[1]Sheet1!$G$5+K429*[1]Sheet1!$H$5+L429*[1]Sheet1!$I$5+[1]Sheet1!$L$5,0)))))))</f>
        <v>-2.1369219999999998</v>
      </c>
    </row>
    <row r="430" spans="1:15">
      <c r="A430" s="6">
        <v>41774</v>
      </c>
      <c r="B430" s="7" t="s">
        <v>32</v>
      </c>
      <c r="C430">
        <v>22</v>
      </c>
      <c r="M430" t="s">
        <v>33</v>
      </c>
      <c r="N430" t="str">
        <f>IF(OR(D430="S. acutus", D430="S. tabernaemontani", D430="S. californicus"),(1/3)*(3.14159)*((F430/2)^2)*E430,"NA")</f>
        <v>NA</v>
      </c>
      <c r="O430">
        <f>IF(AND(OR(D430="S. acutus",D430="S. californicus",D430="S. tabernaemontani"),G430=0),E430*[1]Sheet1!$D$7+[1]Sheet1!$L$7,IF(AND(OR(D430="S. acutus",D430="S. tabernaemontani"),G430&gt;0),E430*[1]Sheet1!$D$8+N430*[1]Sheet1!$E$8,IF(AND(D430="S. californicus",G430&gt;0),E430*[1]Sheet1!$D$9+N430*[1]Sheet1!$E$9,IF(D430="S.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latifolia"),E430&gt;0),F430*[1]Sheet1!$C$4+E430*[1]Sheet1!$D$4+H430*[1]Sheet1!$J$4+I430*[1]Sheet1!$K$4+[1]Sheet1!$L$4,IF(AND(OR(D430="T. domingensis",D430="T. latifolia"),J430&gt;0),J430*[1]Sheet1!$G$5+K430*[1]Sheet1!$H$5+L430*[1]Sheet1!$I$5+[1]Sheet1!$L$5,0)))))))</f>
        <v>0</v>
      </c>
    </row>
    <row r="431" spans="1:15">
      <c r="A431" s="6">
        <v>41774</v>
      </c>
      <c r="B431" s="7" t="s">
        <v>32</v>
      </c>
      <c r="C431">
        <v>34</v>
      </c>
      <c r="D431" t="s">
        <v>23</v>
      </c>
      <c r="E431">
        <v>94</v>
      </c>
      <c r="F431">
        <v>3.9</v>
      </c>
      <c r="H431">
        <v>26</v>
      </c>
      <c r="I431">
        <v>2</v>
      </c>
      <c r="N431" t="str">
        <f>IF(OR(D431="S. acutus", D431="S. tabernaemontani", D431="S. californicus"),(1/3)*(3.14159)*((F431/2)^2)*E431,"NA")</f>
        <v>NA</v>
      </c>
      <c r="O431">
        <f>IF(AND(OR(D431="S. acutus",D431="S. californicus",D431="S. tabernaemontani"),G431=0),E431*[1]Sheet1!$D$7+[1]Sheet1!$L$7,IF(AND(OR(D431="S. acutus",D431="S. tabernaemontani"),G431&gt;0),E431*[1]Sheet1!$D$8+N431*[1]Sheet1!$E$8,IF(AND(D431="S. californicus",G431&gt;0),E431*[1]Sheet1!$D$9+N431*[1]Sheet1!$E$9,IF(D431="S.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latifolia"),E431&gt;0),F431*[1]Sheet1!$C$4+E431*[1]Sheet1!$D$4+H431*[1]Sheet1!$J$4+I431*[1]Sheet1!$K$4+[1]Sheet1!$L$4,IF(AND(OR(D431="T. domingensis",D431="T. latifolia"),J431&gt;0),J431*[1]Sheet1!$G$5+K431*[1]Sheet1!$H$5+L431*[1]Sheet1!$I$5+[1]Sheet1!$L$5,0)))))))</f>
        <v>64.639384300000017</v>
      </c>
    </row>
    <row r="432" spans="1:15">
      <c r="A432" s="6">
        <v>41774</v>
      </c>
      <c r="B432" s="7" t="s">
        <v>32</v>
      </c>
      <c r="C432">
        <v>34</v>
      </c>
      <c r="D432" t="s">
        <v>19</v>
      </c>
      <c r="F432">
        <v>1.04</v>
      </c>
      <c r="J432">
        <f>36+42+57+62</f>
        <v>197</v>
      </c>
      <c r="K432">
        <v>4</v>
      </c>
      <c r="L432">
        <v>62</v>
      </c>
      <c r="N432" t="str">
        <f>IF(OR(D432="S. acutus", D432="S. tabernaemontani", D432="S. californicus"),(1/3)*(3.14159)*((F432/2)^2)*E432,"NA")</f>
        <v>NA</v>
      </c>
      <c r="O432">
        <f>IF(AND(OR(D432="S. acutus",D432="S. californicus",D432="S. tabernaemontani"),G432=0),E432*[1]Sheet1!$D$7+[1]Sheet1!$L$7,IF(AND(OR(D432="S. acutus",D432="S. tabernaemontani"),G432&gt;0),E432*[1]Sheet1!$D$8+N432*[1]Sheet1!$E$8,IF(AND(D432="S. californicus",G432&gt;0),E432*[1]Sheet1!$D$9+N432*[1]Sheet1!$E$9,IF(D432="S.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latifolia"),E432&gt;0),F432*[1]Sheet1!$C$4+E432*[1]Sheet1!$D$4+H432*[1]Sheet1!$J$4+I432*[1]Sheet1!$K$4+[1]Sheet1!$L$4,IF(AND(OR(D432="T. domingensis",D432="T. latifolia"),J432&gt;0),J432*[1]Sheet1!$G$5+K432*[1]Sheet1!$H$5+L432*[1]Sheet1!$I$5+[1]Sheet1!$L$5,0)))))))</f>
        <v>4.7401169999999979</v>
      </c>
    </row>
    <row r="433" spans="1:15">
      <c r="A433" s="6">
        <v>41774</v>
      </c>
      <c r="B433" s="7" t="s">
        <v>32</v>
      </c>
      <c r="C433">
        <v>34</v>
      </c>
      <c r="D433" t="s">
        <v>19</v>
      </c>
      <c r="F433">
        <v>1.75</v>
      </c>
      <c r="J433">
        <f>93+124+153</f>
        <v>370</v>
      </c>
      <c r="K433">
        <v>3</v>
      </c>
      <c r="L433">
        <v>153</v>
      </c>
      <c r="N433" t="str">
        <f>IF(OR(D433="S. acutus", D433="S. tabernaemontani", D433="S. californicus"),(1/3)*(3.14159)*((F433/2)^2)*E433,"NA")</f>
        <v>NA</v>
      </c>
      <c r="O433">
        <f>IF(AND(OR(D433="S. acutus",D433="S. californicus",D433="S. tabernaemontani"),G433=0),E433*[1]Sheet1!$D$7+[1]Sheet1!$L$7,IF(AND(OR(D433="S. acutus",D433="S. tabernaemontani"),G433&gt;0),E433*[1]Sheet1!$D$8+N433*[1]Sheet1!$E$8,IF(AND(D433="S. californicus",G433&gt;0),E433*[1]Sheet1!$D$9+N433*[1]Sheet1!$E$9,IF(D433="S.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latifolia"),E433&gt;0),F433*[1]Sheet1!$C$4+E433*[1]Sheet1!$D$4+H433*[1]Sheet1!$J$4+I433*[1]Sheet1!$K$4+[1]Sheet1!$L$4,IF(AND(OR(D433="T. domingensis",D433="T. latifolia"),J433&gt;0),J433*[1]Sheet1!$G$5+K433*[1]Sheet1!$H$5+L433*[1]Sheet1!$I$5+[1]Sheet1!$L$5,0)))))))</f>
        <v>0.56878999999999991</v>
      </c>
    </row>
    <row r="434" spans="1:15">
      <c r="A434" s="6">
        <v>41774</v>
      </c>
      <c r="B434" s="7" t="s">
        <v>32</v>
      </c>
      <c r="C434">
        <v>34</v>
      </c>
      <c r="D434" t="s">
        <v>19</v>
      </c>
      <c r="F434">
        <v>1.35</v>
      </c>
      <c r="J434">
        <f>35+36+41</f>
        <v>112</v>
      </c>
      <c r="K434">
        <v>3</v>
      </c>
      <c r="L434">
        <v>41</v>
      </c>
      <c r="N434" t="str">
        <f>IF(OR(D434="S. acutus", D434="S. tabernaemontani", D434="S. californicus"),(1/3)*(3.14159)*((F434/2)^2)*E434,"NA")</f>
        <v>NA</v>
      </c>
      <c r="O434">
        <f>IF(AND(OR(D434="S. acutus",D434="S. californicus",D434="S. tabernaemontani"),G434=0),E434*[1]Sheet1!$D$7+[1]Sheet1!$L$7,IF(AND(OR(D434="S. acutus",D434="S. tabernaemontani"),G434&gt;0),E434*[1]Sheet1!$D$8+N434*[1]Sheet1!$E$8,IF(AND(D434="S. californicus",G434&gt;0),E434*[1]Sheet1!$D$9+N434*[1]Sheet1!$E$9,IF(D434="S.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latifolia"),E434&gt;0),F434*[1]Sheet1!$C$4+E434*[1]Sheet1!$D$4+H434*[1]Sheet1!$J$4+I434*[1]Sheet1!$K$4+[1]Sheet1!$L$4,IF(AND(OR(D434="T. domingensis",D434="T. latifolia"),J434&gt;0),J434*[1]Sheet1!$G$5+K434*[1]Sheet1!$H$5+L434*[1]Sheet1!$I$5+[1]Sheet1!$L$5,0)))))))</f>
        <v>10.119439999999997</v>
      </c>
    </row>
    <row r="435" spans="1:15">
      <c r="A435" s="6">
        <v>41774</v>
      </c>
      <c r="B435" s="7" t="s">
        <v>32</v>
      </c>
      <c r="C435">
        <v>34</v>
      </c>
      <c r="D435" t="s">
        <v>19</v>
      </c>
      <c r="F435">
        <v>3.09</v>
      </c>
      <c r="J435">
        <f>60+69+87+95+115+117</f>
        <v>543</v>
      </c>
      <c r="K435">
        <v>6</v>
      </c>
      <c r="L435">
        <v>117</v>
      </c>
      <c r="N435" t="str">
        <f>IF(OR(D435="S. acutus", D435="S. tabernaemontani", D435="S. californicus"),(1/3)*(3.14159)*((F435/2)^2)*E435,"NA")</f>
        <v>NA</v>
      </c>
      <c r="O435">
        <f>IF(AND(OR(D435="S. acutus",D435="S. californicus",D435="S. tabernaemontani"),G435=0),E435*[1]Sheet1!$D$7+[1]Sheet1!$L$7,IF(AND(OR(D435="S. acutus",D435="S. tabernaemontani"),G435&gt;0),E435*[1]Sheet1!$D$8+N435*[1]Sheet1!$E$8,IF(AND(D435="S. californicus",G435&gt;0),E435*[1]Sheet1!$D$9+N435*[1]Sheet1!$E$9,IF(D435="S.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latifolia"),E435&gt;0),F435*[1]Sheet1!$C$4+E435*[1]Sheet1!$D$4+H435*[1]Sheet1!$J$4+I435*[1]Sheet1!$K$4+[1]Sheet1!$L$4,IF(AND(OR(D435="T. domingensis",D435="T. latifolia"),J435&gt;0),J435*[1]Sheet1!$G$5+K435*[1]Sheet1!$H$5+L435*[1]Sheet1!$I$5+[1]Sheet1!$L$5,0)))))))</f>
        <v>6.5661660000000026</v>
      </c>
    </row>
    <row r="436" spans="1:15">
      <c r="A436" s="6">
        <v>41774</v>
      </c>
      <c r="B436" s="7" t="s">
        <v>32</v>
      </c>
      <c r="C436">
        <v>34</v>
      </c>
      <c r="D436" t="s">
        <v>19</v>
      </c>
      <c r="F436">
        <v>3.11</v>
      </c>
      <c r="J436">
        <f>54+77+105+126+144+161+183+188</f>
        <v>1038</v>
      </c>
      <c r="K436">
        <v>8</v>
      </c>
      <c r="L436">
        <v>188</v>
      </c>
      <c r="N436" t="str">
        <f>IF(OR(D436="S. acutus", D436="S. tabernaemontani", D436="S. californicus"),(1/3)*(3.14159)*((F436/2)^2)*E436,"NA")</f>
        <v>NA</v>
      </c>
      <c r="O436">
        <f>IF(AND(OR(D436="S. acutus",D436="S. californicus",D436="S. tabernaemontani"),G436=0),E436*[1]Sheet1!$D$7+[1]Sheet1!$L$7,IF(AND(OR(D436="S. acutus",D436="S. tabernaemontani"),G436&gt;0),E436*[1]Sheet1!$D$8+N436*[1]Sheet1!$E$8,IF(AND(D436="S. californicus",G436&gt;0),E436*[1]Sheet1!$D$9+N436*[1]Sheet1!$E$9,IF(D436="S.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latifolia"),E436&gt;0),F436*[1]Sheet1!$C$4+E436*[1]Sheet1!$D$4+H436*[1]Sheet1!$J$4+I436*[1]Sheet1!$K$4+[1]Sheet1!$L$4,IF(AND(OR(D436="T. domingensis",D436="T. latifolia"),J436&gt;0),J436*[1]Sheet1!$G$5+K436*[1]Sheet1!$H$5+L436*[1]Sheet1!$I$5+[1]Sheet1!$L$5,0)))))))</f>
        <v>17.541789999999999</v>
      </c>
    </row>
    <row r="437" spans="1:15">
      <c r="A437" s="6">
        <v>41774</v>
      </c>
      <c r="B437" s="7" t="s">
        <v>32</v>
      </c>
      <c r="C437">
        <v>34</v>
      </c>
      <c r="D437" t="s">
        <v>19</v>
      </c>
      <c r="F437">
        <v>1.99</v>
      </c>
      <c r="J437">
        <f>49+52+80+88+102+109+129</f>
        <v>609</v>
      </c>
      <c r="K437">
        <v>7</v>
      </c>
      <c r="L437">
        <v>129</v>
      </c>
      <c r="N437" t="str">
        <f>IF(OR(D437="S. acutus", D437="S. tabernaemontani", D437="S. californicus"),(1/3)*(3.14159)*((F437/2)^2)*E437,"NA")</f>
        <v>NA</v>
      </c>
      <c r="O437">
        <f>IF(AND(OR(D437="S. acutus",D437="S. californicus",D437="S. tabernaemontani"),G437=0),E437*[1]Sheet1!$D$7+[1]Sheet1!$L$7,IF(AND(OR(D437="S. acutus",D437="S. tabernaemontani"),G437&gt;0),E437*[1]Sheet1!$D$8+N437*[1]Sheet1!$E$8,IF(AND(D437="S. californicus",G437&gt;0),E437*[1]Sheet1!$D$9+N437*[1]Sheet1!$E$9,IF(D437="S.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latifolia"),E437&gt;0),F437*[1]Sheet1!$C$4+E437*[1]Sheet1!$D$4+H437*[1]Sheet1!$J$4+I437*[1]Sheet1!$K$4+[1]Sheet1!$L$4,IF(AND(OR(D437="T. domingensis",D437="T. latifolia"),J437&gt;0),J437*[1]Sheet1!$G$5+K437*[1]Sheet1!$H$5+L437*[1]Sheet1!$I$5+[1]Sheet1!$L$5,0)))))))</f>
        <v>2.1167030000000011</v>
      </c>
    </row>
    <row r="438" spans="1:15">
      <c r="A438" s="6">
        <v>41774</v>
      </c>
      <c r="B438" s="7" t="s">
        <v>32</v>
      </c>
      <c r="C438">
        <v>34</v>
      </c>
      <c r="D438" t="s">
        <v>19</v>
      </c>
      <c r="F438">
        <v>5.2</v>
      </c>
      <c r="J438">
        <f>50+86+98+37+161+174+172+208+212+216</f>
        <v>1414</v>
      </c>
      <c r="K438">
        <v>10</v>
      </c>
      <c r="L438">
        <v>216</v>
      </c>
      <c r="N438" t="str">
        <f>IF(OR(D438="S. acutus", D438="S. tabernaemontani", D438="S. californicus"),(1/3)*(3.14159)*((F438/2)^2)*E438,"NA")</f>
        <v>NA</v>
      </c>
      <c r="O438">
        <f>IF(AND(OR(D438="S. acutus",D438="S. californicus",D438="S. tabernaemontani"),G438=0),E438*[1]Sheet1!$D$7+[1]Sheet1!$L$7,IF(AND(OR(D438="S. acutus",D438="S. tabernaemontani"),G438&gt;0),E438*[1]Sheet1!$D$8+N438*[1]Sheet1!$E$8,IF(AND(D438="S. californicus",G438&gt;0),E438*[1]Sheet1!$D$9+N438*[1]Sheet1!$E$9,IF(D438="S.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latifolia"),E438&gt;0),F438*[1]Sheet1!$C$4+E438*[1]Sheet1!$D$4+H438*[1]Sheet1!$J$4+I438*[1]Sheet1!$K$4+[1]Sheet1!$L$4,IF(AND(OR(D438="T. domingensis",D438="T. latifolia"),J438&gt;0),J438*[1]Sheet1!$G$5+K438*[1]Sheet1!$H$5+L438*[1]Sheet1!$I$5+[1]Sheet1!$L$5,0)))))))</f>
        <v>30.314104000000007</v>
      </c>
    </row>
    <row r="439" spans="1:15">
      <c r="A439" s="6">
        <v>41774</v>
      </c>
      <c r="B439" s="7" t="s">
        <v>32</v>
      </c>
      <c r="C439">
        <v>34</v>
      </c>
      <c r="D439" t="s">
        <v>19</v>
      </c>
      <c r="F439">
        <v>1.18</v>
      </c>
      <c r="J439">
        <f>25+35+36+47</f>
        <v>143</v>
      </c>
      <c r="K439">
        <v>4</v>
      </c>
      <c r="L439">
        <v>47</v>
      </c>
      <c r="N439" t="str">
        <f>IF(OR(D439="S. acutus", D439="S. tabernaemontani", D439="S. californicus"),(1/3)*(3.14159)*((F439/2)^2)*E439,"NA")</f>
        <v>NA</v>
      </c>
      <c r="O439">
        <f>IF(AND(OR(D439="S. acutus",D439="S. californicus",D439="S. tabernaemontani"),G439=0),E439*[1]Sheet1!$D$7+[1]Sheet1!$L$7,IF(AND(OR(D439="S. acutus",D439="S. tabernaemontani"),G439&gt;0),E439*[1]Sheet1!$D$8+N439*[1]Sheet1!$E$8,IF(AND(D439="S. californicus",G439&gt;0),E439*[1]Sheet1!$D$9+N439*[1]Sheet1!$E$9,IF(D439="S.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latifolia"),E439&gt;0),F439*[1]Sheet1!$C$4+E439*[1]Sheet1!$D$4+H439*[1]Sheet1!$J$4+I439*[1]Sheet1!$K$4+[1]Sheet1!$L$4,IF(AND(OR(D439="T. domingensis",D439="T. latifolia"),J439&gt;0),J439*[1]Sheet1!$G$5+K439*[1]Sheet1!$H$5+L439*[1]Sheet1!$I$5+[1]Sheet1!$L$5,0)))))))</f>
        <v>4.1960219999999993</v>
      </c>
    </row>
    <row r="440" spans="1:15">
      <c r="A440" s="6">
        <v>41774</v>
      </c>
      <c r="B440" s="7" t="s">
        <v>32</v>
      </c>
      <c r="C440">
        <v>34</v>
      </c>
      <c r="D440" t="s">
        <v>19</v>
      </c>
      <c r="F440">
        <v>2.2000000000000002</v>
      </c>
      <c r="J440">
        <f>96+64+110+162+178+200+217+228+155+182+207+225+228</f>
        <v>2252</v>
      </c>
      <c r="K440">
        <v>13</v>
      </c>
      <c r="L440">
        <v>228</v>
      </c>
      <c r="N440" t="str">
        <f>IF(OR(D440="S. acutus", D440="S. tabernaemontani", D440="S. californicus"),(1/3)*(3.14159)*((F440/2)^2)*E440,"NA")</f>
        <v>NA</v>
      </c>
      <c r="O440">
        <f>IF(AND(OR(D440="S. acutus",D440="S. californicus",D440="S. tabernaemontani"),G440=0),E440*[1]Sheet1!$D$7+[1]Sheet1!$L$7,IF(AND(OR(D440="S. acutus",D440="S. tabernaemontani"),G440&gt;0),E440*[1]Sheet1!$D$8+N440*[1]Sheet1!$E$8,IF(AND(D440="S. californicus",G440&gt;0),E440*[1]Sheet1!$D$9+N440*[1]Sheet1!$E$9,IF(D440="S.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latifolia"),E440&gt;0),F440*[1]Sheet1!$C$4+E440*[1]Sheet1!$D$4+H440*[1]Sheet1!$J$4+I440*[1]Sheet1!$K$4+[1]Sheet1!$L$4,IF(AND(OR(D440="T. domingensis",D440="T. latifolia"),J440&gt;0),J440*[1]Sheet1!$G$5+K440*[1]Sheet1!$H$5+L440*[1]Sheet1!$I$5+[1]Sheet1!$L$5,0)))))))</f>
        <v>84.198795000000018</v>
      </c>
    </row>
    <row r="441" spans="1:15">
      <c r="A441" s="6">
        <v>41774</v>
      </c>
      <c r="B441" s="7" t="s">
        <v>32</v>
      </c>
      <c r="C441">
        <v>34</v>
      </c>
      <c r="D441" t="s">
        <v>19</v>
      </c>
      <c r="F441">
        <v>3.08</v>
      </c>
      <c r="J441">
        <f>102+128+149+170+174+175+174+187+191+158</f>
        <v>1608</v>
      </c>
      <c r="K441">
        <v>10</v>
      </c>
      <c r="L441">
        <v>191</v>
      </c>
      <c r="N441" t="str">
        <f>IF(OR(D441="S. acutus", D441="S. tabernaemontani", D441="S. californicus"),(1/3)*(3.14159)*((F441/2)^2)*E441,"NA")</f>
        <v>NA</v>
      </c>
      <c r="O441">
        <f>IF(AND(OR(D441="S. acutus",D441="S. californicus",D441="S. tabernaemontani"),G441=0),E441*[1]Sheet1!$D$7+[1]Sheet1!$L$7,IF(AND(OR(D441="S. acutus",D441="S. tabernaemontani"),G441&gt;0),E441*[1]Sheet1!$D$8+N441*[1]Sheet1!$E$8,IF(AND(D441="S. californicus",G441&gt;0),E441*[1]Sheet1!$D$9+N441*[1]Sheet1!$E$9,IF(D441="S.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latifolia"),E441&gt;0),F441*[1]Sheet1!$C$4+E441*[1]Sheet1!$D$4+H441*[1]Sheet1!$J$4+I441*[1]Sheet1!$K$4+[1]Sheet1!$L$4,IF(AND(OR(D441="T. domingensis",D441="T. latifolia"),J441&gt;0),J441*[1]Sheet1!$G$5+K441*[1]Sheet1!$H$5+L441*[1]Sheet1!$I$5+[1]Sheet1!$L$5,0)))))))</f>
        <v>56.033698999999999</v>
      </c>
    </row>
    <row r="442" spans="1:15">
      <c r="A442" s="6">
        <v>41771</v>
      </c>
      <c r="B442" s="7" t="s">
        <v>30</v>
      </c>
      <c r="C442">
        <v>19</v>
      </c>
      <c r="D442" t="s">
        <v>19</v>
      </c>
      <c r="F442">
        <v>1.25</v>
      </c>
      <c r="J442">
        <f>65+65+73+93+108+140</f>
        <v>544</v>
      </c>
      <c r="K442">
        <v>6</v>
      </c>
      <c r="L442">
        <v>140</v>
      </c>
      <c r="N442" t="str">
        <f>IF(OR(D442="S. acutus", D442="S. tabernaemontani", D442="S. californicus"),(1/3)*(3.14159)*((F442/2)^2)*E442,"NA")</f>
        <v>NA</v>
      </c>
      <c r="O442">
        <f>IF(AND(OR(D442="S. acutus",D442="S. californicus",D442="S. tabernaemontani"),G442=0),E442*[1]Sheet1!$D$7+[1]Sheet1!$L$7,IF(AND(OR(D442="S. acutus",D442="S. tabernaemontani"),G442&gt;0),E442*[1]Sheet1!$D$8+N442*[1]Sheet1!$E$8,IF(AND(D442="S. californicus",G442&gt;0),E442*[1]Sheet1!$D$9+N442*[1]Sheet1!$E$9,IF(D442="S.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latifolia"),E442&gt;0),F442*[1]Sheet1!$C$4+E442*[1]Sheet1!$D$4+H442*[1]Sheet1!$J$4+I442*[1]Sheet1!$K$4+[1]Sheet1!$L$4,IF(AND(OR(D442="T. domingensis",D442="T. latifolia"),J442&gt;0),J442*[1]Sheet1!$G$5+K442*[1]Sheet1!$H$5+L442*[1]Sheet1!$I$5+[1]Sheet1!$L$5,0)))))))</f>
        <v>-0.26871399999999568</v>
      </c>
    </row>
    <row r="443" spans="1:15">
      <c r="A443" s="9">
        <v>41771</v>
      </c>
      <c r="B443" s="7" t="s">
        <v>30</v>
      </c>
      <c r="C443">
        <v>19</v>
      </c>
      <c r="D443" t="s">
        <v>19</v>
      </c>
      <c r="F443">
        <v>1.77</v>
      </c>
      <c r="J443">
        <f>34+36+30+47+138</f>
        <v>285</v>
      </c>
      <c r="K443">
        <v>5</v>
      </c>
      <c r="L443">
        <v>138</v>
      </c>
      <c r="N443" t="str">
        <f>IF(OR(D443="S. acutus", D443="S. tabernaemontani", D443="S. californicus"),(1/3)*(3.14159)*((F443/2)^2)*E443,"NA")</f>
        <v>NA</v>
      </c>
      <c r="O443">
        <f>IF(AND(OR(D443="S. acutus",D443="S. californicus",D443="S. tabernaemontani"),G443=0),E443*[1]Sheet1!$D$7+[1]Sheet1!$L$7,IF(AND(OR(D443="S. acutus",D443="S. tabernaemontani"),G443&gt;0),E443*[1]Sheet1!$D$8+N443*[1]Sheet1!$E$8,IF(AND(D443="S. californicus",G443&gt;0),E443*[1]Sheet1!$D$9+N443*[1]Sheet1!$E$9,IF(D443="S.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latifolia"),E443&gt;0),F443*[1]Sheet1!$C$4+E443*[1]Sheet1!$D$4+H443*[1]Sheet1!$J$4+I443*[1]Sheet1!$K$4+[1]Sheet1!$L$4,IF(AND(OR(D443="T. domingensis",D443="T. latifolia"),J443&gt;0),J443*[1]Sheet1!$G$5+K443*[1]Sheet1!$H$5+L443*[1]Sheet1!$I$5+[1]Sheet1!$L$5,0)))))))</f>
        <v>-16.926415999999996</v>
      </c>
    </row>
    <row r="444" spans="1:15">
      <c r="A444" s="6">
        <v>41771</v>
      </c>
      <c r="B444" s="7" t="s">
        <v>30</v>
      </c>
      <c r="C444">
        <v>19</v>
      </c>
      <c r="D444" t="s">
        <v>19</v>
      </c>
      <c r="F444">
        <v>3.52</v>
      </c>
      <c r="J444">
        <f>95+69+141+152+183+185+208+209</f>
        <v>1242</v>
      </c>
      <c r="K444">
        <v>8</v>
      </c>
      <c r="L444">
        <v>209</v>
      </c>
      <c r="N444" t="str">
        <f>IF(OR(D444="S. acutus", D444="S. tabernaemontani", D444="S. californicus"),(1/3)*(3.14159)*((F444/2)^2)*E444,"NA")</f>
        <v>NA</v>
      </c>
      <c r="O444">
        <f>IF(AND(OR(D444="S. acutus",D444="S. californicus",D444="S. tabernaemontani"),G444=0),E444*[1]Sheet1!$D$7+[1]Sheet1!$L$7,IF(AND(OR(D444="S. acutus",D444="S. tabernaemontani"),G444&gt;0),E444*[1]Sheet1!$D$8+N444*[1]Sheet1!$E$8,IF(AND(D444="S. californicus",G444&gt;0),E444*[1]Sheet1!$D$9+N444*[1]Sheet1!$E$9,IF(D444="S.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latifolia"),E444&gt;0),F444*[1]Sheet1!$C$4+E444*[1]Sheet1!$D$4+H444*[1]Sheet1!$J$4+I444*[1]Sheet1!$K$4+[1]Sheet1!$L$4,IF(AND(OR(D444="T. domingensis",D444="T. latifolia"),J444&gt;0),J444*[1]Sheet1!$G$5+K444*[1]Sheet1!$H$5+L444*[1]Sheet1!$I$5+[1]Sheet1!$L$5,0)))))))</f>
        <v>30.341665000000013</v>
      </c>
    </row>
    <row r="445" spans="1:15">
      <c r="A445" s="9">
        <v>41771</v>
      </c>
      <c r="B445" s="7" t="s">
        <v>30</v>
      </c>
      <c r="C445">
        <v>19</v>
      </c>
      <c r="D445" t="s">
        <v>19</v>
      </c>
      <c r="F445">
        <v>2.56</v>
      </c>
      <c r="J445">
        <f>37+70+84+75+86+113+165+144+152+156</f>
        <v>1082</v>
      </c>
      <c r="K445">
        <v>10</v>
      </c>
      <c r="L445">
        <v>156</v>
      </c>
      <c r="N445" t="str">
        <f>IF(OR(D445="S. acutus", D445="S. tabernaemontani", D445="S. californicus"),(1/3)*(3.14159)*((F445/2)^2)*E445,"NA")</f>
        <v>NA</v>
      </c>
      <c r="O445">
        <f>IF(AND(OR(D445="S. acutus",D445="S. californicus",D445="S. tabernaemontani"),G445=0),E445*[1]Sheet1!$D$7+[1]Sheet1!$L$7,IF(AND(OR(D445="S. acutus",D445="S. tabernaemontani"),G445&gt;0),E445*[1]Sheet1!$D$8+N445*[1]Sheet1!$E$8,IF(AND(D445="S. californicus",G445&gt;0),E445*[1]Sheet1!$D$9+N445*[1]Sheet1!$E$9,IF(D445="S.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latifolia"),E445&gt;0),F445*[1]Sheet1!$C$4+E445*[1]Sheet1!$D$4+H445*[1]Sheet1!$J$4+I445*[1]Sheet1!$K$4+[1]Sheet1!$L$4,IF(AND(OR(D445="T. domingensis",D445="T. latifolia"),J445&gt;0),J445*[1]Sheet1!$G$5+K445*[1]Sheet1!$H$5+L445*[1]Sheet1!$I$5+[1]Sheet1!$L$5,0)))))))</f>
        <v>17.262144000000013</v>
      </c>
    </row>
    <row r="446" spans="1:15">
      <c r="A446" s="6">
        <v>41771</v>
      </c>
      <c r="B446" s="7" t="s">
        <v>30</v>
      </c>
      <c r="C446">
        <v>19</v>
      </c>
      <c r="D446" t="s">
        <v>19</v>
      </c>
      <c r="F446">
        <v>2.27</v>
      </c>
      <c r="J446">
        <f>86+142+145+178+181+207+213</f>
        <v>1152</v>
      </c>
      <c r="K446">
        <v>7</v>
      </c>
      <c r="L446">
        <v>213</v>
      </c>
      <c r="N446" t="str">
        <f>IF(OR(D446="S. acutus", D446="S. tabernaemontani", D446="S. californicus"),(1/3)*(3.14159)*((F446/2)^2)*E446,"NA")</f>
        <v>NA</v>
      </c>
      <c r="O446">
        <f>IF(AND(OR(D446="S. acutus",D446="S. californicus",D446="S. tabernaemontani"),G446=0),E446*[1]Sheet1!$D$7+[1]Sheet1!$L$7,IF(AND(OR(D446="S. acutus",D446="S. tabernaemontani"),G446&gt;0),E446*[1]Sheet1!$D$8+N446*[1]Sheet1!$E$8,IF(AND(D446="S. californicus",G446&gt;0),E446*[1]Sheet1!$D$9+N446*[1]Sheet1!$E$9,IF(D446="S.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latifolia"),E446&gt;0),F446*[1]Sheet1!$C$4+E446*[1]Sheet1!$D$4+H446*[1]Sheet1!$J$4+I446*[1]Sheet1!$K$4+[1]Sheet1!$L$4,IF(AND(OR(D446="T. domingensis",D446="T. latifolia"),J446&gt;0),J446*[1]Sheet1!$G$5+K446*[1]Sheet1!$H$5+L446*[1]Sheet1!$I$5+[1]Sheet1!$L$5,0)))))))</f>
        <v>27.721088000000016</v>
      </c>
    </row>
    <row r="447" spans="1:15">
      <c r="A447" s="9">
        <v>41771</v>
      </c>
      <c r="B447" s="7" t="s">
        <v>30</v>
      </c>
      <c r="C447">
        <v>19</v>
      </c>
      <c r="D447" t="s">
        <v>19</v>
      </c>
      <c r="F447">
        <v>2</v>
      </c>
      <c r="J447">
        <f>69+85+107+127+142</f>
        <v>530</v>
      </c>
      <c r="K447">
        <v>5</v>
      </c>
      <c r="L447">
        <v>142</v>
      </c>
      <c r="N447" t="str">
        <f>IF(OR(D447="S. acutus", D447="S. tabernaemontani", D447="S. californicus"),(1/3)*(3.14159)*((F447/2)^2)*E447,"NA")</f>
        <v>NA</v>
      </c>
      <c r="O447">
        <f>IF(AND(OR(D447="S. acutus",D447="S. californicus",D447="S. tabernaemontani"),G447=0),E447*[1]Sheet1!$D$7+[1]Sheet1!$L$7,IF(AND(OR(D447="S. acutus",D447="S. tabernaemontani"),G447&gt;0),E447*[1]Sheet1!$D$8+N447*[1]Sheet1!$E$8,IF(AND(D447="S. californicus",G447&gt;0),E447*[1]Sheet1!$D$9+N447*[1]Sheet1!$E$9,IF(D447="S.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latifolia"),E447&gt;0),F447*[1]Sheet1!$C$4+E447*[1]Sheet1!$D$4+H447*[1]Sheet1!$J$4+I447*[1]Sheet1!$K$4+[1]Sheet1!$L$4,IF(AND(OR(D447="T. domingensis",D447="T. latifolia"),J447&gt;0),J447*[1]Sheet1!$G$5+K447*[1]Sheet1!$H$5+L447*[1]Sheet1!$I$5+[1]Sheet1!$L$5,0)))))))</f>
        <v>4.8385790000000028</v>
      </c>
    </row>
    <row r="448" spans="1:15">
      <c r="A448" s="6">
        <v>41771</v>
      </c>
      <c r="B448" s="7" t="s">
        <v>30</v>
      </c>
      <c r="C448">
        <v>19</v>
      </c>
      <c r="D448" t="s">
        <v>19</v>
      </c>
      <c r="F448">
        <v>1.93</v>
      </c>
      <c r="J448">
        <f>63+45+113+151+134+154+162</f>
        <v>822</v>
      </c>
      <c r="K448">
        <v>7</v>
      </c>
      <c r="L448">
        <v>162</v>
      </c>
      <c r="N448" t="str">
        <f>IF(OR(D448="S. acutus", D448="S. tabernaemontani", D448="S. californicus"),(1/3)*(3.14159)*((F448/2)^2)*E448,"NA")</f>
        <v>NA</v>
      </c>
      <c r="O448">
        <f>IF(AND(OR(D448="S. acutus",D448="S. californicus",D448="S. tabernaemontani"),G448=0),E448*[1]Sheet1!$D$7+[1]Sheet1!$L$7,IF(AND(OR(D448="S. acutus",D448="S. tabernaemontani"),G448&gt;0),E448*[1]Sheet1!$D$8+N448*[1]Sheet1!$E$8,IF(AND(D448="S. californicus",G448&gt;0),E448*[1]Sheet1!$D$9+N448*[1]Sheet1!$E$9,IF(D448="S.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latifolia"),E448&gt;0),F448*[1]Sheet1!$C$4+E448*[1]Sheet1!$D$4+H448*[1]Sheet1!$J$4+I448*[1]Sheet1!$K$4+[1]Sheet1!$L$4,IF(AND(OR(D448="T. domingensis",D448="T. latifolia"),J448&gt;0),J448*[1]Sheet1!$G$5+K448*[1]Sheet1!$H$5+L448*[1]Sheet1!$I$5+[1]Sheet1!$L$5,0)))))))</f>
        <v>12.145432999999997</v>
      </c>
    </row>
    <row r="449" spans="1:15">
      <c r="A449" s="6">
        <v>41771</v>
      </c>
      <c r="B449" s="7" t="s">
        <v>30</v>
      </c>
      <c r="C449">
        <v>19</v>
      </c>
      <c r="D449" t="s">
        <v>19</v>
      </c>
      <c r="F449">
        <v>2.44</v>
      </c>
      <c r="J449">
        <f>52+87+115+138+156+162+80</f>
        <v>790</v>
      </c>
      <c r="K449">
        <v>7</v>
      </c>
      <c r="L449">
        <v>162</v>
      </c>
      <c r="N449" t="str">
        <f>IF(OR(D449="S. acutus", D449="S. tabernaemontani", D449="S. californicus"),(1/3)*(3.14159)*((F449/2)^2)*E449,"NA")</f>
        <v>NA</v>
      </c>
      <c r="O449">
        <f>IF(AND(OR(D449="S. acutus",D449="S. californicus",D449="S. tabernaemontani"),G449=0),E449*[1]Sheet1!$D$7+[1]Sheet1!$L$7,IF(AND(OR(D449="S. acutus",D449="S. tabernaemontani"),G449&gt;0),E449*[1]Sheet1!$D$8+N449*[1]Sheet1!$E$8,IF(AND(D449="S. californicus",G449&gt;0),E449*[1]Sheet1!$D$9+N449*[1]Sheet1!$E$9,IF(D449="S.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latifolia"),E449&gt;0),F449*[1]Sheet1!$C$4+E449*[1]Sheet1!$D$4+H449*[1]Sheet1!$J$4+I449*[1]Sheet1!$K$4+[1]Sheet1!$L$4,IF(AND(OR(D449="T. domingensis",D449="T. latifolia"),J449&gt;0),J449*[1]Sheet1!$G$5+K449*[1]Sheet1!$H$5+L449*[1]Sheet1!$I$5+[1]Sheet1!$L$5,0)))))))</f>
        <v>9.1452730000000031</v>
      </c>
    </row>
    <row r="450" spans="1:15">
      <c r="A450" s="9">
        <v>41771</v>
      </c>
      <c r="B450" s="7" t="s">
        <v>30</v>
      </c>
      <c r="C450">
        <v>19</v>
      </c>
      <c r="D450" t="s">
        <v>19</v>
      </c>
      <c r="F450">
        <v>7.08</v>
      </c>
      <c r="J450">
        <f>84+129+124+158+167+195+195+218+219</f>
        <v>1489</v>
      </c>
      <c r="K450">
        <v>9</v>
      </c>
      <c r="L450">
        <v>219</v>
      </c>
      <c r="N450" t="str">
        <f>IF(OR(D450="S. acutus", D450="S. tabernaemontani", D450="S. californicus"),(1/3)*(3.14159)*((F450/2)^2)*E450,"NA")</f>
        <v>NA</v>
      </c>
      <c r="O450">
        <f>IF(AND(OR(D450="S. acutus",D450="S. californicus",D450="S. tabernaemontani"),G450=0),E450*[1]Sheet1!$D$7+[1]Sheet1!$L$7,IF(AND(OR(D450="S. acutus",D450="S. tabernaemontani"),G450&gt;0),E450*[1]Sheet1!$D$8+N450*[1]Sheet1!$E$8,IF(AND(D450="S. californicus",G450&gt;0),E450*[1]Sheet1!$D$9+N450*[1]Sheet1!$E$9,IF(D450="S.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latifolia"),E450&gt;0),F450*[1]Sheet1!$C$4+E450*[1]Sheet1!$D$4+H450*[1]Sheet1!$J$4+I450*[1]Sheet1!$K$4+[1]Sheet1!$L$4,IF(AND(OR(D450="T. domingensis",D450="T. latifolia"),J450&gt;0),J450*[1]Sheet1!$G$5+K450*[1]Sheet1!$H$5+L450*[1]Sheet1!$I$5+[1]Sheet1!$L$5,0)))))))</f>
        <v>43.464347000000011</v>
      </c>
    </row>
    <row r="451" spans="1:15">
      <c r="A451" s="6">
        <v>41771</v>
      </c>
      <c r="B451" s="7" t="s">
        <v>30</v>
      </c>
      <c r="C451">
        <v>19</v>
      </c>
      <c r="D451" t="s">
        <v>19</v>
      </c>
      <c r="F451">
        <v>2.56</v>
      </c>
      <c r="J451">
        <f>66+73+118+63+67+200+207</f>
        <v>794</v>
      </c>
      <c r="K451">
        <v>7</v>
      </c>
      <c r="L451">
        <v>207</v>
      </c>
      <c r="N451" t="str">
        <f>IF(OR(D451="S. acutus", D451="S. tabernaemontani", D451="S. californicus"),(1/3)*(3.14159)*((F451/2)^2)*E451,"NA")</f>
        <v>NA</v>
      </c>
      <c r="O451">
        <f>IF(AND(OR(D451="S. acutus",D451="S. californicus",D451="S. tabernaemontani"),G451=0),E451*[1]Sheet1!$D$7+[1]Sheet1!$L$7,IF(AND(OR(D451="S. acutus",D451="S. tabernaemontani"),G451&gt;0),E451*[1]Sheet1!$D$8+N451*[1]Sheet1!$E$8,IF(AND(D451="S. californicus",G451&gt;0),E451*[1]Sheet1!$D$9+N451*[1]Sheet1!$E$9,IF(D451="S.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latifolia"),E451&gt;0),F451*[1]Sheet1!$C$4+E451*[1]Sheet1!$D$4+H451*[1]Sheet1!$J$4+I451*[1]Sheet1!$K$4+[1]Sheet1!$L$4,IF(AND(OR(D451="T. domingensis",D451="T. latifolia"),J451&gt;0),J451*[1]Sheet1!$G$5+K451*[1]Sheet1!$H$5+L451*[1]Sheet1!$I$5+[1]Sheet1!$L$5,0)))))))</f>
        <v>-4.0357319999999888</v>
      </c>
    </row>
    <row r="452" spans="1:15">
      <c r="A452" s="9">
        <v>41771</v>
      </c>
      <c r="B452" s="7" t="s">
        <v>30</v>
      </c>
      <c r="C452">
        <v>19</v>
      </c>
      <c r="D452" t="s">
        <v>19</v>
      </c>
      <c r="F452">
        <v>2.21</v>
      </c>
      <c r="J452">
        <f>66+80+115+157+250+171</f>
        <v>839</v>
      </c>
      <c r="K452">
        <v>6</v>
      </c>
      <c r="L452">
        <v>250</v>
      </c>
      <c r="N452" t="str">
        <f>IF(OR(D452="S. acutus", D452="S. tabernaemontani", D452="S. californicus"),(1/3)*(3.14159)*((F452/2)^2)*E452,"NA")</f>
        <v>NA</v>
      </c>
      <c r="O452">
        <f>IF(AND(OR(D452="S. acutus",D452="S. californicus",D452="S. tabernaemontani"),G452=0),E452*[1]Sheet1!$D$7+[1]Sheet1!$L$7,IF(AND(OR(D452="S. acutus",D452="S. tabernaemontani"),G452&gt;0),E452*[1]Sheet1!$D$8+N452*[1]Sheet1!$E$8,IF(AND(D452="S. californicus",G452&gt;0),E452*[1]Sheet1!$D$9+N452*[1]Sheet1!$E$9,IF(D452="S.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latifolia"),E452&gt;0),F452*[1]Sheet1!$C$4+E452*[1]Sheet1!$D$4+H452*[1]Sheet1!$J$4+I452*[1]Sheet1!$K$4+[1]Sheet1!$L$4,IF(AND(OR(D452="T. domingensis",D452="T. latifolia"),J452&gt;0),J452*[1]Sheet1!$G$5+K452*[1]Sheet1!$H$5+L452*[1]Sheet1!$I$5+[1]Sheet1!$L$5,0)))))))</f>
        <v>-5.7479389999999952</v>
      </c>
    </row>
    <row r="453" spans="1:15">
      <c r="A453" s="6">
        <v>41771</v>
      </c>
      <c r="B453" s="7" t="s">
        <v>30</v>
      </c>
      <c r="C453">
        <v>19</v>
      </c>
      <c r="D453" t="s">
        <v>19</v>
      </c>
      <c r="F453">
        <v>2.85</v>
      </c>
      <c r="J453">
        <f>74+119+130+148+161+172+182</f>
        <v>986</v>
      </c>
      <c r="K453">
        <v>7</v>
      </c>
      <c r="L453">
        <v>182</v>
      </c>
      <c r="N453" t="str">
        <f>IF(OR(D453="S. acutus", D453="S. tabernaemontani", D453="S. californicus"),(1/3)*(3.14159)*((F453/2)^2)*E453,"NA")</f>
        <v>NA</v>
      </c>
      <c r="O453">
        <f>IF(AND(OR(D453="S. acutus",D453="S. californicus",D453="S. tabernaemontani"),G453=0),E453*[1]Sheet1!$D$7+[1]Sheet1!$L$7,IF(AND(OR(D453="S. acutus",D453="S. tabernaemontani"),G453&gt;0),E453*[1]Sheet1!$D$8+N453*[1]Sheet1!$E$8,IF(AND(D453="S. californicus",G453&gt;0),E453*[1]Sheet1!$D$9+N453*[1]Sheet1!$E$9,IF(D453="S.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latifolia"),E453&gt;0),F453*[1]Sheet1!$C$4+E453*[1]Sheet1!$D$4+H453*[1]Sheet1!$J$4+I453*[1]Sheet1!$K$4+[1]Sheet1!$L$4,IF(AND(OR(D453="T. domingensis",D453="T. latifolia"),J453&gt;0),J453*[1]Sheet1!$G$5+K453*[1]Sheet1!$H$5+L453*[1]Sheet1!$I$5+[1]Sheet1!$L$5,0)))))))</f>
        <v>21.496353000000006</v>
      </c>
    </row>
    <row r="454" spans="1:15">
      <c r="A454" s="6">
        <v>41771</v>
      </c>
      <c r="B454" s="7" t="s">
        <v>30</v>
      </c>
      <c r="C454">
        <v>19</v>
      </c>
      <c r="D454" t="s">
        <v>19</v>
      </c>
      <c r="F454">
        <v>2.2999999999999998</v>
      </c>
      <c r="J454">
        <f>59+98+100+137+161+175+188+189</f>
        <v>1107</v>
      </c>
      <c r="K454">
        <v>8</v>
      </c>
      <c r="L454">
        <v>189</v>
      </c>
      <c r="N454" t="str">
        <f>IF(OR(D454="S. acutus", D454="S. tabernaemontani", D454="S. californicus"),(1/3)*(3.14159)*((F454/2)^2)*E454,"NA")</f>
        <v>NA</v>
      </c>
      <c r="O454">
        <f>IF(AND(OR(D454="S. acutus",D454="S. californicus",D454="S. tabernaemontani"),G454=0),E454*[1]Sheet1!$D$7+[1]Sheet1!$L$7,IF(AND(OR(D454="S. acutus",D454="S. tabernaemontani"),G454&gt;0),E454*[1]Sheet1!$D$8+N454*[1]Sheet1!$E$8,IF(AND(D454="S. californicus",G454&gt;0),E454*[1]Sheet1!$D$9+N454*[1]Sheet1!$E$9,IF(D454="S.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latifolia"),E454&gt;0),F454*[1]Sheet1!$C$4+E454*[1]Sheet1!$D$4+H454*[1]Sheet1!$J$4+I454*[1]Sheet1!$K$4+[1]Sheet1!$L$4,IF(AND(OR(D454="T. domingensis",D454="T. latifolia"),J454&gt;0),J454*[1]Sheet1!$G$5+K454*[1]Sheet1!$H$5+L454*[1]Sheet1!$I$5+[1]Sheet1!$L$5,0)))))))</f>
        <v>23.709640000000007</v>
      </c>
    </row>
    <row r="455" spans="1:15">
      <c r="A455" s="9">
        <v>41771</v>
      </c>
      <c r="B455" s="7" t="s">
        <v>30</v>
      </c>
      <c r="C455">
        <v>19</v>
      </c>
      <c r="D455" t="s">
        <v>19</v>
      </c>
      <c r="F455">
        <v>6.56</v>
      </c>
      <c r="J455">
        <f>73+98+200+201+105+116+114+110+111+146+150+189+187+153+219+233+231</f>
        <v>2636</v>
      </c>
      <c r="K455">
        <v>17</v>
      </c>
      <c r="L455">
        <v>233</v>
      </c>
      <c r="N455" t="str">
        <f>IF(OR(D455="S. acutus", D455="S. tabernaemontani", D455="S. californicus"),(1/3)*(3.14159)*((F455/2)^2)*E455,"NA")</f>
        <v>NA</v>
      </c>
      <c r="O455">
        <f>IF(AND(OR(D455="S. acutus",D455="S. californicus",D455="S. tabernaemontani"),G455=0),E455*[1]Sheet1!$D$7+[1]Sheet1!$L$7,IF(AND(OR(D455="S. acutus",D455="S. tabernaemontani"),G455&gt;0),E455*[1]Sheet1!$D$8+N455*[1]Sheet1!$E$8,IF(AND(D455="S. californicus",G455&gt;0),E455*[1]Sheet1!$D$9+N455*[1]Sheet1!$E$9,IF(D455="S.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latifolia"),E455&gt;0),F455*[1]Sheet1!$C$4+E455*[1]Sheet1!$D$4+H455*[1]Sheet1!$J$4+I455*[1]Sheet1!$K$4+[1]Sheet1!$L$4,IF(AND(OR(D455="T. domingensis",D455="T. latifolia"),J455&gt;0),J455*[1]Sheet1!$G$5+K455*[1]Sheet1!$H$5+L455*[1]Sheet1!$I$5+[1]Sheet1!$L$5,0)))))))</f>
        <v>90.60507800000002</v>
      </c>
    </row>
    <row r="456" spans="1:15">
      <c r="A456" s="6">
        <v>41771</v>
      </c>
      <c r="B456" s="7" t="s">
        <v>30</v>
      </c>
      <c r="C456">
        <v>19</v>
      </c>
      <c r="D456" t="s">
        <v>19</v>
      </c>
      <c r="F456">
        <v>1.94</v>
      </c>
      <c r="J456">
        <f>77+95+114+137+149+75+95</f>
        <v>742</v>
      </c>
      <c r="K456">
        <v>7</v>
      </c>
      <c r="L456">
        <v>149</v>
      </c>
      <c r="N456" t="str">
        <f>IF(OR(D456="S. acutus", D456="S. tabernaemontani", D456="S. californicus"),(1/3)*(3.14159)*((F456/2)^2)*E456,"NA")</f>
        <v>NA</v>
      </c>
      <c r="O456">
        <f>IF(AND(OR(D456="S. acutus",D456="S. californicus",D456="S. tabernaemontani"),G456=0),E456*[1]Sheet1!$D$7+[1]Sheet1!$L$7,IF(AND(OR(D456="S. acutus",D456="S. tabernaemontani"),G456&gt;0),E456*[1]Sheet1!$D$8+N456*[1]Sheet1!$E$8,IF(AND(D456="S. californicus",G456&gt;0),E456*[1]Sheet1!$D$9+N456*[1]Sheet1!$E$9,IF(D456="S.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latifolia"),E456&gt;0),F456*[1]Sheet1!$C$4+E456*[1]Sheet1!$D$4+H456*[1]Sheet1!$J$4+I456*[1]Sheet1!$K$4+[1]Sheet1!$L$4,IF(AND(OR(D456="T. domingensis",D456="T. latifolia"),J456&gt;0),J456*[1]Sheet1!$G$5+K456*[1]Sheet1!$H$5+L456*[1]Sheet1!$I$5+[1]Sheet1!$L$5,0)))))))</f>
        <v>8.5612180000000038</v>
      </c>
    </row>
    <row r="457" spans="1:15">
      <c r="A457" s="6">
        <v>41771</v>
      </c>
      <c r="B457" s="7" t="s">
        <v>30</v>
      </c>
      <c r="C457">
        <v>26</v>
      </c>
      <c r="D457" t="s">
        <v>20</v>
      </c>
      <c r="E457">
        <v>120</v>
      </c>
      <c r="F457">
        <v>1.93</v>
      </c>
      <c r="N457">
        <f>IF(OR(D457="S. acutus", D457="S. tabernaemontani", D457="S. californicus"),(1/3)*(3.14159)*((F457/2)^2)*E457,"NA")</f>
        <v>117.02108590999998</v>
      </c>
      <c r="O457">
        <f>IF(AND(OR(D457="S. acutus",D457="S. californicus",D457="S. tabernaemontani"),G457=0),E457*[1]Sheet1!$D$7+[1]Sheet1!$L$7,IF(AND(OR(D457="S. acutus",D457="S. tabernaemontani"),G457&gt;0),E457*[1]Sheet1!$D$8+N457*[1]Sheet1!$E$8,IF(AND(D457="S. californicus",G457&gt;0),E457*[1]Sheet1!$D$9+N457*[1]Sheet1!$E$9,IF(D457="S.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latifolia"),E457&gt;0),F457*[1]Sheet1!$C$4+E457*[1]Sheet1!$D$4+H457*[1]Sheet1!$J$4+I457*[1]Sheet1!$K$4+[1]Sheet1!$L$4,IF(AND(OR(D457="T. domingensis",D457="T. latifolia"),J457&gt;0),J457*[1]Sheet1!$G$5+K457*[1]Sheet1!$H$5+L457*[1]Sheet1!$I$5+[1]Sheet1!$L$5,0)))))))</f>
        <v>3.8220029999999996</v>
      </c>
    </row>
    <row r="458" spans="1:15">
      <c r="A458" s="9">
        <v>41771</v>
      </c>
      <c r="B458" s="7" t="s">
        <v>30</v>
      </c>
      <c r="C458">
        <v>26</v>
      </c>
      <c r="D458" t="s">
        <v>20</v>
      </c>
      <c r="E458">
        <v>173</v>
      </c>
      <c r="F458">
        <v>1.66</v>
      </c>
      <c r="N458">
        <f>IF(OR(D458="S. acutus", D458="S. tabernaemontani", D458="S. californicus"),(1/3)*(3.14159)*((F458/2)^2)*E458,"NA")</f>
        <v>124.8045845743333</v>
      </c>
      <c r="O458">
        <f>IF(AND(OR(D458="S. acutus",D458="S. californicus",D458="S. tabernaemontani"),G458=0),E458*[1]Sheet1!$D$7+[1]Sheet1!$L$7,IF(AND(OR(D458="S. acutus",D458="S. tabernaemontani"),G458&gt;0),E458*[1]Sheet1!$D$8+N458*[1]Sheet1!$E$8,IF(AND(D458="S. californicus",G458&gt;0),E458*[1]Sheet1!$D$9+N458*[1]Sheet1!$E$9,IF(D458="S.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latifolia"),E458&gt;0),F458*[1]Sheet1!$C$4+E458*[1]Sheet1!$D$4+H458*[1]Sheet1!$J$4+I458*[1]Sheet1!$K$4+[1]Sheet1!$L$4,IF(AND(OR(D458="T. domingensis",D458="T. latifolia"),J458&gt;0),J458*[1]Sheet1!$G$5+K458*[1]Sheet1!$H$5+L458*[1]Sheet1!$I$5+[1]Sheet1!$L$5,0)))))))</f>
        <v>7.5375680000000012</v>
      </c>
    </row>
    <row r="459" spans="1:15">
      <c r="A459" s="9">
        <v>41771</v>
      </c>
      <c r="B459" s="7" t="s">
        <v>30</v>
      </c>
      <c r="C459">
        <v>26</v>
      </c>
      <c r="D459" t="s">
        <v>20</v>
      </c>
      <c r="E459">
        <v>244</v>
      </c>
      <c r="F459">
        <v>2.29</v>
      </c>
      <c r="N459">
        <f>IF(OR(D459="S. acutus", D459="S. tabernaemontani", D459="S. californicus"),(1/3)*(3.14159)*((F459/2)^2)*E459,"NA")</f>
        <v>334.98784641966665</v>
      </c>
      <c r="O459">
        <f>IF(AND(OR(D459="S. acutus",D459="S. californicus",D459="S. tabernaemontani"),G459=0),E459*[1]Sheet1!$D$7+[1]Sheet1!$L$7,IF(AND(OR(D459="S. acutus",D459="S. tabernaemontani"),G459&gt;0),E459*[1]Sheet1!$D$8+N459*[1]Sheet1!$E$8,IF(AND(D459="S. californicus",G459&gt;0),E459*[1]Sheet1!$D$9+N459*[1]Sheet1!$E$9,IF(D459="S.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latifolia"),E459&gt;0),F459*[1]Sheet1!$C$4+E459*[1]Sheet1!$D$4+H459*[1]Sheet1!$J$4+I459*[1]Sheet1!$K$4+[1]Sheet1!$L$4,IF(AND(OR(D459="T. domingensis",D459="T. latifolia"),J459&gt;0),J459*[1]Sheet1!$G$5+K459*[1]Sheet1!$H$5+L459*[1]Sheet1!$I$5+[1]Sheet1!$L$5,0)))))))</f>
        <v>12.515023000000003</v>
      </c>
    </row>
    <row r="460" spans="1:15">
      <c r="A460" s="6">
        <v>41771</v>
      </c>
      <c r="B460" s="7" t="s">
        <v>30</v>
      </c>
      <c r="C460">
        <v>26</v>
      </c>
      <c r="D460" t="s">
        <v>20</v>
      </c>
      <c r="E460">
        <v>225</v>
      </c>
      <c r="F460">
        <v>1.96</v>
      </c>
      <c r="N460">
        <f>IF(OR(D460="S. acutus", D460="S. tabernaemontani", D460="S. californicus"),(1/3)*(3.14159)*((F460/2)^2)*E460,"NA")</f>
        <v>226.28872769999995</v>
      </c>
      <c r="O460">
        <f>IF(AND(OR(D460="S. acutus",D460="S. californicus",D460="S. tabernaemontani"),G460=0),E460*[1]Sheet1!$D$7+[1]Sheet1!$L$7,IF(AND(OR(D460="S. acutus",D460="S. tabernaemontani"),G460&gt;0),E460*[1]Sheet1!$D$8+N460*[1]Sheet1!$E$8,IF(AND(D460="S. californicus",G460&gt;0),E460*[1]Sheet1!$D$9+N460*[1]Sheet1!$E$9,IF(D460="S.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latifolia"),E460&gt;0),F460*[1]Sheet1!$C$4+E460*[1]Sheet1!$D$4+H460*[1]Sheet1!$J$4+I460*[1]Sheet1!$K$4+[1]Sheet1!$L$4,IF(AND(OR(D460="T. domingensis",D460="T. latifolia"),J460&gt;0),J460*[1]Sheet1!$G$5+K460*[1]Sheet1!$H$5+L460*[1]Sheet1!$I$5+[1]Sheet1!$L$5,0)))))))</f>
        <v>11.183028</v>
      </c>
    </row>
    <row r="461" spans="1:15">
      <c r="A461" s="9">
        <v>41771</v>
      </c>
      <c r="B461" s="7" t="s">
        <v>30</v>
      </c>
      <c r="C461">
        <v>26</v>
      </c>
      <c r="D461" t="s">
        <v>20</v>
      </c>
      <c r="E461">
        <v>83</v>
      </c>
      <c r="F461">
        <v>0.71</v>
      </c>
      <c r="N461">
        <f>IF(OR(D461="S. acutus", D461="S. tabernaemontani", D461="S. californicus"),(1/3)*(3.14159)*((F461/2)^2)*E461,"NA")</f>
        <v>10.953755673083332</v>
      </c>
      <c r="O461">
        <f>IF(AND(OR(D461="S. acutus",D461="S. californicus",D461="S. tabernaemontani"),G461=0),E461*[1]Sheet1!$D$7+[1]Sheet1!$L$7,IF(AND(OR(D461="S. acutus",D461="S. tabernaemontani"),G461&gt;0),E461*[1]Sheet1!$D$8+N461*[1]Sheet1!$E$8,IF(AND(D461="S. californicus",G461&gt;0),E461*[1]Sheet1!$D$9+N461*[1]Sheet1!$E$9,IF(D461="S.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latifolia"),E461&gt;0),F461*[1]Sheet1!$C$4+E461*[1]Sheet1!$D$4+H461*[1]Sheet1!$J$4+I461*[1]Sheet1!$K$4+[1]Sheet1!$L$4,IF(AND(OR(D461="T. domingensis",D461="T. latifolia"),J461&gt;0),J461*[1]Sheet1!$G$5+K461*[1]Sheet1!$H$5+L461*[1]Sheet1!$I$5+[1]Sheet1!$L$5,0)))))))</f>
        <v>1.2281180000000003</v>
      </c>
    </row>
    <row r="462" spans="1:15">
      <c r="A462" s="6">
        <v>41771</v>
      </c>
      <c r="B462" s="7" t="s">
        <v>30</v>
      </c>
      <c r="C462">
        <v>26</v>
      </c>
      <c r="D462" t="s">
        <v>20</v>
      </c>
      <c r="E462">
        <v>189</v>
      </c>
      <c r="F462">
        <v>1.67</v>
      </c>
      <c r="N462">
        <f>IF(OR(D462="S. acutus", D462="S. tabernaemontani", D462="S. californicus"),(1/3)*(3.14159)*((F462/2)^2)*E462,"NA")</f>
        <v>137.99489052824998</v>
      </c>
      <c r="O462">
        <f>IF(AND(OR(D462="S. acutus",D462="S. californicus",D462="S. tabernaemontani"),G462=0),E462*[1]Sheet1!$D$7+[1]Sheet1!$L$7,IF(AND(OR(D462="S. acutus",D462="S. tabernaemontani"),G462&gt;0),E462*[1]Sheet1!$D$8+N462*[1]Sheet1!$E$8,IF(AND(D462="S. californicus",G462&gt;0),E462*[1]Sheet1!$D$9+N462*[1]Sheet1!$E$9,IF(D462="S.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latifolia"),E462&gt;0),F462*[1]Sheet1!$C$4+E462*[1]Sheet1!$D$4+H462*[1]Sheet1!$J$4+I462*[1]Sheet1!$K$4+[1]Sheet1!$L$4,IF(AND(OR(D462="T. domingensis",D462="T. latifolia"),J462&gt;0),J462*[1]Sheet1!$G$5+K462*[1]Sheet1!$H$5+L462*[1]Sheet1!$I$5+[1]Sheet1!$L$5,0)))))))</f>
        <v>8.6592480000000016</v>
      </c>
    </row>
    <row r="463" spans="1:15">
      <c r="A463" s="9">
        <v>41771</v>
      </c>
      <c r="B463" s="7" t="s">
        <v>30</v>
      </c>
      <c r="C463">
        <v>26</v>
      </c>
      <c r="D463" t="s">
        <v>20</v>
      </c>
      <c r="E463">
        <v>214</v>
      </c>
      <c r="F463">
        <v>2.36</v>
      </c>
      <c r="N463">
        <f>IF(OR(D463="S. acutus", D463="S. tabernaemontani", D463="S. californicus"),(1/3)*(3.14159)*((F463/2)^2)*E463,"NA")</f>
        <v>312.0369606746666</v>
      </c>
      <c r="O463">
        <f>IF(AND(OR(D463="S. acutus",D463="S. californicus",D463="S. tabernaemontani"),G463=0),E463*[1]Sheet1!$D$7+[1]Sheet1!$L$7,IF(AND(OR(D463="S. acutus",D463="S. tabernaemontani"),G463&gt;0),E463*[1]Sheet1!$D$8+N463*[1]Sheet1!$E$8,IF(AND(D463="S. californicus",G463&gt;0),E463*[1]Sheet1!$D$9+N463*[1]Sheet1!$E$9,IF(D463="S.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latifolia"),E463&gt;0),F463*[1]Sheet1!$C$4+E463*[1]Sheet1!$D$4+H463*[1]Sheet1!$J$4+I463*[1]Sheet1!$K$4+[1]Sheet1!$L$4,IF(AND(OR(D463="T. domingensis",D463="T. latifolia"),J463&gt;0),J463*[1]Sheet1!$G$5+K463*[1]Sheet1!$H$5+L463*[1]Sheet1!$I$5+[1]Sheet1!$L$5,0)))))))</f>
        <v>10.411873</v>
      </c>
    </row>
    <row r="464" spans="1:15">
      <c r="A464" s="6">
        <v>41771</v>
      </c>
      <c r="B464" s="7" t="s">
        <v>30</v>
      </c>
      <c r="C464">
        <v>26</v>
      </c>
      <c r="D464" t="s">
        <v>20</v>
      </c>
      <c r="E464">
        <v>170</v>
      </c>
      <c r="F464">
        <v>1.79</v>
      </c>
      <c r="N464">
        <f>IF(OR(D464="S. acutus", D464="S. tabernaemontani", D464="S. californicus"),(1/3)*(3.14159)*((F464/2)^2)*E464,"NA")</f>
        <v>142.60122068583331</v>
      </c>
      <c r="O464">
        <f>IF(AND(OR(D464="S. acutus",D464="S. californicus",D464="S. tabernaemontani"),G464=0),E464*[1]Sheet1!$D$7+[1]Sheet1!$L$7,IF(AND(OR(D464="S. acutus",D464="S. tabernaemontani"),G464&gt;0),E464*[1]Sheet1!$D$8+N464*[1]Sheet1!$E$8,IF(AND(D464="S. californicus",G464&gt;0),E464*[1]Sheet1!$D$9+N464*[1]Sheet1!$E$9,IF(D464="S.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latifolia"),E464&gt;0),F464*[1]Sheet1!$C$4+E464*[1]Sheet1!$D$4+H464*[1]Sheet1!$J$4+I464*[1]Sheet1!$K$4+[1]Sheet1!$L$4,IF(AND(OR(D464="T. domingensis",D464="T. latifolia"),J464&gt;0),J464*[1]Sheet1!$G$5+K464*[1]Sheet1!$H$5+L464*[1]Sheet1!$I$5+[1]Sheet1!$L$5,0)))))))</f>
        <v>7.3272529999999998</v>
      </c>
    </row>
    <row r="465" spans="1:15">
      <c r="A465" s="9">
        <v>41771</v>
      </c>
      <c r="B465" s="7" t="s">
        <v>30</v>
      </c>
      <c r="C465">
        <v>26</v>
      </c>
      <c r="D465" t="s">
        <v>20</v>
      </c>
      <c r="E465">
        <v>213</v>
      </c>
      <c r="F465">
        <v>2.52</v>
      </c>
      <c r="N465">
        <f>IF(OR(D465="S. acutus", D465="S. tabernaemontani", D465="S. californicus"),(1/3)*(3.14159)*((F465/2)^2)*E465,"NA")</f>
        <v>354.11876816400002</v>
      </c>
      <c r="O465">
        <f>IF(AND(OR(D465="S. acutus",D465="S. californicus",D465="S. tabernaemontani"),G465=0),E465*[1]Sheet1!$D$7+[1]Sheet1!$L$7,IF(AND(OR(D465="S. acutus",D465="S. tabernaemontani"),G465&gt;0),E465*[1]Sheet1!$D$8+N465*[1]Sheet1!$E$8,IF(AND(D465="S. californicus",G465&gt;0),E465*[1]Sheet1!$D$9+N465*[1]Sheet1!$E$9,IF(D465="S.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latifolia"),E465&gt;0),F465*[1]Sheet1!$C$4+E465*[1]Sheet1!$D$4+H465*[1]Sheet1!$J$4+I465*[1]Sheet1!$K$4+[1]Sheet1!$L$4,IF(AND(OR(D465="T. domingensis",D465="T. latifolia"),J465&gt;0),J465*[1]Sheet1!$G$5+K465*[1]Sheet1!$H$5+L465*[1]Sheet1!$I$5+[1]Sheet1!$L$5,0)))))))</f>
        <v>10.341768000000002</v>
      </c>
    </row>
    <row r="466" spans="1:15">
      <c r="A466" s="6">
        <v>41771</v>
      </c>
      <c r="B466" s="7" t="s">
        <v>30</v>
      </c>
      <c r="C466">
        <v>26</v>
      </c>
      <c r="D466" t="s">
        <v>20</v>
      </c>
      <c r="E466">
        <v>290</v>
      </c>
      <c r="F466">
        <v>2.68</v>
      </c>
      <c r="G466">
        <v>5</v>
      </c>
      <c r="N466">
        <f>IF(OR(D466="S. acutus", D466="S. tabernaemontani", D466="S. californicus"),(1/3)*(3.14159)*((F466/2)^2)*E466,"NA")</f>
        <v>545.30043705333333</v>
      </c>
      <c r="O466">
        <f>IF(AND(OR(D466="S. acutus",D466="S. californicus",D466="S. tabernaemontani"),G466=0),E466*[1]Sheet1!$D$7+[1]Sheet1!$L$7,IF(AND(OR(D466="S. acutus",D466="S. tabernaemontani"),G466&gt;0),E466*[1]Sheet1!$D$8+N466*[1]Sheet1!$E$8,IF(AND(D466="S. californicus",G466&gt;0),E466*[1]Sheet1!$D$9+N466*[1]Sheet1!$E$9,IF(D466="S.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latifolia"),E466&gt;0),F466*[1]Sheet1!$C$4+E466*[1]Sheet1!$D$4+H466*[1]Sheet1!$J$4+I466*[1]Sheet1!$K$4+[1]Sheet1!$L$4,IF(AND(OR(D466="T. domingensis",D466="T. latifolia"),J466&gt;0),J466*[1]Sheet1!$G$5+K466*[1]Sheet1!$H$5+L466*[1]Sheet1!$I$5+[1]Sheet1!$L$5,0)))))))</f>
        <v>28.726223843510681</v>
      </c>
    </row>
    <row r="467" spans="1:15">
      <c r="A467" s="6">
        <v>41771</v>
      </c>
      <c r="B467" s="7" t="s">
        <v>30</v>
      </c>
      <c r="C467">
        <v>26</v>
      </c>
      <c r="D467" t="s">
        <v>19</v>
      </c>
      <c r="F467">
        <v>1.7</v>
      </c>
      <c r="J467">
        <f>182+109+132+148+173+174</f>
        <v>918</v>
      </c>
      <c r="K467">
        <v>6</v>
      </c>
      <c r="L467">
        <v>174</v>
      </c>
      <c r="N467" t="str">
        <f>IF(OR(D467="S. acutus", D467="S. tabernaemontani", D467="S. californicus"),(1/3)*(3.14159)*((F467/2)^2)*E467,"NA")</f>
        <v>NA</v>
      </c>
      <c r="O467">
        <f>IF(AND(OR(D467="S. acutus",D467="S. californicus",D467="S. tabernaemontani"),G467=0),E467*[1]Sheet1!$D$7+[1]Sheet1!$L$7,IF(AND(OR(D467="S. acutus",D467="S. tabernaemontani"),G467&gt;0),E467*[1]Sheet1!$D$8+N467*[1]Sheet1!$E$8,IF(AND(D467="S. californicus",G467&gt;0),E467*[1]Sheet1!$D$9+N467*[1]Sheet1!$E$9,IF(D467="S.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latifolia"),E467&gt;0),F467*[1]Sheet1!$C$4+E467*[1]Sheet1!$D$4+H467*[1]Sheet1!$J$4+I467*[1]Sheet1!$K$4+[1]Sheet1!$L$4,IF(AND(OR(D467="T. domingensis",D467="T. latifolia"),J467&gt;0),J467*[1]Sheet1!$G$5+K467*[1]Sheet1!$H$5+L467*[1]Sheet1!$I$5+[1]Sheet1!$L$5,0)))))))</f>
        <v>24.553326000000006</v>
      </c>
    </row>
    <row r="468" spans="1:15">
      <c r="A468" s="9">
        <v>41771</v>
      </c>
      <c r="B468" s="7" t="s">
        <v>30</v>
      </c>
      <c r="C468">
        <v>26</v>
      </c>
      <c r="D468" t="s">
        <v>19</v>
      </c>
      <c r="F468">
        <v>0.55000000000000004</v>
      </c>
      <c r="J468">
        <f>62+137</f>
        <v>199</v>
      </c>
      <c r="K468">
        <v>2</v>
      </c>
      <c r="L468">
        <v>137</v>
      </c>
      <c r="N468" t="str">
        <f>IF(OR(D468="S. acutus", D468="S. tabernaemontani", D468="S. californicus"),(1/3)*(3.14159)*((F468/2)^2)*E468,"NA")</f>
        <v>NA</v>
      </c>
      <c r="O468">
        <f>IF(AND(OR(D468="S. acutus",D468="S. californicus",D468="S. tabernaemontani"),G468=0),E468*[1]Sheet1!$D$7+[1]Sheet1!$L$7,IF(AND(OR(D468="S. acutus",D468="S. tabernaemontani"),G468&gt;0),E468*[1]Sheet1!$D$8+N468*[1]Sheet1!$E$8,IF(AND(D468="S. californicus",G468&gt;0),E468*[1]Sheet1!$D$9+N468*[1]Sheet1!$E$9,IF(D468="S.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latifolia"),E468&gt;0),F468*[1]Sheet1!$C$4+E468*[1]Sheet1!$D$4+H468*[1]Sheet1!$J$4+I468*[1]Sheet1!$K$4+[1]Sheet1!$L$4,IF(AND(OR(D468="T. domingensis",D468="T. latifolia"),J468&gt;0),J468*[1]Sheet1!$G$5+K468*[1]Sheet1!$H$5+L468*[1]Sheet1!$I$5+[1]Sheet1!$L$5,0)))))))</f>
        <v>-3.6210420000000028</v>
      </c>
    </row>
    <row r="469" spans="1:15">
      <c r="A469" s="6">
        <v>41771</v>
      </c>
      <c r="B469" s="7" t="s">
        <v>30</v>
      </c>
      <c r="C469">
        <v>26</v>
      </c>
      <c r="D469" t="s">
        <v>19</v>
      </c>
      <c r="F469">
        <v>4.04</v>
      </c>
      <c r="J469">
        <f>164+170+212+221+251+258+277+283+288+295</f>
        <v>2419</v>
      </c>
      <c r="K469">
        <v>10</v>
      </c>
      <c r="L469">
        <v>295</v>
      </c>
      <c r="N469" t="str">
        <f>IF(OR(D469="S. acutus", D469="S. tabernaemontani", D469="S. californicus"),(1/3)*(3.14159)*((F469/2)^2)*E469,"NA")</f>
        <v>NA</v>
      </c>
      <c r="O469">
        <f>IF(AND(OR(D469="S. acutus",D469="S. californicus",D469="S. tabernaemontani"),G469=0),E469*[1]Sheet1!$D$7+[1]Sheet1!$L$7,IF(AND(OR(D469="S. acutus",D469="S. tabernaemontani"),G469&gt;0),E469*[1]Sheet1!$D$8+N469*[1]Sheet1!$E$8,IF(AND(D469="S. californicus",G469&gt;0),E469*[1]Sheet1!$D$9+N469*[1]Sheet1!$E$9,IF(D469="S.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latifolia"),E469&gt;0),F469*[1]Sheet1!$C$4+E469*[1]Sheet1!$D$4+H469*[1]Sheet1!$J$4+I469*[1]Sheet1!$K$4+[1]Sheet1!$L$4,IF(AND(OR(D469="T. domingensis",D469="T. latifolia"),J469&gt;0),J469*[1]Sheet1!$G$5+K469*[1]Sheet1!$H$5+L469*[1]Sheet1!$I$5+[1]Sheet1!$L$5,0)))))))</f>
        <v>100.73952400000002</v>
      </c>
    </row>
    <row r="470" spans="1:15">
      <c r="A470" s="9">
        <v>41771</v>
      </c>
      <c r="B470" s="7" t="s">
        <v>30</v>
      </c>
      <c r="C470">
        <v>44</v>
      </c>
      <c r="D470" t="s">
        <v>19</v>
      </c>
      <c r="F470">
        <v>1.07</v>
      </c>
      <c r="J470">
        <f>26+50+63+41</f>
        <v>180</v>
      </c>
      <c r="K470">
        <v>4</v>
      </c>
      <c r="L470">
        <v>63</v>
      </c>
      <c r="N470" t="str">
        <f>IF(OR(D470="S. acutus", D470="S. tabernaemontani", D470="S. californicus"),(1/3)*(3.14159)*((F470/2)^2)*E470,"NA")</f>
        <v>NA</v>
      </c>
      <c r="O470">
        <f>IF(AND(OR(D470="S. acutus",D470="S. californicus",D470="S. tabernaemontani"),G470=0),E470*[1]Sheet1!$D$7+[1]Sheet1!$L$7,IF(AND(OR(D470="S. acutus",D470="S. tabernaemontani"),G470&gt;0),E470*[1]Sheet1!$D$8+N470*[1]Sheet1!$E$8,IF(AND(D470="S. californicus",G470&gt;0),E470*[1]Sheet1!$D$9+N470*[1]Sheet1!$E$9,IF(D470="S.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latifolia"),E470&gt;0),F470*[1]Sheet1!$C$4+E470*[1]Sheet1!$D$4+H470*[1]Sheet1!$J$4+I470*[1]Sheet1!$K$4+[1]Sheet1!$L$4,IF(AND(OR(D470="T. domingensis",D470="T. latifolia"),J470&gt;0),J470*[1]Sheet1!$G$5+K470*[1]Sheet1!$H$5+L470*[1]Sheet1!$I$5+[1]Sheet1!$L$5,0)))))))</f>
        <v>2.8450370000000014</v>
      </c>
    </row>
    <row r="471" spans="1:15">
      <c r="A471" s="6">
        <v>41771</v>
      </c>
      <c r="B471" s="7" t="s">
        <v>30</v>
      </c>
      <c r="C471">
        <v>44</v>
      </c>
      <c r="D471" t="s">
        <v>19</v>
      </c>
      <c r="F471">
        <v>2.4</v>
      </c>
      <c r="J471">
        <f>70+117+123+156+176+160</f>
        <v>802</v>
      </c>
      <c r="K471">
        <v>6</v>
      </c>
      <c r="L471">
        <v>176</v>
      </c>
      <c r="N471" t="str">
        <f>IF(OR(D471="S. acutus", D471="S. tabernaemontani", D471="S. californicus"),(1/3)*(3.14159)*((F471/2)^2)*E471,"NA")</f>
        <v>NA</v>
      </c>
      <c r="O471">
        <f>IF(AND(OR(D471="S. acutus",D471="S. californicus",D471="S. tabernaemontani"),G471=0),E471*[1]Sheet1!$D$7+[1]Sheet1!$L$7,IF(AND(OR(D471="S. acutus",D471="S. tabernaemontani"),G471&gt;0),E471*[1]Sheet1!$D$8+N471*[1]Sheet1!$E$8,IF(AND(D471="S. californicus",G471&gt;0),E471*[1]Sheet1!$D$9+N471*[1]Sheet1!$E$9,IF(D471="S.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latifolia"),E471&gt;0),F471*[1]Sheet1!$C$4+E471*[1]Sheet1!$D$4+H471*[1]Sheet1!$J$4+I471*[1]Sheet1!$K$4+[1]Sheet1!$L$4,IF(AND(OR(D471="T. domingensis",D471="T. latifolia"),J471&gt;0),J471*[1]Sheet1!$G$5+K471*[1]Sheet1!$H$5+L471*[1]Sheet1!$I$5+[1]Sheet1!$L$5,0)))))))</f>
        <v>13.075256000000003</v>
      </c>
    </row>
    <row r="472" spans="1:15">
      <c r="A472" s="9">
        <v>41771</v>
      </c>
      <c r="B472" s="7" t="s">
        <v>30</v>
      </c>
      <c r="C472">
        <v>44</v>
      </c>
      <c r="D472" t="s">
        <v>19</v>
      </c>
      <c r="F472">
        <v>3.39</v>
      </c>
      <c r="J472">
        <f>32+72+79+119+113+130+156+178+166</f>
        <v>1045</v>
      </c>
      <c r="K472">
        <v>9</v>
      </c>
      <c r="L472">
        <v>178</v>
      </c>
      <c r="N472" t="str">
        <f>IF(OR(D472="S. acutus", D472="S. tabernaemontani", D472="S. californicus"),(1/3)*(3.14159)*((F472/2)^2)*E472,"NA")</f>
        <v>NA</v>
      </c>
      <c r="O472">
        <f>IF(AND(OR(D472="S. acutus",D472="S. californicus",D472="S. tabernaemontani"),G472=0),E472*[1]Sheet1!$D$7+[1]Sheet1!$L$7,IF(AND(OR(D472="S. acutus",D472="S. tabernaemontani"),G472&gt;0),E472*[1]Sheet1!$D$8+N472*[1]Sheet1!$E$8,IF(AND(D472="S. californicus",G472&gt;0),E472*[1]Sheet1!$D$9+N472*[1]Sheet1!$E$9,IF(D472="S.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latifolia"),E472&gt;0),F472*[1]Sheet1!$C$4+E472*[1]Sheet1!$D$4+H472*[1]Sheet1!$J$4+I472*[1]Sheet1!$K$4+[1]Sheet1!$L$4,IF(AND(OR(D472="T. domingensis",D472="T. latifolia"),J472&gt;0),J472*[1]Sheet1!$G$5+K472*[1]Sheet1!$H$5+L472*[1]Sheet1!$I$5+[1]Sheet1!$L$5,0)))))))</f>
        <v>14.188172000000009</v>
      </c>
    </row>
    <row r="473" spans="1:15">
      <c r="A473" s="6">
        <v>41771</v>
      </c>
      <c r="B473" s="7" t="s">
        <v>30</v>
      </c>
      <c r="C473">
        <v>44</v>
      </c>
      <c r="D473" t="s">
        <v>19</v>
      </c>
      <c r="F473">
        <v>2.2799999999999998</v>
      </c>
      <c r="J473">
        <f>90+113+130</f>
        <v>333</v>
      </c>
      <c r="K473">
        <v>3</v>
      </c>
      <c r="L473">
        <v>130</v>
      </c>
      <c r="N473" t="str">
        <f>IF(OR(D473="S. acutus", D473="S. tabernaemontani", D473="S. californicus"),(1/3)*(3.14159)*((F473/2)^2)*E473,"NA")</f>
        <v>NA</v>
      </c>
      <c r="O473">
        <f>IF(AND(OR(D473="S. acutus",D473="S. californicus",D473="S. tabernaemontani"),G473=0),E473*[1]Sheet1!$D$7+[1]Sheet1!$L$7,IF(AND(OR(D473="S. acutus",D473="S. tabernaemontani"),G473&gt;0),E473*[1]Sheet1!$D$8+N473*[1]Sheet1!$E$8,IF(AND(D473="S. californicus",G473&gt;0),E473*[1]Sheet1!$D$9+N473*[1]Sheet1!$E$9,IF(D473="S.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latifolia"),E473&gt;0),F473*[1]Sheet1!$C$4+E473*[1]Sheet1!$D$4+H473*[1]Sheet1!$J$4+I473*[1]Sheet1!$K$4+[1]Sheet1!$L$4,IF(AND(OR(D473="T. domingensis",D473="T. latifolia"),J473&gt;0),J473*[1]Sheet1!$G$5+K473*[1]Sheet1!$H$5+L473*[1]Sheet1!$I$5+[1]Sheet1!$L$5,0)))))))</f>
        <v>4.0284899999999979</v>
      </c>
    </row>
    <row r="474" spans="1:15">
      <c r="A474" s="9">
        <v>41771</v>
      </c>
      <c r="B474" s="7" t="s">
        <v>30</v>
      </c>
      <c r="C474">
        <v>44</v>
      </c>
      <c r="D474" t="s">
        <v>19</v>
      </c>
      <c r="F474">
        <v>2.39</v>
      </c>
      <c r="J474">
        <f>51+54+89+117+138+147</f>
        <v>596</v>
      </c>
      <c r="K474">
        <v>6</v>
      </c>
      <c r="L474">
        <v>147</v>
      </c>
      <c r="N474" t="str">
        <f>IF(OR(D474="S. acutus", D474="S. tabernaemontani", D474="S. californicus"),(1/3)*(3.14159)*((F474/2)^2)*E474,"NA")</f>
        <v>NA</v>
      </c>
      <c r="O474">
        <f>IF(AND(OR(D474="S. acutus",D474="S. californicus",D474="S. tabernaemontani"),G474=0),E474*[1]Sheet1!$D$7+[1]Sheet1!$L$7,IF(AND(OR(D474="S. acutus",D474="S. tabernaemontani"),G474&gt;0),E474*[1]Sheet1!$D$8+N474*[1]Sheet1!$E$8,IF(AND(D474="S. californicus",G474&gt;0),E474*[1]Sheet1!$D$9+N474*[1]Sheet1!$E$9,IF(D474="S.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latifolia"),E474&gt;0),F474*[1]Sheet1!$C$4+E474*[1]Sheet1!$D$4+H474*[1]Sheet1!$J$4+I474*[1]Sheet1!$K$4+[1]Sheet1!$L$4,IF(AND(OR(D474="T. domingensis",D474="T. latifolia"),J474&gt;0),J474*[1]Sheet1!$G$5+K474*[1]Sheet1!$H$5+L474*[1]Sheet1!$I$5+[1]Sheet1!$L$5,0)))))))</f>
        <v>2.4978309999999979</v>
      </c>
    </row>
    <row r="475" spans="1:15">
      <c r="A475" s="6">
        <v>41771</v>
      </c>
      <c r="B475" s="7" t="s">
        <v>30</v>
      </c>
      <c r="C475">
        <v>44</v>
      </c>
      <c r="D475" t="s">
        <v>19</v>
      </c>
      <c r="F475">
        <v>2.4300000000000002</v>
      </c>
      <c r="J475">
        <f>25+55+87+124+130+128</f>
        <v>549</v>
      </c>
      <c r="K475">
        <v>6</v>
      </c>
      <c r="L475">
        <v>130</v>
      </c>
      <c r="N475" t="str">
        <f>IF(OR(D475="S. acutus", D475="S. tabernaemontani", D475="S. californicus"),(1/3)*(3.14159)*((F475/2)^2)*E475,"NA")</f>
        <v>NA</v>
      </c>
      <c r="O475">
        <f>IF(AND(OR(D475="S. acutus",D475="S. californicus",D475="S. tabernaemontani"),G475=0),E475*[1]Sheet1!$D$7+[1]Sheet1!$L$7,IF(AND(OR(D475="S. acutus",D475="S. tabernaemontani"),G475&gt;0),E475*[1]Sheet1!$D$8+N475*[1]Sheet1!$E$8,IF(AND(D475="S. californicus",G475&gt;0),E475*[1]Sheet1!$D$9+N475*[1]Sheet1!$E$9,IF(D475="S.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latifolia"),E475&gt;0),F475*[1]Sheet1!$C$4+E475*[1]Sheet1!$D$4+H475*[1]Sheet1!$J$4+I475*[1]Sheet1!$K$4+[1]Sheet1!$L$4,IF(AND(OR(D475="T. domingensis",D475="T. latifolia"),J475&gt;0),J475*[1]Sheet1!$G$5+K475*[1]Sheet1!$H$5+L475*[1]Sheet1!$I$5+[1]Sheet1!$L$5,0)))))))</f>
        <v>3.2125109999999992</v>
      </c>
    </row>
    <row r="476" spans="1:15">
      <c r="A476" s="9">
        <v>41771</v>
      </c>
      <c r="B476" s="7" t="s">
        <v>30</v>
      </c>
      <c r="C476">
        <v>44</v>
      </c>
      <c r="D476" t="s">
        <v>19</v>
      </c>
      <c r="F476">
        <v>1.74</v>
      </c>
      <c r="J476">
        <f>24+47+102+105+130</f>
        <v>408</v>
      </c>
      <c r="K476">
        <v>5</v>
      </c>
      <c r="L476">
        <v>130</v>
      </c>
      <c r="N476" t="str">
        <f>IF(OR(D476="S. acutus", D476="S. tabernaemontani", D476="S. californicus"),(1/3)*(3.14159)*((F476/2)^2)*E476,"NA")</f>
        <v>NA</v>
      </c>
      <c r="O476">
        <f>IF(AND(OR(D476="S. acutus",D476="S. californicus",D476="S. tabernaemontani"),G476=0),E476*[1]Sheet1!$D$7+[1]Sheet1!$L$7,IF(AND(OR(D476="S. acutus",D476="S. tabernaemontani"),G476&gt;0),E476*[1]Sheet1!$D$8+N476*[1]Sheet1!$E$8,IF(AND(D476="S. californicus",G476&gt;0),E476*[1]Sheet1!$D$9+N476*[1]Sheet1!$E$9,IF(D476="S.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latifolia"),E476&gt;0),F476*[1]Sheet1!$C$4+E476*[1]Sheet1!$D$4+H476*[1]Sheet1!$J$4+I476*[1]Sheet1!$K$4+[1]Sheet1!$L$4,IF(AND(OR(D476="T. domingensis",D476="T. latifolia"),J476&gt;0),J476*[1]Sheet1!$G$5+K476*[1]Sheet1!$H$5+L476*[1]Sheet1!$I$5+[1]Sheet1!$L$5,0)))))))</f>
        <v>-2.9845910000000018</v>
      </c>
    </row>
    <row r="477" spans="1:15">
      <c r="A477" s="6">
        <v>41771</v>
      </c>
      <c r="B477" s="7" t="s">
        <v>30</v>
      </c>
      <c r="C477">
        <v>44</v>
      </c>
      <c r="D477" t="s">
        <v>19</v>
      </c>
      <c r="F477">
        <v>3.39</v>
      </c>
      <c r="J477">
        <f>46+77+96+107+132+163+448+151</f>
        <v>1220</v>
      </c>
      <c r="K477">
        <v>8</v>
      </c>
      <c r="L477">
        <v>448</v>
      </c>
      <c r="N477" t="str">
        <f>IF(OR(D477="S. acutus", D477="S. tabernaemontani", D477="S. californicus"),(1/3)*(3.14159)*((F477/2)^2)*E477,"NA")</f>
        <v>NA</v>
      </c>
      <c r="O477">
        <f>IF(AND(OR(D477="S. acutus",D477="S. californicus",D477="S. tabernaemontani"),G477=0),E477*[1]Sheet1!$D$7+[1]Sheet1!$L$7,IF(AND(OR(D477="S. acutus",D477="S. tabernaemontani"),G477&gt;0),E477*[1]Sheet1!$D$8+N477*[1]Sheet1!$E$8,IF(AND(D477="S. californicus",G477&gt;0),E477*[1]Sheet1!$D$9+N477*[1]Sheet1!$E$9,IF(D477="S.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latifolia"),E477&gt;0),F477*[1]Sheet1!$C$4+E477*[1]Sheet1!$D$4+H477*[1]Sheet1!$J$4+I477*[1]Sheet1!$K$4+[1]Sheet1!$L$4,IF(AND(OR(D477="T. domingensis",D477="T. latifolia"),J477&gt;0),J477*[1]Sheet1!$G$5+K477*[1]Sheet1!$H$5+L477*[1]Sheet1!$I$5+[1]Sheet1!$L$5,0)))))))</f>
        <v>-43.718499999999999</v>
      </c>
    </row>
    <row r="478" spans="1:15">
      <c r="A478" s="9">
        <v>41771</v>
      </c>
      <c r="B478" s="7" t="s">
        <v>30</v>
      </c>
      <c r="C478">
        <v>44</v>
      </c>
      <c r="D478" t="s">
        <v>19</v>
      </c>
      <c r="F478">
        <v>2.39</v>
      </c>
      <c r="J478">
        <f>55+76+88+108+125+125</f>
        <v>577</v>
      </c>
      <c r="K478">
        <v>6</v>
      </c>
      <c r="L478">
        <v>125</v>
      </c>
      <c r="N478" t="str">
        <f>IF(OR(D478="S. acutus", D478="S. tabernaemontani", D478="S. californicus"),(1/3)*(3.14159)*((F478/2)^2)*E478,"NA")</f>
        <v>NA</v>
      </c>
      <c r="O478">
        <f>IF(AND(OR(D478="S. acutus",D478="S. californicus",D478="S. tabernaemontani"),G478=0),E478*[1]Sheet1!$D$7+[1]Sheet1!$L$7,IF(AND(OR(D478="S. acutus",D478="S. tabernaemontani"),G478&gt;0),E478*[1]Sheet1!$D$8+N478*[1]Sheet1!$E$8,IF(AND(D478="S. californicus",G478&gt;0),E478*[1]Sheet1!$D$9+N478*[1]Sheet1!$E$9,IF(D478="S.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latifolia"),E478&gt;0),F478*[1]Sheet1!$C$4+E478*[1]Sheet1!$D$4+H478*[1]Sheet1!$J$4+I478*[1]Sheet1!$K$4+[1]Sheet1!$L$4,IF(AND(OR(D478="T. domingensis",D478="T. latifolia"),J478&gt;0),J478*[1]Sheet1!$G$5+K478*[1]Sheet1!$H$5+L478*[1]Sheet1!$I$5+[1]Sheet1!$L$5,0)))))))</f>
        <v>7.3438760000000016</v>
      </c>
    </row>
    <row r="479" spans="1:15">
      <c r="A479" s="9">
        <v>41771</v>
      </c>
      <c r="B479" s="7" t="s">
        <v>30</v>
      </c>
      <c r="C479">
        <v>44</v>
      </c>
      <c r="D479" t="s">
        <v>19</v>
      </c>
      <c r="F479">
        <v>2.4500000000000002</v>
      </c>
      <c r="J479">
        <f>30+86+134+107+132+133</f>
        <v>622</v>
      </c>
      <c r="K479">
        <v>6</v>
      </c>
      <c r="L479">
        <v>134</v>
      </c>
      <c r="N479" t="str">
        <f>IF(OR(D479="S. acutus", D479="S. tabernaemontani", D479="S. californicus"),(1/3)*(3.14159)*((F479/2)^2)*E479,"NA")</f>
        <v>NA</v>
      </c>
      <c r="O479">
        <f>IF(AND(OR(D479="S. acutus",D479="S. californicus",D479="S. tabernaemontani"),G479=0),E479*[1]Sheet1!$D$7+[1]Sheet1!$L$7,IF(AND(OR(D479="S. acutus",D479="S. tabernaemontani"),G479&gt;0),E479*[1]Sheet1!$D$8+N479*[1]Sheet1!$E$8,IF(AND(D479="S. californicus",G479&gt;0),E479*[1]Sheet1!$D$9+N479*[1]Sheet1!$E$9,IF(D479="S.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latifolia"),E479&gt;0),F479*[1]Sheet1!$C$4+E479*[1]Sheet1!$D$4+H479*[1]Sheet1!$J$4+I479*[1]Sheet1!$K$4+[1]Sheet1!$L$4,IF(AND(OR(D479="T. domingensis",D479="T. latifolia"),J479&gt;0),J479*[1]Sheet1!$G$5+K479*[1]Sheet1!$H$5+L479*[1]Sheet1!$I$5+[1]Sheet1!$L$5,0)))))))</f>
        <v>8.8516460000000023</v>
      </c>
    </row>
    <row r="480" spans="1:15">
      <c r="A480" s="6">
        <v>41771</v>
      </c>
      <c r="B480" s="7" t="s">
        <v>30</v>
      </c>
      <c r="C480">
        <v>44</v>
      </c>
      <c r="D480" t="s">
        <v>19</v>
      </c>
      <c r="F480">
        <v>3.25</v>
      </c>
      <c r="J480">
        <f>53+82+79+57+56+38+54</f>
        <v>419</v>
      </c>
      <c r="K480">
        <v>7</v>
      </c>
      <c r="L480">
        <v>82</v>
      </c>
      <c r="N480" t="str">
        <f>IF(OR(D480="S. acutus", D480="S. tabernaemontani", D480="S. californicus"),(1/3)*(3.14159)*((F480/2)^2)*E480,"NA")</f>
        <v>NA</v>
      </c>
      <c r="O480">
        <f>IF(AND(OR(D480="S. acutus",D480="S. californicus",D480="S. tabernaemontani"),G480=0),E480*[1]Sheet1!$D$7+[1]Sheet1!$L$7,IF(AND(OR(D480="S. acutus",D480="S. tabernaemontani"),G480&gt;0),E480*[1]Sheet1!$D$8+N480*[1]Sheet1!$E$8,IF(AND(D480="S. californicus",G480&gt;0),E480*[1]Sheet1!$D$9+N480*[1]Sheet1!$E$9,IF(D480="S.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latifolia"),E480&gt;0),F480*[1]Sheet1!$C$4+E480*[1]Sheet1!$D$4+H480*[1]Sheet1!$J$4+I480*[1]Sheet1!$K$4+[1]Sheet1!$L$4,IF(AND(OR(D480="T. domingensis",D480="T. latifolia"),J480&gt;0),J480*[1]Sheet1!$G$5+K480*[1]Sheet1!$H$5+L480*[1]Sheet1!$I$5+[1]Sheet1!$L$5,0)))))))</f>
        <v>-1.5382319999999936</v>
      </c>
    </row>
    <row r="481" spans="1:15">
      <c r="A481" s="9">
        <v>41771</v>
      </c>
      <c r="B481" s="7" t="s">
        <v>30</v>
      </c>
      <c r="C481">
        <v>44</v>
      </c>
      <c r="D481" t="s">
        <v>19</v>
      </c>
      <c r="F481">
        <v>3.11</v>
      </c>
      <c r="J481">
        <f>49+116+134+134+149+135</f>
        <v>717</v>
      </c>
      <c r="K481">
        <v>6</v>
      </c>
      <c r="L481">
        <v>135</v>
      </c>
      <c r="N481" t="str">
        <f>IF(OR(D481="S. acutus", D481="S. tabernaemontani", D481="S. californicus"),(1/3)*(3.14159)*((F481/2)^2)*E481,"NA")</f>
        <v>NA</v>
      </c>
      <c r="O481">
        <f>IF(AND(OR(D481="S. acutus",D481="S. californicus",D481="S. tabernaemontani"),G481=0),E481*[1]Sheet1!$D$7+[1]Sheet1!$L$7,IF(AND(OR(D481="S. acutus",D481="S. tabernaemontani"),G481&gt;0),E481*[1]Sheet1!$D$8+N481*[1]Sheet1!$E$8,IF(AND(D481="S. californicus",G481&gt;0),E481*[1]Sheet1!$D$9+N481*[1]Sheet1!$E$9,IF(D481="S.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latifolia"),E481&gt;0),F481*[1]Sheet1!$C$4+E481*[1]Sheet1!$D$4+H481*[1]Sheet1!$J$4+I481*[1]Sheet1!$K$4+[1]Sheet1!$L$4,IF(AND(OR(D481="T. domingensis",D481="T. latifolia"),J481&gt;0),J481*[1]Sheet1!$G$5+K481*[1]Sheet1!$H$5+L481*[1]Sheet1!$I$5+[1]Sheet1!$L$5,0)))))))</f>
        <v>17.457126000000002</v>
      </c>
    </row>
    <row r="482" spans="1:15">
      <c r="A482" s="6">
        <v>41771</v>
      </c>
      <c r="B482" s="7" t="s">
        <v>30</v>
      </c>
      <c r="C482">
        <v>44</v>
      </c>
      <c r="D482" t="s">
        <v>19</v>
      </c>
      <c r="F482">
        <v>2.99</v>
      </c>
      <c r="J482">
        <f>50+38+39+64+115+133</f>
        <v>439</v>
      </c>
      <c r="K482">
        <v>6</v>
      </c>
      <c r="L482">
        <v>133</v>
      </c>
      <c r="N482" t="str">
        <f>IF(OR(D482="S. acutus", D482="S. tabernaemontani", D482="S. californicus"),(1/3)*(3.14159)*((F482/2)^2)*E482,"NA")</f>
        <v>NA</v>
      </c>
      <c r="O482">
        <f>IF(AND(OR(D482="S. acutus",D482="S. californicus",D482="S. tabernaemontani"),G482=0),E482*[1]Sheet1!$D$7+[1]Sheet1!$L$7,IF(AND(OR(D482="S. acutus",D482="S. tabernaemontani"),G482&gt;0),E482*[1]Sheet1!$D$8+N482*[1]Sheet1!$E$8,IF(AND(D482="S. californicus",G482&gt;0),E482*[1]Sheet1!$D$9+N482*[1]Sheet1!$E$9,IF(D482="S.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latifolia"),E482&gt;0),F482*[1]Sheet1!$C$4+E482*[1]Sheet1!$D$4+H482*[1]Sheet1!$J$4+I482*[1]Sheet1!$K$4+[1]Sheet1!$L$4,IF(AND(OR(D482="T. domingensis",D482="T. latifolia"),J482&gt;0),J482*[1]Sheet1!$G$5+K482*[1]Sheet1!$H$5+L482*[1]Sheet1!$I$5+[1]Sheet1!$L$5,0)))))))</f>
        <v>-8.0042740000000023</v>
      </c>
    </row>
    <row r="483" spans="1:15">
      <c r="A483" s="9">
        <v>41771</v>
      </c>
      <c r="B483" s="7" t="s">
        <v>30</v>
      </c>
      <c r="C483">
        <v>44</v>
      </c>
      <c r="D483" t="s">
        <v>19</v>
      </c>
      <c r="F483">
        <v>1.74</v>
      </c>
      <c r="J483">
        <f>77+46+82+106+120+116+125</f>
        <v>672</v>
      </c>
      <c r="K483">
        <v>7</v>
      </c>
      <c r="L483">
        <v>125</v>
      </c>
      <c r="N483" t="str">
        <f>IF(OR(D483="S. acutus", D483="S. tabernaemontani", D483="S. californicus"),(1/3)*(3.14159)*((F483/2)^2)*E483,"NA")</f>
        <v>NA</v>
      </c>
      <c r="O483">
        <f>IF(AND(OR(D483="S. acutus",D483="S. californicus",D483="S. tabernaemontani"),G483=0),E483*[1]Sheet1!$D$7+[1]Sheet1!$L$7,IF(AND(OR(D483="S. acutus",D483="S. tabernaemontani"),G483&gt;0),E483*[1]Sheet1!$D$8+N483*[1]Sheet1!$E$8,IF(AND(D483="S. californicus",G483&gt;0),E483*[1]Sheet1!$D$9+N483*[1]Sheet1!$E$9,IF(D483="S.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latifolia"),E483&gt;0),F483*[1]Sheet1!$C$4+E483*[1]Sheet1!$D$4+H483*[1]Sheet1!$J$4+I483*[1]Sheet1!$K$4+[1]Sheet1!$L$4,IF(AND(OR(D483="T. domingensis",D483="T. latifolia"),J483&gt;0),J483*[1]Sheet1!$G$5+K483*[1]Sheet1!$H$5+L483*[1]Sheet1!$I$5+[1]Sheet1!$L$5,0)))))))</f>
        <v>9.2282480000000007</v>
      </c>
    </row>
    <row r="484" spans="1:15">
      <c r="A484" s="6">
        <v>41771</v>
      </c>
      <c r="B484" s="7" t="s">
        <v>30</v>
      </c>
      <c r="C484">
        <v>44</v>
      </c>
      <c r="D484" t="s">
        <v>19</v>
      </c>
      <c r="F484">
        <v>2.6</v>
      </c>
      <c r="J484">
        <f>42+103+111+134+148+160+167</f>
        <v>865</v>
      </c>
      <c r="K484">
        <v>7</v>
      </c>
      <c r="L484">
        <v>167</v>
      </c>
      <c r="N484" t="str">
        <f>IF(OR(D484="S. acutus", D484="S. tabernaemontani", D484="S. californicus"),(1/3)*(3.14159)*((F484/2)^2)*E484,"NA")</f>
        <v>NA</v>
      </c>
      <c r="O484">
        <f>IF(AND(OR(D484="S. acutus",D484="S. californicus",D484="S. tabernaemontani"),G484=0),E484*[1]Sheet1!$D$7+[1]Sheet1!$L$7,IF(AND(OR(D484="S. acutus",D484="S. tabernaemontani"),G484&gt;0),E484*[1]Sheet1!$D$8+N484*[1]Sheet1!$E$8,IF(AND(D484="S. californicus",G484&gt;0),E484*[1]Sheet1!$D$9+N484*[1]Sheet1!$E$9,IF(D484="S.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latifolia"),E484&gt;0),F484*[1]Sheet1!$C$4+E484*[1]Sheet1!$D$4+H484*[1]Sheet1!$J$4+I484*[1]Sheet1!$K$4+[1]Sheet1!$L$4,IF(AND(OR(D484="T. domingensis",D484="T. latifolia"),J484&gt;0),J484*[1]Sheet1!$G$5+K484*[1]Sheet1!$H$5+L484*[1]Sheet1!$I$5+[1]Sheet1!$L$5,0)))))))</f>
        <v>14.670673000000015</v>
      </c>
    </row>
    <row r="485" spans="1:15">
      <c r="A485" s="9">
        <v>41771</v>
      </c>
      <c r="B485" s="7" t="s">
        <v>30</v>
      </c>
      <c r="C485">
        <v>44</v>
      </c>
      <c r="D485" t="s">
        <v>19</v>
      </c>
      <c r="F485">
        <v>3.07</v>
      </c>
      <c r="J485">
        <f>44+84+90+92+62+104+124+147</f>
        <v>747</v>
      </c>
      <c r="K485">
        <v>8</v>
      </c>
      <c r="L485">
        <v>147</v>
      </c>
      <c r="N485" t="str">
        <f>IF(OR(D485="S. acutus", D485="S. tabernaemontani", D485="S. californicus"),(1/3)*(3.14159)*((F485/2)^2)*E485,"NA")</f>
        <v>NA</v>
      </c>
      <c r="O485">
        <f>IF(AND(OR(D485="S. acutus",D485="S. californicus",D485="S. tabernaemontani"),G485=0),E485*[1]Sheet1!$D$7+[1]Sheet1!$L$7,IF(AND(OR(D485="S. acutus",D485="S. tabernaemontani"),G485&gt;0),E485*[1]Sheet1!$D$8+N485*[1]Sheet1!$E$8,IF(AND(D485="S. californicus",G485&gt;0),E485*[1]Sheet1!$D$9+N485*[1]Sheet1!$E$9,IF(D485="S.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latifolia"),E485&gt;0),F485*[1]Sheet1!$C$4+E485*[1]Sheet1!$D$4+H485*[1]Sheet1!$J$4+I485*[1]Sheet1!$K$4+[1]Sheet1!$L$4,IF(AND(OR(D485="T. domingensis",D485="T. latifolia"),J485&gt;0),J485*[1]Sheet1!$G$5+K485*[1]Sheet1!$H$5+L485*[1]Sheet1!$I$5+[1]Sheet1!$L$5,0)))))))</f>
        <v>2.6101300000000052</v>
      </c>
    </row>
    <row r="486" spans="1:15">
      <c r="A486" s="6">
        <v>41771</v>
      </c>
      <c r="B486" s="7" t="s">
        <v>30</v>
      </c>
      <c r="C486">
        <v>44</v>
      </c>
      <c r="D486" t="s">
        <v>19</v>
      </c>
      <c r="F486">
        <v>4.25</v>
      </c>
      <c r="J486">
        <f>75+80+83+136+142+165+158+173</f>
        <v>1012</v>
      </c>
      <c r="K486">
        <v>8</v>
      </c>
      <c r="L486">
        <v>173</v>
      </c>
      <c r="N486" t="str">
        <f>IF(OR(D486="S. acutus", D486="S. tabernaemontani", D486="S. californicus"),(1/3)*(3.14159)*((F486/2)^2)*E486,"NA")</f>
        <v>NA</v>
      </c>
      <c r="O486">
        <f>IF(AND(OR(D486="S. acutus",D486="S. californicus",D486="S. tabernaemontani"),G486=0),E486*[1]Sheet1!$D$7+[1]Sheet1!$L$7,IF(AND(OR(D486="S. acutus",D486="S. tabernaemontani"),G486&gt;0),E486*[1]Sheet1!$D$8+N486*[1]Sheet1!$E$8,IF(AND(D486="S. californicus",G486&gt;0),E486*[1]Sheet1!$D$9+N486*[1]Sheet1!$E$9,IF(D486="S.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latifolia"),E486&gt;0),F486*[1]Sheet1!$C$4+E486*[1]Sheet1!$D$4+H486*[1]Sheet1!$J$4+I486*[1]Sheet1!$K$4+[1]Sheet1!$L$4,IF(AND(OR(D486="T. domingensis",D486="T. latifolia"),J486&gt;0),J486*[1]Sheet1!$G$5+K486*[1]Sheet1!$H$5+L486*[1]Sheet1!$I$5+[1]Sheet1!$L$5,0)))))))</f>
        <v>19.622835000000002</v>
      </c>
    </row>
    <row r="487" spans="1:15">
      <c r="A487" s="9">
        <v>41771</v>
      </c>
      <c r="B487" s="7" t="s">
        <v>30</v>
      </c>
      <c r="C487">
        <v>48</v>
      </c>
      <c r="D487" t="s">
        <v>19</v>
      </c>
      <c r="F487">
        <v>3.73</v>
      </c>
      <c r="J487">
        <f>61+36+34+62+72+63+90+120+126</f>
        <v>664</v>
      </c>
      <c r="K487">
        <v>9</v>
      </c>
      <c r="L487">
        <v>126</v>
      </c>
      <c r="N487" t="str">
        <f>IF(OR(D487="S. acutus", D487="S. tabernaemontani", D487="S. californicus"),(1/3)*(3.14159)*((F487/2)^2)*E487,"NA")</f>
        <v>NA</v>
      </c>
      <c r="O487">
        <f>IF(AND(OR(D487="S. acutus",D487="S. californicus",D487="S. tabernaemontani"),G487=0),E487*[1]Sheet1!$D$7+[1]Sheet1!$L$7,IF(AND(OR(D487="S. acutus",D487="S. tabernaemontani"),G487&gt;0),E487*[1]Sheet1!$D$8+N487*[1]Sheet1!$E$8,IF(AND(D487="S. californicus",G487&gt;0),E487*[1]Sheet1!$D$9+N487*[1]Sheet1!$E$9,IF(D487="S.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latifolia"),E487&gt;0),F487*[1]Sheet1!$C$4+E487*[1]Sheet1!$D$4+H487*[1]Sheet1!$J$4+I487*[1]Sheet1!$K$4+[1]Sheet1!$L$4,IF(AND(OR(D487="T. domingensis",D487="T. latifolia"),J487&gt;0),J487*[1]Sheet1!$G$5+K487*[1]Sheet1!$H$5+L487*[1]Sheet1!$I$5+[1]Sheet1!$L$5,0)))))))</f>
        <v>-5.8677429999999973</v>
      </c>
    </row>
    <row r="488" spans="1:15">
      <c r="A488" s="9">
        <v>41771</v>
      </c>
      <c r="B488" s="7" t="s">
        <v>30</v>
      </c>
      <c r="C488">
        <v>48</v>
      </c>
      <c r="D488" t="s">
        <v>19</v>
      </c>
      <c r="F488">
        <v>2.56</v>
      </c>
      <c r="J488">
        <f>62+94+120+134+142</f>
        <v>552</v>
      </c>
      <c r="K488">
        <v>5</v>
      </c>
      <c r="L488">
        <v>142</v>
      </c>
      <c r="N488" t="str">
        <f>IF(OR(D488="S. acutus", D488="S. tabernaemontani", D488="S. californicus"),(1/3)*(3.14159)*((F488/2)^2)*E488,"NA")</f>
        <v>NA</v>
      </c>
      <c r="O488">
        <f>IF(AND(OR(D488="S. acutus",D488="S. californicus",D488="S. tabernaemontani"),G488=0),E488*[1]Sheet1!$D$7+[1]Sheet1!$L$7,IF(AND(OR(D488="S. acutus",D488="S. tabernaemontani"),G488&gt;0),E488*[1]Sheet1!$D$8+N488*[1]Sheet1!$E$8,IF(AND(D488="S. californicus",G488&gt;0),E488*[1]Sheet1!$D$9+N488*[1]Sheet1!$E$9,IF(D488="S.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latifolia"),E488&gt;0),F488*[1]Sheet1!$C$4+E488*[1]Sheet1!$D$4+H488*[1]Sheet1!$J$4+I488*[1]Sheet1!$K$4+[1]Sheet1!$L$4,IF(AND(OR(D488="T. domingensis",D488="T. latifolia"),J488&gt;0),J488*[1]Sheet1!$G$5+K488*[1]Sheet1!$H$5+L488*[1]Sheet1!$I$5+[1]Sheet1!$L$5,0)))))))</f>
        <v>6.9011890000000022</v>
      </c>
    </row>
    <row r="489" spans="1:15">
      <c r="A489" s="6">
        <v>41771</v>
      </c>
      <c r="B489" s="7" t="s">
        <v>30</v>
      </c>
      <c r="C489">
        <v>48</v>
      </c>
      <c r="D489" t="s">
        <v>19</v>
      </c>
      <c r="F489">
        <v>3.3</v>
      </c>
      <c r="J489">
        <f>70+89+85+63+133+173+175+186</f>
        <v>974</v>
      </c>
      <c r="K489">
        <v>8</v>
      </c>
      <c r="L489">
        <v>186</v>
      </c>
      <c r="N489" t="str">
        <f>IF(OR(D489="S. acutus", D489="S. tabernaemontani", D489="S. californicus"),(1/3)*(3.14159)*((F489/2)^2)*E489,"NA")</f>
        <v>NA</v>
      </c>
      <c r="O489">
        <f>IF(AND(OR(D489="S. acutus",D489="S. californicus",D489="S. tabernaemontani"),G489=0),E489*[1]Sheet1!$D$7+[1]Sheet1!$L$7,IF(AND(OR(D489="S. acutus",D489="S. tabernaemontani"),G489&gt;0),E489*[1]Sheet1!$D$8+N489*[1]Sheet1!$E$8,IF(AND(D489="S. californicus",G489&gt;0),E489*[1]Sheet1!$D$9+N489*[1]Sheet1!$E$9,IF(D489="S.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latifolia"),E489&gt;0),F489*[1]Sheet1!$C$4+E489*[1]Sheet1!$D$4+H489*[1]Sheet1!$J$4+I489*[1]Sheet1!$K$4+[1]Sheet1!$L$4,IF(AND(OR(D489="T. domingensis",D489="T. latifolia"),J489&gt;0),J489*[1]Sheet1!$G$5+K489*[1]Sheet1!$H$5+L489*[1]Sheet1!$I$5+[1]Sheet1!$L$5,0)))))))</f>
        <v>12.143960000000014</v>
      </c>
    </row>
    <row r="490" spans="1:15">
      <c r="A490" s="9">
        <v>41771</v>
      </c>
      <c r="B490" s="7" t="s">
        <v>30</v>
      </c>
      <c r="C490">
        <v>48</v>
      </c>
      <c r="D490" t="s">
        <v>19</v>
      </c>
      <c r="F490">
        <v>2.58</v>
      </c>
      <c r="J490">
        <f>89+65+108+121+144+152</f>
        <v>679</v>
      </c>
      <c r="K490">
        <v>6</v>
      </c>
      <c r="L490">
        <v>152</v>
      </c>
      <c r="N490" t="str">
        <f>IF(OR(D490="S. acutus", D490="S. tabernaemontani", D490="S. californicus"),(1/3)*(3.14159)*((F490/2)^2)*E490,"NA")</f>
        <v>NA</v>
      </c>
      <c r="O490">
        <f>IF(AND(OR(D490="S. acutus",D490="S. californicus",D490="S. tabernaemontani"),G490=0),E490*[1]Sheet1!$D$7+[1]Sheet1!$L$7,IF(AND(OR(D490="S. acutus",D490="S. tabernaemontani"),G490&gt;0),E490*[1]Sheet1!$D$8+N490*[1]Sheet1!$E$8,IF(AND(D490="S. californicus",G490&gt;0),E490*[1]Sheet1!$D$9+N490*[1]Sheet1!$E$9,IF(D490="S.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latifolia"),E490&gt;0),F490*[1]Sheet1!$C$4+E490*[1]Sheet1!$D$4+H490*[1]Sheet1!$J$4+I490*[1]Sheet1!$K$4+[1]Sheet1!$L$4,IF(AND(OR(D490="T. domingensis",D490="T. latifolia"),J490&gt;0),J490*[1]Sheet1!$G$5+K490*[1]Sheet1!$H$5+L490*[1]Sheet1!$I$5+[1]Sheet1!$L$5,0)))))))</f>
        <v>8.7732710000000012</v>
      </c>
    </row>
    <row r="491" spans="1:15">
      <c r="A491" s="6">
        <v>41771</v>
      </c>
      <c r="B491" s="7" t="s">
        <v>30</v>
      </c>
      <c r="C491">
        <v>48</v>
      </c>
      <c r="D491" t="s">
        <v>19</v>
      </c>
      <c r="F491">
        <v>0.97</v>
      </c>
      <c r="J491">
        <f>36+58+69+97+96</f>
        <v>356</v>
      </c>
      <c r="K491">
        <v>5</v>
      </c>
      <c r="L491">
        <v>97</v>
      </c>
      <c r="N491" t="str">
        <f>IF(OR(D491="S. acutus", D491="S. tabernaemontani", D491="S. californicus"),(1/3)*(3.14159)*((F491/2)^2)*E491,"NA")</f>
        <v>NA</v>
      </c>
      <c r="O491">
        <f>IF(AND(OR(D491="S. acutus",D491="S. californicus",D491="S. tabernaemontani"),G491=0),E491*[1]Sheet1!$D$7+[1]Sheet1!$L$7,IF(AND(OR(D491="S. acutus",D491="S. tabernaemontani"),G491&gt;0),E491*[1]Sheet1!$D$8+N491*[1]Sheet1!$E$8,IF(AND(D491="S. californicus",G491&gt;0),E491*[1]Sheet1!$D$9+N491*[1]Sheet1!$E$9,IF(D491="S.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latifolia"),E491&gt;0),F491*[1]Sheet1!$C$4+E491*[1]Sheet1!$D$4+H491*[1]Sheet1!$J$4+I491*[1]Sheet1!$K$4+[1]Sheet1!$L$4,IF(AND(OR(D491="T. domingensis",D491="T. latifolia"),J491&gt;0),J491*[1]Sheet1!$G$5+K491*[1]Sheet1!$H$5+L491*[1]Sheet1!$I$5+[1]Sheet1!$L$5,0)))))))</f>
        <v>2.081234000000002</v>
      </c>
    </row>
    <row r="492" spans="1:15">
      <c r="A492" s="9">
        <v>41771</v>
      </c>
      <c r="B492" s="7" t="s">
        <v>30</v>
      </c>
      <c r="C492">
        <v>48</v>
      </c>
      <c r="D492" t="s">
        <v>19</v>
      </c>
      <c r="F492">
        <v>0.63</v>
      </c>
      <c r="J492">
        <f>37+41</f>
        <v>78</v>
      </c>
      <c r="K492">
        <v>2</v>
      </c>
      <c r="L492">
        <v>41</v>
      </c>
      <c r="N492" t="str">
        <f>IF(OR(D492="S. acutus", D492="S. tabernaemontani", D492="S. californicus"),(1/3)*(3.14159)*((F492/2)^2)*E492,"NA")</f>
        <v>NA</v>
      </c>
      <c r="O492">
        <f>IF(AND(OR(D492="S. acutus",D492="S. californicus",D492="S. tabernaemontani"),G492=0),E492*[1]Sheet1!$D$7+[1]Sheet1!$L$7,IF(AND(OR(D492="S. acutus",D492="S. tabernaemontani"),G492&gt;0),E492*[1]Sheet1!$D$8+N492*[1]Sheet1!$E$8,IF(AND(D492="S. californicus",G492&gt;0),E492*[1]Sheet1!$D$9+N492*[1]Sheet1!$E$9,IF(D492="S.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latifolia"),E492&gt;0),F492*[1]Sheet1!$C$4+E492*[1]Sheet1!$D$4+H492*[1]Sheet1!$J$4+I492*[1]Sheet1!$K$4+[1]Sheet1!$L$4,IF(AND(OR(D492="T. domingensis",D492="T. latifolia"),J492&gt;0),J492*[1]Sheet1!$G$5+K492*[1]Sheet1!$H$5+L492*[1]Sheet1!$I$5+[1]Sheet1!$L$5,0)))))))</f>
        <v>13.954122999999999</v>
      </c>
    </row>
    <row r="493" spans="1:15">
      <c r="A493" s="6">
        <v>41771</v>
      </c>
      <c r="B493" s="7" t="s">
        <v>30</v>
      </c>
      <c r="C493">
        <v>48</v>
      </c>
      <c r="D493" t="s">
        <v>19</v>
      </c>
      <c r="F493">
        <v>1.83</v>
      </c>
      <c r="J493">
        <f>60+101+121+131+148+159</f>
        <v>720</v>
      </c>
      <c r="K493">
        <v>6</v>
      </c>
      <c r="L493">
        <v>159</v>
      </c>
      <c r="N493" t="str">
        <f>IF(OR(D493="S. acutus", D493="S. tabernaemontani", D493="S. californicus"),(1/3)*(3.14159)*((F493/2)^2)*E493,"NA")</f>
        <v>NA</v>
      </c>
      <c r="O493">
        <f>IF(AND(OR(D493="S. acutus",D493="S. californicus",D493="S. tabernaemontani"),G493=0),E493*[1]Sheet1!$D$7+[1]Sheet1!$L$7,IF(AND(OR(D493="S. acutus",D493="S. tabernaemontani"),G493&gt;0),E493*[1]Sheet1!$D$8+N493*[1]Sheet1!$E$8,IF(AND(D493="S. californicus",G493&gt;0),E493*[1]Sheet1!$D$9+N493*[1]Sheet1!$E$9,IF(D493="S.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latifolia"),E493&gt;0),F493*[1]Sheet1!$C$4+E493*[1]Sheet1!$D$4+H493*[1]Sheet1!$J$4+I493*[1]Sheet1!$K$4+[1]Sheet1!$L$4,IF(AND(OR(D493="T. domingensis",D493="T. latifolia"),J493&gt;0),J493*[1]Sheet1!$G$5+K493*[1]Sheet1!$H$5+L493*[1]Sheet1!$I$5+[1]Sheet1!$L$5,0)))))))</f>
        <v>10.508511000000006</v>
      </c>
    </row>
    <row r="494" spans="1:15">
      <c r="A494" s="9">
        <v>41771</v>
      </c>
      <c r="B494" s="7" t="s">
        <v>30</v>
      </c>
      <c r="C494">
        <v>50</v>
      </c>
      <c r="D494" t="s">
        <v>20</v>
      </c>
      <c r="E494">
        <v>64</v>
      </c>
      <c r="F494">
        <v>1.33</v>
      </c>
      <c r="N494">
        <f>IF(OR(D494="S. acutus", D494="S. tabernaemontani", D494="S. californicus"),(1/3)*(3.14159)*((F494/2)^2)*E494,"NA")</f>
        <v>29.638178938666666</v>
      </c>
      <c r="O494">
        <f>IF(AND(OR(D494="S. acutus",D494="S. californicus",D494="S. tabernaemontani"),G494=0),E494*[1]Sheet1!$D$7+[1]Sheet1!$L$7,IF(AND(OR(D494="S. acutus",D494="S. tabernaemontani"),G494&gt;0),E494*[1]Sheet1!$D$8+N494*[1]Sheet1!$E$8,IF(AND(D494="S. californicus",G494&gt;0),E494*[1]Sheet1!$D$9+N494*[1]Sheet1!$E$9,IF(D494="S.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latifolia"),E494&gt;0),F494*[1]Sheet1!$C$4+E494*[1]Sheet1!$D$4+H494*[1]Sheet1!$J$4+I494*[1]Sheet1!$K$4+[1]Sheet1!$L$4,IF(AND(OR(D494="T. domingensis",D494="T. latifolia"),J494&gt;0),J494*[1]Sheet1!$G$5+K494*[1]Sheet1!$H$5+L494*[1]Sheet1!$I$5+[1]Sheet1!$L$5,0)))))))</f>
        <v>-0.10387699999999978</v>
      </c>
    </row>
    <row r="495" spans="1:15">
      <c r="A495" s="6">
        <v>41771</v>
      </c>
      <c r="B495" s="7" t="s">
        <v>30</v>
      </c>
      <c r="C495">
        <v>50</v>
      </c>
      <c r="D495" t="s">
        <v>20</v>
      </c>
      <c r="E495">
        <v>172</v>
      </c>
      <c r="F495">
        <v>1.21</v>
      </c>
      <c r="N495">
        <f>IF(OR(D495="S. acutus", D495="S. tabernaemontani", D495="S. californicus"),(1/3)*(3.14159)*((F495/2)^2)*E495,"NA")</f>
        <v>65.927627505666649</v>
      </c>
      <c r="O495">
        <f>IF(AND(OR(D495="S. acutus",D495="S. californicus",D495="S. tabernaemontani"),G495=0),E495*[1]Sheet1!$D$7+[1]Sheet1!$L$7,IF(AND(OR(D495="S. acutus",D495="S. tabernaemontani"),G495&gt;0),E495*[1]Sheet1!$D$8+N495*[1]Sheet1!$E$8,IF(AND(D495="S. californicus",G495&gt;0),E495*[1]Sheet1!$D$9+N495*[1]Sheet1!$E$9,IF(D495="S.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latifolia"),E495&gt;0),F495*[1]Sheet1!$C$4+E495*[1]Sheet1!$D$4+H495*[1]Sheet1!$J$4+I495*[1]Sheet1!$K$4+[1]Sheet1!$L$4,IF(AND(OR(D495="T. domingensis",D495="T. latifolia"),J495&gt;0),J495*[1]Sheet1!$G$5+K495*[1]Sheet1!$H$5+L495*[1]Sheet1!$I$5+[1]Sheet1!$L$5,0)))))))</f>
        <v>7.4674629999999995</v>
      </c>
    </row>
    <row r="496" spans="1:15">
      <c r="A496" s="9">
        <v>41771</v>
      </c>
      <c r="B496" s="7" t="s">
        <v>30</v>
      </c>
      <c r="C496">
        <v>50</v>
      </c>
      <c r="D496" t="s">
        <v>20</v>
      </c>
      <c r="E496">
        <v>59</v>
      </c>
      <c r="F496">
        <v>0.77</v>
      </c>
      <c r="N496">
        <f>IF(OR(D496="S. acutus", D496="S. tabernaemontani", D496="S. californicus"),(1/3)*(3.14159)*((F496/2)^2)*E496,"NA")</f>
        <v>9.1580228290833308</v>
      </c>
      <c r="O496">
        <f>IF(AND(OR(D496="S. acutus",D496="S. californicus",D496="S. tabernaemontani"),G496=0),E496*[1]Sheet1!$D$7+[1]Sheet1!$L$7,IF(AND(OR(D496="S. acutus",D496="S. tabernaemontani"),G496&gt;0),E496*[1]Sheet1!$D$8+N496*[1]Sheet1!$E$8,IF(AND(D496="S. californicus",G496&gt;0),E496*[1]Sheet1!$D$9+N496*[1]Sheet1!$E$9,IF(D496="S.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latifolia"),E496&gt;0),F496*[1]Sheet1!$C$4+E496*[1]Sheet1!$D$4+H496*[1]Sheet1!$J$4+I496*[1]Sheet1!$K$4+[1]Sheet1!$L$4,IF(AND(OR(D496="T. domingensis",D496="T. latifolia"),J496&gt;0),J496*[1]Sheet1!$G$5+K496*[1]Sheet1!$H$5+L496*[1]Sheet1!$I$5+[1]Sheet1!$L$5,0)))))))</f>
        <v>-0.45440199999999997</v>
      </c>
    </row>
    <row r="497" spans="1:15">
      <c r="A497" s="6">
        <v>41771</v>
      </c>
      <c r="B497" s="7" t="s">
        <v>30</v>
      </c>
      <c r="C497">
        <v>50</v>
      </c>
      <c r="D497" t="s">
        <v>20</v>
      </c>
      <c r="E497">
        <v>25</v>
      </c>
      <c r="F497">
        <v>0.59</v>
      </c>
      <c r="N497">
        <f>IF(OR(D497="S. acutus", D497="S. tabernaemontani", D497="S. californicus"),(1/3)*(3.14159)*((F497/2)^2)*E497,"NA")</f>
        <v>2.2783072479166662</v>
      </c>
      <c r="O497">
        <f>IF(AND(OR(D497="S. acutus",D497="S. californicus",D497="S. tabernaemontani"),G497=0),E497*[1]Sheet1!$D$7+[1]Sheet1!$L$7,IF(AND(OR(D497="S. acutus",D497="S. tabernaemontani"),G497&gt;0),E497*[1]Sheet1!$D$8+N497*[1]Sheet1!$E$8,IF(AND(D497="S. californicus",G497&gt;0),E497*[1]Sheet1!$D$9+N497*[1]Sheet1!$E$9,IF(D497="S.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latifolia"),E497&gt;0),F497*[1]Sheet1!$C$4+E497*[1]Sheet1!$D$4+H497*[1]Sheet1!$J$4+I497*[1]Sheet1!$K$4+[1]Sheet1!$L$4,IF(AND(OR(D497="T. domingensis",D497="T. latifolia"),J497&gt;0),J497*[1]Sheet1!$G$5+K497*[1]Sheet1!$H$5+L497*[1]Sheet1!$I$5+[1]Sheet1!$L$5,0)))))))</f>
        <v>-2.8379719999999997</v>
      </c>
    </row>
    <row r="498" spans="1:15">
      <c r="A498" s="9">
        <v>41771</v>
      </c>
      <c r="B498" s="7" t="s">
        <v>30</v>
      </c>
      <c r="C498">
        <v>50</v>
      </c>
      <c r="D498" t="s">
        <v>20</v>
      </c>
      <c r="E498">
        <v>21</v>
      </c>
      <c r="F498">
        <v>0.46</v>
      </c>
      <c r="N498">
        <f>IF(OR(D498="S. acutus", D498="S. tabernaemontani", D498="S. californicus"),(1/3)*(3.14159)*((F498/2)^2)*E498,"NA")</f>
        <v>1.1633307769999999</v>
      </c>
      <c r="O498">
        <f>IF(AND(OR(D498="S. acutus",D498="S. californicus",D498="S. tabernaemontani"),G498=0),E498*[1]Sheet1!$D$7+[1]Sheet1!$L$7,IF(AND(OR(D498="S. acutus",D498="S. tabernaemontani"),G498&gt;0),E498*[1]Sheet1!$D$8+N498*[1]Sheet1!$E$8,IF(AND(D498="S. californicus",G498&gt;0),E498*[1]Sheet1!$D$9+N498*[1]Sheet1!$E$9,IF(D498="S.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latifolia"),E498&gt;0),F498*[1]Sheet1!$C$4+E498*[1]Sheet1!$D$4+H498*[1]Sheet1!$J$4+I498*[1]Sheet1!$K$4+[1]Sheet1!$L$4,IF(AND(OR(D498="T. domingensis",D498="T. latifolia"),J498&gt;0),J498*[1]Sheet1!$G$5+K498*[1]Sheet1!$H$5+L498*[1]Sheet1!$I$5+[1]Sheet1!$L$5,0)))))))</f>
        <v>-3.1183920000000001</v>
      </c>
    </row>
    <row r="499" spans="1:15">
      <c r="A499" s="6">
        <v>41771</v>
      </c>
      <c r="B499" s="7" t="s">
        <v>30</v>
      </c>
      <c r="C499">
        <v>50</v>
      </c>
      <c r="D499" t="s">
        <v>20</v>
      </c>
      <c r="E499">
        <v>68</v>
      </c>
      <c r="F499">
        <v>0.61</v>
      </c>
      <c r="N499">
        <f>IF(OR(D499="S. acutus", D499="S. tabernaemontani", D499="S. californicus"),(1/3)*(3.14159)*((F499/2)^2)*E499,"NA")</f>
        <v>6.6242519543333325</v>
      </c>
      <c r="O499">
        <f>IF(AND(OR(D499="S. acutus",D499="S. californicus",D499="S. tabernaemontani"),G499=0),E499*[1]Sheet1!$D$7+[1]Sheet1!$L$7,IF(AND(OR(D499="S. acutus",D499="S. tabernaemontani"),G499&gt;0),E499*[1]Sheet1!$D$8+N499*[1]Sheet1!$E$8,IF(AND(D499="S. californicus",G499&gt;0),E499*[1]Sheet1!$D$9+N499*[1]Sheet1!$E$9,IF(D499="S.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latifolia"),E499&gt;0),F499*[1]Sheet1!$C$4+E499*[1]Sheet1!$D$4+H499*[1]Sheet1!$J$4+I499*[1]Sheet1!$K$4+[1]Sheet1!$L$4,IF(AND(OR(D499="T. domingensis",D499="T. latifolia"),J499&gt;0),J499*[1]Sheet1!$G$5+K499*[1]Sheet1!$H$5+L499*[1]Sheet1!$I$5+[1]Sheet1!$L$5,0)))))))</f>
        <v>0.17654300000000056</v>
      </c>
    </row>
    <row r="500" spans="1:15">
      <c r="A500" s="9">
        <v>41771</v>
      </c>
      <c r="B500" s="7" t="s">
        <v>30</v>
      </c>
      <c r="C500">
        <v>50</v>
      </c>
      <c r="D500" t="s">
        <v>20</v>
      </c>
      <c r="E500">
        <v>85</v>
      </c>
      <c r="F500">
        <v>0.75</v>
      </c>
      <c r="G500">
        <v>9</v>
      </c>
      <c r="N500">
        <f>IF(OR(D500="S. acutus", D500="S. tabernaemontani", D500="S. californicus"),(1/3)*(3.14159)*((F500/2)^2)*E500,"NA")</f>
        <v>12.517272656249999</v>
      </c>
      <c r="O500">
        <f>IF(AND(OR(D500="S. acutus",D500="S. californicus",D500="S. tabernaemontani"),G500=0),E500*[1]Sheet1!$D$7+[1]Sheet1!$L$7,IF(AND(OR(D500="S. acutus",D500="S. tabernaemontani"),G500&gt;0),E500*[1]Sheet1!$D$8+N500*[1]Sheet1!$E$8,IF(AND(D500="S. californicus",G500&gt;0),E500*[1]Sheet1!$D$9+N500*[1]Sheet1!$E$9,IF(D500="S.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latifolia"),E500&gt;0),F500*[1]Sheet1!$C$4+E500*[1]Sheet1!$D$4+H500*[1]Sheet1!$J$4+I500*[1]Sheet1!$K$4+[1]Sheet1!$L$4,IF(AND(OR(D500="T. domingensis",D500="T. latifolia"),J500&gt;0),J500*[1]Sheet1!$G$5+K500*[1]Sheet1!$H$5+L500*[1]Sheet1!$I$5+[1]Sheet1!$L$5,0)))))))</f>
        <v>3.6761709450766409</v>
      </c>
    </row>
    <row r="501" spans="1:15">
      <c r="A501" s="6">
        <v>41771</v>
      </c>
      <c r="B501" s="7" t="s">
        <v>30</v>
      </c>
      <c r="C501">
        <v>50</v>
      </c>
      <c r="D501" t="s">
        <v>20</v>
      </c>
      <c r="E501">
        <v>88</v>
      </c>
      <c r="F501">
        <v>1.1399999999999999</v>
      </c>
      <c r="G501">
        <v>22</v>
      </c>
      <c r="N501">
        <f>IF(OR(D501="S. acutus", D501="S. tabernaemontani", D501="S. californicus"),(1/3)*(3.14159)*((F501/2)^2)*E501,"NA")</f>
        <v>29.940609335999991</v>
      </c>
      <c r="O501">
        <f>IF(AND(OR(D501="S. acutus",D501="S. californicus",D501="S. tabernaemontani"),G501=0),E501*[1]Sheet1!$D$7+[1]Sheet1!$L$7,IF(AND(OR(D501="S. acutus",D501="S. tabernaemontani"),G501&gt;0),E501*[1]Sheet1!$D$8+N501*[1]Sheet1!$E$8,IF(AND(D501="S. californicus",G501&gt;0),E501*[1]Sheet1!$D$9+N501*[1]Sheet1!$E$9,IF(D501="S.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latifolia"),E501&gt;0),F501*[1]Sheet1!$C$4+E501*[1]Sheet1!$D$4+H501*[1]Sheet1!$J$4+I501*[1]Sheet1!$K$4+[1]Sheet1!$L$4,IF(AND(OR(D501="T. domingensis",D501="T. latifolia"),J501&gt;0),J501*[1]Sheet1!$G$5+K501*[1]Sheet1!$H$5+L501*[1]Sheet1!$I$5+[1]Sheet1!$L$5,0)))))))</f>
        <v>4.3527393671676018</v>
      </c>
    </row>
    <row r="502" spans="1:15">
      <c r="A502" s="9">
        <v>41771</v>
      </c>
      <c r="B502" s="7" t="s">
        <v>30</v>
      </c>
      <c r="C502">
        <v>50</v>
      </c>
      <c r="D502" t="s">
        <v>20</v>
      </c>
      <c r="E502">
        <v>85</v>
      </c>
      <c r="F502">
        <v>0.53</v>
      </c>
      <c r="N502">
        <f>IF(OR(D502="S. acutus", D502="S. tabernaemontani", D502="S. californicus"),(1/3)*(3.14159)*((F502/2)^2)*E502,"NA")</f>
        <v>6.2508478029166668</v>
      </c>
      <c r="O502">
        <f>IF(AND(OR(D502="S. acutus",D502="S. californicus",D502="S. tabernaemontani"),G502=0),E502*[1]Sheet1!$D$7+[1]Sheet1!$L$7,IF(AND(OR(D502="S. acutus",D502="S. tabernaemontani"),G502&gt;0),E502*[1]Sheet1!$D$8+N502*[1]Sheet1!$E$8,IF(AND(D502="S. californicus",G502&gt;0),E502*[1]Sheet1!$D$9+N502*[1]Sheet1!$E$9,IF(D502="S.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latifolia"),E502&gt;0),F502*[1]Sheet1!$C$4+E502*[1]Sheet1!$D$4+H502*[1]Sheet1!$J$4+I502*[1]Sheet1!$K$4+[1]Sheet1!$L$4,IF(AND(OR(D502="T. domingensis",D502="T. latifolia"),J502&gt;0),J502*[1]Sheet1!$G$5+K502*[1]Sheet1!$H$5+L502*[1]Sheet1!$I$5+[1]Sheet1!$L$5,0)))))))</f>
        <v>1.368328</v>
      </c>
    </row>
    <row r="503" spans="1:15">
      <c r="A503" s="6">
        <v>41771</v>
      </c>
      <c r="B503" s="7" t="s">
        <v>30</v>
      </c>
      <c r="C503">
        <v>50</v>
      </c>
      <c r="D503" t="s">
        <v>20</v>
      </c>
      <c r="E503">
        <v>100</v>
      </c>
      <c r="F503">
        <v>0.94</v>
      </c>
      <c r="G503">
        <v>8</v>
      </c>
      <c r="N503">
        <f>IF(OR(D503="S. acutus", D503="S. tabernaemontani", D503="S. californicus"),(1/3)*(3.14159)*((F503/2)^2)*E503,"NA")</f>
        <v>23.132574366666663</v>
      </c>
      <c r="O503">
        <f>IF(AND(OR(D503="S. acutus",D503="S. californicus",D503="S. tabernaemontani"),G503=0),E503*[1]Sheet1!$D$7+[1]Sheet1!$L$7,IF(AND(OR(D503="S. acutus",D503="S. tabernaemontani"),G503&gt;0),E503*[1]Sheet1!$D$8+N503*[1]Sheet1!$E$8,IF(AND(D503="S. californicus",G503&gt;0),E503*[1]Sheet1!$D$9+N503*[1]Sheet1!$E$9,IF(D503="S.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latifolia"),E503&gt;0),F503*[1]Sheet1!$C$4+E503*[1]Sheet1!$D$4+H503*[1]Sheet1!$J$4+I503*[1]Sheet1!$K$4+[1]Sheet1!$L$4,IF(AND(OR(D503="T. domingensis",D503="T. latifolia"),J503&gt;0),J503*[1]Sheet1!$G$5+K503*[1]Sheet1!$H$5+L503*[1]Sheet1!$I$5+[1]Sheet1!$L$5,0)))))))</f>
        <v>4.5955997139235967</v>
      </c>
    </row>
    <row r="504" spans="1:15">
      <c r="A504" s="9">
        <v>41771</v>
      </c>
      <c r="B504" s="7" t="s">
        <v>30</v>
      </c>
      <c r="C504">
        <v>50</v>
      </c>
      <c r="D504" t="s">
        <v>20</v>
      </c>
      <c r="E504">
        <v>45</v>
      </c>
      <c r="F504">
        <v>0.81</v>
      </c>
      <c r="N504">
        <f>IF(OR(D504="S. acutus", D504="S. tabernaemontani", D504="S. californicus"),(1/3)*(3.14159)*((F504/2)^2)*E504,"NA")</f>
        <v>7.7294894962500011</v>
      </c>
      <c r="O504">
        <f>IF(AND(OR(D504="S. acutus",D504="S. californicus",D504="S. tabernaemontani"),G504=0),E504*[1]Sheet1!$D$7+[1]Sheet1!$L$7,IF(AND(OR(D504="S. acutus",D504="S. tabernaemontani"),G504&gt;0),E504*[1]Sheet1!$D$8+N504*[1]Sheet1!$E$8,IF(AND(D504="S. californicus",G504&gt;0),E504*[1]Sheet1!$D$9+N504*[1]Sheet1!$E$9,IF(D504="S.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latifolia"),E504&gt;0),F504*[1]Sheet1!$C$4+E504*[1]Sheet1!$D$4+H504*[1]Sheet1!$J$4+I504*[1]Sheet1!$K$4+[1]Sheet1!$L$4,IF(AND(OR(D504="T. domingensis",D504="T. latifolia"),J504&gt;0),J504*[1]Sheet1!$G$5+K504*[1]Sheet1!$H$5+L504*[1]Sheet1!$I$5+[1]Sheet1!$L$5,0)))))))</f>
        <v>-1.4358719999999998</v>
      </c>
    </row>
    <row r="505" spans="1:15">
      <c r="A505" s="9">
        <v>41771</v>
      </c>
      <c r="B505" s="7" t="s">
        <v>30</v>
      </c>
      <c r="C505">
        <v>50</v>
      </c>
      <c r="D505" t="s">
        <v>19</v>
      </c>
      <c r="F505">
        <v>2.08</v>
      </c>
      <c r="J505">
        <f>44+31+53+69+81+198</f>
        <v>476</v>
      </c>
      <c r="K505">
        <v>6</v>
      </c>
      <c r="L505">
        <v>198</v>
      </c>
      <c r="N505" t="str">
        <f>IF(OR(D505="S. acutus", D505="S. tabernaemontani", D505="S. californicus"),(1/3)*(3.14159)*((F505/2)^2)*E505,"NA")</f>
        <v>NA</v>
      </c>
      <c r="O505">
        <f>IF(AND(OR(D505="S. acutus",D505="S. californicus",D505="S. tabernaemontani"),G505=0),E505*[1]Sheet1!$D$7+[1]Sheet1!$L$7,IF(AND(OR(D505="S. acutus",D505="S. tabernaemontani"),G505&gt;0),E505*[1]Sheet1!$D$8+N505*[1]Sheet1!$E$8,IF(AND(D505="S. californicus",G505&gt;0),E505*[1]Sheet1!$D$9+N505*[1]Sheet1!$E$9,IF(D505="S.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latifolia"),E505&gt;0),F505*[1]Sheet1!$C$4+E505*[1]Sheet1!$D$4+H505*[1]Sheet1!$J$4+I505*[1]Sheet1!$K$4+[1]Sheet1!$L$4,IF(AND(OR(D505="T. domingensis",D505="T. latifolia"),J505&gt;0),J505*[1]Sheet1!$G$5+K505*[1]Sheet1!$H$5+L505*[1]Sheet1!$I$5+[1]Sheet1!$L$5,0)))))))</f>
        <v>-24.116264000000001</v>
      </c>
    </row>
    <row r="506" spans="1:15">
      <c r="A506" s="6">
        <v>41771</v>
      </c>
      <c r="B506" s="7" t="s">
        <v>30</v>
      </c>
      <c r="C506">
        <v>50</v>
      </c>
      <c r="D506" t="s">
        <v>19</v>
      </c>
      <c r="F506">
        <v>1.47</v>
      </c>
      <c r="J506">
        <f>34+63+50+72+85</f>
        <v>304</v>
      </c>
      <c r="K506">
        <v>5</v>
      </c>
      <c r="L506">
        <v>85</v>
      </c>
      <c r="N506" t="str">
        <f>IF(OR(D506="S. acutus", D506="S. tabernaemontani", D506="S. californicus"),(1/3)*(3.14159)*((F506/2)^2)*E506,"NA")</f>
        <v>NA</v>
      </c>
      <c r="O506">
        <f>IF(AND(OR(D506="S. acutus",D506="S. californicus",D506="S. tabernaemontani"),G506=0),E506*[1]Sheet1!$D$7+[1]Sheet1!$L$7,IF(AND(OR(D506="S. acutus",D506="S. tabernaemontani"),G506&gt;0),E506*[1]Sheet1!$D$8+N506*[1]Sheet1!$E$8,IF(AND(D506="S. californicus",G506&gt;0),E506*[1]Sheet1!$D$9+N506*[1]Sheet1!$E$9,IF(D506="S.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latifolia"),E506&gt;0),F506*[1]Sheet1!$C$4+E506*[1]Sheet1!$D$4+H506*[1]Sheet1!$J$4+I506*[1]Sheet1!$K$4+[1]Sheet1!$L$4,IF(AND(OR(D506="T. domingensis",D506="T. latifolia"),J506&gt;0),J506*[1]Sheet1!$G$5+K506*[1]Sheet1!$H$5+L506*[1]Sheet1!$I$5+[1]Sheet1!$L$5,0)))))))</f>
        <v>0.82091400000000192</v>
      </c>
    </row>
    <row r="507" spans="1:15">
      <c r="A507" s="6">
        <v>41771</v>
      </c>
      <c r="B507" s="7" t="s">
        <v>30</v>
      </c>
      <c r="C507">
        <v>50</v>
      </c>
      <c r="D507" t="s">
        <v>19</v>
      </c>
      <c r="F507">
        <v>3.44</v>
      </c>
      <c r="J507">
        <f>89+121+128+149+161+172+185+194</f>
        <v>1199</v>
      </c>
      <c r="K507">
        <v>8</v>
      </c>
      <c r="L507">
        <v>194</v>
      </c>
      <c r="N507" t="str">
        <f>IF(OR(D507="S. acutus", D507="S. tabernaemontani", D507="S. californicus"),(1/3)*(3.14159)*((F507/2)^2)*E507,"NA")</f>
        <v>NA</v>
      </c>
      <c r="O507">
        <f>IF(AND(OR(D507="S. acutus",D507="S. californicus",D507="S. tabernaemontani"),G507=0),E507*[1]Sheet1!$D$7+[1]Sheet1!$L$7,IF(AND(OR(D507="S. acutus",D507="S. tabernaemontani"),G507&gt;0),E507*[1]Sheet1!$D$8+N507*[1]Sheet1!$E$8,IF(AND(D507="S. californicus",G507&gt;0),E507*[1]Sheet1!$D$9+N507*[1]Sheet1!$E$9,IF(D507="S.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latifolia"),E507&gt;0),F507*[1]Sheet1!$C$4+E507*[1]Sheet1!$D$4+H507*[1]Sheet1!$J$4+I507*[1]Sheet1!$K$4+[1]Sheet1!$L$4,IF(AND(OR(D507="T. domingensis",D507="T. latifolia"),J507&gt;0),J507*[1]Sheet1!$G$5+K507*[1]Sheet1!$H$5+L507*[1]Sheet1!$I$5+[1]Sheet1!$L$5,0)))))))</f>
        <v>30.828875000000011</v>
      </c>
    </row>
    <row r="508" spans="1:15">
      <c r="A508" s="9">
        <v>41771</v>
      </c>
      <c r="B508" s="7" t="s">
        <v>30</v>
      </c>
      <c r="C508">
        <v>50</v>
      </c>
      <c r="D508" t="s">
        <v>19</v>
      </c>
      <c r="F508">
        <v>2.84</v>
      </c>
      <c r="J508">
        <f>120+143+166+173+144+188</f>
        <v>934</v>
      </c>
      <c r="K508">
        <v>6</v>
      </c>
      <c r="L508">
        <v>188</v>
      </c>
      <c r="N508" t="str">
        <f>IF(OR(D508="S. acutus", D508="S. tabernaemontani", D508="S. californicus"),(1/3)*(3.14159)*((F508/2)^2)*E508,"NA")</f>
        <v>NA</v>
      </c>
      <c r="O508">
        <f>IF(AND(OR(D508="S. acutus",D508="S. californicus",D508="S. tabernaemontani"),G508=0),E508*[1]Sheet1!$D$7+[1]Sheet1!$L$7,IF(AND(OR(D508="S. acutus",D508="S. tabernaemontani"),G508&gt;0),E508*[1]Sheet1!$D$8+N508*[1]Sheet1!$E$8,IF(AND(D508="S. californicus",G508&gt;0),E508*[1]Sheet1!$D$9+N508*[1]Sheet1!$E$9,IF(D508="S.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latifolia"),E508&gt;0),F508*[1]Sheet1!$C$4+E508*[1]Sheet1!$D$4+H508*[1]Sheet1!$J$4+I508*[1]Sheet1!$K$4+[1]Sheet1!$L$4,IF(AND(OR(D508="T. domingensis",D508="T. latifolia"),J508&gt;0),J508*[1]Sheet1!$G$5+K508*[1]Sheet1!$H$5+L508*[1]Sheet1!$I$5+[1]Sheet1!$L$5,0)))))))</f>
        <v>21.835976000000002</v>
      </c>
    </row>
    <row r="509" spans="1:15">
      <c r="A509" s="6">
        <v>41771</v>
      </c>
      <c r="B509" s="7" t="s">
        <v>29</v>
      </c>
      <c r="C509">
        <v>9</v>
      </c>
      <c r="D509" t="s">
        <v>23</v>
      </c>
      <c r="F509">
        <v>3.48</v>
      </c>
      <c r="J509">
        <f>129+144+124+223+253+269</f>
        <v>1142</v>
      </c>
      <c r="K509">
        <v>6</v>
      </c>
      <c r="L509">
        <v>269</v>
      </c>
      <c r="N509" t="str">
        <f>IF(OR(D509="S. acutus", D509="S. tabernaemontani", D509="S. californicus"),(1/3)*(3.14159)*((F509/2)^2)*E509,"NA")</f>
        <v>NA</v>
      </c>
      <c r="O509">
        <f>IF(AND(OR(D509="S. acutus",D509="S. californicus",D509="S. tabernaemontani"),G509=0),E509*[1]Sheet1!$D$7+[1]Sheet1!$L$7,IF(AND(OR(D509="S. acutus",D509="S. tabernaemontani"),G509&gt;0),E509*[1]Sheet1!$D$8+N509*[1]Sheet1!$E$8,IF(AND(D509="S. californicus",G509&gt;0),E509*[1]Sheet1!$D$9+N509*[1]Sheet1!$E$9,IF(D509="S.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latifolia"),E509&gt;0),F509*[1]Sheet1!$C$4+E509*[1]Sheet1!$D$4+H509*[1]Sheet1!$J$4+I509*[1]Sheet1!$K$4+[1]Sheet1!$L$4,IF(AND(OR(D509="T. domingensis",D509="T. latifolia"),J509&gt;0),J509*[1]Sheet1!$G$5+K509*[1]Sheet1!$H$5+L509*[1]Sheet1!$I$5+[1]Sheet1!$L$5,0)))))))</f>
        <v>16.936171000000009</v>
      </c>
    </row>
    <row r="510" spans="1:15">
      <c r="A510" s="6">
        <v>41771</v>
      </c>
      <c r="B510" s="7" t="s">
        <v>29</v>
      </c>
      <c r="C510">
        <v>9</v>
      </c>
      <c r="D510" t="s">
        <v>19</v>
      </c>
      <c r="F510">
        <v>1.84</v>
      </c>
      <c r="J510">
        <f>175</f>
        <v>175</v>
      </c>
      <c r="K510">
        <v>1</v>
      </c>
      <c r="L510">
        <v>175</v>
      </c>
      <c r="N510" t="str">
        <f>IF(OR(D510="S. acutus", D510="S. tabernaemontani", D510="S. californicus"),(1/3)*(3.14159)*((F510/2)^2)*E510,"NA")</f>
        <v>NA</v>
      </c>
      <c r="O510">
        <f>IF(AND(OR(D510="S. acutus",D510="S. californicus",D510="S. tabernaemontani"),G510=0),E510*[1]Sheet1!$D$7+[1]Sheet1!$L$7,IF(AND(OR(D510="S. acutus",D510="S. tabernaemontani"),G510&gt;0),E510*[1]Sheet1!$D$8+N510*[1]Sheet1!$E$8,IF(AND(D510="S. californicus",G510&gt;0),E510*[1]Sheet1!$D$9+N510*[1]Sheet1!$E$9,IF(D510="S.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latifolia"),E510&gt;0),F510*[1]Sheet1!$C$4+E510*[1]Sheet1!$D$4+H510*[1]Sheet1!$J$4+I510*[1]Sheet1!$K$4+[1]Sheet1!$L$4,IF(AND(OR(D510="T. domingensis",D510="T. latifolia"),J510&gt;0),J510*[1]Sheet1!$G$5+K510*[1]Sheet1!$H$5+L510*[1]Sheet1!$I$5+[1]Sheet1!$L$5,0)))))))</f>
        <v>-10.296118999999997</v>
      </c>
    </row>
    <row r="511" spans="1:15">
      <c r="A511" s="6">
        <v>41771</v>
      </c>
      <c r="B511" s="7" t="s">
        <v>29</v>
      </c>
      <c r="C511">
        <v>30</v>
      </c>
      <c r="D511" t="s">
        <v>20</v>
      </c>
      <c r="E511">
        <v>107</v>
      </c>
      <c r="F511">
        <v>0.81</v>
      </c>
      <c r="N511">
        <f>IF(OR(D511="S. acutus", D511="S. tabernaemontani", D511="S. californicus"),(1/3)*(3.14159)*((F511/2)^2)*E511,"NA")</f>
        <v>18.379008357750003</v>
      </c>
      <c r="O511">
        <f>IF(AND(OR(D511="S. acutus",D511="S. californicus",D511="S. tabernaemontani"),G511=0),E511*[1]Sheet1!$D$7+[1]Sheet1!$L$7,IF(AND(OR(D511="S. acutus",D511="S. tabernaemontani"),G511&gt;0),E511*[1]Sheet1!$D$8+N511*[1]Sheet1!$E$8,IF(AND(D511="S. californicus",G511&gt;0),E511*[1]Sheet1!$D$9+N511*[1]Sheet1!$E$9,IF(D511="S.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latifolia"),E511&gt;0),F511*[1]Sheet1!$C$4+E511*[1]Sheet1!$D$4+H511*[1]Sheet1!$J$4+I511*[1]Sheet1!$K$4+[1]Sheet1!$L$4,IF(AND(OR(D511="T. domingensis",D511="T. latifolia"),J511&gt;0),J511*[1]Sheet1!$G$5+K511*[1]Sheet1!$H$5+L511*[1]Sheet1!$I$5+[1]Sheet1!$L$5,0)))))))</f>
        <v>2.9106380000000005</v>
      </c>
    </row>
    <row r="512" spans="1:15">
      <c r="A512" s="6">
        <v>41771</v>
      </c>
      <c r="B512" s="7" t="s">
        <v>29</v>
      </c>
      <c r="C512">
        <v>30</v>
      </c>
      <c r="D512" t="s">
        <v>20</v>
      </c>
      <c r="E512">
        <v>70</v>
      </c>
      <c r="F512">
        <v>0.93</v>
      </c>
      <c r="N512">
        <f>IF(OR(D512="S. acutus", D512="S. tabernaemontani", D512="S. californicus"),(1/3)*(3.14159)*((F512/2)^2)*E512,"NA")</f>
        <v>15.8501069475</v>
      </c>
      <c r="O512">
        <f>IF(AND(OR(D512="S. acutus",D512="S. californicus",D512="S. tabernaemontani"),G512=0),E512*[1]Sheet1!$D$7+[1]Sheet1!$L$7,IF(AND(OR(D512="S. acutus",D512="S. tabernaemontani"),G512&gt;0),E512*[1]Sheet1!$D$8+N512*[1]Sheet1!$E$8,IF(AND(D512="S. californicus",G512&gt;0),E512*[1]Sheet1!$D$9+N512*[1]Sheet1!$E$9,IF(D512="S.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latifolia"),E512&gt;0),F512*[1]Sheet1!$C$4+E512*[1]Sheet1!$D$4+H512*[1]Sheet1!$J$4+I512*[1]Sheet1!$K$4+[1]Sheet1!$L$4,IF(AND(OR(D512="T. domingensis",D512="T. latifolia"),J512&gt;0),J512*[1]Sheet1!$G$5+K512*[1]Sheet1!$H$5+L512*[1]Sheet1!$I$5+[1]Sheet1!$L$5,0)))))))</f>
        <v>0.31675300000000028</v>
      </c>
    </row>
    <row r="513" spans="1:15">
      <c r="A513" s="6">
        <v>41771</v>
      </c>
      <c r="B513" s="7" t="s">
        <v>29</v>
      </c>
      <c r="C513">
        <v>30</v>
      </c>
      <c r="D513" t="s">
        <v>20</v>
      </c>
      <c r="E513">
        <v>184</v>
      </c>
      <c r="F513">
        <v>1.71</v>
      </c>
      <c r="N513">
        <f>IF(OR(D513="S. acutus", D513="S. tabernaemontani", D513="S. californicus"),(1/3)*(3.14159)*((F513/2)^2)*E513,"NA")</f>
        <v>140.85695755799998</v>
      </c>
      <c r="O513">
        <f>IF(AND(OR(D513="S. acutus",D513="S. californicus",D513="S. tabernaemontani"),G513=0),E513*[1]Sheet1!$D$7+[1]Sheet1!$L$7,IF(AND(OR(D513="S. acutus",D513="S. tabernaemontani"),G513&gt;0),E513*[1]Sheet1!$D$8+N513*[1]Sheet1!$E$8,IF(AND(D513="S. californicus",G513&gt;0),E513*[1]Sheet1!$D$9+N513*[1]Sheet1!$E$9,IF(D513="S.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latifolia"),E513&gt;0),F513*[1]Sheet1!$C$4+E513*[1]Sheet1!$D$4+H513*[1]Sheet1!$J$4+I513*[1]Sheet1!$K$4+[1]Sheet1!$L$4,IF(AND(OR(D513="T. domingensis",D513="T. latifolia"),J513&gt;0),J513*[1]Sheet1!$G$5+K513*[1]Sheet1!$H$5+L513*[1]Sheet1!$I$5+[1]Sheet1!$L$5,0)))))))</f>
        <v>8.3087230000000005</v>
      </c>
    </row>
    <row r="514" spans="1:15">
      <c r="A514" s="6">
        <v>41771</v>
      </c>
      <c r="B514" s="7" t="s">
        <v>29</v>
      </c>
      <c r="C514">
        <v>30</v>
      </c>
      <c r="D514" t="s">
        <v>20</v>
      </c>
      <c r="E514">
        <v>124</v>
      </c>
      <c r="F514">
        <v>0.94</v>
      </c>
      <c r="G514">
        <v>3</v>
      </c>
      <c r="N514">
        <f>IF(OR(D514="S. acutus", D514="S. tabernaemontani", D514="S. californicus"),(1/3)*(3.14159)*((F514/2)^2)*E514,"NA")</f>
        <v>28.684392214666662</v>
      </c>
      <c r="O514">
        <f>IF(AND(OR(D514="S. acutus",D514="S. californicus",D514="S. tabernaemontani"),G514=0),E514*[1]Sheet1!$D$7+[1]Sheet1!$L$7,IF(AND(OR(D514="S. acutus",D514="S. tabernaemontani"),G514&gt;0),E514*[1]Sheet1!$D$8+N514*[1]Sheet1!$E$8,IF(AND(D514="S. californicus",G514&gt;0),E514*[1]Sheet1!$D$9+N514*[1]Sheet1!$E$9,IF(D514="S.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latifolia"),E514&gt;0),F514*[1]Sheet1!$C$4+E514*[1]Sheet1!$D$4+H514*[1]Sheet1!$J$4+I514*[1]Sheet1!$K$4+[1]Sheet1!$L$4,IF(AND(OR(D514="T. domingensis",D514="T. latifolia"),J514&gt;0),J514*[1]Sheet1!$G$5+K514*[1]Sheet1!$H$5+L514*[1]Sheet1!$I$5+[1]Sheet1!$L$5,0)))))))</f>
        <v>5.6985436452652607</v>
      </c>
    </row>
    <row r="515" spans="1:15">
      <c r="A515" s="6">
        <v>41771</v>
      </c>
      <c r="B515" s="7" t="s">
        <v>29</v>
      </c>
      <c r="C515">
        <v>30</v>
      </c>
      <c r="D515" t="s">
        <v>20</v>
      </c>
      <c r="E515">
        <v>132</v>
      </c>
      <c r="F515">
        <v>1.43</v>
      </c>
      <c r="G515">
        <v>6</v>
      </c>
      <c r="N515">
        <f>IF(OR(D515="S. acutus", D515="S. tabernaemontani", D515="S. californicus"),(1/3)*(3.14159)*((F515/2)^2)*E515,"NA")</f>
        <v>70.666611300999989</v>
      </c>
      <c r="O515">
        <f>IF(AND(OR(D515="S. acutus",D515="S. californicus",D515="S. tabernaemontani"),G515=0),E515*[1]Sheet1!$D$7+[1]Sheet1!$L$7,IF(AND(OR(D515="S. acutus",D515="S. tabernaemontani"),G515&gt;0),E515*[1]Sheet1!$D$8+N515*[1]Sheet1!$E$8,IF(AND(D515="S. californicus",G515&gt;0),E515*[1]Sheet1!$D$9+N515*[1]Sheet1!$E$9,IF(D515="S.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latifolia"),E515&gt;0),F515*[1]Sheet1!$C$4+E515*[1]Sheet1!$D$4+H515*[1]Sheet1!$J$4+I515*[1]Sheet1!$K$4+[1]Sheet1!$L$4,IF(AND(OR(D515="T. domingensis",D515="T. latifolia"),J515&gt;0),J515*[1]Sheet1!$G$5+K515*[1]Sheet1!$H$5+L515*[1]Sheet1!$I$5+[1]Sheet1!$L$5,0)))))))</f>
        <v>7.3584656838423701</v>
      </c>
    </row>
    <row r="516" spans="1:15">
      <c r="A516" s="6">
        <v>41771</v>
      </c>
      <c r="B516" s="7" t="s">
        <v>29</v>
      </c>
      <c r="C516">
        <v>30</v>
      </c>
      <c r="D516" t="s">
        <v>20</v>
      </c>
      <c r="E516">
        <v>96</v>
      </c>
      <c r="F516">
        <v>1.41</v>
      </c>
      <c r="N516">
        <f>IF(OR(D516="S. acutus", D516="S. tabernaemontani", D516="S. californicus"),(1/3)*(3.14159)*((F516/2)^2)*E516,"NA")</f>
        <v>49.96636063199999</v>
      </c>
      <c r="O516">
        <f>IF(AND(OR(D516="S. acutus",D516="S. californicus",D516="S. tabernaemontani"),G516=0),E516*[1]Sheet1!$D$7+[1]Sheet1!$L$7,IF(AND(OR(D516="S. acutus",D516="S. tabernaemontani"),G516&gt;0),E516*[1]Sheet1!$D$8+N516*[1]Sheet1!$E$8,IF(AND(D516="S. californicus",G516&gt;0),E516*[1]Sheet1!$D$9+N516*[1]Sheet1!$E$9,IF(D516="S.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latifolia"),E516&gt;0),F516*[1]Sheet1!$C$4+E516*[1]Sheet1!$D$4+H516*[1]Sheet1!$J$4+I516*[1]Sheet1!$K$4+[1]Sheet1!$L$4,IF(AND(OR(D516="T. domingensis",D516="T. latifolia"),J516&gt;0),J516*[1]Sheet1!$G$5+K516*[1]Sheet1!$H$5+L516*[1]Sheet1!$I$5+[1]Sheet1!$L$5,0)))))))</f>
        <v>2.1394830000000002</v>
      </c>
    </row>
    <row r="517" spans="1:15">
      <c r="A517" s="6">
        <v>41771</v>
      </c>
      <c r="B517" s="7" t="s">
        <v>29</v>
      </c>
      <c r="C517">
        <v>30</v>
      </c>
      <c r="D517" t="s">
        <v>20</v>
      </c>
      <c r="E517">
        <v>249</v>
      </c>
      <c r="F517">
        <v>2.15</v>
      </c>
      <c r="G517">
        <v>11</v>
      </c>
      <c r="N517">
        <f>IF(OR(D517="S. acutus", D517="S. tabernaemontani", D517="S. californicus"),(1/3)*(3.14159)*((F517/2)^2)*E517,"NA")</f>
        <v>301.33149533124993</v>
      </c>
      <c r="O517">
        <f>IF(AND(OR(D517="S. acutus",D517="S. californicus",D517="S. tabernaemontani"),G517=0),E517*[1]Sheet1!$D$7+[1]Sheet1!$L$7,IF(AND(OR(D517="S. acutus",D517="S. tabernaemontani"),G517&gt;0),E517*[1]Sheet1!$D$8+N517*[1]Sheet1!$E$8,IF(AND(D517="S. californicus",G517&gt;0),E517*[1]Sheet1!$D$9+N517*[1]Sheet1!$E$9,IF(D517="S.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latifolia"),E517&gt;0),F517*[1]Sheet1!$C$4+E517*[1]Sheet1!$D$4+H517*[1]Sheet1!$J$4+I517*[1]Sheet1!$K$4+[1]Sheet1!$L$4,IF(AND(OR(D517="T. domingensis",D517="T. latifolia"),J517&gt;0),J517*[1]Sheet1!$G$5+K517*[1]Sheet1!$H$5+L517*[1]Sheet1!$I$5+[1]Sheet1!$L$5,0)))))))</f>
        <v>19.291413248012045</v>
      </c>
    </row>
    <row r="518" spans="1:15">
      <c r="A518" s="6">
        <v>41771</v>
      </c>
      <c r="B518" s="7" t="s">
        <v>29</v>
      </c>
      <c r="C518">
        <v>30</v>
      </c>
      <c r="D518" t="s">
        <v>20</v>
      </c>
      <c r="E518">
        <v>184</v>
      </c>
      <c r="F518">
        <v>1.49</v>
      </c>
      <c r="N518">
        <f>IF(OR(D518="S. acutus", D518="S. tabernaemontani", D518="S. californicus"),(1/3)*(3.14159)*((F518/2)^2)*E518,"NA")</f>
        <v>106.94454070466665</v>
      </c>
      <c r="O518">
        <f>IF(AND(OR(D518="S. acutus",D518="S. californicus",D518="S. tabernaemontani"),G518=0),E518*[1]Sheet1!$D$7+[1]Sheet1!$L$7,IF(AND(OR(D518="S. acutus",D518="S. tabernaemontani"),G518&gt;0),E518*[1]Sheet1!$D$8+N518*[1]Sheet1!$E$8,IF(AND(D518="S. californicus",G518&gt;0),E518*[1]Sheet1!$D$9+N518*[1]Sheet1!$E$9,IF(D518="S.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latifolia"),E518&gt;0),F518*[1]Sheet1!$C$4+E518*[1]Sheet1!$D$4+H518*[1]Sheet1!$J$4+I518*[1]Sheet1!$K$4+[1]Sheet1!$L$4,IF(AND(OR(D518="T. domingensis",D518="T. latifolia"),J518&gt;0),J518*[1]Sheet1!$G$5+K518*[1]Sheet1!$H$5+L518*[1]Sheet1!$I$5+[1]Sheet1!$L$5,0)))))))</f>
        <v>8.3087230000000005</v>
      </c>
    </row>
    <row r="519" spans="1:15">
      <c r="A519" s="6">
        <v>41771</v>
      </c>
      <c r="B519" s="7" t="s">
        <v>29</v>
      </c>
      <c r="C519">
        <v>30</v>
      </c>
      <c r="D519" t="s">
        <v>20</v>
      </c>
      <c r="E519">
        <v>180</v>
      </c>
      <c r="F519">
        <v>0.96</v>
      </c>
      <c r="N519">
        <f>IF(OR(D519="S. acutus", D519="S. tabernaemontani", D519="S. californicus"),(1/3)*(3.14159)*((F519/2)^2)*E519,"NA")</f>
        <v>43.429340159999995</v>
      </c>
      <c r="O519">
        <f>IF(AND(OR(D519="S. acutus",D519="S. californicus",D519="S. tabernaemontani"),G519=0),E519*[1]Sheet1!$D$7+[1]Sheet1!$L$7,IF(AND(OR(D519="S. acutus",D519="S. tabernaemontani"),G519&gt;0),E519*[1]Sheet1!$D$8+N519*[1]Sheet1!$E$8,IF(AND(D519="S. californicus",G519&gt;0),E519*[1]Sheet1!$D$9+N519*[1]Sheet1!$E$9,IF(D519="S.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latifolia"),E519&gt;0),F519*[1]Sheet1!$C$4+E519*[1]Sheet1!$D$4+H519*[1]Sheet1!$J$4+I519*[1]Sheet1!$K$4+[1]Sheet1!$L$4,IF(AND(OR(D519="T. domingensis",D519="T. latifolia"),J519&gt;0),J519*[1]Sheet1!$G$5+K519*[1]Sheet1!$H$5+L519*[1]Sheet1!$I$5+[1]Sheet1!$L$5,0)))))))</f>
        <v>8.0283030000000011</v>
      </c>
    </row>
    <row r="520" spans="1:15">
      <c r="A520" s="6">
        <v>41771</v>
      </c>
      <c r="B520" s="7" t="s">
        <v>29</v>
      </c>
      <c r="C520">
        <v>30</v>
      </c>
      <c r="D520" t="s">
        <v>20</v>
      </c>
      <c r="E520">
        <v>142</v>
      </c>
      <c r="F520">
        <v>1.07</v>
      </c>
      <c r="G520">
        <v>4</v>
      </c>
      <c r="N520">
        <f>IF(OR(D520="S. acutus", D520="S. tabernaemontani", D520="S. californicus"),(1/3)*(3.14159)*((F520/2)^2)*E520,"NA")</f>
        <v>42.562208960166657</v>
      </c>
      <c r="O520">
        <f>IF(AND(OR(D520="S. acutus",D520="S. californicus",D520="S. tabernaemontani"),G520=0),E520*[1]Sheet1!$D$7+[1]Sheet1!$L$7,IF(AND(OR(D520="S. acutus",D520="S. tabernaemontani"),G520&gt;0),E520*[1]Sheet1!$D$8+N520*[1]Sheet1!$E$8,IF(AND(D520="S. californicus",G520&gt;0),E520*[1]Sheet1!$D$9+N520*[1]Sheet1!$E$9,IF(D520="S.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latifolia"),E520&gt;0),F520*[1]Sheet1!$C$4+E520*[1]Sheet1!$D$4+H520*[1]Sheet1!$J$4+I520*[1]Sheet1!$K$4+[1]Sheet1!$L$4,IF(AND(OR(D520="T. domingensis",D520="T. latifolia"),J520&gt;0),J520*[1]Sheet1!$G$5+K520*[1]Sheet1!$H$5+L520*[1]Sheet1!$I$5+[1]Sheet1!$L$5,0)))))))</f>
        <v>6.8385496345054309</v>
      </c>
    </row>
    <row r="521" spans="1:15">
      <c r="A521" s="6">
        <v>41771</v>
      </c>
      <c r="B521" s="7" t="s">
        <v>29</v>
      </c>
      <c r="C521">
        <v>30</v>
      </c>
      <c r="D521" t="s">
        <v>20</v>
      </c>
      <c r="E521">
        <v>82</v>
      </c>
      <c r="F521">
        <v>0.92</v>
      </c>
      <c r="N521">
        <f>IF(OR(D521="S. acutus", D521="S. tabernaemontani", D521="S. californicus"),(1/3)*(3.14159)*((F521/2)^2)*E521,"NA")</f>
        <v>18.170118802666668</v>
      </c>
      <c r="O521">
        <f>IF(AND(OR(D521="S. acutus",D521="S. californicus",D521="S. tabernaemontani"),G521=0),E521*[1]Sheet1!$D$7+[1]Sheet1!$L$7,IF(AND(OR(D521="S. acutus",D521="S. tabernaemontani"),G521&gt;0),E521*[1]Sheet1!$D$8+N521*[1]Sheet1!$E$8,IF(AND(D521="S. californicus",G521&gt;0),E521*[1]Sheet1!$D$9+N521*[1]Sheet1!$E$9,IF(D521="S.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latifolia"),E521&gt;0),F521*[1]Sheet1!$C$4+E521*[1]Sheet1!$D$4+H521*[1]Sheet1!$J$4+I521*[1]Sheet1!$K$4+[1]Sheet1!$L$4,IF(AND(OR(D521="T. domingensis",D521="T. latifolia"),J521&gt;0),J521*[1]Sheet1!$G$5+K521*[1]Sheet1!$H$5+L521*[1]Sheet1!$I$5+[1]Sheet1!$L$5,0)))))))</f>
        <v>1.1580130000000004</v>
      </c>
    </row>
    <row r="522" spans="1:15">
      <c r="A522" s="6">
        <v>41771</v>
      </c>
      <c r="B522" s="7" t="s">
        <v>29</v>
      </c>
      <c r="C522">
        <v>30</v>
      </c>
      <c r="D522" t="s">
        <v>20</v>
      </c>
      <c r="E522">
        <v>196</v>
      </c>
      <c r="F522">
        <v>1.22</v>
      </c>
      <c r="N522">
        <f>IF(OR(D522="S. acutus", D522="S. tabernaemontani", D522="S. californicus"),(1/3)*(3.14159)*((F522/2)^2)*E522,"NA")</f>
        <v>76.373728414666658</v>
      </c>
      <c r="O522">
        <f>IF(AND(OR(D522="S. acutus",D522="S. californicus",D522="S. tabernaemontani"),G522=0),E522*[1]Sheet1!$D$7+[1]Sheet1!$L$7,IF(AND(OR(D522="S. acutus",D522="S. tabernaemontani"),G522&gt;0),E522*[1]Sheet1!$D$8+N522*[1]Sheet1!$E$8,IF(AND(D522="S. californicus",G522&gt;0),E522*[1]Sheet1!$D$9+N522*[1]Sheet1!$E$9,IF(D522="S.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latifolia"),E522&gt;0),F522*[1]Sheet1!$C$4+E522*[1]Sheet1!$D$4+H522*[1]Sheet1!$J$4+I522*[1]Sheet1!$K$4+[1]Sheet1!$L$4,IF(AND(OR(D522="T. domingensis",D522="T. latifolia"),J522&gt;0),J522*[1]Sheet1!$G$5+K522*[1]Sheet1!$H$5+L522*[1]Sheet1!$I$5+[1]Sheet1!$L$5,0)))))))</f>
        <v>9.1499829999999989</v>
      </c>
    </row>
    <row r="523" spans="1:15">
      <c r="A523" s="6">
        <v>41771</v>
      </c>
      <c r="B523" s="7" t="s">
        <v>29</v>
      </c>
      <c r="C523">
        <v>30</v>
      </c>
      <c r="D523" t="s">
        <v>20</v>
      </c>
      <c r="E523">
        <v>124</v>
      </c>
      <c r="F523">
        <v>1.02</v>
      </c>
      <c r="G523">
        <v>3</v>
      </c>
      <c r="N523">
        <f>IF(OR(D523="S. acutus", D523="S. tabernaemontani", D523="S. californicus"),(1/3)*(3.14159)*((F523/2)^2)*E523,"NA")</f>
        <v>33.774605771999994</v>
      </c>
      <c r="O523">
        <f>IF(AND(OR(D523="S. acutus",D523="S. californicus",D523="S. tabernaemontani"),G523=0),E523*[1]Sheet1!$D$7+[1]Sheet1!$L$7,IF(AND(OR(D523="S. acutus",D523="S. tabernaemontani"),G523&gt;0),E523*[1]Sheet1!$D$8+N523*[1]Sheet1!$E$8,IF(AND(D523="S. californicus",G523&gt;0),E523*[1]Sheet1!$D$9+N523*[1]Sheet1!$E$9,IF(D523="S.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latifolia"),E523&gt;0),F523*[1]Sheet1!$C$4+E523*[1]Sheet1!$D$4+H523*[1]Sheet1!$J$4+I523*[1]Sheet1!$K$4+[1]Sheet1!$L$4,IF(AND(OR(D523="T. domingensis",D523="T. latifolia"),J523&gt;0),J523*[1]Sheet1!$G$5+K523*[1]Sheet1!$H$5+L523*[1]Sheet1!$I$5+[1]Sheet1!$L$5,0)))))))</f>
        <v>5.8624531030035953</v>
      </c>
    </row>
    <row r="524" spans="1:15">
      <c r="A524" s="6">
        <v>41771</v>
      </c>
      <c r="B524" s="7" t="s">
        <v>29</v>
      </c>
      <c r="C524">
        <v>30</v>
      </c>
      <c r="D524" t="s">
        <v>20</v>
      </c>
      <c r="E524">
        <v>168</v>
      </c>
      <c r="F524">
        <v>0.9</v>
      </c>
      <c r="G524">
        <v>9</v>
      </c>
      <c r="N524">
        <f>IF(OR(D524="S. acutus", D524="S. tabernaemontani", D524="S. californicus"),(1/3)*(3.14159)*((F524/2)^2)*E524,"NA")</f>
        <v>35.625630600000001</v>
      </c>
      <c r="O524">
        <f>IF(AND(OR(D524="S. acutus",D524="S. californicus",D524="S. tabernaemontani"),G524=0),E524*[1]Sheet1!$D$7+[1]Sheet1!$L$7,IF(AND(OR(D524="S. acutus",D524="S. tabernaemontani"),G524&gt;0),E524*[1]Sheet1!$D$8+N524*[1]Sheet1!$E$8,IF(AND(D524="S. californicus",G524&gt;0),E524*[1]Sheet1!$D$9+N524*[1]Sheet1!$E$9,IF(D524="S.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latifolia"),E524&gt;0),F524*[1]Sheet1!$C$4+E524*[1]Sheet1!$D$4+H524*[1]Sheet1!$J$4+I524*[1]Sheet1!$K$4+[1]Sheet1!$L$4,IF(AND(OR(D524="T. domingensis",D524="T. latifolia"),J524&gt;0),J524*[1]Sheet1!$G$5+K524*[1]Sheet1!$H$5+L524*[1]Sheet1!$I$5+[1]Sheet1!$L$5,0)))))))</f>
        <v>7.6163701683875402</v>
      </c>
    </row>
    <row r="525" spans="1:15">
      <c r="A525" s="6">
        <v>41771</v>
      </c>
      <c r="B525" s="7" t="s">
        <v>29</v>
      </c>
      <c r="C525">
        <v>41</v>
      </c>
      <c r="D525" t="s">
        <v>23</v>
      </c>
      <c r="F525">
        <v>3.9</v>
      </c>
      <c r="J525">
        <f>30+107+142+169+170+210+238+239+248</f>
        <v>1553</v>
      </c>
      <c r="K525">
        <v>9</v>
      </c>
      <c r="L525">
        <v>248</v>
      </c>
      <c r="N525" t="str">
        <f>IF(OR(D525="S. acutus", D525="S. tabernaemontani", D525="S. californicus"),(1/3)*(3.14159)*((F525/2)^2)*E525,"NA")</f>
        <v>NA</v>
      </c>
      <c r="O525">
        <f>IF(AND(OR(D525="S. acutus",D525="S. californicus",D525="S. tabernaemontani"),G525=0),E525*[1]Sheet1!$D$7+[1]Sheet1!$L$7,IF(AND(OR(D525="S. acutus",D525="S. tabernaemontani"),G525&gt;0),E525*[1]Sheet1!$D$8+N525*[1]Sheet1!$E$8,IF(AND(D525="S. californicus",G525&gt;0),E525*[1]Sheet1!$D$9+N525*[1]Sheet1!$E$9,IF(D525="S.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latifolia"),E525&gt;0),F525*[1]Sheet1!$C$4+E525*[1]Sheet1!$D$4+H525*[1]Sheet1!$J$4+I525*[1]Sheet1!$K$4+[1]Sheet1!$L$4,IF(AND(OR(D525="T. domingensis",D525="T. latifolia"),J525&gt;0),J525*[1]Sheet1!$G$5+K525*[1]Sheet1!$H$5+L525*[1]Sheet1!$I$5+[1]Sheet1!$L$5,0)))))))</f>
        <v>40.728562000000004</v>
      </c>
    </row>
    <row r="526" spans="1:15">
      <c r="A526" s="6">
        <v>41771</v>
      </c>
      <c r="B526" s="7" t="s">
        <v>29</v>
      </c>
      <c r="C526">
        <v>41</v>
      </c>
      <c r="D526" t="s">
        <v>23</v>
      </c>
      <c r="F526">
        <v>2</v>
      </c>
      <c r="J526">
        <f>135+150+169+200+195+206+239+242+248+262+270</f>
        <v>2316</v>
      </c>
      <c r="K526">
        <v>11</v>
      </c>
      <c r="L526">
        <v>270</v>
      </c>
      <c r="N526" t="str">
        <f>IF(OR(D526="S. acutus", D526="S. tabernaemontani", D526="S. californicus"),(1/3)*(3.14159)*((F526/2)^2)*E526,"NA")</f>
        <v>NA</v>
      </c>
      <c r="O526">
        <f>IF(AND(OR(D526="S. acutus",D526="S. californicus",D526="S. tabernaemontani"),G526=0),E526*[1]Sheet1!$D$7+[1]Sheet1!$L$7,IF(AND(OR(D526="S. acutus",D526="S. tabernaemontani"),G526&gt;0),E526*[1]Sheet1!$D$8+N526*[1]Sheet1!$E$8,IF(AND(D526="S. californicus",G526&gt;0),E526*[1]Sheet1!$D$9+N526*[1]Sheet1!$E$9,IF(D526="S.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latifolia"),E526&gt;0),F526*[1]Sheet1!$C$4+E526*[1]Sheet1!$D$4+H526*[1]Sheet1!$J$4+I526*[1]Sheet1!$K$4+[1]Sheet1!$L$4,IF(AND(OR(D526="T. domingensis",D526="T. latifolia"),J526&gt;0),J526*[1]Sheet1!$G$5+K526*[1]Sheet1!$H$5+L526*[1]Sheet1!$I$5+[1]Sheet1!$L$5,0)))))))</f>
        <v>91.591531000000032</v>
      </c>
    </row>
    <row r="527" spans="1:15">
      <c r="A527" s="6">
        <v>41771</v>
      </c>
      <c r="B527" s="7" t="s">
        <v>29</v>
      </c>
      <c r="C527">
        <v>41</v>
      </c>
      <c r="D527" t="s">
        <v>23</v>
      </c>
      <c r="F527">
        <v>3.42</v>
      </c>
      <c r="J527">
        <f>49+159+190+194+199+230+249+253</f>
        <v>1523</v>
      </c>
      <c r="K527">
        <v>8</v>
      </c>
      <c r="L527">
        <v>253</v>
      </c>
      <c r="N527" t="str">
        <f>IF(OR(D527="S. acutus", D527="S. tabernaemontani", D527="S. californicus"),(1/3)*(3.14159)*((F527/2)^2)*E527,"NA")</f>
        <v>NA</v>
      </c>
      <c r="O527">
        <f>IF(AND(OR(D527="S. acutus",D527="S. californicus",D527="S. tabernaemontani"),G527=0),E527*[1]Sheet1!$D$7+[1]Sheet1!$L$7,IF(AND(OR(D527="S. acutus",D527="S. tabernaemontani"),G527&gt;0),E527*[1]Sheet1!$D$8+N527*[1]Sheet1!$E$8,IF(AND(D527="S. californicus",G527&gt;0),E527*[1]Sheet1!$D$9+N527*[1]Sheet1!$E$9,IF(D527="S.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latifolia"),E527&gt;0),F527*[1]Sheet1!$C$4+E527*[1]Sheet1!$D$4+H527*[1]Sheet1!$J$4+I527*[1]Sheet1!$K$4+[1]Sheet1!$L$4,IF(AND(OR(D527="T. domingensis",D527="T. latifolia"),J527&gt;0),J527*[1]Sheet1!$G$5+K527*[1]Sheet1!$H$5+L527*[1]Sheet1!$I$5+[1]Sheet1!$L$5,0)))))))</f>
        <v>43.432040000000022</v>
      </c>
    </row>
    <row r="528" spans="1:15">
      <c r="A528" s="6">
        <v>41771</v>
      </c>
      <c r="B528" s="7" t="s">
        <v>29</v>
      </c>
      <c r="C528">
        <v>41</v>
      </c>
      <c r="D528" t="s">
        <v>23</v>
      </c>
      <c r="F528">
        <v>1.85</v>
      </c>
      <c r="J528">
        <f>61+110+112+156+167+199</f>
        <v>805</v>
      </c>
      <c r="K528">
        <v>6</v>
      </c>
      <c r="L528">
        <v>199</v>
      </c>
      <c r="N528" t="str">
        <f>IF(OR(D528="S. acutus", D528="S. tabernaemontani", D528="S. californicus"),(1/3)*(3.14159)*((F528/2)^2)*E528,"NA")</f>
        <v>NA</v>
      </c>
      <c r="O528">
        <f>IF(AND(OR(D528="S. acutus",D528="S. californicus",D528="S. tabernaemontani"),G528=0),E528*[1]Sheet1!$D$7+[1]Sheet1!$L$7,IF(AND(OR(D528="S. acutus",D528="S. tabernaemontani"),G528&gt;0),E528*[1]Sheet1!$D$8+N528*[1]Sheet1!$E$8,IF(AND(D528="S. californicus",G528&gt;0),E528*[1]Sheet1!$D$9+N528*[1]Sheet1!$E$9,IF(D528="S.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latifolia"),E528&gt;0),F528*[1]Sheet1!$C$4+E528*[1]Sheet1!$D$4+H528*[1]Sheet1!$J$4+I528*[1]Sheet1!$K$4+[1]Sheet1!$L$4,IF(AND(OR(D528="T. domingensis",D528="T. latifolia"),J528&gt;0),J528*[1]Sheet1!$G$5+K528*[1]Sheet1!$H$5+L528*[1]Sheet1!$I$5+[1]Sheet1!$L$5,0)))))))</f>
        <v>6.4278860000000009</v>
      </c>
    </row>
    <row r="529" spans="1:15">
      <c r="A529" s="6">
        <v>41771</v>
      </c>
      <c r="B529" s="7" t="s">
        <v>29</v>
      </c>
      <c r="C529">
        <v>41</v>
      </c>
      <c r="D529" t="s">
        <v>19</v>
      </c>
      <c r="F529">
        <v>1.28</v>
      </c>
      <c r="J529">
        <f>38+59+68+97+105</f>
        <v>367</v>
      </c>
      <c r="K529">
        <v>5</v>
      </c>
      <c r="L529">
        <v>105</v>
      </c>
      <c r="N529" t="str">
        <f>IF(OR(D529="S. acutus", D529="S. tabernaemontani", D529="S. californicus"),(1/3)*(3.14159)*((F529/2)^2)*E529,"NA")</f>
        <v>NA</v>
      </c>
      <c r="O529">
        <f>IF(AND(OR(D529="S. acutus",D529="S. californicus",D529="S. tabernaemontani"),G529=0),E529*[1]Sheet1!$D$7+[1]Sheet1!$L$7,IF(AND(OR(D529="S. acutus",D529="S. tabernaemontani"),G529&gt;0),E529*[1]Sheet1!$D$8+N529*[1]Sheet1!$E$8,IF(AND(D529="S. californicus",G529&gt;0),E529*[1]Sheet1!$D$9+N529*[1]Sheet1!$E$9,IF(D529="S.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latifolia"),E529&gt;0),F529*[1]Sheet1!$C$4+E529*[1]Sheet1!$D$4+H529*[1]Sheet1!$J$4+I529*[1]Sheet1!$K$4+[1]Sheet1!$L$4,IF(AND(OR(D529="T. domingensis",D529="T. latifolia"),J529&gt;0),J529*[1]Sheet1!$G$5+K529*[1]Sheet1!$H$5+L529*[1]Sheet1!$I$5+[1]Sheet1!$L$5,0)))))))</f>
        <v>0.70257900000000006</v>
      </c>
    </row>
    <row r="530" spans="1:15">
      <c r="A530" s="6">
        <v>41771</v>
      </c>
      <c r="B530" s="7" t="s">
        <v>29</v>
      </c>
      <c r="C530">
        <v>41</v>
      </c>
      <c r="D530" t="s">
        <v>19</v>
      </c>
      <c r="F530">
        <v>1.0900000000000001</v>
      </c>
      <c r="J530">
        <f>42+49+73+129</f>
        <v>293</v>
      </c>
      <c r="K530">
        <v>4</v>
      </c>
      <c r="L530">
        <v>129</v>
      </c>
      <c r="N530" t="str">
        <f>IF(OR(D530="S. acutus", D530="S. tabernaemontani", D530="S. californicus"),(1/3)*(3.14159)*((F530/2)^2)*E530,"NA")</f>
        <v>NA</v>
      </c>
      <c r="O530">
        <f>IF(AND(OR(D530="S. acutus",D530="S. californicus",D530="S. tabernaemontani"),G530=0),E530*[1]Sheet1!$D$7+[1]Sheet1!$L$7,IF(AND(OR(D530="S. acutus",D530="S. tabernaemontani"),G530&gt;0),E530*[1]Sheet1!$D$8+N530*[1]Sheet1!$E$8,IF(AND(D530="S. californicus",G530&gt;0),E530*[1]Sheet1!$D$9+N530*[1]Sheet1!$E$9,IF(D530="S.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latifolia"),E530&gt;0),F530*[1]Sheet1!$C$4+E530*[1]Sheet1!$D$4+H530*[1]Sheet1!$J$4+I530*[1]Sheet1!$K$4+[1]Sheet1!$L$4,IF(AND(OR(D530="T. domingensis",D530="T. latifolia"),J530&gt;0),J530*[1]Sheet1!$G$5+K530*[1]Sheet1!$H$5+L530*[1]Sheet1!$I$5+[1]Sheet1!$L$5,0)))))))</f>
        <v>-6.4428179999999955</v>
      </c>
    </row>
    <row r="531" spans="1:15">
      <c r="A531" s="6">
        <v>41771</v>
      </c>
      <c r="B531" s="7" t="s">
        <v>29</v>
      </c>
      <c r="C531">
        <v>41</v>
      </c>
      <c r="D531" t="s">
        <v>19</v>
      </c>
      <c r="F531">
        <v>0.71</v>
      </c>
      <c r="J531">
        <f>46+51+76+87</f>
        <v>260</v>
      </c>
      <c r="K531">
        <v>4</v>
      </c>
      <c r="L531">
        <v>87</v>
      </c>
      <c r="N531" t="str">
        <f>IF(OR(D531="S. acutus", D531="S. tabernaemontani", D531="S. californicus"),(1/3)*(3.14159)*((F531/2)^2)*E531,"NA")</f>
        <v>NA</v>
      </c>
      <c r="O531">
        <f>IF(AND(OR(D531="S. acutus",D531="S. californicus",D531="S. tabernaemontani"),G531=0),E531*[1]Sheet1!$D$7+[1]Sheet1!$L$7,IF(AND(OR(D531="S. acutus",D531="S. tabernaemontani"),G531&gt;0),E531*[1]Sheet1!$D$8+N531*[1]Sheet1!$E$8,IF(AND(D531="S. californicus",G531&gt;0),E531*[1]Sheet1!$D$9+N531*[1]Sheet1!$E$9,IF(D531="S.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latifolia"),E531&gt;0),F531*[1]Sheet1!$C$4+E531*[1]Sheet1!$D$4+H531*[1]Sheet1!$J$4+I531*[1]Sheet1!$K$4+[1]Sheet1!$L$4,IF(AND(OR(D531="T. domingensis",D531="T. latifolia"),J531&gt;0),J531*[1]Sheet1!$G$5+K531*[1]Sheet1!$H$5+L531*[1]Sheet1!$I$5+[1]Sheet1!$L$5,0)))))))</f>
        <v>3.115556999999999</v>
      </c>
    </row>
    <row r="532" spans="1:15">
      <c r="A532" s="6">
        <v>41771</v>
      </c>
      <c r="B532" s="7" t="s">
        <v>29</v>
      </c>
      <c r="C532">
        <v>41</v>
      </c>
      <c r="D532" t="s">
        <v>19</v>
      </c>
      <c r="F532">
        <v>4.42</v>
      </c>
      <c r="J532">
        <f>148+166+216+241+249+271+280+158</f>
        <v>1729</v>
      </c>
      <c r="K532">
        <v>8</v>
      </c>
      <c r="L532">
        <v>280</v>
      </c>
      <c r="N532" t="str">
        <f>IF(OR(D532="S. acutus", D532="S. tabernaemontani", D532="S. californicus"),(1/3)*(3.14159)*((F532/2)^2)*E532,"NA")</f>
        <v>NA</v>
      </c>
      <c r="O532">
        <f>IF(AND(OR(D532="S. acutus",D532="S. californicus",D532="S. tabernaemontani"),G532=0),E532*[1]Sheet1!$D$7+[1]Sheet1!$L$7,IF(AND(OR(D532="S. acutus",D532="S. tabernaemontani"),G532&gt;0),E532*[1]Sheet1!$D$8+N532*[1]Sheet1!$E$8,IF(AND(D532="S. californicus",G532&gt;0),E532*[1]Sheet1!$D$9+N532*[1]Sheet1!$E$9,IF(D532="S.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latifolia"),E532&gt;0),F532*[1]Sheet1!$C$4+E532*[1]Sheet1!$D$4+H532*[1]Sheet1!$J$4+I532*[1]Sheet1!$K$4+[1]Sheet1!$L$4,IF(AND(OR(D532="T. domingensis",D532="T. latifolia"),J532&gt;0),J532*[1]Sheet1!$G$5+K532*[1]Sheet1!$H$5+L532*[1]Sheet1!$I$5+[1]Sheet1!$L$5,0)))))))</f>
        <v>54.611955000000016</v>
      </c>
    </row>
    <row r="533" spans="1:15">
      <c r="A533" s="6">
        <v>41771</v>
      </c>
      <c r="B533" s="7" t="s">
        <v>29</v>
      </c>
      <c r="C533">
        <v>41</v>
      </c>
      <c r="D533" t="s">
        <v>19</v>
      </c>
      <c r="F533">
        <v>2.34</v>
      </c>
      <c r="J533">
        <f>83+122+163+168+205+225+237</f>
        <v>1203</v>
      </c>
      <c r="K533">
        <v>7</v>
      </c>
      <c r="L533">
        <v>237</v>
      </c>
      <c r="N533" t="str">
        <f>IF(OR(D533="S. acutus", D533="S. tabernaemontani", D533="S. californicus"),(1/3)*(3.14159)*((F533/2)^2)*E533,"NA")</f>
        <v>NA</v>
      </c>
      <c r="O533">
        <f>IF(AND(OR(D533="S. acutus",D533="S. californicus",D533="S. tabernaemontani"),G533=0),E533*[1]Sheet1!$D$7+[1]Sheet1!$L$7,IF(AND(OR(D533="S. acutus",D533="S. tabernaemontani"),G533&gt;0),E533*[1]Sheet1!$D$8+N533*[1]Sheet1!$E$8,IF(AND(D533="S. californicus",G533&gt;0),E533*[1]Sheet1!$D$9+N533*[1]Sheet1!$E$9,IF(D533="S.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latifolia"),E533&gt;0),F533*[1]Sheet1!$C$4+E533*[1]Sheet1!$D$4+H533*[1]Sheet1!$J$4+I533*[1]Sheet1!$K$4+[1]Sheet1!$L$4,IF(AND(OR(D533="T. domingensis",D533="T. latifolia"),J533&gt;0),J533*[1]Sheet1!$G$5+K533*[1]Sheet1!$H$5+L533*[1]Sheet1!$I$5+[1]Sheet1!$L$5,0)))))))</f>
        <v>25.272713000000003</v>
      </c>
    </row>
    <row r="534" spans="1:15">
      <c r="A534" s="6">
        <v>41771</v>
      </c>
      <c r="B534" s="7" t="s">
        <v>29</v>
      </c>
      <c r="C534">
        <v>41</v>
      </c>
      <c r="D534" t="s">
        <v>19</v>
      </c>
      <c r="F534">
        <v>2.14</v>
      </c>
      <c r="J534">
        <f>62+141+163+186+146+226</f>
        <v>924</v>
      </c>
      <c r="K534">
        <v>6</v>
      </c>
      <c r="L534">
        <v>226</v>
      </c>
      <c r="N534" t="str">
        <f>IF(OR(D534="S. acutus", D534="S. tabernaemontani", D534="S. californicus"),(1/3)*(3.14159)*((F534/2)^2)*E534,"NA")</f>
        <v>NA</v>
      </c>
      <c r="O534">
        <f>IF(AND(OR(D534="S. acutus",D534="S. californicus",D534="S. tabernaemontani"),G534=0),E534*[1]Sheet1!$D$7+[1]Sheet1!$L$7,IF(AND(OR(D534="S. acutus",D534="S. tabernaemontani"),G534&gt;0),E534*[1]Sheet1!$D$8+N534*[1]Sheet1!$E$8,IF(AND(D534="S. californicus",G534&gt;0),E534*[1]Sheet1!$D$9+N534*[1]Sheet1!$E$9,IF(D534="S.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latifolia"),E534&gt;0),F534*[1]Sheet1!$C$4+E534*[1]Sheet1!$D$4+H534*[1]Sheet1!$J$4+I534*[1]Sheet1!$K$4+[1]Sheet1!$L$4,IF(AND(OR(D534="T. domingensis",D534="T. latifolia"),J534&gt;0),J534*[1]Sheet1!$G$5+K534*[1]Sheet1!$H$5+L534*[1]Sheet1!$I$5+[1]Sheet1!$L$5,0)))))))</f>
        <v>9.4511160000000061</v>
      </c>
    </row>
    <row r="535" spans="1:15">
      <c r="A535" s="6">
        <v>41771</v>
      </c>
      <c r="B535" s="7" t="s">
        <v>29</v>
      </c>
      <c r="C535">
        <v>41</v>
      </c>
      <c r="D535" t="s">
        <v>19</v>
      </c>
      <c r="F535">
        <v>1.21</v>
      </c>
      <c r="J535">
        <f>70+104+126+167</f>
        <v>467</v>
      </c>
      <c r="K535">
        <v>4</v>
      </c>
      <c r="L535">
        <v>167</v>
      </c>
      <c r="N535" t="str">
        <f>IF(OR(D535="S. acutus", D535="S. tabernaemontani", D535="S. californicus"),(1/3)*(3.14159)*((F535/2)^2)*E535,"NA")</f>
        <v>NA</v>
      </c>
      <c r="O535">
        <f>IF(AND(OR(D535="S. acutus",D535="S. californicus",D535="S. tabernaemontani"),G535=0),E535*[1]Sheet1!$D$7+[1]Sheet1!$L$7,IF(AND(OR(D535="S. acutus",D535="S. tabernaemontani"),G535&gt;0),E535*[1]Sheet1!$D$8+N535*[1]Sheet1!$E$8,IF(AND(D535="S. californicus",G535&gt;0),E535*[1]Sheet1!$D$9+N535*[1]Sheet1!$E$9,IF(D535="S.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latifolia"),E535&gt;0),F535*[1]Sheet1!$C$4+E535*[1]Sheet1!$D$4+H535*[1]Sheet1!$J$4+I535*[1]Sheet1!$K$4+[1]Sheet1!$L$4,IF(AND(OR(D535="T. domingensis",D535="T. latifolia"),J535&gt;0),J535*[1]Sheet1!$G$5+K535*[1]Sheet1!$H$5+L535*[1]Sheet1!$I$5+[1]Sheet1!$L$5,0)))))))</f>
        <v>-1.576757999999991</v>
      </c>
    </row>
    <row r="536" spans="1:15">
      <c r="A536" s="6">
        <v>41771</v>
      </c>
      <c r="B536" s="7" t="s">
        <v>29</v>
      </c>
      <c r="C536">
        <v>41</v>
      </c>
      <c r="D536" t="s">
        <v>19</v>
      </c>
      <c r="F536">
        <v>0.48</v>
      </c>
      <c r="J536">
        <f>36+41+40+59</f>
        <v>176</v>
      </c>
      <c r="K536">
        <v>4</v>
      </c>
      <c r="L536">
        <v>59</v>
      </c>
      <c r="N536" t="str">
        <f>IF(OR(D536="S. acutus", D536="S. tabernaemontani", D536="S. californicus"),(1/3)*(3.14159)*((F536/2)^2)*E536,"NA")</f>
        <v>NA</v>
      </c>
      <c r="O536">
        <f>IF(AND(OR(D536="S. acutus",D536="S. californicus",D536="S. tabernaemontani"),G536=0),E536*[1]Sheet1!$D$7+[1]Sheet1!$L$7,IF(AND(OR(D536="S. acutus",D536="S. tabernaemontani"),G536&gt;0),E536*[1]Sheet1!$D$8+N536*[1]Sheet1!$E$8,IF(AND(D536="S. californicus",G536&gt;0),E536*[1]Sheet1!$D$9+N536*[1]Sheet1!$E$9,IF(D536="S.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latifolia"),E536&gt;0),F536*[1]Sheet1!$C$4+E536*[1]Sheet1!$D$4+H536*[1]Sheet1!$J$4+I536*[1]Sheet1!$K$4+[1]Sheet1!$L$4,IF(AND(OR(D536="T. domingensis",D536="T. latifolia"),J536&gt;0),J536*[1]Sheet1!$G$5+K536*[1]Sheet1!$H$5+L536*[1]Sheet1!$I$5+[1]Sheet1!$L$5,0)))))))</f>
        <v>3.6749970000000012</v>
      </c>
    </row>
    <row r="537" spans="1:15">
      <c r="A537" s="9">
        <v>41771</v>
      </c>
      <c r="B537" s="7" t="s">
        <v>29</v>
      </c>
      <c r="C537">
        <v>43</v>
      </c>
      <c r="D537" t="s">
        <v>20</v>
      </c>
      <c r="E537">
        <v>141</v>
      </c>
      <c r="F537">
        <v>0.56000000000000005</v>
      </c>
      <c r="N537">
        <f>IF(OR(D537="S. acutus", D537="S. tabernaemontani", D537="S. californicus"),(1/3)*(3.14159)*((F537/2)^2)*E537,"NA")</f>
        <v>11.576130832</v>
      </c>
      <c r="O537">
        <f>IF(AND(OR(D537="S. acutus",D537="S. californicus",D537="S. tabernaemontani"),G537=0),E537*[1]Sheet1!$D$7+[1]Sheet1!$L$7,IF(AND(OR(D537="S. acutus",D537="S. tabernaemontani"),G537&gt;0),E537*[1]Sheet1!$D$8+N537*[1]Sheet1!$E$8,IF(AND(D537="S. californicus",G537&gt;0),E537*[1]Sheet1!$D$9+N537*[1]Sheet1!$E$9,IF(D537="S.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latifolia"),E537&gt;0),F537*[1]Sheet1!$C$4+E537*[1]Sheet1!$D$4+H537*[1]Sheet1!$J$4+I537*[1]Sheet1!$K$4+[1]Sheet1!$L$4,IF(AND(OR(D537="T. domingensis",D537="T. latifolia"),J537&gt;0),J537*[1]Sheet1!$G$5+K537*[1]Sheet1!$H$5+L537*[1]Sheet1!$I$5+[1]Sheet1!$L$5,0)))))))</f>
        <v>5.2942080000000002</v>
      </c>
    </row>
    <row r="538" spans="1:15">
      <c r="A538" s="6">
        <v>41771</v>
      </c>
      <c r="B538" s="7" t="s">
        <v>29</v>
      </c>
      <c r="C538">
        <v>43</v>
      </c>
      <c r="D538" t="s">
        <v>23</v>
      </c>
      <c r="E538">
        <v>246</v>
      </c>
      <c r="F538">
        <v>5.05</v>
      </c>
      <c r="H538">
        <v>67</v>
      </c>
      <c r="I538">
        <v>1</v>
      </c>
      <c r="N538" t="str">
        <f>IF(OR(D538="S. acutus", D538="S. tabernaemontani", D538="S. californicus"),(1/3)*(3.14159)*((F538/2)^2)*E538,"NA")</f>
        <v>NA</v>
      </c>
      <c r="O538">
        <f>IF(AND(OR(D538="S. acutus",D538="S. californicus",D538="S. tabernaemontani"),G538=0),E538*[1]Sheet1!$D$7+[1]Sheet1!$L$7,IF(AND(OR(D538="S. acutus",D538="S. tabernaemontani"),G538&gt;0),E538*[1]Sheet1!$D$8+N538*[1]Sheet1!$E$8,IF(AND(D538="S. californicus",G538&gt;0),E538*[1]Sheet1!$D$9+N538*[1]Sheet1!$E$9,IF(D538="S.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latifolia"),E538&gt;0),F538*[1]Sheet1!$C$4+E538*[1]Sheet1!$D$4+H538*[1]Sheet1!$J$4+I538*[1]Sheet1!$K$4+[1]Sheet1!$L$4,IF(AND(OR(D538="T. domingensis",D538="T. latifolia"),J538&gt;0),J538*[1]Sheet1!$G$5+K538*[1]Sheet1!$H$5+L538*[1]Sheet1!$I$5+[1]Sheet1!$L$5,0)))))))</f>
        <v>153.64575444999997</v>
      </c>
    </row>
    <row r="539" spans="1:15">
      <c r="A539" s="6">
        <v>41771</v>
      </c>
      <c r="B539" s="7" t="s">
        <v>29</v>
      </c>
      <c r="C539">
        <v>43</v>
      </c>
      <c r="D539" t="s">
        <v>23</v>
      </c>
      <c r="E539">
        <v>203</v>
      </c>
      <c r="F539">
        <v>6.4</v>
      </c>
      <c r="H539">
        <v>42</v>
      </c>
      <c r="I539">
        <v>2</v>
      </c>
      <c r="N539" t="str">
        <f>IF(OR(D539="S. acutus", D539="S. tabernaemontani", D539="S. californicus"),(1/3)*(3.14159)*((F539/2)^2)*E539,"NA")</f>
        <v>NA</v>
      </c>
      <c r="O539">
        <f>IF(AND(OR(D539="S. acutus",D539="S. californicus",D539="S. tabernaemontani"),G539=0),E539*[1]Sheet1!$D$7+[1]Sheet1!$L$7,IF(AND(OR(D539="S. acutus",D539="S. tabernaemontani"),G539&gt;0),E539*[1]Sheet1!$D$8+N539*[1]Sheet1!$E$8,IF(AND(D539="S. californicus",G539&gt;0),E539*[1]Sheet1!$D$9+N539*[1]Sheet1!$E$9,IF(D539="S.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latifolia"),E539&gt;0),F539*[1]Sheet1!$C$4+E539*[1]Sheet1!$D$4+H539*[1]Sheet1!$J$4+I539*[1]Sheet1!$K$4+[1]Sheet1!$L$4,IF(AND(OR(D539="T. domingensis",D539="T. latifolia"),J539&gt;0),J539*[1]Sheet1!$G$5+K539*[1]Sheet1!$H$5+L539*[1]Sheet1!$I$5+[1]Sheet1!$L$5,0)))))))</f>
        <v>160.8038598</v>
      </c>
    </row>
    <row r="540" spans="1:15">
      <c r="A540" s="9">
        <v>41771</v>
      </c>
      <c r="B540" s="7" t="s">
        <v>29</v>
      </c>
      <c r="C540">
        <v>43</v>
      </c>
      <c r="D540" t="s">
        <v>23</v>
      </c>
      <c r="F540">
        <v>2</v>
      </c>
      <c r="J540">
        <f>103+138</f>
        <v>241</v>
      </c>
      <c r="K540">
        <v>2</v>
      </c>
      <c r="L540">
        <v>138</v>
      </c>
      <c r="N540" t="str">
        <f>IF(OR(D540="S. acutus", D540="S. tabernaemontani", D540="S. californicus"),(1/3)*(3.14159)*((F540/2)^2)*E540,"NA")</f>
        <v>NA</v>
      </c>
      <c r="O540">
        <f>IF(AND(OR(D540="S. acutus",D540="S. californicus",D540="S. tabernaemontani"),G540=0),E540*[1]Sheet1!$D$7+[1]Sheet1!$L$7,IF(AND(OR(D540="S. acutus",D540="S. tabernaemontani"),G540&gt;0),E540*[1]Sheet1!$D$8+N540*[1]Sheet1!$E$8,IF(AND(D540="S. californicus",G540&gt;0),E540*[1]Sheet1!$D$9+N540*[1]Sheet1!$E$9,IF(D540="S.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latifolia"),E540&gt;0),F540*[1]Sheet1!$C$4+E540*[1]Sheet1!$D$4+H540*[1]Sheet1!$J$4+I540*[1]Sheet1!$K$4+[1]Sheet1!$L$4,IF(AND(OR(D540="T. domingensis",D540="T. latifolia"),J540&gt;0),J540*[1]Sheet1!$G$5+K540*[1]Sheet1!$H$5+L540*[1]Sheet1!$I$5+[1]Sheet1!$L$5,0)))))))</f>
        <v>1.542299999999841E-2</v>
      </c>
    </row>
    <row r="541" spans="1:15">
      <c r="A541" s="9">
        <v>41771</v>
      </c>
      <c r="B541" s="7" t="s">
        <v>29</v>
      </c>
      <c r="C541">
        <v>43</v>
      </c>
      <c r="D541" t="s">
        <v>23</v>
      </c>
      <c r="F541">
        <v>2.0499999999999998</v>
      </c>
      <c r="J541">
        <f>229+249+255+175</f>
        <v>908</v>
      </c>
      <c r="K541">
        <v>4</v>
      </c>
      <c r="L541">
        <v>255</v>
      </c>
      <c r="N541" t="str">
        <f>IF(OR(D541="S. acutus", D541="S. tabernaemontani", D541="S. californicus"),(1/3)*(3.14159)*((F541/2)^2)*E541,"NA")</f>
        <v>NA</v>
      </c>
      <c r="O541">
        <f>IF(AND(OR(D541="S. acutus",D541="S. californicus",D541="S. tabernaemontani"),G541=0),E541*[1]Sheet1!$D$7+[1]Sheet1!$L$7,IF(AND(OR(D541="S. acutus",D541="S. tabernaemontani"),G541&gt;0),E541*[1]Sheet1!$D$8+N541*[1]Sheet1!$E$8,IF(AND(D541="S. californicus",G541&gt;0),E541*[1]Sheet1!$D$9+N541*[1]Sheet1!$E$9,IF(D541="S.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latifolia"),E541&gt;0),F541*[1]Sheet1!$C$4+E541*[1]Sheet1!$D$4+H541*[1]Sheet1!$J$4+I541*[1]Sheet1!$K$4+[1]Sheet1!$L$4,IF(AND(OR(D541="T. domingensis",D541="T. latifolia"),J541&gt;0),J541*[1]Sheet1!$G$5+K541*[1]Sheet1!$H$5+L541*[1]Sheet1!$I$5+[1]Sheet1!$L$5,0)))))))</f>
        <v>13.259637000000005</v>
      </c>
    </row>
    <row r="542" spans="1:15">
      <c r="A542" s="6">
        <v>41771</v>
      </c>
      <c r="B542" s="7" t="s">
        <v>29</v>
      </c>
      <c r="C542">
        <v>43</v>
      </c>
      <c r="D542" t="s">
        <v>23</v>
      </c>
      <c r="E542">
        <v>232</v>
      </c>
      <c r="F542">
        <v>5.04</v>
      </c>
      <c r="H542">
        <v>33</v>
      </c>
      <c r="I542">
        <v>1</v>
      </c>
      <c r="N542" t="str">
        <f>IF(OR(D542="S. acutus", D542="S. tabernaemontani", D542="S. californicus"),(1/3)*(3.14159)*((F542/2)^2)*E542,"NA")</f>
        <v>NA</v>
      </c>
      <c r="O542">
        <f>IF(AND(OR(D542="S. acutus",D542="S. californicus",D542="S. tabernaemontani"),G542=0),E542*[1]Sheet1!$D$7+[1]Sheet1!$L$7,IF(AND(OR(D542="S. acutus",D542="S. tabernaemontani"),G542&gt;0),E542*[1]Sheet1!$D$8+N542*[1]Sheet1!$E$8,IF(AND(D542="S. californicus",G542&gt;0),E542*[1]Sheet1!$D$9+N542*[1]Sheet1!$E$9,IF(D542="S.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latifolia"),E542&gt;0),F542*[1]Sheet1!$C$4+E542*[1]Sheet1!$D$4+H542*[1]Sheet1!$J$4+I542*[1]Sheet1!$K$4+[1]Sheet1!$L$4,IF(AND(OR(D542="T. domingensis",D542="T. latifolia"),J542&gt;0),J542*[1]Sheet1!$G$5+K542*[1]Sheet1!$H$5+L542*[1]Sheet1!$I$5+[1]Sheet1!$L$5,0)))))))</f>
        <v>117.57119068000003</v>
      </c>
    </row>
    <row r="543" spans="1:15">
      <c r="A543" s="9">
        <v>41771</v>
      </c>
      <c r="B543" s="7" t="s">
        <v>29</v>
      </c>
      <c r="C543">
        <v>43</v>
      </c>
      <c r="D543" t="s">
        <v>23</v>
      </c>
      <c r="F543">
        <v>2.1800000000000002</v>
      </c>
      <c r="J543">
        <f>202+120</f>
        <v>322</v>
      </c>
      <c r="K543">
        <v>2</v>
      </c>
      <c r="L543">
        <v>202</v>
      </c>
      <c r="N543" t="str">
        <f>IF(OR(D543="S. acutus", D543="S. tabernaemontani", D543="S. californicus"),(1/3)*(3.14159)*((F543/2)^2)*E543,"NA")</f>
        <v>NA</v>
      </c>
      <c r="O543">
        <f>IF(AND(OR(D543="S. acutus",D543="S. californicus",D543="S. tabernaemontani"),G543=0),E543*[1]Sheet1!$D$7+[1]Sheet1!$L$7,IF(AND(OR(D543="S. acutus",D543="S. tabernaemontani"),G543&gt;0),E543*[1]Sheet1!$D$8+N543*[1]Sheet1!$E$8,IF(AND(D543="S. californicus",G543&gt;0),E543*[1]Sheet1!$D$9+N543*[1]Sheet1!$E$9,IF(D543="S.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latifolia"),E543&gt;0),F543*[1]Sheet1!$C$4+E543*[1]Sheet1!$D$4+H543*[1]Sheet1!$J$4+I543*[1]Sheet1!$K$4+[1]Sheet1!$L$4,IF(AND(OR(D543="T. domingensis",D543="T. latifolia"),J543&gt;0),J543*[1]Sheet1!$G$5+K543*[1]Sheet1!$H$5+L543*[1]Sheet1!$I$5+[1]Sheet1!$L$5,0)))))))</f>
        <v>-11.670102</v>
      </c>
    </row>
    <row r="544" spans="1:15">
      <c r="A544" s="6">
        <v>41771</v>
      </c>
      <c r="B544" s="7" t="s">
        <v>29</v>
      </c>
      <c r="C544">
        <v>43</v>
      </c>
      <c r="D544" t="s">
        <v>23</v>
      </c>
      <c r="F544">
        <v>1.66</v>
      </c>
      <c r="J544">
        <f>133+184+194+210</f>
        <v>721</v>
      </c>
      <c r="K544">
        <v>4</v>
      </c>
      <c r="L544">
        <v>210</v>
      </c>
      <c r="N544" t="str">
        <f>IF(OR(D544="S. acutus", D544="S. tabernaemontani", D544="S. californicus"),(1/3)*(3.14159)*((F544/2)^2)*E544,"NA")</f>
        <v>NA</v>
      </c>
      <c r="O544">
        <f>IF(AND(OR(D544="S. acutus",D544="S. californicus",D544="S. tabernaemontani"),G544=0),E544*[1]Sheet1!$D$7+[1]Sheet1!$L$7,IF(AND(OR(D544="S. acutus",D544="S. tabernaemontani"),G544&gt;0),E544*[1]Sheet1!$D$8+N544*[1]Sheet1!$E$8,IF(AND(D544="S. californicus",G544&gt;0),E544*[1]Sheet1!$D$9+N544*[1]Sheet1!$E$9,IF(D544="S.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latifolia"),E544&gt;0),F544*[1]Sheet1!$C$4+E544*[1]Sheet1!$D$4+H544*[1]Sheet1!$J$4+I544*[1]Sheet1!$K$4+[1]Sheet1!$L$4,IF(AND(OR(D544="T. domingensis",D544="T. latifolia"),J544&gt;0),J544*[1]Sheet1!$G$5+K544*[1]Sheet1!$H$5+L544*[1]Sheet1!$I$5+[1]Sheet1!$L$5,0)))))))</f>
        <v>9.283477000000012</v>
      </c>
    </row>
    <row r="545" spans="1:15">
      <c r="A545" s="9">
        <v>41771</v>
      </c>
      <c r="B545" s="7" t="s">
        <v>29</v>
      </c>
      <c r="C545">
        <v>43</v>
      </c>
      <c r="D545" t="s">
        <v>19</v>
      </c>
      <c r="F545">
        <v>4.4800000000000004</v>
      </c>
      <c r="J545">
        <f>137+183+182+241+266+282+307</f>
        <v>1598</v>
      </c>
      <c r="K545">
        <v>7</v>
      </c>
      <c r="L545">
        <v>307</v>
      </c>
      <c r="N545" t="str">
        <f>IF(OR(D545="S. acutus", D545="S. tabernaemontani", D545="S. californicus"),(1/3)*(3.14159)*((F545/2)^2)*E545,"NA")</f>
        <v>NA</v>
      </c>
      <c r="O545">
        <f>IF(AND(OR(D545="S. acutus",D545="S. californicus",D545="S. tabernaemontani"),G545=0),E545*[1]Sheet1!$D$7+[1]Sheet1!$L$7,IF(AND(OR(D545="S. acutus",D545="S. tabernaemontani"),G545&gt;0),E545*[1]Sheet1!$D$8+N545*[1]Sheet1!$E$8,IF(AND(D545="S. californicus",G545&gt;0),E545*[1]Sheet1!$D$9+N545*[1]Sheet1!$E$9,IF(D545="S.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latifolia"),E545&gt;0),F545*[1]Sheet1!$C$4+E545*[1]Sheet1!$D$4+H545*[1]Sheet1!$J$4+I545*[1]Sheet1!$K$4+[1]Sheet1!$L$4,IF(AND(OR(D545="T. domingensis",D545="T. latifolia"),J545&gt;0),J545*[1]Sheet1!$G$5+K545*[1]Sheet1!$H$5+L545*[1]Sheet1!$I$5+[1]Sheet1!$L$5,0)))))))</f>
        <v>41.218788000000011</v>
      </c>
    </row>
    <row r="546" spans="1:15">
      <c r="A546" s="6">
        <v>41771</v>
      </c>
      <c r="B546" s="7" t="s">
        <v>29</v>
      </c>
      <c r="C546">
        <v>43</v>
      </c>
      <c r="D546" t="s">
        <v>19</v>
      </c>
      <c r="F546">
        <v>4.92</v>
      </c>
      <c r="J546">
        <f>160+214+231+240+260+275+262+284+298+309+307</f>
        <v>2840</v>
      </c>
      <c r="K546">
        <v>11</v>
      </c>
      <c r="L546">
        <v>309</v>
      </c>
      <c r="N546" t="str">
        <f>IF(OR(D546="S. acutus", D546="S. tabernaemontani", D546="S. californicus"),(1/3)*(3.14159)*((F546/2)^2)*E546,"NA")</f>
        <v>NA</v>
      </c>
      <c r="O546">
        <f>IF(AND(OR(D546="S. acutus",D546="S. californicus",D546="S. tabernaemontani"),G546=0),E546*[1]Sheet1!$D$7+[1]Sheet1!$L$7,IF(AND(OR(D546="S. acutus",D546="S. tabernaemontani"),G546&gt;0),E546*[1]Sheet1!$D$8+N546*[1]Sheet1!$E$8,IF(AND(D546="S. californicus",G546&gt;0),E546*[1]Sheet1!$D$9+N546*[1]Sheet1!$E$9,IF(D546="S.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latifolia"),E546&gt;0),F546*[1]Sheet1!$C$4+E546*[1]Sheet1!$D$4+H546*[1]Sheet1!$J$4+I546*[1]Sheet1!$K$4+[1]Sheet1!$L$4,IF(AND(OR(D546="T. domingensis",D546="T. latifolia"),J546&gt;0),J546*[1]Sheet1!$G$5+K546*[1]Sheet1!$H$5+L546*[1]Sheet1!$I$5+[1]Sheet1!$L$5,0)))))))</f>
        <v>128.97059600000003</v>
      </c>
    </row>
    <row r="547" spans="1:15">
      <c r="A547" s="6">
        <v>41771</v>
      </c>
      <c r="B547" s="7" t="s">
        <v>29</v>
      </c>
      <c r="C547">
        <v>43</v>
      </c>
      <c r="D547" t="s">
        <v>19</v>
      </c>
      <c r="F547">
        <v>7.39</v>
      </c>
      <c r="J547">
        <f>236+237+235+256+277+275</f>
        <v>1516</v>
      </c>
      <c r="K547">
        <v>6</v>
      </c>
      <c r="L547">
        <v>277</v>
      </c>
      <c r="N547" t="str">
        <f>IF(OR(D547="S. acutus", D547="S. tabernaemontani", D547="S. californicus"),(1/3)*(3.14159)*((F547/2)^2)*E547,"NA")</f>
        <v>NA</v>
      </c>
      <c r="O547">
        <f>IF(AND(OR(D547="S. acutus",D547="S. californicus",D547="S. tabernaemontani"),G547=0),E547*[1]Sheet1!$D$7+[1]Sheet1!$L$7,IF(AND(OR(D547="S. acutus",D547="S. tabernaemontani"),G547&gt;0),E547*[1]Sheet1!$D$8+N547*[1]Sheet1!$E$8,IF(AND(D547="S. californicus",G547&gt;0),E547*[1]Sheet1!$D$9+N547*[1]Sheet1!$E$9,IF(D547="S.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latifolia"),E547&gt;0),F547*[1]Sheet1!$C$4+E547*[1]Sheet1!$D$4+H547*[1]Sheet1!$J$4+I547*[1]Sheet1!$K$4+[1]Sheet1!$L$4,IF(AND(OR(D547="T. domingensis",D547="T. latifolia"),J547&gt;0),J547*[1]Sheet1!$G$5+K547*[1]Sheet1!$H$5+L547*[1]Sheet1!$I$5+[1]Sheet1!$L$5,0)))))))</f>
        <v>49.590581000000022</v>
      </c>
    </row>
    <row r="548" spans="1:15">
      <c r="A548" s="6">
        <v>41771</v>
      </c>
      <c r="B548" s="7" t="s">
        <v>29</v>
      </c>
      <c r="C548">
        <v>49</v>
      </c>
      <c r="D548" t="s">
        <v>25</v>
      </c>
      <c r="E548">
        <v>351</v>
      </c>
      <c r="F548">
        <v>2.06</v>
      </c>
      <c r="G548">
        <v>2</v>
      </c>
      <c r="N548">
        <f>IF(OR(D548="S. acutus", D548="S. tabernaemontani", D548="S. californicus"),(1/3)*(3.14159)*((F548/2)^2)*E548,"NA")</f>
        <v>389.950801227</v>
      </c>
      <c r="O548">
        <f>IF(AND(OR(D548="S. acutus",D548="S. californicus",D548="S. tabernaemontani"),G548=0),E548*[1]Sheet1!$D$7+[1]Sheet1!$L$7,IF(AND(OR(D548="S. acutus",D548="S. tabernaemontani"),G548&gt;0),E548*[1]Sheet1!$D$8+N548*[1]Sheet1!$E$8,IF(AND(D548="S. californicus",G548&gt;0),E548*[1]Sheet1!$D$9+N548*[1]Sheet1!$E$9,IF(D548="S.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latifolia"),E548&gt;0),F548*[1]Sheet1!$C$4+E548*[1]Sheet1!$D$4+H548*[1]Sheet1!$J$4+I548*[1]Sheet1!$K$4+[1]Sheet1!$L$4,IF(AND(OR(D548="T. domingensis",D548="T. latifolia"),J548&gt;0),J548*[1]Sheet1!$G$5+K548*[1]Sheet1!$H$5+L548*[1]Sheet1!$I$5+[1]Sheet1!$L$5,0)))))))</f>
        <v>31.087276109965998</v>
      </c>
    </row>
    <row r="549" spans="1:15">
      <c r="A549" s="9">
        <v>41771</v>
      </c>
      <c r="B549" s="7" t="s">
        <v>29</v>
      </c>
      <c r="C549">
        <v>49</v>
      </c>
      <c r="D549" t="s">
        <v>25</v>
      </c>
      <c r="E549">
        <v>206</v>
      </c>
      <c r="F549">
        <v>2.11</v>
      </c>
      <c r="N549">
        <f>IF(OR(D549="S. acutus", D549="S. tabernaemontani", D549="S. californicus"),(1/3)*(3.14159)*((F549/2)^2)*E549,"NA")</f>
        <v>240.1045504028333</v>
      </c>
      <c r="O549">
        <f>IF(AND(OR(D549="S. acutus",D549="S. californicus",D549="S. tabernaemontani"),G549=0),E549*[1]Sheet1!$D$7+[1]Sheet1!$L$7,IF(AND(OR(D549="S. acutus",D549="S. tabernaemontani"),G549&gt;0),E549*[1]Sheet1!$D$8+N549*[1]Sheet1!$E$8,IF(AND(D549="S. californicus",G549&gt;0),E549*[1]Sheet1!$D$9+N549*[1]Sheet1!$E$9,IF(D549="S.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latifolia"),E549&gt;0),F549*[1]Sheet1!$C$4+E549*[1]Sheet1!$D$4+H549*[1]Sheet1!$J$4+I549*[1]Sheet1!$K$4+[1]Sheet1!$L$4,IF(AND(OR(D549="T. domingensis",D549="T. latifolia"),J549&gt;0),J549*[1]Sheet1!$G$5+K549*[1]Sheet1!$H$5+L549*[1]Sheet1!$I$5+[1]Sheet1!$L$5,0)))))))</f>
        <v>9.851033000000001</v>
      </c>
    </row>
    <row r="550" spans="1:15">
      <c r="A550" s="6">
        <v>41771</v>
      </c>
      <c r="B550" s="7" t="s">
        <v>29</v>
      </c>
      <c r="C550">
        <v>49</v>
      </c>
      <c r="D550" t="s">
        <v>25</v>
      </c>
      <c r="E550">
        <v>211</v>
      </c>
      <c r="F550">
        <v>1.08</v>
      </c>
      <c r="G550">
        <v>5</v>
      </c>
      <c r="N550">
        <f>IF(OR(D550="S. acutus", D550="S. tabernaemontani", D550="S. californicus"),(1/3)*(3.14159)*((F550/2)^2)*E550,"NA")</f>
        <v>64.431497628000002</v>
      </c>
      <c r="O550">
        <f>IF(AND(OR(D550="S. acutus",D550="S. californicus",D550="S. tabernaemontani"),G550=0),E550*[1]Sheet1!$D$7+[1]Sheet1!$L$7,IF(AND(OR(D550="S. acutus",D550="S. tabernaemontani"),G550&gt;0),E550*[1]Sheet1!$D$8+N550*[1]Sheet1!$E$8,IF(AND(D550="S. californicus",G550&gt;0),E550*[1]Sheet1!$D$9+N550*[1]Sheet1!$E$9,IF(D550="S.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latifolia"),E550&gt;0),F550*[1]Sheet1!$C$4+E550*[1]Sheet1!$D$4+H550*[1]Sheet1!$J$4+I550*[1]Sheet1!$K$4+[1]Sheet1!$L$4,IF(AND(OR(D550="T. domingensis",D550="T. latifolia"),J550&gt;0),J550*[1]Sheet1!$G$5+K550*[1]Sheet1!$H$5+L550*[1]Sheet1!$I$5+[1]Sheet1!$L$5,0)))))))</f>
        <v>8.8841717941972718</v>
      </c>
    </row>
    <row r="551" spans="1:15">
      <c r="A551" s="9">
        <v>41771</v>
      </c>
      <c r="B551" s="7" t="s">
        <v>29</v>
      </c>
      <c r="C551">
        <v>49</v>
      </c>
      <c r="D551" t="s">
        <v>25</v>
      </c>
      <c r="E551">
        <v>276</v>
      </c>
      <c r="F551">
        <v>1.65</v>
      </c>
      <c r="G551">
        <v>21</v>
      </c>
      <c r="N551">
        <f>IF(OR(D551="S. acutus", D551="S. tabernaemontani", D551="S. californicus"),(1/3)*(3.14159)*((F551/2)^2)*E551,"NA")</f>
        <v>196.71851182499995</v>
      </c>
      <c r="O551">
        <f>IF(AND(OR(D551="S. acutus",D551="S. californicus",D551="S. tabernaemontani"),G551=0),E551*[1]Sheet1!$D$7+[1]Sheet1!$L$7,IF(AND(OR(D551="S. acutus",D551="S. tabernaemontani"),G551&gt;0),E551*[1]Sheet1!$D$8+N551*[1]Sheet1!$E$8,IF(AND(D551="S. californicus",G551&gt;0),E551*[1]Sheet1!$D$9+N551*[1]Sheet1!$E$9,IF(D551="S.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latifolia"),E551&gt;0),F551*[1]Sheet1!$C$4+E551*[1]Sheet1!$D$4+H551*[1]Sheet1!$J$4+I551*[1]Sheet1!$K$4+[1]Sheet1!$L$4,IF(AND(OR(D551="T. domingensis",D551="T. latifolia"),J551&gt;0),J551*[1]Sheet1!$G$5+K551*[1]Sheet1!$H$5+L551*[1]Sheet1!$I$5+[1]Sheet1!$L$5,0)))))))</f>
        <v>18.105777050995048</v>
      </c>
    </row>
    <row r="552" spans="1:15">
      <c r="A552" s="6">
        <v>41771</v>
      </c>
      <c r="B552" s="7" t="s">
        <v>29</v>
      </c>
      <c r="C552">
        <v>49</v>
      </c>
      <c r="D552" t="s">
        <v>25</v>
      </c>
      <c r="E552">
        <v>248</v>
      </c>
      <c r="F552">
        <v>1.85</v>
      </c>
      <c r="N552">
        <f>IF(OR(D552="S. acutus", D552="S. tabernaemontani", D552="S. californicus"),(1/3)*(3.14159)*((F552/2)^2)*E552,"NA")</f>
        <v>222.20989668333334</v>
      </c>
      <c r="O552">
        <f>IF(AND(OR(D552="S. acutus",D552="S. californicus",D552="S. tabernaemontani"),G552=0),E552*[1]Sheet1!$D$7+[1]Sheet1!$L$7,IF(AND(OR(D552="S. acutus",D552="S. tabernaemontani"),G552&gt;0),E552*[1]Sheet1!$D$8+N552*[1]Sheet1!$E$8,IF(AND(D552="S. californicus",G552&gt;0),E552*[1]Sheet1!$D$9+N552*[1]Sheet1!$E$9,IF(D552="S.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latifolia"),E552&gt;0),F552*[1]Sheet1!$C$4+E552*[1]Sheet1!$D$4+H552*[1]Sheet1!$J$4+I552*[1]Sheet1!$K$4+[1]Sheet1!$L$4,IF(AND(OR(D552="T. domingensis",D552="T. latifolia"),J552&gt;0),J552*[1]Sheet1!$G$5+K552*[1]Sheet1!$H$5+L552*[1]Sheet1!$I$5+[1]Sheet1!$L$5,0)))))))</f>
        <v>12.795443000000002</v>
      </c>
    </row>
    <row r="553" spans="1:15">
      <c r="A553" s="9">
        <v>41771</v>
      </c>
      <c r="B553" s="7" t="s">
        <v>29</v>
      </c>
      <c r="C553">
        <v>49</v>
      </c>
      <c r="D553" t="s">
        <v>25</v>
      </c>
      <c r="E553">
        <v>338</v>
      </c>
      <c r="F553">
        <v>2.25</v>
      </c>
      <c r="G553">
        <v>18</v>
      </c>
      <c r="N553">
        <f>IF(OR(D553="S. acutus", D553="S. tabernaemontani", D553="S. californicus"),(1/3)*(3.14159)*((F553/2)^2)*E553,"NA")</f>
        <v>447.97109906249995</v>
      </c>
      <c r="O553">
        <f>IF(AND(OR(D553="S. acutus",D553="S. californicus",D553="S. tabernaemontani"),G553=0),E553*[1]Sheet1!$D$7+[1]Sheet1!$L$7,IF(AND(OR(D553="S. acutus",D553="S. tabernaemontani"),G553&gt;0),E553*[1]Sheet1!$D$8+N553*[1]Sheet1!$E$8,IF(AND(D553="S. californicus",G553&gt;0),E553*[1]Sheet1!$D$9+N553*[1]Sheet1!$E$9,IF(D553="S.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latifolia"),E553&gt;0),F553*[1]Sheet1!$C$4+E553*[1]Sheet1!$D$4+H553*[1]Sheet1!$J$4+I553*[1]Sheet1!$K$4+[1]Sheet1!$L$4,IF(AND(OR(D553="T. domingensis",D553="T. latifolia"),J553&gt;0),J553*[1]Sheet1!$G$5+K553*[1]Sheet1!$H$5+L553*[1]Sheet1!$I$5+[1]Sheet1!$L$5,0)))))))</f>
        <v>34.115121967330623</v>
      </c>
    </row>
    <row r="554" spans="1:15">
      <c r="A554" s="9">
        <v>41771</v>
      </c>
      <c r="B554" s="7" t="s">
        <v>29</v>
      </c>
      <c r="C554">
        <v>49</v>
      </c>
      <c r="D554" t="s">
        <v>25</v>
      </c>
      <c r="E554">
        <v>317</v>
      </c>
      <c r="F554">
        <v>0.6</v>
      </c>
      <c r="G554">
        <v>11</v>
      </c>
      <c r="N554">
        <f>IF(OR(D554="S. acutus", D554="S. tabernaemontani", D554="S. californicus"),(1/3)*(3.14159)*((F554/2)^2)*E554,"NA")</f>
        <v>29.876520899999996</v>
      </c>
      <c r="O554">
        <f>IF(AND(OR(D554="S. acutus",D554="S. californicus",D554="S. tabernaemontani"),G554=0),E554*[1]Sheet1!$D$7+[1]Sheet1!$L$7,IF(AND(OR(D554="S. acutus",D554="S. tabernaemontani"),G554&gt;0),E554*[1]Sheet1!$D$8+N554*[1]Sheet1!$E$8,IF(AND(D554="S. californicus",G554&gt;0),E554*[1]Sheet1!$D$9+N554*[1]Sheet1!$E$9,IF(D554="S.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latifolia"),E554&gt;0),F554*[1]Sheet1!$C$4+E554*[1]Sheet1!$D$4+H554*[1]Sheet1!$J$4+I554*[1]Sheet1!$K$4+[1]Sheet1!$L$4,IF(AND(OR(D554="T. domingensis",D554="T. latifolia"),J554&gt;0),J554*[1]Sheet1!$G$5+K554*[1]Sheet1!$H$5+L554*[1]Sheet1!$I$5+[1]Sheet1!$L$5,0)))))))</f>
        <v>9.4875696663865998</v>
      </c>
    </row>
    <row r="555" spans="1:15">
      <c r="A555" s="6">
        <v>41771</v>
      </c>
      <c r="B555" s="7" t="s">
        <v>29</v>
      </c>
      <c r="C555">
        <v>49</v>
      </c>
      <c r="D555" t="s">
        <v>25</v>
      </c>
      <c r="E555">
        <v>132</v>
      </c>
      <c r="F555">
        <v>1.07</v>
      </c>
      <c r="N555">
        <f>IF(OR(D555="S. acutus", D555="S. tabernaemontani", D555="S. californicus"),(1/3)*(3.14159)*((F555/2)^2)*E555,"NA")</f>
        <v>39.564870300999992</v>
      </c>
      <c r="O555">
        <f>IF(AND(OR(D555="S. acutus",D555="S. californicus",D555="S. tabernaemontani"),G555=0),E555*[1]Sheet1!$D$7+[1]Sheet1!$L$7,IF(AND(OR(D555="S. acutus",D555="S. tabernaemontani"),G555&gt;0),E555*[1]Sheet1!$D$8+N555*[1]Sheet1!$E$8,IF(AND(D555="S. californicus",G555&gt;0),E555*[1]Sheet1!$D$9+N555*[1]Sheet1!$E$9,IF(D555="S.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latifolia"),E555&gt;0),F555*[1]Sheet1!$C$4+E555*[1]Sheet1!$D$4+H555*[1]Sheet1!$J$4+I555*[1]Sheet1!$K$4+[1]Sheet1!$L$4,IF(AND(OR(D555="T. domingensis",D555="T. latifolia"),J555&gt;0),J555*[1]Sheet1!$G$5+K555*[1]Sheet1!$H$5+L555*[1]Sheet1!$I$5+[1]Sheet1!$L$5,0)))))))</f>
        <v>4.6632629999999997</v>
      </c>
    </row>
    <row r="556" spans="1:15">
      <c r="A556" s="9">
        <v>41771</v>
      </c>
      <c r="B556" s="7" t="s">
        <v>29</v>
      </c>
      <c r="C556">
        <v>49</v>
      </c>
      <c r="D556" t="s">
        <v>25</v>
      </c>
      <c r="E556">
        <v>321</v>
      </c>
      <c r="F556">
        <v>2.1800000000000002</v>
      </c>
      <c r="G556">
        <v>1</v>
      </c>
      <c r="N556">
        <f>IF(OR(D556="S. acutus", D556="S. tabernaemontani", D556="S. californicus"),(1/3)*(3.14159)*((F556/2)^2)*E556,"NA")</f>
        <v>399.37996945300006</v>
      </c>
      <c r="O556">
        <f>IF(AND(OR(D556="S. acutus",D556="S. californicus",D556="S. tabernaemontani"),G556=0),E556*[1]Sheet1!$D$7+[1]Sheet1!$L$7,IF(AND(OR(D556="S. acutus",D556="S. tabernaemontani"),G556&gt;0),E556*[1]Sheet1!$D$8+N556*[1]Sheet1!$E$8,IF(AND(D556="S. californicus",G556&gt;0),E556*[1]Sheet1!$D$9+N556*[1]Sheet1!$E$9,IF(D556="S.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latifolia"),E556&gt;0),F556*[1]Sheet1!$C$4+E556*[1]Sheet1!$D$4+H556*[1]Sheet1!$J$4+I556*[1]Sheet1!$K$4+[1]Sheet1!$L$4,IF(AND(OR(D556="T. domingensis",D556="T. latifolia"),J556&gt;0),J556*[1]Sheet1!$G$5+K556*[1]Sheet1!$H$5+L556*[1]Sheet1!$I$5+[1]Sheet1!$L$5,0)))))))</f>
        <v>30.896285958232326</v>
      </c>
    </row>
    <row r="557" spans="1:15">
      <c r="A557" s="6">
        <v>41771</v>
      </c>
      <c r="B557" s="7" t="s">
        <v>29</v>
      </c>
      <c r="C557">
        <v>49</v>
      </c>
      <c r="D557" t="s">
        <v>25</v>
      </c>
      <c r="E557">
        <v>351</v>
      </c>
      <c r="F557">
        <v>2.86</v>
      </c>
      <c r="N557">
        <f>IF(OR(D557="S. acutus", D557="S. tabernaemontani", D557="S. californicus"),(1/3)*(3.14159)*((F557/2)^2)*E557,"NA")</f>
        <v>751.63577474699991</v>
      </c>
      <c r="O557">
        <f>IF(AND(OR(D557="S. acutus",D557="S. californicus",D557="S. tabernaemontani"),G557=0),E557*[1]Sheet1!$D$7+[1]Sheet1!$L$7,IF(AND(OR(D557="S. acutus",D557="S. tabernaemontani"),G557&gt;0),E557*[1]Sheet1!$D$8+N557*[1]Sheet1!$E$8,IF(AND(D557="S. californicus",G557&gt;0),E557*[1]Sheet1!$D$9+N557*[1]Sheet1!$E$9,IF(D557="S.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latifolia"),E557&gt;0),F557*[1]Sheet1!$C$4+E557*[1]Sheet1!$D$4+H557*[1]Sheet1!$J$4+I557*[1]Sheet1!$K$4+[1]Sheet1!$L$4,IF(AND(OR(D557="T. domingensis",D557="T. latifolia"),J557&gt;0),J557*[1]Sheet1!$G$5+K557*[1]Sheet1!$H$5+L557*[1]Sheet1!$I$5+[1]Sheet1!$L$5,0)))))))</f>
        <v>20.016258000000001</v>
      </c>
    </row>
    <row r="558" spans="1:15">
      <c r="A558" s="9">
        <v>41771</v>
      </c>
      <c r="B558" s="7" t="s">
        <v>29</v>
      </c>
      <c r="C558">
        <v>49</v>
      </c>
      <c r="D558" t="s">
        <v>25</v>
      </c>
      <c r="E558">
        <v>315</v>
      </c>
      <c r="F558">
        <v>1.73</v>
      </c>
      <c r="N558">
        <f>IF(OR(D558="S. acutus", D558="S. tabernaemontani", D558="S. californicus"),(1/3)*(3.14159)*((F558/2)^2)*E558,"NA")</f>
        <v>246.81469866374999</v>
      </c>
      <c r="O558">
        <f>IF(AND(OR(D558="S. acutus",D558="S. californicus",D558="S. tabernaemontani"),G558=0),E558*[1]Sheet1!$D$7+[1]Sheet1!$L$7,IF(AND(OR(D558="S. acutus",D558="S. tabernaemontani"),G558&gt;0),E558*[1]Sheet1!$D$8+N558*[1]Sheet1!$E$8,IF(AND(D558="S. californicus",G558&gt;0),E558*[1]Sheet1!$D$9+N558*[1]Sheet1!$E$9,IF(D558="S.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latifolia"),E558&gt;0),F558*[1]Sheet1!$C$4+E558*[1]Sheet1!$D$4+H558*[1]Sheet1!$J$4+I558*[1]Sheet1!$K$4+[1]Sheet1!$L$4,IF(AND(OR(D558="T. domingensis",D558="T. latifolia"),J558&gt;0),J558*[1]Sheet1!$G$5+K558*[1]Sheet1!$H$5+L558*[1]Sheet1!$I$5+[1]Sheet1!$L$5,0)))))))</f>
        <v>17.492478000000002</v>
      </c>
    </row>
    <row r="559" spans="1:15">
      <c r="A559" s="6">
        <v>41771</v>
      </c>
      <c r="B559" s="7" t="s">
        <v>29</v>
      </c>
      <c r="C559">
        <v>49</v>
      </c>
      <c r="D559" t="s">
        <v>25</v>
      </c>
      <c r="E559">
        <v>330</v>
      </c>
      <c r="F559">
        <v>1.88</v>
      </c>
      <c r="N559">
        <f>IF(OR(D559="S. acutus", D559="S. tabernaemontani", D559="S. californicus"),(1/3)*(3.14159)*((F559/2)^2)*E559,"NA")</f>
        <v>305.34998163999995</v>
      </c>
      <c r="O559">
        <f>IF(AND(OR(D559="S. acutus",D559="S. californicus",D559="S. tabernaemontani"),G559=0),E559*[1]Sheet1!$D$7+[1]Sheet1!$L$7,IF(AND(OR(D559="S. acutus",D559="S. tabernaemontani"),G559&gt;0),E559*[1]Sheet1!$D$8+N559*[1]Sheet1!$E$8,IF(AND(D559="S. californicus",G559&gt;0),E559*[1]Sheet1!$D$9+N559*[1]Sheet1!$E$9,IF(D559="S.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latifolia"),E559&gt;0),F559*[1]Sheet1!$C$4+E559*[1]Sheet1!$D$4+H559*[1]Sheet1!$J$4+I559*[1]Sheet1!$K$4+[1]Sheet1!$L$4,IF(AND(OR(D559="T. domingensis",D559="T. latifolia"),J559&gt;0),J559*[1]Sheet1!$G$5+K559*[1]Sheet1!$H$5+L559*[1]Sheet1!$I$5+[1]Sheet1!$L$5,0)))))))</f>
        <v>18.544053000000002</v>
      </c>
    </row>
    <row r="560" spans="1:15">
      <c r="A560" s="9">
        <v>41771</v>
      </c>
      <c r="B560" s="7" t="s">
        <v>29</v>
      </c>
      <c r="C560">
        <v>49</v>
      </c>
      <c r="D560" t="s">
        <v>25</v>
      </c>
      <c r="E560">
        <v>329</v>
      </c>
      <c r="F560">
        <v>1.71</v>
      </c>
      <c r="N560">
        <f>IF(OR(D560="S. acutus", D560="S. tabernaemontani", D560="S. californicus"),(1/3)*(3.14159)*((F560/2)^2)*E560,"NA")</f>
        <v>251.85836432924995</v>
      </c>
      <c r="O560">
        <f>IF(AND(OR(D560="S. acutus",D560="S. californicus",D560="S. tabernaemontani"),G560=0),E560*[1]Sheet1!$D$7+[1]Sheet1!$L$7,IF(AND(OR(D560="S. acutus",D560="S. tabernaemontani"),G560&gt;0),E560*[1]Sheet1!$D$8+N560*[1]Sheet1!$E$8,IF(AND(D560="S. californicus",G560&gt;0),E560*[1]Sheet1!$D$9+N560*[1]Sheet1!$E$9,IF(D560="S.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latifolia"),E560&gt;0),F560*[1]Sheet1!$C$4+E560*[1]Sheet1!$D$4+H560*[1]Sheet1!$J$4+I560*[1]Sheet1!$K$4+[1]Sheet1!$L$4,IF(AND(OR(D560="T. domingensis",D560="T. latifolia"),J560&gt;0),J560*[1]Sheet1!$G$5+K560*[1]Sheet1!$H$5+L560*[1]Sheet1!$I$5+[1]Sheet1!$L$5,0)))))))</f>
        <v>18.473948</v>
      </c>
    </row>
    <row r="561" spans="1:15">
      <c r="A561" s="9">
        <v>41771</v>
      </c>
      <c r="B561" s="7" t="s">
        <v>29</v>
      </c>
      <c r="C561">
        <v>49</v>
      </c>
      <c r="D561" t="s">
        <v>23</v>
      </c>
      <c r="E561">
        <v>242</v>
      </c>
      <c r="F561">
        <v>3.85</v>
      </c>
      <c r="H561">
        <v>21</v>
      </c>
      <c r="I561">
        <v>1</v>
      </c>
      <c r="N561" t="str">
        <f>IF(OR(D561="S. acutus", D561="S. tabernaemontani", D561="S. californicus"),(1/3)*(3.14159)*((F561/2)^2)*E561,"NA")</f>
        <v>NA</v>
      </c>
      <c r="O561">
        <f>IF(AND(OR(D561="S. acutus",D561="S. californicus",D561="S. tabernaemontani"),G561=0),E561*[1]Sheet1!$D$7+[1]Sheet1!$L$7,IF(AND(OR(D561="S. acutus",D561="S. tabernaemontani"),G561&gt;0),E561*[1]Sheet1!$D$8+N561*[1]Sheet1!$E$8,IF(AND(D561="S. californicus",G561&gt;0),E561*[1]Sheet1!$D$9+N561*[1]Sheet1!$E$9,IF(D561="S.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latifolia"),E561&gt;0),F561*[1]Sheet1!$C$4+E561*[1]Sheet1!$D$4+H561*[1]Sheet1!$J$4+I561*[1]Sheet1!$K$4+[1]Sheet1!$L$4,IF(AND(OR(D561="T. domingensis",D561="T. latifolia"),J561&gt;0),J561*[1]Sheet1!$G$5+K561*[1]Sheet1!$H$5+L561*[1]Sheet1!$I$5+[1]Sheet1!$L$5,0)))))))</f>
        <v>86.524376050000001</v>
      </c>
    </row>
    <row r="562" spans="1:15">
      <c r="A562" s="6">
        <v>41771</v>
      </c>
      <c r="B562" s="7" t="s">
        <v>29</v>
      </c>
      <c r="C562">
        <v>49</v>
      </c>
      <c r="D562" t="s">
        <v>23</v>
      </c>
      <c r="E562">
        <v>244</v>
      </c>
      <c r="F562">
        <v>4.17</v>
      </c>
      <c r="H562">
        <v>21</v>
      </c>
      <c r="I562">
        <v>0.8</v>
      </c>
      <c r="N562" t="str">
        <f>IF(OR(D562="S. acutus", D562="S. tabernaemontani", D562="S. californicus"),(1/3)*(3.14159)*((F562/2)^2)*E562,"NA")</f>
        <v>NA</v>
      </c>
      <c r="O562">
        <f>IF(AND(OR(D562="S. acutus",D562="S. californicus",D562="S. tabernaemontani"),G562=0),E562*[1]Sheet1!$D$7+[1]Sheet1!$L$7,IF(AND(OR(D562="S. acutus",D562="S. tabernaemontani"),G562&gt;0),E562*[1]Sheet1!$D$8+N562*[1]Sheet1!$E$8,IF(AND(D562="S. californicus",G562&gt;0),E562*[1]Sheet1!$D$9+N562*[1]Sheet1!$E$9,IF(D562="S.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latifolia"),E562&gt;0),F562*[1]Sheet1!$C$4+E562*[1]Sheet1!$D$4+H562*[1]Sheet1!$J$4+I562*[1]Sheet1!$K$4+[1]Sheet1!$L$4,IF(AND(OR(D562="T. domingensis",D562="T. latifolia"),J562&gt;0),J562*[1]Sheet1!$G$5+K562*[1]Sheet1!$H$5+L562*[1]Sheet1!$I$5+[1]Sheet1!$L$5,0)))))))</f>
        <v>89.801188289999999</v>
      </c>
    </row>
    <row r="563" spans="1:15">
      <c r="A563" s="6">
        <v>41771</v>
      </c>
      <c r="B563" s="7" t="s">
        <v>29</v>
      </c>
      <c r="C563">
        <v>49</v>
      </c>
      <c r="D563" t="s">
        <v>19</v>
      </c>
      <c r="F563">
        <v>3.6</v>
      </c>
      <c r="J563">
        <f>333+243+335+195+339</f>
        <v>1445</v>
      </c>
      <c r="K563">
        <v>5</v>
      </c>
      <c r="L563">
        <v>339</v>
      </c>
      <c r="N563" t="str">
        <f>IF(OR(D563="S. acutus", D563="S. tabernaemontani", D563="S. californicus"),(1/3)*(3.14159)*((F563/2)^2)*E563,"NA")</f>
        <v>NA</v>
      </c>
      <c r="O563">
        <f>IF(AND(OR(D563="S. acutus",D563="S. californicus",D563="S. tabernaemontani"),G563=0),E563*[1]Sheet1!$D$7+[1]Sheet1!$L$7,IF(AND(OR(D563="S. acutus",D563="S. tabernaemontani"),G563&gt;0),E563*[1]Sheet1!$D$8+N563*[1]Sheet1!$E$8,IF(AND(D563="S. californicus",G563&gt;0),E563*[1]Sheet1!$D$9+N563*[1]Sheet1!$E$9,IF(D563="S.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latifolia"),E563&gt;0),F563*[1]Sheet1!$C$4+E563*[1]Sheet1!$D$4+H563*[1]Sheet1!$J$4+I563*[1]Sheet1!$K$4+[1]Sheet1!$L$4,IF(AND(OR(D563="T. domingensis",D563="T. latifolia"),J563&gt;0),J563*[1]Sheet1!$G$5+K563*[1]Sheet1!$H$5+L563*[1]Sheet1!$I$5+[1]Sheet1!$L$5,0)))))))</f>
        <v>31.279139000000022</v>
      </c>
    </row>
    <row r="564" spans="1:15">
      <c r="A564" s="9">
        <v>41771</v>
      </c>
      <c r="B564" s="7" t="s">
        <v>29</v>
      </c>
      <c r="C564">
        <v>49</v>
      </c>
      <c r="D564" t="s">
        <v>19</v>
      </c>
      <c r="F564">
        <v>2.5099999999999998</v>
      </c>
      <c r="J564">
        <f>138+176+217+238+254+275+298</f>
        <v>1596</v>
      </c>
      <c r="K564">
        <v>7</v>
      </c>
      <c r="L564">
        <v>298</v>
      </c>
      <c r="N564" t="str">
        <f>IF(OR(D564="S. acutus", D564="S. tabernaemontani", D564="S. californicus"),(1/3)*(3.14159)*((F564/2)^2)*E564,"NA")</f>
        <v>NA</v>
      </c>
      <c r="O564">
        <f>IF(AND(OR(D564="S. acutus",D564="S. californicus",D564="S. tabernaemontani"),G564=0),E564*[1]Sheet1!$D$7+[1]Sheet1!$L$7,IF(AND(OR(D564="S. acutus",D564="S. tabernaemontani"),G564&gt;0),E564*[1]Sheet1!$D$8+N564*[1]Sheet1!$E$8,IF(AND(D564="S. californicus",G564&gt;0),E564*[1]Sheet1!$D$9+N564*[1]Sheet1!$E$9,IF(D564="S.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latifolia"),E564&gt;0),F564*[1]Sheet1!$C$4+E564*[1]Sheet1!$D$4+H564*[1]Sheet1!$J$4+I564*[1]Sheet1!$K$4+[1]Sheet1!$L$4,IF(AND(OR(D564="T. domingensis",D564="T. latifolia"),J564&gt;0),J564*[1]Sheet1!$G$5+K564*[1]Sheet1!$H$5+L564*[1]Sheet1!$I$5+[1]Sheet1!$L$5,0)))))))</f>
        <v>43.742483000000014</v>
      </c>
    </row>
    <row r="565" spans="1:15">
      <c r="A565" s="6">
        <v>41771</v>
      </c>
      <c r="B565" s="7" t="s">
        <v>29</v>
      </c>
      <c r="C565">
        <v>49</v>
      </c>
      <c r="D565" t="s">
        <v>19</v>
      </c>
      <c r="F565">
        <v>2.7</v>
      </c>
      <c r="J565">
        <f>221+333+130+135+223+200</f>
        <v>1242</v>
      </c>
      <c r="K565">
        <v>6</v>
      </c>
      <c r="L565">
        <v>333</v>
      </c>
      <c r="N565" t="str">
        <f>IF(OR(D565="S. acutus", D565="S. tabernaemontani", D565="S. californicus"),(1/3)*(3.14159)*((F565/2)^2)*E565,"NA")</f>
        <v>NA</v>
      </c>
      <c r="O565">
        <f>IF(AND(OR(D565="S. acutus",D565="S. californicus",D565="S. tabernaemontani"),G565=0),E565*[1]Sheet1!$D$7+[1]Sheet1!$L$7,IF(AND(OR(D565="S. acutus",D565="S. tabernaemontani"),G565&gt;0),E565*[1]Sheet1!$D$8+N565*[1]Sheet1!$E$8,IF(AND(D565="S. californicus",G565&gt;0),E565*[1]Sheet1!$D$9+N565*[1]Sheet1!$E$9,IF(D565="S.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latifolia"),E565&gt;0),F565*[1]Sheet1!$C$4+E565*[1]Sheet1!$D$4+H565*[1]Sheet1!$J$4+I565*[1]Sheet1!$K$4+[1]Sheet1!$L$4,IF(AND(OR(D565="T. domingensis",D565="T. latifolia"),J565&gt;0),J565*[1]Sheet1!$G$5+K565*[1]Sheet1!$H$5+L565*[1]Sheet1!$I$5+[1]Sheet1!$L$5,0)))))))</f>
        <v>7.0319910000000121</v>
      </c>
    </row>
    <row r="566" spans="1:15">
      <c r="A566" s="9">
        <v>41771</v>
      </c>
      <c r="B566" s="7" t="s">
        <v>29</v>
      </c>
      <c r="C566">
        <v>49</v>
      </c>
      <c r="D566" t="s">
        <v>19</v>
      </c>
      <c r="F566">
        <v>3.12</v>
      </c>
      <c r="J566">
        <f>159+174+221+263+264+289+312+238+201</f>
        <v>2121</v>
      </c>
      <c r="K566">
        <v>9</v>
      </c>
      <c r="L566">
        <v>289</v>
      </c>
      <c r="N566" t="str">
        <f>IF(OR(D566="S. acutus", D566="S. tabernaemontani", D566="S. californicus"),(1/3)*(3.14159)*((F566/2)^2)*E566,"NA")</f>
        <v>NA</v>
      </c>
      <c r="O566">
        <f>IF(AND(OR(D566="S. acutus",D566="S. californicus",D566="S. tabernaemontani"),G566=0),E566*[1]Sheet1!$D$7+[1]Sheet1!$L$7,IF(AND(OR(D566="S. acutus",D566="S. tabernaemontani"),G566&gt;0),E566*[1]Sheet1!$D$8+N566*[1]Sheet1!$E$8,IF(AND(D566="S. californicus",G566&gt;0),E566*[1]Sheet1!$D$9+N566*[1]Sheet1!$E$9,IF(D566="S.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latifolia"),E566&gt;0),F566*[1]Sheet1!$C$4+E566*[1]Sheet1!$D$4+H566*[1]Sheet1!$J$4+I566*[1]Sheet1!$K$4+[1]Sheet1!$L$4,IF(AND(OR(D566="T. domingensis",D566="T. latifolia"),J566&gt;0),J566*[1]Sheet1!$G$5+K566*[1]Sheet1!$H$5+L566*[1]Sheet1!$I$5+[1]Sheet1!$L$5,0)))))))</f>
        <v>81.630357000000004</v>
      </c>
    </row>
    <row r="567" spans="1:15">
      <c r="A567" s="6">
        <v>41771</v>
      </c>
      <c r="B567" s="7" t="s">
        <v>29</v>
      </c>
      <c r="C567">
        <v>49</v>
      </c>
      <c r="D567" t="s">
        <v>19</v>
      </c>
      <c r="F567">
        <v>0.99</v>
      </c>
      <c r="J567">
        <f>107+110+174+182</f>
        <v>573</v>
      </c>
      <c r="K567">
        <v>4</v>
      </c>
      <c r="L567">
        <v>182</v>
      </c>
      <c r="N567" t="str">
        <f>IF(OR(D567="S. acutus", D567="S. tabernaemontani", D567="S. californicus"),(1/3)*(3.14159)*((F567/2)^2)*E567,"NA")</f>
        <v>NA</v>
      </c>
      <c r="O567">
        <f>IF(AND(OR(D567="S. acutus",D567="S. californicus",D567="S. tabernaemontani"),G567=0),E567*[1]Sheet1!$D$7+[1]Sheet1!$L$7,IF(AND(OR(D567="S. acutus",D567="S. tabernaemontani"),G567&gt;0),E567*[1]Sheet1!$D$8+N567*[1]Sheet1!$E$8,IF(AND(D567="S. californicus",G567&gt;0),E567*[1]Sheet1!$D$9+N567*[1]Sheet1!$E$9,IF(D567="S.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latifolia"),E567&gt;0),F567*[1]Sheet1!$C$4+E567*[1]Sheet1!$D$4+H567*[1]Sheet1!$J$4+I567*[1]Sheet1!$K$4+[1]Sheet1!$L$4,IF(AND(OR(D567="T. domingensis",D567="T. latifolia"),J567&gt;0),J567*[1]Sheet1!$G$5+K567*[1]Sheet1!$H$5+L567*[1]Sheet1!$I$5+[1]Sheet1!$L$5,0)))))))</f>
        <v>3.8425970000000014</v>
      </c>
    </row>
    <row r="568" spans="1:15">
      <c r="A568" s="9">
        <v>41771</v>
      </c>
      <c r="B568" s="7" t="s">
        <v>29</v>
      </c>
      <c r="C568">
        <v>49</v>
      </c>
      <c r="D568" t="s">
        <v>19</v>
      </c>
      <c r="F568">
        <v>3.05</v>
      </c>
      <c r="J568">
        <f>236+306+305+200+121+234+314+274+265</f>
        <v>2255</v>
      </c>
      <c r="K568">
        <v>9</v>
      </c>
      <c r="L568">
        <v>314</v>
      </c>
      <c r="N568" t="str">
        <f>IF(OR(D568="S. acutus", D568="S. tabernaemontani", D568="S. californicus"),(1/3)*(3.14159)*((F568/2)^2)*E568,"NA")</f>
        <v>NA</v>
      </c>
      <c r="O568">
        <f>IF(AND(OR(D568="S. acutus",D568="S. californicus",D568="S. tabernaemontani"),G568=0),E568*[1]Sheet1!$D$7+[1]Sheet1!$L$7,IF(AND(OR(D568="S. acutus",D568="S. tabernaemontani"),G568&gt;0),E568*[1]Sheet1!$D$8+N568*[1]Sheet1!$E$8,IF(AND(D568="S. californicus",G568&gt;0),E568*[1]Sheet1!$D$9+N568*[1]Sheet1!$E$9,IF(D568="S.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latifolia"),E568&gt;0),F568*[1]Sheet1!$C$4+E568*[1]Sheet1!$D$4+H568*[1]Sheet1!$J$4+I568*[1]Sheet1!$K$4+[1]Sheet1!$L$4,IF(AND(OR(D568="T. domingensis",D568="T. latifolia"),J568&gt;0),J568*[1]Sheet1!$G$5+K568*[1]Sheet1!$H$5+L568*[1]Sheet1!$I$5+[1]Sheet1!$L$5,0)))))))</f>
        <v>86.662402000000014</v>
      </c>
    </row>
    <row r="569" spans="1:15">
      <c r="A569" s="6">
        <v>41771</v>
      </c>
      <c r="B569" s="7" t="s">
        <v>29</v>
      </c>
      <c r="C569">
        <v>49</v>
      </c>
      <c r="D569" t="s">
        <v>19</v>
      </c>
      <c r="F569">
        <v>2.4</v>
      </c>
      <c r="J569">
        <f>148+104+146+182</f>
        <v>580</v>
      </c>
      <c r="K569">
        <v>4</v>
      </c>
      <c r="L569">
        <v>182</v>
      </c>
      <c r="N569" t="str">
        <f>IF(OR(D569="S. acutus", D569="S. tabernaemontani", D569="S. californicus"),(1/3)*(3.14159)*((F569/2)^2)*E569,"NA")</f>
        <v>NA</v>
      </c>
      <c r="O569">
        <f>IF(AND(OR(D569="S. acutus",D569="S. californicus",D569="S. tabernaemontani"),G569=0),E569*[1]Sheet1!$D$7+[1]Sheet1!$L$7,IF(AND(OR(D569="S. acutus",D569="S. tabernaemontani"),G569&gt;0),E569*[1]Sheet1!$D$8+N569*[1]Sheet1!$E$8,IF(AND(D569="S. californicus",G569&gt;0),E569*[1]Sheet1!$D$9+N569*[1]Sheet1!$E$9,IF(D569="S.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latifolia"),E569&gt;0),F569*[1]Sheet1!$C$4+E569*[1]Sheet1!$D$4+H569*[1]Sheet1!$J$4+I569*[1]Sheet1!$K$4+[1]Sheet1!$L$4,IF(AND(OR(D569="T. domingensis",D569="T. latifolia"),J569&gt;0),J569*[1]Sheet1!$G$5+K569*[1]Sheet1!$H$5+L569*[1]Sheet1!$I$5+[1]Sheet1!$L$5,0)))))))</f>
        <v>4.4988820000000054</v>
      </c>
    </row>
    <row r="570" spans="1:15">
      <c r="A570" s="10">
        <v>41766</v>
      </c>
      <c r="B570" s="7" t="s">
        <v>22</v>
      </c>
      <c r="C570">
        <v>14</v>
      </c>
      <c r="D570" t="s">
        <v>25</v>
      </c>
      <c r="E570">
        <v>42</v>
      </c>
      <c r="F570">
        <v>0.57999999999999996</v>
      </c>
      <c r="N570">
        <f>IF(OR(D570="S. acutus", D570="S. tabernaemontani", D570="S. californicus"),(1/3)*(3.14159)*((F570/2)^2)*E570,"NA")</f>
        <v>3.6989080659999991</v>
      </c>
      <c r="O570">
        <f>IF(AND(OR(D570="S. acutus",D570="S. californicus",D570="S. tabernaemontani"),G570=0),E570*[1]Sheet1!$D$7+[1]Sheet1!$L$7,IF(AND(OR(D570="S. acutus",D570="S. tabernaemontani"),G570&gt;0),E570*[1]Sheet1!$D$8+N570*[1]Sheet1!$E$8,IF(AND(D570="S. californicus",G570&gt;0),E570*[1]Sheet1!$D$9+N570*[1]Sheet1!$E$9,IF(D570="S.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latifolia"),E570&gt;0),F570*[1]Sheet1!$C$4+E570*[1]Sheet1!$D$4+H570*[1]Sheet1!$J$4+I570*[1]Sheet1!$K$4+[1]Sheet1!$L$4,IF(AND(OR(D570="T. domingensis",D570="T. latifolia"),J570&gt;0),J570*[1]Sheet1!$G$5+K570*[1]Sheet1!$H$5+L570*[1]Sheet1!$I$5+[1]Sheet1!$L$5,0)))))))</f>
        <v>-1.6461869999999998</v>
      </c>
    </row>
    <row r="571" spans="1:15">
      <c r="A571" s="6">
        <v>41766</v>
      </c>
      <c r="B571" s="7" t="s">
        <v>22</v>
      </c>
      <c r="C571">
        <v>14</v>
      </c>
      <c r="D571" t="s">
        <v>25</v>
      </c>
      <c r="E571">
        <v>185</v>
      </c>
      <c r="F571">
        <v>0.86</v>
      </c>
      <c r="G571">
        <v>4</v>
      </c>
      <c r="N571">
        <f>IF(OR(D571="S. acutus", D571="S. tabernaemontani", D571="S. californicus"),(1/3)*(3.14159)*((F571/2)^2)*E571,"NA")</f>
        <v>35.820932778333322</v>
      </c>
      <c r="O571">
        <f>IF(AND(OR(D571="S. acutus",D571="S. californicus",D571="S. tabernaemontani"),G571=0),E571*[1]Sheet1!$D$7+[1]Sheet1!$L$7,IF(AND(OR(D571="S. acutus",D571="S. tabernaemontani"),G571&gt;0),E571*[1]Sheet1!$D$8+N571*[1]Sheet1!$E$8,IF(AND(D571="S. californicus",G571&gt;0),E571*[1]Sheet1!$D$9+N571*[1]Sheet1!$E$9,IF(D571="S.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latifolia"),E571&gt;0),F571*[1]Sheet1!$C$4+E571*[1]Sheet1!$D$4+H571*[1]Sheet1!$J$4+I571*[1]Sheet1!$K$4+[1]Sheet1!$L$4,IF(AND(OR(D571="T. domingensis",D571="T. latifolia"),J571&gt;0),J571*[1]Sheet1!$G$5+K571*[1]Sheet1!$H$5+L571*[1]Sheet1!$I$5+[1]Sheet1!$L$5,0)))))))</f>
        <v>6.5972524770575962</v>
      </c>
    </row>
    <row r="572" spans="1:15">
      <c r="A572" s="10">
        <v>41766</v>
      </c>
      <c r="B572" s="7" t="s">
        <v>22</v>
      </c>
      <c r="C572">
        <v>14</v>
      </c>
      <c r="D572" t="s">
        <v>25</v>
      </c>
      <c r="E572">
        <v>223</v>
      </c>
      <c r="F572">
        <v>0.89</v>
      </c>
      <c r="N572">
        <f>IF(OR(D572="S. acutus", D572="S. tabernaemontani", D572="S. californicus"),(1/3)*(3.14159)*((F572/2)^2)*E572,"NA")</f>
        <v>46.24375974141666</v>
      </c>
      <c r="O572">
        <f>IF(AND(OR(D572="S. acutus",D572="S. californicus",D572="S. tabernaemontani"),G572=0),E572*[1]Sheet1!$D$7+[1]Sheet1!$L$7,IF(AND(OR(D572="S. acutus",D572="S. tabernaemontani"),G572&gt;0),E572*[1]Sheet1!$D$8+N572*[1]Sheet1!$E$8,IF(AND(D572="S. californicus",G572&gt;0),E572*[1]Sheet1!$D$9+N572*[1]Sheet1!$E$9,IF(D572="S.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latifolia"),E572&gt;0),F572*[1]Sheet1!$C$4+E572*[1]Sheet1!$D$4+H572*[1]Sheet1!$J$4+I572*[1]Sheet1!$K$4+[1]Sheet1!$L$4,IF(AND(OR(D572="T. domingensis",D572="T. latifolia"),J572&gt;0),J572*[1]Sheet1!$G$5+K572*[1]Sheet1!$H$5+L572*[1]Sheet1!$I$5+[1]Sheet1!$L$5,0)))))))</f>
        <v>11.042818</v>
      </c>
    </row>
    <row r="573" spans="1:15">
      <c r="A573" s="6">
        <v>41766</v>
      </c>
      <c r="B573" s="7" t="s">
        <v>22</v>
      </c>
      <c r="C573">
        <v>14</v>
      </c>
      <c r="D573" t="s">
        <v>25</v>
      </c>
      <c r="E573">
        <v>236</v>
      </c>
      <c r="F573">
        <v>1.3</v>
      </c>
      <c r="G573">
        <v>1</v>
      </c>
      <c r="N573">
        <f>IF(OR(D573="S. acutus", D573="S. tabernaemontani", D573="S. californicus"),(1/3)*(3.14159)*((F573/2)^2)*E573,"NA")</f>
        <v>104.41597963333334</v>
      </c>
      <c r="O573">
        <f>IF(AND(OR(D573="S. acutus",D573="S. californicus",D573="S. tabernaemontani"),G573=0),E573*[1]Sheet1!$D$7+[1]Sheet1!$L$7,IF(AND(OR(D573="S. acutus",D573="S. tabernaemontani"),G573&gt;0),E573*[1]Sheet1!$D$8+N573*[1]Sheet1!$E$8,IF(AND(D573="S. californicus",G573&gt;0),E573*[1]Sheet1!$D$9+N573*[1]Sheet1!$E$9,IF(D573="S.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latifolia"),E573&gt;0),F573*[1]Sheet1!$C$4+E573*[1]Sheet1!$D$4+H573*[1]Sheet1!$J$4+I573*[1]Sheet1!$K$4+[1]Sheet1!$L$4,IF(AND(OR(D573="T. domingensis",D573="T. latifolia"),J573&gt;0),J573*[1]Sheet1!$G$5+K573*[1]Sheet1!$H$5+L573*[1]Sheet1!$I$5+[1]Sheet1!$L$5,0)))))))</f>
        <v>11.802576809372868</v>
      </c>
    </row>
    <row r="574" spans="1:15">
      <c r="A574" s="6">
        <v>41766</v>
      </c>
      <c r="B574" s="7" t="s">
        <v>22</v>
      </c>
      <c r="C574">
        <v>14</v>
      </c>
      <c r="D574" t="s">
        <v>25</v>
      </c>
      <c r="E574">
        <v>255</v>
      </c>
      <c r="F574">
        <v>1.02</v>
      </c>
      <c r="N574">
        <f>IF(OR(D574="S. acutus", D574="S. tabernaemontani", D574="S. californicus"),(1/3)*(3.14159)*((F574/2)^2)*E574,"NA")</f>
        <v>69.455842514999986</v>
      </c>
      <c r="O574">
        <f>IF(AND(OR(D574="S. acutus",D574="S. californicus",D574="S. tabernaemontani"),G574=0),E574*[1]Sheet1!$D$7+[1]Sheet1!$L$7,IF(AND(OR(D574="S. acutus",D574="S. tabernaemontani"),G574&gt;0),E574*[1]Sheet1!$D$8+N574*[1]Sheet1!$E$8,IF(AND(D574="S. californicus",G574&gt;0),E574*[1]Sheet1!$D$9+N574*[1]Sheet1!$E$9,IF(D574="S.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latifolia"),E574&gt;0),F574*[1]Sheet1!$C$4+E574*[1]Sheet1!$D$4+H574*[1]Sheet1!$J$4+I574*[1]Sheet1!$K$4+[1]Sheet1!$L$4,IF(AND(OR(D574="T. domingensis",D574="T. latifolia"),J574&gt;0),J574*[1]Sheet1!$G$5+K574*[1]Sheet1!$H$5+L574*[1]Sheet1!$I$5+[1]Sheet1!$L$5,0)))))))</f>
        <v>13.286178</v>
      </c>
    </row>
    <row r="575" spans="1:15">
      <c r="A575" s="10">
        <v>41766</v>
      </c>
      <c r="B575" s="7" t="s">
        <v>22</v>
      </c>
      <c r="C575">
        <v>14</v>
      </c>
      <c r="D575" t="s">
        <v>25</v>
      </c>
      <c r="E575">
        <v>262</v>
      </c>
      <c r="F575">
        <v>1.35</v>
      </c>
      <c r="N575">
        <f>IF(OR(D575="S. acutus", D575="S. tabernaemontani", D575="S. californicus"),(1/3)*(3.14159)*((F575/2)^2)*E575,"NA")</f>
        <v>125.0077930875</v>
      </c>
      <c r="O575">
        <f>IF(AND(OR(D575="S. acutus",D575="S. californicus",D575="S. tabernaemontani"),G575=0),E575*[1]Sheet1!$D$7+[1]Sheet1!$L$7,IF(AND(OR(D575="S. acutus",D575="S. tabernaemontani"),G575&gt;0),E575*[1]Sheet1!$D$8+N575*[1]Sheet1!$E$8,IF(AND(D575="S. californicus",G575&gt;0),E575*[1]Sheet1!$D$9+N575*[1]Sheet1!$E$9,IF(D575="S.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latifolia"),E575&gt;0),F575*[1]Sheet1!$C$4+E575*[1]Sheet1!$D$4+H575*[1]Sheet1!$J$4+I575*[1]Sheet1!$K$4+[1]Sheet1!$L$4,IF(AND(OR(D575="T. domingensis",D575="T. latifolia"),J575&gt;0),J575*[1]Sheet1!$G$5+K575*[1]Sheet1!$H$5+L575*[1]Sheet1!$I$5+[1]Sheet1!$L$5,0)))))))</f>
        <v>13.776913</v>
      </c>
    </row>
    <row r="576" spans="1:15">
      <c r="A576" s="10">
        <v>41766</v>
      </c>
      <c r="B576" s="7" t="s">
        <v>22</v>
      </c>
      <c r="C576">
        <v>14</v>
      </c>
      <c r="D576" t="s">
        <v>23</v>
      </c>
      <c r="F576">
        <v>3.96</v>
      </c>
      <c r="J576">
        <f>81+98+170+137+134+191+205+240+245+272+269</f>
        <v>2042</v>
      </c>
      <c r="K576">
        <v>11</v>
      </c>
      <c r="L576">
        <v>272</v>
      </c>
      <c r="N576" t="str">
        <f>IF(OR(D576="S. acutus", D576="S. tabernaemontani", D576="S. californicus"),(1/3)*(3.14159)*((F576/2)^2)*E576,"NA")</f>
        <v>NA</v>
      </c>
      <c r="O576">
        <f>IF(AND(OR(D576="S. acutus",D576="S. californicus",D576="S. tabernaemontani"),G576=0),E576*[1]Sheet1!$D$7+[1]Sheet1!$L$7,IF(AND(OR(D576="S. acutus",D576="S. tabernaemontani"),G576&gt;0),E576*[1]Sheet1!$D$8+N576*[1]Sheet1!$E$8,IF(AND(D576="S. californicus",G576&gt;0),E576*[1]Sheet1!$D$9+N576*[1]Sheet1!$E$9,IF(D576="S.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latifolia"),E576&gt;0),F576*[1]Sheet1!$C$4+E576*[1]Sheet1!$D$4+H576*[1]Sheet1!$J$4+I576*[1]Sheet1!$K$4+[1]Sheet1!$L$4,IF(AND(OR(D576="T. domingensis",D576="T. latifolia"),J576&gt;0),J576*[1]Sheet1!$G$5+K576*[1]Sheet1!$H$5+L576*[1]Sheet1!$I$5+[1]Sheet1!$L$5,0)))))))</f>
        <v>65.300171000000006</v>
      </c>
    </row>
    <row r="577" spans="1:15">
      <c r="A577" s="10">
        <v>41766</v>
      </c>
      <c r="B577" s="7" t="s">
        <v>22</v>
      </c>
      <c r="C577">
        <v>14</v>
      </c>
      <c r="D577" t="s">
        <v>23</v>
      </c>
      <c r="F577">
        <v>1.33</v>
      </c>
      <c r="J577">
        <f>54+102+54+116+159+157</f>
        <v>642</v>
      </c>
      <c r="K577">
        <v>6</v>
      </c>
      <c r="L577">
        <v>159</v>
      </c>
      <c r="N577" t="str">
        <f>IF(OR(D577="S. acutus", D577="S. tabernaemontani", D577="S. californicus"),(1/3)*(3.14159)*((F577/2)^2)*E577,"NA")</f>
        <v>NA</v>
      </c>
      <c r="O577">
        <f>IF(AND(OR(D577="S. acutus",D577="S. californicus",D577="S. tabernaemontani"),G577=0),E577*[1]Sheet1!$D$7+[1]Sheet1!$L$7,IF(AND(OR(D577="S. acutus",D577="S. tabernaemontani"),G577&gt;0),E577*[1]Sheet1!$D$8+N577*[1]Sheet1!$E$8,IF(AND(D577="S. californicus",G577&gt;0),E577*[1]Sheet1!$D$9+N577*[1]Sheet1!$E$9,IF(D577="S. maritimus",F577*[1]Sheet1!$C$10+E577*[1]Sheet1!$D$10+G577*[1]Sheet1!$F$10+[1]Sheet1!$L$10,IF(D577="S. americanus",F577*[1]Sheet1!$C$6+E577*[1]Sheet1!$D$6+[1]Sheet1!$L$6,IF(AND(OR(D577="T. domingensis",D577="T. latifolia"),E577&gt;0),F577*[1]Sheet1!$C$4+E577*[1]Sheet1!$D$4+H577*[1]Sheet1!$J$4+I577*[1]Sheet1!$K$4+[1]Sheet1!$L$4,IF(AND(OR(D577="T. domingensis",D577="T. latifolia"),J577&gt;0),J577*[1]Sheet1!$G$5+K577*[1]Sheet1!$H$5+L577*[1]Sheet1!$I$5+[1]Sheet1!$L$5,0)))))))</f>
        <v>3.1956210000000027</v>
      </c>
    </row>
    <row r="578" spans="1:15">
      <c r="A578" s="6">
        <v>41766</v>
      </c>
      <c r="B578" s="7" t="s">
        <v>22</v>
      </c>
      <c r="C578">
        <v>14</v>
      </c>
      <c r="D578" t="s">
        <v>19</v>
      </c>
      <c r="F578">
        <v>0.75</v>
      </c>
      <c r="J578">
        <f>103</f>
        <v>103</v>
      </c>
      <c r="K578">
        <v>1</v>
      </c>
      <c r="L578">
        <v>103</v>
      </c>
      <c r="N578" t="str">
        <f>IF(OR(D578="S. acutus", D578="S. tabernaemontani", D578="S. californicus"),(1/3)*(3.14159)*((F578/2)^2)*E578,"NA")</f>
        <v>NA</v>
      </c>
      <c r="O578">
        <f>IF(AND(OR(D578="S. acutus",D578="S. californicus",D578="S. tabernaemontani"),G578=0),E578*[1]Sheet1!$D$7+[1]Sheet1!$L$7,IF(AND(OR(D578="S. acutus",D578="S. tabernaemontani"),G578&gt;0),E578*[1]Sheet1!$D$8+N578*[1]Sheet1!$E$8,IF(AND(D578="S. californicus",G578&gt;0),E578*[1]Sheet1!$D$9+N578*[1]Sheet1!$E$9,IF(D578="S. maritimus",F578*[1]Sheet1!$C$10+E578*[1]Sheet1!$D$10+G578*[1]Sheet1!$F$10+[1]Sheet1!$L$10,IF(D578="S. americanus",F578*[1]Sheet1!$C$6+E578*[1]Sheet1!$D$6+[1]Sheet1!$L$6,IF(AND(OR(D578="T. domingensis",D578="T. latifolia"),E578&gt;0),F578*[1]Sheet1!$C$4+E578*[1]Sheet1!$D$4+H578*[1]Sheet1!$J$4+I578*[1]Sheet1!$K$4+[1]Sheet1!$L$4,IF(AND(OR(D578="T. domingensis",D578="T. latifolia"),J578&gt;0),J578*[1]Sheet1!$G$5+K578*[1]Sheet1!$H$5+L578*[1]Sheet1!$I$5+[1]Sheet1!$L$5,0)))))))</f>
        <v>4.6431609999999992</v>
      </c>
    </row>
    <row r="579" spans="1:15">
      <c r="A579" s="10">
        <v>41766</v>
      </c>
      <c r="B579" s="7" t="s">
        <v>22</v>
      </c>
      <c r="C579">
        <v>14</v>
      </c>
      <c r="D579" t="s">
        <v>19</v>
      </c>
      <c r="F579">
        <v>1.33</v>
      </c>
      <c r="J579">
        <f>66+72+127+139+183+183</f>
        <v>770</v>
      </c>
      <c r="K579">
        <v>6</v>
      </c>
      <c r="L579">
        <v>183</v>
      </c>
      <c r="N579" t="str">
        <f>IF(OR(D579="S. acutus", D579="S. tabernaemontani", D579="S. californicus"),(1/3)*(3.14159)*((F579/2)^2)*E579,"NA")</f>
        <v>NA</v>
      </c>
      <c r="O579">
        <f>IF(AND(OR(D579="S. acutus",D579="S. californicus",D579="S. tabernaemontani"),G579=0),E579*[1]Sheet1!$D$7+[1]Sheet1!$L$7,IF(AND(OR(D579="S. acutus",D579="S. tabernaemontani"),G579&gt;0),E579*[1]Sheet1!$D$8+N579*[1]Sheet1!$E$8,IF(AND(D579="S. californicus",G579&gt;0),E579*[1]Sheet1!$D$9+N579*[1]Sheet1!$E$9,IF(D579="S. maritimus",F579*[1]Sheet1!$C$10+E579*[1]Sheet1!$D$10+G579*[1]Sheet1!$F$10+[1]Sheet1!$L$10,IF(D579="S. americanus",F579*[1]Sheet1!$C$6+E579*[1]Sheet1!$D$6+[1]Sheet1!$L$6,IF(AND(OR(D579="T. domingensis",D579="T. latifolia"),E579&gt;0),F579*[1]Sheet1!$C$4+E579*[1]Sheet1!$D$4+H579*[1]Sheet1!$J$4+I579*[1]Sheet1!$K$4+[1]Sheet1!$L$4,IF(AND(OR(D579="T. domingensis",D579="T. latifolia"),J579&gt;0),J579*[1]Sheet1!$G$5+K579*[1]Sheet1!$H$5+L579*[1]Sheet1!$I$5+[1]Sheet1!$L$5,0)))))))</f>
        <v>7.9663809999999984</v>
      </c>
    </row>
    <row r="580" spans="1:15">
      <c r="A580" s="6">
        <v>41766</v>
      </c>
      <c r="B580" s="7" t="s">
        <v>22</v>
      </c>
      <c r="C580">
        <v>14</v>
      </c>
      <c r="D580" t="s">
        <v>19</v>
      </c>
      <c r="F580">
        <v>1.24</v>
      </c>
      <c r="J580">
        <f>74+77+125+130+176+178</f>
        <v>760</v>
      </c>
      <c r="K580">
        <v>6</v>
      </c>
      <c r="L580">
        <v>178</v>
      </c>
      <c r="N580" t="str">
        <f>IF(OR(D580="S. acutus", D580="S. tabernaemontani", D580="S. californicus"),(1/3)*(3.14159)*((F580/2)^2)*E580,"NA")</f>
        <v>NA</v>
      </c>
      <c r="O580">
        <f>IF(AND(OR(D580="S. acutus",D580="S. californicus",D580="S. tabernaemontani"),G580=0),E580*[1]Sheet1!$D$7+[1]Sheet1!$L$7,IF(AND(OR(D580="S. acutus",D580="S. tabernaemontani"),G580&gt;0),E580*[1]Sheet1!$D$8+N580*[1]Sheet1!$E$8,IF(AND(D580="S. californicus",G580&gt;0),E580*[1]Sheet1!$D$9+N580*[1]Sheet1!$E$9,IF(D580="S. maritimus",F580*[1]Sheet1!$C$10+E580*[1]Sheet1!$D$10+G580*[1]Sheet1!$F$10+[1]Sheet1!$L$10,IF(D580="S. americanus",F580*[1]Sheet1!$C$6+E580*[1]Sheet1!$D$6+[1]Sheet1!$L$6,IF(AND(OR(D580="T. domingensis",D580="T. latifolia"),E580&gt;0),F580*[1]Sheet1!$C$4+E580*[1]Sheet1!$D$4+H580*[1]Sheet1!$J$4+I580*[1]Sheet1!$K$4+[1]Sheet1!$L$4,IF(AND(OR(D580="T. domingensis",D580="T. latifolia"),J580&gt;0),J580*[1]Sheet1!$G$5+K580*[1]Sheet1!$H$5+L580*[1]Sheet1!$I$5+[1]Sheet1!$L$5,0)))))))</f>
        <v>8.5350559999999973</v>
      </c>
    </row>
    <row r="581" spans="1:15">
      <c r="A581" s="10">
        <v>41766</v>
      </c>
      <c r="B581" s="7" t="s">
        <v>22</v>
      </c>
      <c r="C581">
        <v>14</v>
      </c>
      <c r="D581" t="s">
        <v>19</v>
      </c>
      <c r="F581">
        <v>0.92</v>
      </c>
      <c r="J581">
        <f>46+93+66+68+76+95+79</f>
        <v>523</v>
      </c>
      <c r="K581">
        <v>7</v>
      </c>
      <c r="L581">
        <v>95</v>
      </c>
      <c r="N581" t="str">
        <f>IF(OR(D581="S. acutus", D581="S. tabernaemontani", D581="S. californicus"),(1/3)*(3.14159)*((F581/2)^2)*E581,"NA")</f>
        <v>NA</v>
      </c>
      <c r="O581">
        <f>IF(AND(OR(D581="S. acutus",D581="S. californicus",D581="S. tabernaemontani"),G581=0),E581*[1]Sheet1!$D$7+[1]Sheet1!$L$7,IF(AND(OR(D581="S. acutus",D581="S. tabernaemontani"),G581&gt;0),E581*[1]Sheet1!$D$8+N581*[1]Sheet1!$E$8,IF(AND(D581="S. californicus",G581&gt;0),E581*[1]Sheet1!$D$9+N581*[1]Sheet1!$E$9,IF(D581="S. maritimus",F581*[1]Sheet1!$C$10+E581*[1]Sheet1!$D$10+G581*[1]Sheet1!$F$10+[1]Sheet1!$L$10,IF(D581="S. americanus",F581*[1]Sheet1!$C$6+E581*[1]Sheet1!$D$6+[1]Sheet1!$L$6,IF(AND(OR(D581="T. domingensis",D581="T. latifolia"),E581&gt;0),F581*[1]Sheet1!$C$4+E581*[1]Sheet1!$D$4+H581*[1]Sheet1!$J$4+I581*[1]Sheet1!$K$4+[1]Sheet1!$L$4,IF(AND(OR(D581="T. domingensis",D581="T. latifolia"),J581&gt;0),J581*[1]Sheet1!$G$5+K581*[1]Sheet1!$H$5+L581*[1]Sheet1!$I$5+[1]Sheet1!$L$5,0)))))))</f>
        <v>4.2961030000000093</v>
      </c>
    </row>
    <row r="582" spans="1:15">
      <c r="A582" s="6">
        <v>41766</v>
      </c>
      <c r="B582" s="7" t="s">
        <v>22</v>
      </c>
      <c r="C582">
        <v>14</v>
      </c>
      <c r="D582" t="s">
        <v>19</v>
      </c>
      <c r="F582">
        <v>2.2599999999999998</v>
      </c>
      <c r="J582">
        <f>61+51+85+100+100+86+100+142</f>
        <v>725</v>
      </c>
      <c r="K582">
        <v>8</v>
      </c>
      <c r="L582">
        <v>142</v>
      </c>
      <c r="N582" t="str">
        <f>IF(OR(D582="S. acutus", D582="S. tabernaemontani", D582="S. californicus"),(1/3)*(3.14159)*((F582/2)^2)*E582,"NA")</f>
        <v>NA</v>
      </c>
      <c r="O582">
        <f>IF(AND(OR(D582="S. acutus",D582="S. californicus",D582="S. tabernaemontani"),G582=0),E582*[1]Sheet1!$D$7+[1]Sheet1!$L$7,IF(AND(OR(D582="S. acutus",D582="S. tabernaemontani"),G582&gt;0),E582*[1]Sheet1!$D$8+N582*[1]Sheet1!$E$8,IF(AND(D582="S. californicus",G582&gt;0),E582*[1]Sheet1!$D$9+N582*[1]Sheet1!$E$9,IF(D582="S. maritimus",F582*[1]Sheet1!$C$10+E582*[1]Sheet1!$D$10+G582*[1]Sheet1!$F$10+[1]Sheet1!$L$10,IF(D582="S. americanus",F582*[1]Sheet1!$C$6+E582*[1]Sheet1!$D$6+[1]Sheet1!$L$6,IF(AND(OR(D582="T. domingensis",D582="T. latifolia"),E582&gt;0),F582*[1]Sheet1!$C$4+E582*[1]Sheet1!$D$4+H582*[1]Sheet1!$J$4+I582*[1]Sheet1!$K$4+[1]Sheet1!$L$4,IF(AND(OR(D582="T. domingensis",D582="T. latifolia"),J582&gt;0),J582*[1]Sheet1!$G$5+K582*[1]Sheet1!$H$5+L582*[1]Sheet1!$I$5+[1]Sheet1!$L$5,0)))))))</f>
        <v>2.0537449999999993</v>
      </c>
    </row>
    <row r="583" spans="1:15">
      <c r="A583" s="10">
        <v>41766</v>
      </c>
      <c r="B583" s="7" t="s">
        <v>22</v>
      </c>
      <c r="C583">
        <v>14</v>
      </c>
      <c r="D583" t="s">
        <v>19</v>
      </c>
      <c r="F583">
        <v>0.54</v>
      </c>
      <c r="J583">
        <f>54+60+71</f>
        <v>185</v>
      </c>
      <c r="K583">
        <v>3</v>
      </c>
      <c r="L583">
        <v>71</v>
      </c>
      <c r="N583" t="str">
        <f>IF(OR(D583="S. acutus", D583="S. tabernaemontani", D583="S. californicus"),(1/3)*(3.14159)*((F583/2)^2)*E583,"NA")</f>
        <v>NA</v>
      </c>
      <c r="O583">
        <f>IF(AND(OR(D583="S. acutus",D583="S. californicus",D583="S. tabernaemontani"),G583=0),E583*[1]Sheet1!$D$7+[1]Sheet1!$L$7,IF(AND(OR(D583="S. acutus",D583="S. tabernaemontani"),G583&gt;0),E583*[1]Sheet1!$D$8+N583*[1]Sheet1!$E$8,IF(AND(D583="S. californicus",G583&gt;0),E583*[1]Sheet1!$D$9+N583*[1]Sheet1!$E$9,IF(D583="S. maritimus",F583*[1]Sheet1!$C$10+E583*[1]Sheet1!$D$10+G583*[1]Sheet1!$F$10+[1]Sheet1!$L$10,IF(D583="S. americanus",F583*[1]Sheet1!$C$6+E583*[1]Sheet1!$D$6+[1]Sheet1!$L$6,IF(AND(OR(D583="T. domingensis",D583="T. latifolia"),E583&gt;0),F583*[1]Sheet1!$C$4+E583*[1]Sheet1!$D$4+H583*[1]Sheet1!$J$4+I583*[1]Sheet1!$K$4+[1]Sheet1!$L$4,IF(AND(OR(D583="T. domingensis",D583="T. latifolia"),J583&gt;0),J583*[1]Sheet1!$G$5+K583*[1]Sheet1!$H$5+L583*[1]Sheet1!$I$5+[1]Sheet1!$L$5,0)))))))</f>
        <v>7.9262049999999995</v>
      </c>
    </row>
    <row r="584" spans="1:15">
      <c r="A584" s="6">
        <v>41766</v>
      </c>
      <c r="B584" s="7" t="s">
        <v>22</v>
      </c>
      <c r="C584">
        <v>14</v>
      </c>
      <c r="D584" t="s">
        <v>19</v>
      </c>
      <c r="F584">
        <v>0.2</v>
      </c>
      <c r="J584">
        <f>41+32</f>
        <v>73</v>
      </c>
      <c r="K584">
        <v>2</v>
      </c>
      <c r="L584">
        <v>41</v>
      </c>
      <c r="N584" t="str">
        <f>IF(OR(D584="S. acutus", D584="S. tabernaemontani", D584="S. californicus"),(1/3)*(3.14159)*((F584/2)^2)*E584,"NA")</f>
        <v>NA</v>
      </c>
      <c r="O584">
        <f>IF(AND(OR(D584="S. acutus",D584="S. californicus",D584="S. tabernaemontani"),G584=0),E584*[1]Sheet1!$D$7+[1]Sheet1!$L$7,IF(AND(OR(D584="S. acutus",D584="S. tabernaemontani"),G584&gt;0),E584*[1]Sheet1!$D$8+N584*[1]Sheet1!$E$8,IF(AND(D584="S. californicus",G584&gt;0),E584*[1]Sheet1!$D$9+N584*[1]Sheet1!$E$9,IF(D584="S. maritimus",F584*[1]Sheet1!$C$10+E584*[1]Sheet1!$D$10+G584*[1]Sheet1!$F$10+[1]Sheet1!$L$10,IF(D584="S. americanus",F584*[1]Sheet1!$C$6+E584*[1]Sheet1!$D$6+[1]Sheet1!$L$6,IF(AND(OR(D584="T. domingensis",D584="T. latifolia"),E584&gt;0),F584*[1]Sheet1!$C$4+E584*[1]Sheet1!$D$4+H584*[1]Sheet1!$J$4+I584*[1]Sheet1!$K$4+[1]Sheet1!$L$4,IF(AND(OR(D584="T. domingensis",D584="T. latifolia"),J584&gt;0),J584*[1]Sheet1!$G$5+K584*[1]Sheet1!$H$5+L584*[1]Sheet1!$I$5+[1]Sheet1!$L$5,0)))))))</f>
        <v>13.485347999999998</v>
      </c>
    </row>
    <row r="585" spans="1:15">
      <c r="A585" s="10">
        <v>41766</v>
      </c>
      <c r="B585" s="7" t="s">
        <v>22</v>
      </c>
      <c r="C585">
        <v>15</v>
      </c>
      <c r="D585" t="s">
        <v>23</v>
      </c>
      <c r="F585">
        <v>2.88</v>
      </c>
      <c r="J585">
        <f>43+69+103+20+21+18+16</f>
        <v>290</v>
      </c>
      <c r="K585">
        <v>7</v>
      </c>
      <c r="L585">
        <v>103</v>
      </c>
      <c r="N585" t="str">
        <f>IF(OR(D585="S. acutus", D585="S. tabernaemontani", D585="S. californicus"),(1/3)*(3.14159)*((F585/2)^2)*E585,"NA")</f>
        <v>NA</v>
      </c>
      <c r="O585">
        <f>IF(AND(OR(D585="S. acutus",D585="S. californicus",D585="S. tabernaemontani"),G585=0),E585*[1]Sheet1!$D$7+[1]Sheet1!$L$7,IF(AND(OR(D585="S. acutus",D585="S. tabernaemontani"),G585&gt;0),E585*[1]Sheet1!$D$8+N585*[1]Sheet1!$E$8,IF(AND(D585="S. californicus",G585&gt;0),E585*[1]Sheet1!$D$9+N585*[1]Sheet1!$E$9,IF(D585="S. maritimus",F585*[1]Sheet1!$C$10+E585*[1]Sheet1!$D$10+G585*[1]Sheet1!$F$10+[1]Sheet1!$L$10,IF(D585="S. americanus",F585*[1]Sheet1!$C$6+E585*[1]Sheet1!$D$6+[1]Sheet1!$L$6,IF(AND(OR(D585="T. domingensis",D585="T. latifolia"),E585&gt;0),F585*[1]Sheet1!$C$4+E585*[1]Sheet1!$D$4+H585*[1]Sheet1!$J$4+I585*[1]Sheet1!$K$4+[1]Sheet1!$L$4,IF(AND(OR(D585="T. domingensis",D585="T. latifolia"),J585&gt;0),J585*[1]Sheet1!$G$5+K585*[1]Sheet1!$H$5+L585*[1]Sheet1!$I$5+[1]Sheet1!$L$5,0)))))))</f>
        <v>-19.958771999999996</v>
      </c>
    </row>
    <row r="586" spans="1:15">
      <c r="A586" s="10">
        <v>41766</v>
      </c>
      <c r="B586" s="7" t="s">
        <v>22</v>
      </c>
      <c r="C586">
        <v>15</v>
      </c>
      <c r="D586" t="s">
        <v>23</v>
      </c>
      <c r="F586">
        <v>1.49</v>
      </c>
      <c r="J586">
        <f>42+82+112+137+151+164</f>
        <v>688</v>
      </c>
      <c r="K586">
        <v>6</v>
      </c>
      <c r="L586">
        <v>164</v>
      </c>
      <c r="N586" t="str">
        <f>IF(OR(D586="S. acutus", D586="S. tabernaemontani", D586="S. californicus"),(1/3)*(3.14159)*((F586/2)^2)*E586,"NA")</f>
        <v>NA</v>
      </c>
      <c r="O586">
        <f>IF(AND(OR(D586="S. acutus",D586="S. californicus",D586="S. tabernaemontani"),G586=0),E586*[1]Sheet1!$D$7+[1]Sheet1!$L$7,IF(AND(OR(D586="S. acutus",D586="S. tabernaemontani"),G586&gt;0),E586*[1]Sheet1!$D$8+N586*[1]Sheet1!$E$8,IF(AND(D586="S. californicus",G586&gt;0),E586*[1]Sheet1!$D$9+N586*[1]Sheet1!$E$9,IF(D586="S. maritimus",F586*[1]Sheet1!$C$10+E586*[1]Sheet1!$D$10+G586*[1]Sheet1!$F$10+[1]Sheet1!$L$10,IF(D586="S. americanus",F586*[1]Sheet1!$C$6+E586*[1]Sheet1!$D$6+[1]Sheet1!$L$6,IF(AND(OR(D586="T. domingensis",D586="T. latifolia"),E586&gt;0),F586*[1]Sheet1!$C$4+E586*[1]Sheet1!$D$4+H586*[1]Sheet1!$J$4+I586*[1]Sheet1!$K$4+[1]Sheet1!$L$4,IF(AND(OR(D586="T. domingensis",D586="T. latifolia"),J586&gt;0),J586*[1]Sheet1!$G$5+K586*[1]Sheet1!$H$5+L586*[1]Sheet1!$I$5+[1]Sheet1!$L$5,0)))))))</f>
        <v>6.002125999999997</v>
      </c>
    </row>
    <row r="587" spans="1:15">
      <c r="A587" s="6">
        <v>41766</v>
      </c>
      <c r="B587" s="7" t="s">
        <v>22</v>
      </c>
      <c r="C587">
        <v>15</v>
      </c>
      <c r="D587" t="s">
        <v>23</v>
      </c>
      <c r="F587">
        <v>3.56</v>
      </c>
      <c r="J587">
        <f>62+114+95+94+88+162+134+142</f>
        <v>891</v>
      </c>
      <c r="K587">
        <v>8</v>
      </c>
      <c r="L587">
        <v>162</v>
      </c>
      <c r="N587" t="str">
        <f>IF(OR(D587="S. acutus", D587="S. tabernaemontani", D587="S. californicus"),(1/3)*(3.14159)*((F587/2)^2)*E587,"NA")</f>
        <v>NA</v>
      </c>
      <c r="O587">
        <f>IF(AND(OR(D587="S. acutus",D587="S. californicus",D587="S. tabernaemontani"),G587=0),E587*[1]Sheet1!$D$7+[1]Sheet1!$L$7,IF(AND(OR(D587="S. acutus",D587="S. tabernaemontani"),G587&gt;0),E587*[1]Sheet1!$D$8+N587*[1]Sheet1!$E$8,IF(AND(D587="S. californicus",G587&gt;0),E587*[1]Sheet1!$D$9+N587*[1]Sheet1!$E$9,IF(D587="S. maritimus",F587*[1]Sheet1!$C$10+E587*[1]Sheet1!$D$10+G587*[1]Sheet1!$F$10+[1]Sheet1!$L$10,IF(D587="S. americanus",F587*[1]Sheet1!$C$6+E587*[1]Sheet1!$D$6+[1]Sheet1!$L$6,IF(AND(OR(D587="T. domingensis",D587="T. latifolia"),E587&gt;0),F587*[1]Sheet1!$C$4+E587*[1]Sheet1!$D$4+H587*[1]Sheet1!$J$4+I587*[1]Sheet1!$K$4+[1]Sheet1!$L$4,IF(AND(OR(D587="T. domingensis",D587="T. latifolia"),J587&gt;0),J587*[1]Sheet1!$G$5+K587*[1]Sheet1!$H$5+L587*[1]Sheet1!$I$5+[1]Sheet1!$L$5,0)))))))</f>
        <v>11.592175000000005</v>
      </c>
    </row>
    <row r="588" spans="1:15">
      <c r="A588" s="10">
        <v>41766</v>
      </c>
      <c r="B588" s="7" t="s">
        <v>22</v>
      </c>
      <c r="C588">
        <v>15</v>
      </c>
      <c r="D588" t="s">
        <v>23</v>
      </c>
      <c r="F588">
        <v>2.4</v>
      </c>
      <c r="J588">
        <f>102+138+158+209+127+197</f>
        <v>931</v>
      </c>
      <c r="K588">
        <v>6</v>
      </c>
      <c r="L588">
        <v>209</v>
      </c>
      <c r="N588" t="str">
        <f>IF(OR(D588="S. acutus", D588="S. tabernaemontani", D588="S. californicus"),(1/3)*(3.14159)*((F588/2)^2)*E588,"NA")</f>
        <v>NA</v>
      </c>
      <c r="O588">
        <f>IF(AND(OR(D588="S. acutus",D588="S. californicus",D588="S. tabernaemontani"),G588=0),E588*[1]Sheet1!$D$7+[1]Sheet1!$L$7,IF(AND(OR(D588="S. acutus",D588="S. tabernaemontani"),G588&gt;0),E588*[1]Sheet1!$D$8+N588*[1]Sheet1!$E$8,IF(AND(D588="S. californicus",G588&gt;0),E588*[1]Sheet1!$D$9+N588*[1]Sheet1!$E$9,IF(D588="S. maritimus",F588*[1]Sheet1!$C$10+E588*[1]Sheet1!$D$10+G588*[1]Sheet1!$F$10+[1]Sheet1!$L$10,IF(D588="S. americanus",F588*[1]Sheet1!$C$6+E588*[1]Sheet1!$D$6+[1]Sheet1!$L$6,IF(AND(OR(D588="T. domingensis",D588="T. latifolia"),E588&gt;0),F588*[1]Sheet1!$C$4+E588*[1]Sheet1!$D$4+H588*[1]Sheet1!$J$4+I588*[1]Sheet1!$K$4+[1]Sheet1!$L$4,IF(AND(OR(D588="T. domingensis",D588="T. latifolia"),J588&gt;0),J588*[1]Sheet1!$G$5+K588*[1]Sheet1!$H$5+L588*[1]Sheet1!$I$5+[1]Sheet1!$L$5,0)))))))</f>
        <v>15.228566000000001</v>
      </c>
    </row>
    <row r="589" spans="1:15">
      <c r="A589" s="6">
        <v>41766</v>
      </c>
      <c r="B589" s="7" t="s">
        <v>22</v>
      </c>
      <c r="C589">
        <v>15</v>
      </c>
      <c r="D589" t="s">
        <v>23</v>
      </c>
      <c r="F589">
        <v>1.49</v>
      </c>
      <c r="J589">
        <f>51+93+95+121+124</f>
        <v>484</v>
      </c>
      <c r="K589">
        <v>4</v>
      </c>
      <c r="L589">
        <v>124</v>
      </c>
      <c r="N589" t="str">
        <f>IF(OR(D589="S. acutus", D589="S. tabernaemontani", D589="S. californicus"),(1/3)*(3.14159)*((F589/2)^2)*E589,"NA")</f>
        <v>NA</v>
      </c>
      <c r="O589">
        <f>IF(AND(OR(D589="S. acutus",D589="S. californicus",D589="S. tabernaemontani"),G589=0),E589*[1]Sheet1!$D$7+[1]Sheet1!$L$7,IF(AND(OR(D589="S. acutus",D589="S. tabernaemontani"),G589&gt;0),E589*[1]Sheet1!$D$8+N589*[1]Sheet1!$E$8,IF(AND(D589="S. californicus",G589&gt;0),E589*[1]Sheet1!$D$9+N589*[1]Sheet1!$E$9,IF(D589="S. maritimus",F589*[1]Sheet1!$C$10+E589*[1]Sheet1!$D$10+G589*[1]Sheet1!$F$10+[1]Sheet1!$L$10,IF(D589="S. americanus",F589*[1]Sheet1!$C$6+E589*[1]Sheet1!$D$6+[1]Sheet1!$L$6,IF(AND(OR(D589="T. domingensis",D589="T. latifolia"),E589&gt;0),F589*[1]Sheet1!$C$4+E589*[1]Sheet1!$D$4+H589*[1]Sheet1!$J$4+I589*[1]Sheet1!$K$4+[1]Sheet1!$L$4,IF(AND(OR(D589="T. domingensis",D589="T. latifolia"),J589&gt;0),J589*[1]Sheet1!$G$5+K589*[1]Sheet1!$H$5+L589*[1]Sheet1!$I$5+[1]Sheet1!$L$5,0)))))))</f>
        <v>12.970611999999999</v>
      </c>
    </row>
    <row r="590" spans="1:15">
      <c r="A590" s="6">
        <v>41766</v>
      </c>
      <c r="B590" s="7" t="s">
        <v>22</v>
      </c>
      <c r="C590">
        <v>15</v>
      </c>
      <c r="D590" t="s">
        <v>19</v>
      </c>
      <c r="F590">
        <v>1.19</v>
      </c>
      <c r="J590">
        <f>73+86+135+32+116+129</f>
        <v>571</v>
      </c>
      <c r="K590">
        <v>6</v>
      </c>
      <c r="L590">
        <v>135</v>
      </c>
      <c r="N590" t="str">
        <f>IF(OR(D590="S. acutus", D590="S. tabernaemontani", D590="S. californicus"),(1/3)*(3.14159)*((F590/2)^2)*E590,"NA")</f>
        <v>NA</v>
      </c>
      <c r="O590">
        <f>IF(AND(OR(D590="S. acutus",D590="S. californicus",D590="S. tabernaemontani"),G590=0),E590*[1]Sheet1!$D$7+[1]Sheet1!$L$7,IF(AND(OR(D590="S. acutus",D590="S. tabernaemontani"),G590&gt;0),E590*[1]Sheet1!$D$8+N590*[1]Sheet1!$E$8,IF(AND(D590="S. californicus",G590&gt;0),E590*[1]Sheet1!$D$9+N590*[1]Sheet1!$E$9,IF(D590="S. maritimus",F590*[1]Sheet1!$C$10+E590*[1]Sheet1!$D$10+G590*[1]Sheet1!$F$10+[1]Sheet1!$L$10,IF(D590="S. americanus",F590*[1]Sheet1!$C$6+E590*[1]Sheet1!$D$6+[1]Sheet1!$L$6,IF(AND(OR(D590="T. domingensis",D590="T. latifolia"),E590&gt;0),F590*[1]Sheet1!$C$4+E590*[1]Sheet1!$D$4+H590*[1]Sheet1!$J$4+I590*[1]Sheet1!$K$4+[1]Sheet1!$L$4,IF(AND(OR(D590="T. domingensis",D590="T. latifolia"),J590&gt;0),J590*[1]Sheet1!$G$5+K590*[1]Sheet1!$H$5+L590*[1]Sheet1!$I$5+[1]Sheet1!$L$5,0)))))))</f>
        <v>3.7688960000000051</v>
      </c>
    </row>
    <row r="591" spans="1:15">
      <c r="A591" s="10">
        <v>41766</v>
      </c>
      <c r="B591" s="7" t="s">
        <v>22</v>
      </c>
      <c r="C591">
        <v>15</v>
      </c>
      <c r="D591" t="s">
        <v>19</v>
      </c>
      <c r="F591">
        <v>2.2200000000000002</v>
      </c>
      <c r="J591">
        <f>52+73+97+93+97+80+156+84+135</f>
        <v>867</v>
      </c>
      <c r="K591">
        <v>9</v>
      </c>
      <c r="L591">
        <v>156</v>
      </c>
      <c r="N591" t="str">
        <f>IF(OR(D591="S. acutus", D591="S. tabernaemontani", D591="S. californicus"),(1/3)*(3.14159)*((F591/2)^2)*E591,"NA")</f>
        <v>NA</v>
      </c>
      <c r="O591">
        <f>IF(AND(OR(D591="S. acutus",D591="S. californicus",D591="S. tabernaemontani"),G591=0),E591*[1]Sheet1!$D$7+[1]Sheet1!$L$7,IF(AND(OR(D591="S. acutus",D591="S. tabernaemontani"),G591&gt;0),E591*[1]Sheet1!$D$8+N591*[1]Sheet1!$E$8,IF(AND(D591="S. californicus",G591&gt;0),E591*[1]Sheet1!$D$9+N591*[1]Sheet1!$E$9,IF(D591="S. maritimus",F591*[1]Sheet1!$C$10+E591*[1]Sheet1!$D$10+G591*[1]Sheet1!$F$10+[1]Sheet1!$L$10,IF(D591="S. americanus",F591*[1]Sheet1!$C$6+E591*[1]Sheet1!$D$6+[1]Sheet1!$L$6,IF(AND(OR(D591="T. domingensis",D591="T. latifolia"),E591&gt;0),F591*[1]Sheet1!$C$4+E591*[1]Sheet1!$D$4+H591*[1]Sheet1!$J$4+I591*[1]Sheet1!$K$4+[1]Sheet1!$L$4,IF(AND(OR(D591="T. domingensis",D591="T. latifolia"),J591&gt;0),J591*[1]Sheet1!$G$5+K591*[1]Sheet1!$H$5+L591*[1]Sheet1!$I$5+[1]Sheet1!$L$5,0)))))))</f>
        <v>4.1271719999999945</v>
      </c>
    </row>
    <row r="592" spans="1:15">
      <c r="A592" s="6">
        <v>41766</v>
      </c>
      <c r="B592" s="7" t="s">
        <v>22</v>
      </c>
      <c r="C592">
        <v>15</v>
      </c>
      <c r="D592" t="s">
        <v>19</v>
      </c>
      <c r="F592">
        <v>1.1100000000000001</v>
      </c>
      <c r="J592">
        <f>74+84+29+113+124+132</f>
        <v>556</v>
      </c>
      <c r="K592">
        <v>6</v>
      </c>
      <c r="L592">
        <v>132</v>
      </c>
      <c r="N592" t="str">
        <f>IF(OR(D592="S. acutus", D592="S. tabernaemontani", D592="S. californicus"),(1/3)*(3.14159)*((F592/2)^2)*E592,"NA")</f>
        <v>NA</v>
      </c>
      <c r="O592">
        <f>IF(AND(OR(D592="S. acutus",D592="S. californicus",D592="S. tabernaemontani"),G592=0),E592*[1]Sheet1!$D$7+[1]Sheet1!$L$7,IF(AND(OR(D592="S. acutus",D592="S. tabernaemontani"),G592&gt;0),E592*[1]Sheet1!$D$8+N592*[1]Sheet1!$E$8,IF(AND(D592="S. californicus",G592&gt;0),E592*[1]Sheet1!$D$9+N592*[1]Sheet1!$E$9,IF(D592="S. maritimus",F592*[1]Sheet1!$C$10+E592*[1]Sheet1!$D$10+G592*[1]Sheet1!$F$10+[1]Sheet1!$L$10,IF(D592="S. americanus",F592*[1]Sheet1!$C$6+E592*[1]Sheet1!$D$6+[1]Sheet1!$L$6,IF(AND(OR(D592="T. domingensis",D592="T. latifolia"),E592&gt;0),F592*[1]Sheet1!$C$4+E592*[1]Sheet1!$D$4+H592*[1]Sheet1!$J$4+I592*[1]Sheet1!$K$4+[1]Sheet1!$L$4,IF(AND(OR(D592="T. domingensis",D592="T. latifolia"),J592&gt;0),J592*[1]Sheet1!$G$5+K592*[1]Sheet1!$H$5+L592*[1]Sheet1!$I$5+[1]Sheet1!$L$5,0)))))))</f>
        <v>3.2663060000000002</v>
      </c>
    </row>
    <row r="593" spans="1:15">
      <c r="A593" s="10">
        <v>41766</v>
      </c>
      <c r="B593" s="7" t="s">
        <v>22</v>
      </c>
      <c r="C593">
        <v>15</v>
      </c>
      <c r="D593" t="s">
        <v>19</v>
      </c>
      <c r="F593">
        <v>1.72</v>
      </c>
      <c r="J593">
        <f>60+37+39+40+30+108</f>
        <v>314</v>
      </c>
      <c r="K593">
        <v>6</v>
      </c>
      <c r="L593">
        <v>108</v>
      </c>
      <c r="N593" t="str">
        <f>IF(OR(D593="S. acutus", D593="S. tabernaemontani", D593="S. californicus"),(1/3)*(3.14159)*((F593/2)^2)*E593,"NA")</f>
        <v>NA</v>
      </c>
      <c r="O593">
        <f>IF(AND(OR(D593="S. acutus",D593="S. californicus",D593="S. tabernaemontani"),G593=0),E593*[1]Sheet1!$D$7+[1]Sheet1!$L$7,IF(AND(OR(D593="S. acutus",D593="S. tabernaemontani"),G593&gt;0),E593*[1]Sheet1!$D$8+N593*[1]Sheet1!$E$8,IF(AND(D593="S. californicus",G593&gt;0),E593*[1]Sheet1!$D$9+N593*[1]Sheet1!$E$9,IF(D593="S. maritimus",F593*[1]Sheet1!$C$10+E593*[1]Sheet1!$D$10+G593*[1]Sheet1!$F$10+[1]Sheet1!$L$10,IF(D593="S. americanus",F593*[1]Sheet1!$C$6+E593*[1]Sheet1!$D$6+[1]Sheet1!$L$6,IF(AND(OR(D593="T. domingensis",D593="T. latifolia"),E593&gt;0),F593*[1]Sheet1!$C$4+E593*[1]Sheet1!$D$4+H593*[1]Sheet1!$J$4+I593*[1]Sheet1!$K$4+[1]Sheet1!$L$4,IF(AND(OR(D593="T. domingensis",D593="T. latifolia"),J593&gt;0),J593*[1]Sheet1!$G$5+K593*[1]Sheet1!$H$5+L593*[1]Sheet1!$I$5+[1]Sheet1!$L$5,0)))))))</f>
        <v>-12.192523999999999</v>
      </c>
    </row>
    <row r="594" spans="1:15">
      <c r="A594" s="6">
        <v>41766</v>
      </c>
      <c r="B594" s="7" t="s">
        <v>22</v>
      </c>
      <c r="C594">
        <v>15</v>
      </c>
      <c r="D594" t="s">
        <v>19</v>
      </c>
      <c r="F594">
        <v>2.64</v>
      </c>
      <c r="J594">
        <f>73+92+155+120+171+105+178+149+123</f>
        <v>1166</v>
      </c>
      <c r="K594">
        <v>9</v>
      </c>
      <c r="L594">
        <v>178</v>
      </c>
      <c r="N594" t="str">
        <f>IF(OR(D594="S. acutus", D594="S. tabernaemontani", D594="S. californicus"),(1/3)*(3.14159)*((F594/2)^2)*E594,"NA")</f>
        <v>NA</v>
      </c>
      <c r="O594">
        <f>IF(AND(OR(D594="S. acutus",D594="S. californicus",D594="S. tabernaemontani"),G594=0),E594*[1]Sheet1!$D$7+[1]Sheet1!$L$7,IF(AND(OR(D594="S. acutus",D594="S. tabernaemontani"),G594&gt;0),E594*[1]Sheet1!$D$8+N594*[1]Sheet1!$E$8,IF(AND(D594="S. californicus",G594&gt;0),E594*[1]Sheet1!$D$9+N594*[1]Sheet1!$E$9,IF(D594="S. maritimus",F594*[1]Sheet1!$C$10+E594*[1]Sheet1!$D$10+G594*[1]Sheet1!$F$10+[1]Sheet1!$L$10,IF(D594="S. americanus",F594*[1]Sheet1!$C$6+E594*[1]Sheet1!$D$6+[1]Sheet1!$L$6,IF(AND(OR(D594="T. domingensis",D594="T. latifolia"),E594&gt;0),F594*[1]Sheet1!$C$4+E594*[1]Sheet1!$D$4+H594*[1]Sheet1!$J$4+I594*[1]Sheet1!$K$4+[1]Sheet1!$L$4,IF(AND(OR(D594="T. domingensis",D594="T. latifolia"),J594&gt;0),J594*[1]Sheet1!$G$5+K594*[1]Sheet1!$H$5+L594*[1]Sheet1!$I$5+[1]Sheet1!$L$5,0)))))))</f>
        <v>25.532527000000002</v>
      </c>
    </row>
    <row r="595" spans="1:15">
      <c r="A595" s="10">
        <v>41766</v>
      </c>
      <c r="B595" s="7" t="s">
        <v>22</v>
      </c>
      <c r="C595">
        <v>15</v>
      </c>
      <c r="D595" t="s">
        <v>19</v>
      </c>
      <c r="F595">
        <v>1.71</v>
      </c>
      <c r="J595">
        <f>41+53+99+175+97+132+139+149</f>
        <v>885</v>
      </c>
      <c r="K595">
        <v>8</v>
      </c>
      <c r="L595">
        <v>175</v>
      </c>
      <c r="N595" t="str">
        <f>IF(OR(D595="S. acutus", D595="S. tabernaemontani", D595="S. californicus"),(1/3)*(3.14159)*((F595/2)^2)*E595,"NA")</f>
        <v>NA</v>
      </c>
      <c r="O595">
        <f>IF(AND(OR(D595="S. acutus",D595="S. californicus",D595="S. tabernaemontani"),G595=0),E595*[1]Sheet1!$D$7+[1]Sheet1!$L$7,IF(AND(OR(D595="S. acutus",D595="S. tabernaemontani"),G595&gt;0),E595*[1]Sheet1!$D$8+N595*[1]Sheet1!$E$8,IF(AND(D595="S. californicus",G595&gt;0),E595*[1]Sheet1!$D$9+N595*[1]Sheet1!$E$9,IF(D595="S. maritimus",F595*[1]Sheet1!$C$10+E595*[1]Sheet1!$D$10+G595*[1]Sheet1!$F$10+[1]Sheet1!$L$10,IF(D595="S. americanus",F595*[1]Sheet1!$C$6+E595*[1]Sheet1!$D$6+[1]Sheet1!$L$6,IF(AND(OR(D595="T. domingensis",D595="T. latifolia"),E595&gt;0),F595*[1]Sheet1!$C$4+E595*[1]Sheet1!$D$4+H595*[1]Sheet1!$J$4+I595*[1]Sheet1!$K$4+[1]Sheet1!$L$4,IF(AND(OR(D595="T. domingensis",D595="T. latifolia"),J595&gt;0),J595*[1]Sheet1!$G$5+K595*[1]Sheet1!$H$5+L595*[1]Sheet1!$I$5+[1]Sheet1!$L$5,0)))))))</f>
        <v>7.1134599999999963</v>
      </c>
    </row>
    <row r="596" spans="1:15">
      <c r="A596" s="6">
        <v>41766</v>
      </c>
      <c r="B596" s="7" t="s">
        <v>22</v>
      </c>
      <c r="C596">
        <v>15</v>
      </c>
      <c r="D596" t="s">
        <v>19</v>
      </c>
      <c r="F596">
        <v>2.8</v>
      </c>
      <c r="J596">
        <f>118+85+115+158+164+148+166+122</f>
        <v>1076</v>
      </c>
      <c r="K596">
        <v>8</v>
      </c>
      <c r="L596">
        <v>166</v>
      </c>
      <c r="N596" t="str">
        <f>IF(OR(D596="S. acutus", D596="S. tabernaemontani", D596="S. californicus"),(1/3)*(3.14159)*((F596/2)^2)*E596,"NA")</f>
        <v>NA</v>
      </c>
      <c r="O596">
        <f>IF(AND(OR(D596="S. acutus",D596="S. californicus",D596="S. tabernaemontani"),G596=0),E596*[1]Sheet1!$D$7+[1]Sheet1!$L$7,IF(AND(OR(D596="S. acutus",D596="S. tabernaemontani"),G596&gt;0),E596*[1]Sheet1!$D$8+N596*[1]Sheet1!$E$8,IF(AND(D596="S. californicus",G596&gt;0),E596*[1]Sheet1!$D$9+N596*[1]Sheet1!$E$9,IF(D596="S. maritimus",F596*[1]Sheet1!$C$10+E596*[1]Sheet1!$D$10+G596*[1]Sheet1!$F$10+[1]Sheet1!$L$10,IF(D596="S. americanus",F596*[1]Sheet1!$C$6+E596*[1]Sheet1!$D$6+[1]Sheet1!$L$6,IF(AND(OR(D596="T. domingensis",D596="T. latifolia"),E596&gt;0),F596*[1]Sheet1!$C$4+E596*[1]Sheet1!$D$4+H596*[1]Sheet1!$J$4+I596*[1]Sheet1!$K$4+[1]Sheet1!$L$4,IF(AND(OR(D596="T. domingensis",D596="T. latifolia"),J596&gt;0),J596*[1]Sheet1!$G$5+K596*[1]Sheet1!$H$5+L596*[1]Sheet1!$I$5+[1]Sheet1!$L$5,0)))))))</f>
        <v>27.731870000000001</v>
      </c>
    </row>
    <row r="597" spans="1:15">
      <c r="A597" s="10">
        <v>41766</v>
      </c>
      <c r="B597" s="7" t="s">
        <v>22</v>
      </c>
      <c r="C597">
        <v>15</v>
      </c>
      <c r="D597" t="s">
        <v>19</v>
      </c>
      <c r="F597">
        <v>1.62</v>
      </c>
      <c r="J597">
        <f>42+44+45+112</f>
        <v>243</v>
      </c>
      <c r="K597">
        <v>4</v>
      </c>
      <c r="L597">
        <v>112</v>
      </c>
      <c r="N597" t="str">
        <f>IF(OR(D597="S. acutus", D597="S. tabernaemontani", D597="S. californicus"),(1/3)*(3.14159)*((F597/2)^2)*E597,"NA")</f>
        <v>NA</v>
      </c>
      <c r="O597">
        <f>IF(AND(OR(D597="S. acutus",D597="S. californicus",D597="S. tabernaemontani"),G597=0),E597*[1]Sheet1!$D$7+[1]Sheet1!$L$7,IF(AND(OR(D597="S. acutus",D597="S. tabernaemontani"),G597&gt;0),E597*[1]Sheet1!$D$8+N597*[1]Sheet1!$E$8,IF(AND(D597="S. californicus",G597&gt;0),E597*[1]Sheet1!$D$9+N597*[1]Sheet1!$E$9,IF(D597="S. maritimus",F597*[1]Sheet1!$C$10+E597*[1]Sheet1!$D$10+G597*[1]Sheet1!$F$10+[1]Sheet1!$L$10,IF(D597="S. americanus",F597*[1]Sheet1!$C$6+E597*[1]Sheet1!$D$6+[1]Sheet1!$L$6,IF(AND(OR(D597="T. domingensis",D597="T. latifolia"),E597&gt;0),F597*[1]Sheet1!$C$4+E597*[1]Sheet1!$D$4+H597*[1]Sheet1!$J$4+I597*[1]Sheet1!$K$4+[1]Sheet1!$L$4,IF(AND(OR(D597="T. domingensis",D597="T. latifolia"),J597&gt;0),J597*[1]Sheet1!$G$5+K597*[1]Sheet1!$H$5+L597*[1]Sheet1!$I$5+[1]Sheet1!$L$5,0)))))))</f>
        <v>-6.0094029999999989</v>
      </c>
    </row>
    <row r="598" spans="1:15">
      <c r="A598" s="9">
        <v>41766</v>
      </c>
      <c r="B598" s="7" t="s">
        <v>22</v>
      </c>
      <c r="C598">
        <v>31</v>
      </c>
      <c r="D598" t="s">
        <v>23</v>
      </c>
      <c r="F598">
        <v>3.07</v>
      </c>
      <c r="J598">
        <f>61+110+107+170+163+217+225+251+225</f>
        <v>1529</v>
      </c>
      <c r="K598">
        <v>9</v>
      </c>
      <c r="L598">
        <v>251</v>
      </c>
      <c r="N598" t="str">
        <f>IF(OR(D598="S. acutus", D598="S. tabernaemontani", D598="S. californicus"),(1/3)*(3.14159)*((F598/2)^2)*E598,"NA")</f>
        <v>NA</v>
      </c>
      <c r="O598">
        <f>IF(AND(OR(D598="S. acutus",D598="S. californicus",D598="S. tabernaemontani"),G598=0),E598*[1]Sheet1!$D$7+[1]Sheet1!$L$7,IF(AND(OR(D598="S. acutus",D598="S. tabernaemontani"),G598&gt;0),E598*[1]Sheet1!$D$8+N598*[1]Sheet1!$E$8,IF(AND(D598="S. californicus",G598&gt;0),E598*[1]Sheet1!$D$9+N598*[1]Sheet1!$E$9,IF(D598="S. maritimus",F598*[1]Sheet1!$C$10+E598*[1]Sheet1!$D$10+G598*[1]Sheet1!$F$10+[1]Sheet1!$L$10,IF(D598="S. americanus",F598*[1]Sheet1!$C$6+E598*[1]Sheet1!$D$6+[1]Sheet1!$L$6,IF(AND(OR(D598="T. domingensis",D598="T. latifolia"),E598&gt;0),F598*[1]Sheet1!$C$4+E598*[1]Sheet1!$D$4+H598*[1]Sheet1!$J$4+I598*[1]Sheet1!$K$4+[1]Sheet1!$L$4,IF(AND(OR(D598="T. domingensis",D598="T. latifolia"),J598&gt;0),J598*[1]Sheet1!$G$5+K598*[1]Sheet1!$H$5+L598*[1]Sheet1!$I$5+[1]Sheet1!$L$5,0)))))))</f>
        <v>37.574706999999997</v>
      </c>
    </row>
    <row r="599" spans="1:15">
      <c r="A599" s="9">
        <v>41766</v>
      </c>
      <c r="B599" s="7" t="s">
        <v>22</v>
      </c>
      <c r="C599">
        <v>31</v>
      </c>
      <c r="D599" t="s">
        <v>23</v>
      </c>
      <c r="F599">
        <v>2.04</v>
      </c>
      <c r="J599">
        <f>66+111+122+161+171+192+218+210</f>
        <v>1251</v>
      </c>
      <c r="K599">
        <v>8</v>
      </c>
      <c r="L599">
        <v>218</v>
      </c>
      <c r="N599" t="str">
        <f>IF(OR(D599="S. acutus", D599="S. tabernaemontani", D599="S. californicus"),(1/3)*(3.14159)*((F599/2)^2)*E599,"NA")</f>
        <v>NA</v>
      </c>
      <c r="O599">
        <f>IF(AND(OR(D599="S. acutus",D599="S. californicus",D599="S. tabernaemontani"),G599=0),E599*[1]Sheet1!$D$7+[1]Sheet1!$L$7,IF(AND(OR(D599="S. acutus",D599="S. tabernaemontani"),G599&gt;0),E599*[1]Sheet1!$D$8+N599*[1]Sheet1!$E$8,IF(AND(D599="S. californicus",G599&gt;0),E599*[1]Sheet1!$D$9+N599*[1]Sheet1!$E$9,IF(D599="S. maritimus",F599*[1]Sheet1!$C$10+E599*[1]Sheet1!$D$10+G599*[1]Sheet1!$F$10+[1]Sheet1!$L$10,IF(D599="S. americanus",F599*[1]Sheet1!$C$6+E599*[1]Sheet1!$D$6+[1]Sheet1!$L$6,IF(AND(OR(D599="T. domingensis",D599="T. latifolia"),E599&gt;0),F599*[1]Sheet1!$C$4+E599*[1]Sheet1!$D$4+H599*[1]Sheet1!$J$4+I599*[1]Sheet1!$K$4+[1]Sheet1!$L$4,IF(AND(OR(D599="T. domingensis",D599="T. latifolia"),J599&gt;0),J599*[1]Sheet1!$G$5+K599*[1]Sheet1!$H$5+L599*[1]Sheet1!$I$5+[1]Sheet1!$L$5,0)))))))</f>
        <v>28.474255000000014</v>
      </c>
    </row>
    <row r="600" spans="1:15">
      <c r="A600" s="9">
        <v>41766</v>
      </c>
      <c r="B600" s="7" t="s">
        <v>22</v>
      </c>
      <c r="C600">
        <v>31</v>
      </c>
      <c r="D600" t="s">
        <v>23</v>
      </c>
      <c r="F600">
        <v>3.34</v>
      </c>
      <c r="J600">
        <f>114+163+191+215</f>
        <v>683</v>
      </c>
      <c r="K600">
        <v>4</v>
      </c>
      <c r="L600">
        <v>215</v>
      </c>
      <c r="N600" t="str">
        <f>IF(OR(D600="S. acutus", D600="S. tabernaemontani", D600="S. californicus"),(1/3)*(3.14159)*((F600/2)^2)*E600,"NA")</f>
        <v>NA</v>
      </c>
      <c r="O600">
        <f>IF(AND(OR(D600="S. acutus",D600="S. californicus",D600="S. tabernaemontani"),G600=0),E600*[1]Sheet1!$D$7+[1]Sheet1!$L$7,IF(AND(OR(D600="S. acutus",D600="S. tabernaemontani"),G600&gt;0),E600*[1]Sheet1!$D$8+N600*[1]Sheet1!$E$8,IF(AND(D600="S. californicus",G600&gt;0),E600*[1]Sheet1!$D$9+N600*[1]Sheet1!$E$9,IF(D600="S. maritimus",F600*[1]Sheet1!$C$10+E600*[1]Sheet1!$D$10+G600*[1]Sheet1!$F$10+[1]Sheet1!$L$10,IF(D600="S. americanus",F600*[1]Sheet1!$C$6+E600*[1]Sheet1!$D$6+[1]Sheet1!$L$6,IF(AND(OR(D600="T. domingensis",D600="T. latifolia"),E600&gt;0),F600*[1]Sheet1!$C$4+E600*[1]Sheet1!$D$4+H600*[1]Sheet1!$J$4+I600*[1]Sheet1!$K$4+[1]Sheet1!$L$4,IF(AND(OR(D600="T. domingensis",D600="T. latifolia"),J600&gt;0),J600*[1]Sheet1!$G$5+K600*[1]Sheet1!$H$5+L600*[1]Sheet1!$I$5+[1]Sheet1!$L$5,0)))))))</f>
        <v>4.2145620000000079</v>
      </c>
    </row>
    <row r="601" spans="1:15">
      <c r="A601" s="9">
        <v>41766</v>
      </c>
      <c r="B601" s="7" t="s">
        <v>22</v>
      </c>
      <c r="C601">
        <v>31</v>
      </c>
      <c r="D601" t="s">
        <v>23</v>
      </c>
      <c r="F601">
        <v>1.83</v>
      </c>
      <c r="J601">
        <f>95+83+129+139+164+165</f>
        <v>775</v>
      </c>
      <c r="K601">
        <v>6</v>
      </c>
      <c r="L601">
        <v>165</v>
      </c>
      <c r="N601" t="str">
        <f>IF(OR(D601="S. acutus", D601="S. tabernaemontani", D601="S. californicus"),(1/3)*(3.14159)*((F601/2)^2)*E601,"NA")</f>
        <v>NA</v>
      </c>
      <c r="O601">
        <f>IF(AND(OR(D601="S. acutus",D601="S. californicus",D601="S. tabernaemontani"),G601=0),E601*[1]Sheet1!$D$7+[1]Sheet1!$L$7,IF(AND(OR(D601="S. acutus",D601="S. tabernaemontani"),G601&gt;0),E601*[1]Sheet1!$D$8+N601*[1]Sheet1!$E$8,IF(AND(D601="S. californicus",G601&gt;0),E601*[1]Sheet1!$D$9+N601*[1]Sheet1!$E$9,IF(D601="S. maritimus",F601*[1]Sheet1!$C$10+E601*[1]Sheet1!$D$10+G601*[1]Sheet1!$F$10+[1]Sheet1!$L$10,IF(D601="S. americanus",F601*[1]Sheet1!$C$6+E601*[1]Sheet1!$D$6+[1]Sheet1!$L$6,IF(AND(OR(D601="T. domingensis",D601="T. latifolia"),E601&gt;0),F601*[1]Sheet1!$C$4+E601*[1]Sheet1!$D$4+H601*[1]Sheet1!$J$4+I601*[1]Sheet1!$K$4+[1]Sheet1!$L$4,IF(AND(OR(D601="T. domingensis",D601="T. latifolia"),J601&gt;0),J601*[1]Sheet1!$G$5+K601*[1]Sheet1!$H$5+L601*[1]Sheet1!$I$5+[1]Sheet1!$L$5,0)))))))</f>
        <v>13.857566000000006</v>
      </c>
    </row>
    <row r="602" spans="1:15">
      <c r="A602" s="9">
        <v>41766</v>
      </c>
      <c r="B602" s="7" t="s">
        <v>22</v>
      </c>
      <c r="C602">
        <v>31</v>
      </c>
      <c r="D602" t="s">
        <v>23</v>
      </c>
      <c r="F602">
        <v>2.59</v>
      </c>
      <c r="J602">
        <f>74+107+108+108+162+142+143</f>
        <v>844</v>
      </c>
      <c r="K602">
        <v>7</v>
      </c>
      <c r="L602">
        <v>143</v>
      </c>
      <c r="N602" t="str">
        <f>IF(OR(D602="S. acutus", D602="S. tabernaemontani", D602="S. californicus"),(1/3)*(3.14159)*((F602/2)^2)*E602,"NA")</f>
        <v>NA</v>
      </c>
      <c r="O602">
        <f>IF(AND(OR(D602="S. acutus",D602="S. californicus",D602="S. tabernaemontani"),G602=0),E602*[1]Sheet1!$D$7+[1]Sheet1!$L$7,IF(AND(OR(D602="S. acutus",D602="S. tabernaemontani"),G602&gt;0),E602*[1]Sheet1!$D$8+N602*[1]Sheet1!$E$8,IF(AND(D602="S. californicus",G602&gt;0),E602*[1]Sheet1!$D$9+N602*[1]Sheet1!$E$9,IF(D602="S. maritimus",F602*[1]Sheet1!$C$10+E602*[1]Sheet1!$D$10+G602*[1]Sheet1!$F$10+[1]Sheet1!$L$10,IF(D602="S. americanus",F602*[1]Sheet1!$C$6+E602*[1]Sheet1!$D$6+[1]Sheet1!$L$6,IF(AND(OR(D602="T. domingensis",D602="T. latifolia"),E602&gt;0),F602*[1]Sheet1!$C$4+E602*[1]Sheet1!$D$4+H602*[1]Sheet1!$J$4+I602*[1]Sheet1!$K$4+[1]Sheet1!$L$4,IF(AND(OR(D602="T. domingensis",D602="T. latifolia"),J602&gt;0),J602*[1]Sheet1!$G$5+K602*[1]Sheet1!$H$5+L602*[1]Sheet1!$I$5+[1]Sheet1!$L$5,0)))))))</f>
        <v>19.931698000000004</v>
      </c>
    </row>
    <row r="603" spans="1:15">
      <c r="A603" s="9">
        <v>41766</v>
      </c>
      <c r="B603" s="7" t="s">
        <v>22</v>
      </c>
      <c r="C603">
        <v>31</v>
      </c>
      <c r="D603" t="s">
        <v>23</v>
      </c>
      <c r="F603">
        <v>2.1</v>
      </c>
      <c r="J603">
        <f>81+91+102+133+156+176+184</f>
        <v>923</v>
      </c>
      <c r="K603">
        <v>7</v>
      </c>
      <c r="L603">
        <v>184</v>
      </c>
      <c r="N603" t="str">
        <f>IF(OR(D603="S. acutus", D603="S. tabernaemontani", D603="S. californicus"),(1/3)*(3.14159)*((F603/2)^2)*E603,"NA")</f>
        <v>NA</v>
      </c>
      <c r="O603">
        <f>IF(AND(OR(D603="S. acutus",D603="S. californicus",D603="S. tabernaemontani"),G603=0),E603*[1]Sheet1!$D$7+[1]Sheet1!$L$7,IF(AND(OR(D603="S. acutus",D603="S. tabernaemontani"),G603&gt;0),E603*[1]Sheet1!$D$8+N603*[1]Sheet1!$E$8,IF(AND(D603="S. californicus",G603&gt;0),E603*[1]Sheet1!$D$9+N603*[1]Sheet1!$E$9,IF(D603="S. maritimus",F603*[1]Sheet1!$C$10+E603*[1]Sheet1!$D$10+G603*[1]Sheet1!$F$10+[1]Sheet1!$L$10,IF(D603="S. americanus",F603*[1]Sheet1!$C$6+E603*[1]Sheet1!$D$6+[1]Sheet1!$L$6,IF(AND(OR(D603="T. domingensis",D603="T. latifolia"),E603&gt;0),F603*[1]Sheet1!$C$4+E603*[1]Sheet1!$D$4+H603*[1]Sheet1!$J$4+I603*[1]Sheet1!$K$4+[1]Sheet1!$L$4,IF(AND(OR(D603="T. domingensis",D603="T. latifolia"),J603&gt;0),J603*[1]Sheet1!$G$5+K603*[1]Sheet1!$H$5+L603*[1]Sheet1!$I$5+[1]Sheet1!$L$5,0)))))))</f>
        <v>14.987298000000003</v>
      </c>
    </row>
    <row r="604" spans="1:15">
      <c r="A604" s="9">
        <v>41766</v>
      </c>
      <c r="B604" s="7" t="s">
        <v>22</v>
      </c>
      <c r="C604">
        <v>31</v>
      </c>
      <c r="D604" t="s">
        <v>19</v>
      </c>
      <c r="F604">
        <v>4.03</v>
      </c>
      <c r="J604">
        <f>104+144+170+180+198+208+209</f>
        <v>1213</v>
      </c>
      <c r="K604">
        <v>7</v>
      </c>
      <c r="L604">
        <v>209</v>
      </c>
      <c r="N604" t="str">
        <f>IF(OR(D604="S. acutus", D604="S. tabernaemontani", D604="S. californicus"),(1/3)*(3.14159)*((F604/2)^2)*E604,"NA")</f>
        <v>NA</v>
      </c>
      <c r="O604">
        <f>IF(AND(OR(D604="S. acutus",D604="S. californicus",D604="S. tabernaemontani"),G604=0),E604*[1]Sheet1!$D$7+[1]Sheet1!$L$7,IF(AND(OR(D604="S. acutus",D604="S. tabernaemontani"),G604&gt;0),E604*[1]Sheet1!$D$8+N604*[1]Sheet1!$E$8,IF(AND(D604="S. californicus",G604&gt;0),E604*[1]Sheet1!$D$9+N604*[1]Sheet1!$E$9,IF(D604="S. maritimus",F604*[1]Sheet1!$C$10+E604*[1]Sheet1!$D$10+G604*[1]Sheet1!$F$10+[1]Sheet1!$L$10,IF(D604="S. americanus",F604*[1]Sheet1!$C$6+E604*[1]Sheet1!$D$6+[1]Sheet1!$L$6,IF(AND(OR(D604="T. domingensis",D604="T. latifolia"),E604&gt;0),F604*[1]Sheet1!$C$4+E604*[1]Sheet1!$D$4+H604*[1]Sheet1!$J$4+I604*[1]Sheet1!$K$4+[1]Sheet1!$L$4,IF(AND(OR(D604="T. domingensis",D604="T. latifolia"),J604&gt;0),J604*[1]Sheet1!$G$5+K604*[1]Sheet1!$H$5+L604*[1]Sheet1!$I$5+[1]Sheet1!$L$5,0)))))))</f>
        <v>34.645123000000012</v>
      </c>
    </row>
    <row r="605" spans="1:15">
      <c r="A605" s="9">
        <v>41766</v>
      </c>
      <c r="B605" s="7" t="s">
        <v>22</v>
      </c>
      <c r="C605">
        <v>31</v>
      </c>
      <c r="D605" t="s">
        <v>19</v>
      </c>
      <c r="F605">
        <v>1.55</v>
      </c>
      <c r="J605">
        <f>25.4+55+90+96+114</f>
        <v>380.4</v>
      </c>
      <c r="K605">
        <v>5</v>
      </c>
      <c r="L605">
        <v>114</v>
      </c>
      <c r="N605" t="str">
        <f>IF(OR(D605="S. acutus", D605="S. tabernaemontani", D605="S. californicus"),(1/3)*(3.14159)*((F605/2)^2)*E605,"NA")</f>
        <v>NA</v>
      </c>
      <c r="O605">
        <f>IF(AND(OR(D605="S. acutus",D605="S. californicus",D605="S. tabernaemontani"),G605=0),E605*[1]Sheet1!$D$7+[1]Sheet1!$L$7,IF(AND(OR(D605="S. acutus",D605="S. tabernaemontani"),G605&gt;0),E605*[1]Sheet1!$D$8+N605*[1]Sheet1!$E$8,IF(AND(D605="S. californicus",G605&gt;0),E605*[1]Sheet1!$D$9+N605*[1]Sheet1!$E$9,IF(D605="S. maritimus",F605*[1]Sheet1!$C$10+E605*[1]Sheet1!$D$10+G605*[1]Sheet1!$F$10+[1]Sheet1!$L$10,IF(D605="S. americanus",F605*[1]Sheet1!$C$6+E605*[1]Sheet1!$D$6+[1]Sheet1!$L$6,IF(AND(OR(D605="T. domingensis",D605="T. latifolia"),E605&gt;0),F605*[1]Sheet1!$C$4+E605*[1]Sheet1!$D$4+H605*[1]Sheet1!$J$4+I605*[1]Sheet1!$K$4+[1]Sheet1!$L$4,IF(AND(OR(D605="T. domingensis",D605="T. latifolia"),J605&gt;0),J605*[1]Sheet1!$G$5+K605*[1]Sheet1!$H$5+L605*[1]Sheet1!$I$5+[1]Sheet1!$L$5,0)))))))</f>
        <v>-0.75230899999999679</v>
      </c>
    </row>
    <row r="606" spans="1:15">
      <c r="A606" s="9">
        <v>41766</v>
      </c>
      <c r="B606" s="7" t="s">
        <v>22</v>
      </c>
      <c r="C606">
        <v>31</v>
      </c>
      <c r="D606" t="s">
        <v>19</v>
      </c>
      <c r="F606">
        <v>1.81</v>
      </c>
      <c r="J606">
        <f>32+51+91+118+125</f>
        <v>417</v>
      </c>
      <c r="K606">
        <v>5</v>
      </c>
      <c r="L606">
        <v>125</v>
      </c>
      <c r="N606" t="str">
        <f>IF(OR(D606="S. acutus", D606="S. tabernaemontani", D606="S. californicus"),(1/3)*(3.14159)*((F606/2)^2)*E606,"NA")</f>
        <v>NA</v>
      </c>
      <c r="O606">
        <f>IF(AND(OR(D606="S. acutus",D606="S. californicus",D606="S. tabernaemontani"),G606=0),E606*[1]Sheet1!$D$7+[1]Sheet1!$L$7,IF(AND(OR(D606="S. acutus",D606="S. tabernaemontani"),G606&gt;0),E606*[1]Sheet1!$D$8+N606*[1]Sheet1!$E$8,IF(AND(D606="S. californicus",G606&gt;0),E606*[1]Sheet1!$D$9+N606*[1]Sheet1!$E$9,IF(D606="S. maritimus",F606*[1]Sheet1!$C$10+E606*[1]Sheet1!$D$10+G606*[1]Sheet1!$F$10+[1]Sheet1!$L$10,IF(D606="S. americanus",F606*[1]Sheet1!$C$6+E606*[1]Sheet1!$D$6+[1]Sheet1!$L$6,IF(AND(OR(D606="T. domingensis",D606="T. latifolia"),E606&gt;0),F606*[1]Sheet1!$C$4+E606*[1]Sheet1!$D$4+H606*[1]Sheet1!$J$4+I606*[1]Sheet1!$K$4+[1]Sheet1!$L$4,IF(AND(OR(D606="T. domingensis",D606="T. latifolia"),J606&gt;0),J606*[1]Sheet1!$G$5+K606*[1]Sheet1!$H$5+L606*[1]Sheet1!$I$5+[1]Sheet1!$L$5,0)))))))</f>
        <v>-0.63457100000000111</v>
      </c>
    </row>
    <row r="607" spans="1:15">
      <c r="A607" s="9">
        <v>41766</v>
      </c>
      <c r="B607" s="7" t="s">
        <v>22</v>
      </c>
      <c r="C607">
        <v>39</v>
      </c>
      <c r="D607" t="s">
        <v>20</v>
      </c>
      <c r="E607">
        <v>99</v>
      </c>
      <c r="F607">
        <v>0.63</v>
      </c>
      <c r="N607">
        <f>IF(OR(D607="S. acutus", D607="S. tabernaemontani", D607="S. californicus"),(1/3)*(3.14159)*((F607/2)^2)*E607,"NA")</f>
        <v>10.28690083575</v>
      </c>
      <c r="O607">
        <f>IF(AND(OR(D607="S. acutus",D607="S. californicus",D607="S. tabernaemontani"),G607=0),E607*[1]Sheet1!$D$7+[1]Sheet1!$L$7,IF(AND(OR(D607="S. acutus",D607="S. tabernaemontani"),G607&gt;0),E607*[1]Sheet1!$D$8+N607*[1]Sheet1!$E$8,IF(AND(D607="S. californicus",G607&gt;0),E607*[1]Sheet1!$D$9+N607*[1]Sheet1!$E$9,IF(D607="S. maritimus",F607*[1]Sheet1!$C$10+E607*[1]Sheet1!$D$10+G607*[1]Sheet1!$F$10+[1]Sheet1!$L$10,IF(D607="S. americanus",F607*[1]Sheet1!$C$6+E607*[1]Sheet1!$D$6+[1]Sheet1!$L$6,IF(AND(OR(D607="T. domingensis",D607="T. latifolia"),E607&gt;0),F607*[1]Sheet1!$C$4+E607*[1]Sheet1!$D$4+H607*[1]Sheet1!$J$4+I607*[1]Sheet1!$K$4+[1]Sheet1!$L$4,IF(AND(OR(D607="T. domingensis",D607="T. latifolia"),J607&gt;0),J607*[1]Sheet1!$G$5+K607*[1]Sheet1!$H$5+L607*[1]Sheet1!$I$5+[1]Sheet1!$L$5,0)))))))</f>
        <v>2.3497979999999998</v>
      </c>
    </row>
    <row r="608" spans="1:15">
      <c r="A608" s="9">
        <v>41766</v>
      </c>
      <c r="B608" s="7" t="s">
        <v>22</v>
      </c>
      <c r="C608">
        <v>39</v>
      </c>
      <c r="D608" t="s">
        <v>20</v>
      </c>
      <c r="E608">
        <v>124</v>
      </c>
      <c r="F608">
        <v>0.69</v>
      </c>
      <c r="N608">
        <f>IF(OR(D608="S. acutus", D608="S. tabernaemontani", D608="S. californicus"),(1/3)*(3.14159)*((F608/2)^2)*E608,"NA")</f>
        <v>15.455680322999996</v>
      </c>
      <c r="O608">
        <f>IF(AND(OR(D608="S. acutus",D608="S. californicus",D608="S. tabernaemontani"),G608=0),E608*[1]Sheet1!$D$7+[1]Sheet1!$L$7,IF(AND(OR(D608="S. acutus",D608="S. tabernaemontani"),G608&gt;0),E608*[1]Sheet1!$D$8+N608*[1]Sheet1!$E$8,IF(AND(D608="S. californicus",G608&gt;0),E608*[1]Sheet1!$D$9+N608*[1]Sheet1!$E$9,IF(D608="S. maritimus",F608*[1]Sheet1!$C$10+E608*[1]Sheet1!$D$10+G608*[1]Sheet1!$F$10+[1]Sheet1!$L$10,IF(D608="S. americanus",F608*[1]Sheet1!$C$6+E608*[1]Sheet1!$D$6+[1]Sheet1!$L$6,IF(AND(OR(D608="T. domingensis",D608="T. latifolia"),E608&gt;0),F608*[1]Sheet1!$C$4+E608*[1]Sheet1!$D$4+H608*[1]Sheet1!$J$4+I608*[1]Sheet1!$K$4+[1]Sheet1!$L$4,IF(AND(OR(D608="T. domingensis",D608="T. latifolia"),J608&gt;0),J608*[1]Sheet1!$G$5+K608*[1]Sheet1!$H$5+L608*[1]Sheet1!$I$5+[1]Sheet1!$L$5,0)))))))</f>
        <v>4.1024230000000008</v>
      </c>
    </row>
    <row r="609" spans="1:15">
      <c r="A609" s="9">
        <v>41766</v>
      </c>
      <c r="B609" s="7" t="s">
        <v>22</v>
      </c>
      <c r="C609">
        <v>39</v>
      </c>
      <c r="D609" t="s">
        <v>23</v>
      </c>
      <c r="F609">
        <v>2.27</v>
      </c>
      <c r="J609">
        <f>80+107+114+159+182+199+218</f>
        <v>1059</v>
      </c>
      <c r="K609">
        <v>7</v>
      </c>
      <c r="L609">
        <v>218</v>
      </c>
      <c r="N609" t="str">
        <f>IF(OR(D609="S. acutus", D609="S. tabernaemontani", D609="S. californicus"),(1/3)*(3.14159)*((F609/2)^2)*E609,"NA")</f>
        <v>NA</v>
      </c>
      <c r="O609">
        <f>IF(AND(OR(D609="S. acutus",D609="S. californicus",D609="S. tabernaemontani"),G609=0),E609*[1]Sheet1!$D$7+[1]Sheet1!$L$7,IF(AND(OR(D609="S. acutus",D609="S. tabernaemontani"),G609&gt;0),E609*[1]Sheet1!$D$8+N609*[1]Sheet1!$E$8,IF(AND(D609="S. californicus",G609&gt;0),E609*[1]Sheet1!$D$9+N609*[1]Sheet1!$E$9,IF(D609="S. maritimus",F609*[1]Sheet1!$C$10+E609*[1]Sheet1!$D$10+G609*[1]Sheet1!$F$10+[1]Sheet1!$L$10,IF(D609="S. americanus",F609*[1]Sheet1!$C$6+E609*[1]Sheet1!$D$6+[1]Sheet1!$L$6,IF(AND(OR(D609="T. domingensis",D609="T. latifolia"),E609&gt;0),F609*[1]Sheet1!$C$4+E609*[1]Sheet1!$D$4+H609*[1]Sheet1!$J$4+I609*[1]Sheet1!$K$4+[1]Sheet1!$L$4,IF(AND(OR(D609="T. domingensis",D609="T. latifolia"),J609&gt;0),J609*[1]Sheet1!$G$5+K609*[1]Sheet1!$H$5+L609*[1]Sheet1!$I$5+[1]Sheet1!$L$5,0)))))))</f>
        <v>17.49564800000001</v>
      </c>
    </row>
    <row r="610" spans="1:15">
      <c r="A610" s="9">
        <v>41766</v>
      </c>
      <c r="B610" s="7" t="s">
        <v>22</v>
      </c>
      <c r="C610">
        <v>39</v>
      </c>
      <c r="D610" t="s">
        <v>23</v>
      </c>
      <c r="F610">
        <v>2.79</v>
      </c>
      <c r="J610">
        <f>88+137+172+180+207+212+234</f>
        <v>1230</v>
      </c>
      <c r="K610">
        <v>7</v>
      </c>
      <c r="L610">
        <v>234</v>
      </c>
      <c r="N610" t="str">
        <f>IF(OR(D610="S. acutus", D610="S. tabernaemontani", D610="S. californicus"),(1/3)*(3.14159)*((F610/2)^2)*E610,"NA")</f>
        <v>NA</v>
      </c>
      <c r="O610">
        <f>IF(AND(OR(D610="S. acutus",D610="S. californicus",D610="S. tabernaemontani"),G610=0),E610*[1]Sheet1!$D$7+[1]Sheet1!$L$7,IF(AND(OR(D610="S. acutus",D610="S. tabernaemontani"),G610&gt;0),E610*[1]Sheet1!$D$8+N610*[1]Sheet1!$E$8,IF(AND(D610="S. californicus",G610&gt;0),E610*[1]Sheet1!$D$9+N610*[1]Sheet1!$E$9,IF(D610="S. maritimus",F610*[1]Sheet1!$C$10+E610*[1]Sheet1!$D$10+G610*[1]Sheet1!$F$10+[1]Sheet1!$L$10,IF(D610="S. americanus",F610*[1]Sheet1!$C$6+E610*[1]Sheet1!$D$6+[1]Sheet1!$L$6,IF(AND(OR(D610="T. domingensis",D610="T. latifolia"),E610&gt;0),F610*[1]Sheet1!$C$4+E610*[1]Sheet1!$D$4+H610*[1]Sheet1!$J$4+I610*[1]Sheet1!$K$4+[1]Sheet1!$L$4,IF(AND(OR(D610="T. domingensis",D610="T. latifolia"),J610&gt;0),J610*[1]Sheet1!$G$5+K610*[1]Sheet1!$H$5+L610*[1]Sheet1!$I$5+[1]Sheet1!$L$5,0)))))))</f>
        <v>28.707833000000015</v>
      </c>
    </row>
    <row r="611" spans="1:15">
      <c r="A611" s="9">
        <v>41766</v>
      </c>
      <c r="B611" s="7" t="s">
        <v>22</v>
      </c>
      <c r="C611">
        <v>39</v>
      </c>
      <c r="D611" t="s">
        <v>23</v>
      </c>
      <c r="F611">
        <v>1.73</v>
      </c>
      <c r="J611">
        <f>64+111+116+164+163+182</f>
        <v>800</v>
      </c>
      <c r="K611">
        <v>6</v>
      </c>
      <c r="L611">
        <v>182</v>
      </c>
      <c r="N611" t="str">
        <f>IF(OR(D611="S. acutus", D611="S. tabernaemontani", D611="S. californicus"),(1/3)*(3.14159)*((F611/2)^2)*E611,"NA")</f>
        <v>NA</v>
      </c>
      <c r="O611">
        <f>IF(AND(OR(D611="S. acutus",D611="S. californicus",D611="S. tabernaemontani"),G611=0),E611*[1]Sheet1!$D$7+[1]Sheet1!$L$7,IF(AND(OR(D611="S. acutus",D611="S. tabernaemontani"),G611&gt;0),E611*[1]Sheet1!$D$8+N611*[1]Sheet1!$E$8,IF(AND(D611="S. californicus",G611&gt;0),E611*[1]Sheet1!$D$9+N611*[1]Sheet1!$E$9,IF(D611="S. maritimus",F611*[1]Sheet1!$C$10+E611*[1]Sheet1!$D$10+G611*[1]Sheet1!$F$10+[1]Sheet1!$L$10,IF(D611="S. americanus",F611*[1]Sheet1!$C$6+E611*[1]Sheet1!$D$6+[1]Sheet1!$L$6,IF(AND(OR(D611="T. domingensis",D611="T. latifolia"),E611&gt;0),F611*[1]Sheet1!$C$4+E611*[1]Sheet1!$D$4+H611*[1]Sheet1!$J$4+I611*[1]Sheet1!$K$4+[1]Sheet1!$L$4,IF(AND(OR(D611="T. domingensis",D611="T. latifolia"),J611&gt;0),J611*[1]Sheet1!$G$5+K611*[1]Sheet1!$H$5+L611*[1]Sheet1!$I$5+[1]Sheet1!$L$5,0)))))))</f>
        <v>11.080276000000005</v>
      </c>
    </row>
    <row r="612" spans="1:15">
      <c r="A612" s="9">
        <v>41766</v>
      </c>
      <c r="B612" s="7" t="s">
        <v>22</v>
      </c>
      <c r="C612">
        <v>39</v>
      </c>
      <c r="D612" t="s">
        <v>23</v>
      </c>
      <c r="F612">
        <v>1.8</v>
      </c>
      <c r="J612">
        <f>66+112+157+164+201+201</f>
        <v>901</v>
      </c>
      <c r="K612">
        <v>6</v>
      </c>
      <c r="L612">
        <v>201</v>
      </c>
      <c r="N612" t="str">
        <f>IF(OR(D612="S. acutus", D612="S. tabernaemontani", D612="S. californicus"),(1/3)*(3.14159)*((F612/2)^2)*E612,"NA")</f>
        <v>NA</v>
      </c>
      <c r="O612">
        <f>IF(AND(OR(D612="S. acutus",D612="S. californicus",D612="S. tabernaemontani"),G612=0),E612*[1]Sheet1!$D$7+[1]Sheet1!$L$7,IF(AND(OR(D612="S. acutus",D612="S. tabernaemontani"),G612&gt;0),E612*[1]Sheet1!$D$8+N612*[1]Sheet1!$E$8,IF(AND(D612="S. californicus",G612&gt;0),E612*[1]Sheet1!$D$9+N612*[1]Sheet1!$E$9,IF(D612="S. maritimus",F612*[1]Sheet1!$C$10+E612*[1]Sheet1!$D$10+G612*[1]Sheet1!$F$10+[1]Sheet1!$L$10,IF(D612="S. americanus",F612*[1]Sheet1!$C$6+E612*[1]Sheet1!$D$6+[1]Sheet1!$L$6,IF(AND(OR(D612="T. domingensis",D612="T. latifolia"),E612&gt;0),F612*[1]Sheet1!$C$4+E612*[1]Sheet1!$D$4+H612*[1]Sheet1!$J$4+I612*[1]Sheet1!$K$4+[1]Sheet1!$L$4,IF(AND(OR(D612="T. domingensis",D612="T. latifolia"),J612&gt;0),J612*[1]Sheet1!$G$5+K612*[1]Sheet1!$H$5+L612*[1]Sheet1!$I$5+[1]Sheet1!$L$5,0)))))))</f>
        <v>14.825876000000008</v>
      </c>
    </row>
    <row r="613" spans="1:15">
      <c r="A613" s="9">
        <v>41766</v>
      </c>
      <c r="B613" s="7" t="s">
        <v>22</v>
      </c>
      <c r="C613">
        <v>39</v>
      </c>
      <c r="D613" t="s">
        <v>23</v>
      </c>
      <c r="F613">
        <v>5.3</v>
      </c>
      <c r="J613">
        <f>140+158+191+215+244+305+484+278+290+304</f>
        <v>2609</v>
      </c>
      <c r="K613">
        <v>10</v>
      </c>
      <c r="L613">
        <v>304</v>
      </c>
      <c r="N613" t="str">
        <f>IF(OR(D613="S. acutus", D613="S. tabernaemontani", D613="S. californicus"),(1/3)*(3.14159)*((F613/2)^2)*E613,"NA")</f>
        <v>NA</v>
      </c>
      <c r="O613">
        <f>IF(AND(OR(D613="S. acutus",D613="S. californicus",D613="S. tabernaemontani"),G613=0),E613*[1]Sheet1!$D$7+[1]Sheet1!$L$7,IF(AND(OR(D613="S. acutus",D613="S. tabernaemontani"),G613&gt;0),E613*[1]Sheet1!$D$8+N613*[1]Sheet1!$E$8,IF(AND(D613="S. californicus",G613&gt;0),E613*[1]Sheet1!$D$9+N613*[1]Sheet1!$E$9,IF(D613="S. maritimus",F613*[1]Sheet1!$C$10+E613*[1]Sheet1!$D$10+G613*[1]Sheet1!$F$10+[1]Sheet1!$L$10,IF(D613="S. americanus",F613*[1]Sheet1!$C$6+E613*[1]Sheet1!$D$6+[1]Sheet1!$L$6,IF(AND(OR(D613="T. domingensis",D613="T. latifolia"),E613&gt;0),F613*[1]Sheet1!$C$4+E613*[1]Sheet1!$D$4+H613*[1]Sheet1!$J$4+I613*[1]Sheet1!$K$4+[1]Sheet1!$L$4,IF(AND(OR(D613="T. domingensis",D613="T. latifolia"),J613&gt;0),J613*[1]Sheet1!$G$5+K613*[1]Sheet1!$H$5+L613*[1]Sheet1!$I$5+[1]Sheet1!$L$5,0)))))))</f>
        <v>115.841769</v>
      </c>
    </row>
    <row r="614" spans="1:15">
      <c r="A614" s="9">
        <v>41766</v>
      </c>
      <c r="B614" s="7" t="s">
        <v>22</v>
      </c>
      <c r="C614">
        <v>39</v>
      </c>
      <c r="D614" t="s">
        <v>23</v>
      </c>
      <c r="F614">
        <v>1.45</v>
      </c>
      <c r="J614">
        <f>64+121+159+170</f>
        <v>514</v>
      </c>
      <c r="K614">
        <v>4</v>
      </c>
      <c r="L614">
        <v>170</v>
      </c>
      <c r="N614" t="str">
        <f>IF(OR(D614="S. acutus", D614="S. tabernaemontani", D614="S. californicus"),(1/3)*(3.14159)*((F614/2)^2)*E614,"NA")</f>
        <v>NA</v>
      </c>
      <c r="O614">
        <f>IF(AND(OR(D614="S. acutus",D614="S. californicus",D614="S. tabernaemontani"),G614=0),E614*[1]Sheet1!$D$7+[1]Sheet1!$L$7,IF(AND(OR(D614="S. acutus",D614="S. tabernaemontani"),G614&gt;0),E614*[1]Sheet1!$D$8+N614*[1]Sheet1!$E$8,IF(AND(D614="S. californicus",G614&gt;0),E614*[1]Sheet1!$D$9+N614*[1]Sheet1!$E$9,IF(D614="S. maritimus",F614*[1]Sheet1!$C$10+E614*[1]Sheet1!$D$10+G614*[1]Sheet1!$F$10+[1]Sheet1!$L$10,IF(D614="S. americanus",F614*[1]Sheet1!$C$6+E614*[1]Sheet1!$D$6+[1]Sheet1!$L$6,IF(AND(OR(D614="T. domingensis",D614="T. latifolia"),E614&gt;0),F614*[1]Sheet1!$C$4+E614*[1]Sheet1!$D$4+H614*[1]Sheet1!$J$4+I614*[1]Sheet1!$K$4+[1]Sheet1!$L$4,IF(AND(OR(D614="T. domingensis",D614="T. latifolia"),J614&gt;0),J614*[1]Sheet1!$G$5+K614*[1]Sheet1!$H$5+L614*[1]Sheet1!$I$5+[1]Sheet1!$L$5,0)))))))</f>
        <v>1.9259920000000044</v>
      </c>
    </row>
    <row r="615" spans="1:15">
      <c r="A615" s="9">
        <v>41766</v>
      </c>
      <c r="B615" s="7" t="s">
        <v>22</v>
      </c>
      <c r="C615">
        <v>39</v>
      </c>
      <c r="D615" t="s">
        <v>23</v>
      </c>
      <c r="F615">
        <v>2.87</v>
      </c>
      <c r="J615">
        <f>80+145+191+203+239+267</f>
        <v>1125</v>
      </c>
      <c r="K615">
        <v>6</v>
      </c>
      <c r="L615">
        <v>267</v>
      </c>
      <c r="N615" t="str">
        <f>IF(OR(D615="S. acutus", D615="S. tabernaemontani", D615="S. californicus"),(1/3)*(3.14159)*((F615/2)^2)*E615,"NA")</f>
        <v>NA</v>
      </c>
      <c r="O615">
        <f>IF(AND(OR(D615="S. acutus",D615="S. californicus",D615="S. tabernaemontani"),G615=0),E615*[1]Sheet1!$D$7+[1]Sheet1!$L$7,IF(AND(OR(D615="S. acutus",D615="S. tabernaemontani"),G615&gt;0),E615*[1]Sheet1!$D$8+N615*[1]Sheet1!$E$8,IF(AND(D615="S. californicus",G615&gt;0),E615*[1]Sheet1!$D$9+N615*[1]Sheet1!$E$9,IF(D615="S. maritimus",F615*[1]Sheet1!$C$10+E615*[1]Sheet1!$D$10+G615*[1]Sheet1!$F$10+[1]Sheet1!$L$10,IF(D615="S. americanus",F615*[1]Sheet1!$C$6+E615*[1]Sheet1!$D$6+[1]Sheet1!$L$6,IF(AND(OR(D615="T. domingensis",D615="T. latifolia"),E615&gt;0),F615*[1]Sheet1!$C$4+E615*[1]Sheet1!$D$4+H615*[1]Sheet1!$J$4+I615*[1]Sheet1!$K$4+[1]Sheet1!$L$4,IF(AND(OR(D615="T. domingensis",D615="T. latifolia"),J615&gt;0),J615*[1]Sheet1!$G$5+K615*[1]Sheet1!$H$5+L615*[1]Sheet1!$I$5+[1]Sheet1!$L$5,0)))))))</f>
        <v>15.944826000000013</v>
      </c>
    </row>
    <row r="616" spans="1:15">
      <c r="A616" s="9">
        <v>41766</v>
      </c>
      <c r="B616" s="7" t="s">
        <v>22</v>
      </c>
      <c r="C616">
        <v>39</v>
      </c>
      <c r="D616" t="s">
        <v>19</v>
      </c>
      <c r="F616">
        <v>0.65</v>
      </c>
      <c r="J616">
        <f>51+52</f>
        <v>103</v>
      </c>
      <c r="K616">
        <v>2</v>
      </c>
      <c r="L616">
        <v>52</v>
      </c>
      <c r="N616" t="str">
        <f>IF(OR(D616="S. acutus", D616="S. tabernaemontani", D616="S. californicus"),(1/3)*(3.14159)*((F616/2)^2)*E616,"NA")</f>
        <v>NA</v>
      </c>
      <c r="O616">
        <f>IF(AND(OR(D616="S. acutus",D616="S. californicus",D616="S. tabernaemontani"),G616=0),E616*[1]Sheet1!$D$7+[1]Sheet1!$L$7,IF(AND(OR(D616="S. acutus",D616="S. tabernaemontani"),G616&gt;0),E616*[1]Sheet1!$D$8+N616*[1]Sheet1!$E$8,IF(AND(D616="S. californicus",G616&gt;0),E616*[1]Sheet1!$D$9+N616*[1]Sheet1!$E$9,IF(D616="S. maritimus",F616*[1]Sheet1!$C$10+E616*[1]Sheet1!$D$10+G616*[1]Sheet1!$F$10+[1]Sheet1!$L$10,IF(D616="S. americanus",F616*[1]Sheet1!$C$6+E616*[1]Sheet1!$D$6+[1]Sheet1!$L$6,IF(AND(OR(D616="T. domingensis",D616="T. latifolia"),E616&gt;0),F616*[1]Sheet1!$C$4+E616*[1]Sheet1!$D$4+H616*[1]Sheet1!$J$4+I616*[1]Sheet1!$K$4+[1]Sheet1!$L$4,IF(AND(OR(D616="T. domingensis",D616="T. latifolia"),J616&gt;0),J616*[1]Sheet1!$G$5+K616*[1]Sheet1!$H$5+L616*[1]Sheet1!$I$5+[1]Sheet1!$L$5,0)))))))</f>
        <v>12.984302999999997</v>
      </c>
    </row>
    <row r="617" spans="1:15">
      <c r="A617" s="9">
        <v>41766</v>
      </c>
      <c r="B617" s="7" t="s">
        <v>22</v>
      </c>
      <c r="C617">
        <v>39</v>
      </c>
      <c r="D617" t="s">
        <v>19</v>
      </c>
      <c r="F617">
        <v>0.85</v>
      </c>
      <c r="J617">
        <f>28</f>
        <v>28</v>
      </c>
      <c r="K617">
        <v>1</v>
      </c>
      <c r="L617">
        <v>28</v>
      </c>
      <c r="N617" t="str">
        <f>IF(OR(D617="S. acutus", D617="S. tabernaemontani", D617="S. californicus"),(1/3)*(3.14159)*((F617/2)^2)*E617,"NA")</f>
        <v>NA</v>
      </c>
      <c r="O617">
        <f>IF(AND(OR(D617="S. acutus",D617="S. californicus",D617="S. tabernaemontani"),G617=0),E617*[1]Sheet1!$D$7+[1]Sheet1!$L$7,IF(AND(OR(D617="S. acutus",D617="S. tabernaemontani"),G617&gt;0),E617*[1]Sheet1!$D$8+N617*[1]Sheet1!$E$8,IF(AND(D617="S. californicus",G617&gt;0),E617*[1]Sheet1!$D$9+N617*[1]Sheet1!$E$9,IF(D617="S. maritimus",F617*[1]Sheet1!$C$10+E617*[1]Sheet1!$D$10+G617*[1]Sheet1!$F$10+[1]Sheet1!$L$10,IF(D617="S. americanus",F617*[1]Sheet1!$C$6+E617*[1]Sheet1!$D$6+[1]Sheet1!$L$6,IF(AND(OR(D617="T. domingensis",D617="T. latifolia"),E617&gt;0),F617*[1]Sheet1!$C$4+E617*[1]Sheet1!$D$4+H617*[1]Sheet1!$J$4+I617*[1]Sheet1!$K$4+[1]Sheet1!$L$4,IF(AND(OR(D617="T. domingensis",D617="T. latifolia"),J617&gt;0),J617*[1]Sheet1!$G$5+K617*[1]Sheet1!$H$5+L617*[1]Sheet1!$I$5+[1]Sheet1!$L$5,0)))))))</f>
        <v>20.204910999999996</v>
      </c>
    </row>
    <row r="618" spans="1:15">
      <c r="A618" s="9">
        <v>41766</v>
      </c>
      <c r="B618" s="7" t="s">
        <v>22</v>
      </c>
      <c r="C618">
        <v>44</v>
      </c>
      <c r="D618" s="8" t="s">
        <v>23</v>
      </c>
      <c r="F618">
        <v>2.2000000000000002</v>
      </c>
      <c r="J618">
        <f>69+102+103+119+173+187</f>
        <v>753</v>
      </c>
      <c r="K618">
        <v>6</v>
      </c>
      <c r="L618">
        <v>187</v>
      </c>
      <c r="N618" t="str">
        <f>IF(OR(D618="S. acutus", D618="S. tabernaemontani", D618="S. californicus"),(1/3)*(3.14159)*((F618/2)^2)*E618,"NA")</f>
        <v>NA</v>
      </c>
      <c r="O618">
        <f>IF(AND(OR(D618="S. acutus",D618="S. californicus",D618="S. tabernaemontani"),G618=0),E618*[1]Sheet1!$D$7+[1]Sheet1!$L$7,IF(AND(OR(D618="S. acutus",D618="S. tabernaemontani"),G618&gt;0),E618*[1]Sheet1!$D$8+N618*[1]Sheet1!$E$8,IF(AND(D618="S. californicus",G618&gt;0),E618*[1]Sheet1!$D$9+N618*[1]Sheet1!$E$9,IF(D618="S. maritimus",F618*[1]Sheet1!$C$10+E618*[1]Sheet1!$D$10+G618*[1]Sheet1!$F$10+[1]Sheet1!$L$10,IF(D618="S. americanus",F618*[1]Sheet1!$C$6+E618*[1]Sheet1!$D$6+[1]Sheet1!$L$6,IF(AND(OR(D618="T. domingensis",D618="T. latifolia"),E618&gt;0),F618*[1]Sheet1!$C$4+E618*[1]Sheet1!$D$4+H618*[1]Sheet1!$J$4+I618*[1]Sheet1!$K$4+[1]Sheet1!$L$4,IF(AND(OR(D618="T. domingensis",D618="T. latifolia"),J618&gt;0),J618*[1]Sheet1!$G$5+K618*[1]Sheet1!$H$5+L618*[1]Sheet1!$I$5+[1]Sheet1!$L$5,0)))))))</f>
        <v>5.1675660000000008</v>
      </c>
    </row>
    <row r="619" spans="1:15">
      <c r="A619" s="9">
        <v>41766</v>
      </c>
      <c r="B619" s="7" t="s">
        <v>22</v>
      </c>
      <c r="C619">
        <v>44</v>
      </c>
      <c r="D619" t="s">
        <v>23</v>
      </c>
      <c r="F619">
        <v>2.14</v>
      </c>
      <c r="J619">
        <f>87+119+144+148+161+178+207+215+229</f>
        <v>1488</v>
      </c>
      <c r="K619">
        <v>9</v>
      </c>
      <c r="L619">
        <v>229</v>
      </c>
      <c r="N619" t="str">
        <f>IF(OR(D619="S. acutus", D619="S. tabernaemontani", D619="S. californicus"),(1/3)*(3.14159)*((F619/2)^2)*E619,"NA")</f>
        <v>NA</v>
      </c>
      <c r="O619">
        <f>IF(AND(OR(D619="S. acutus",D619="S. californicus",D619="S. tabernaemontani"),G619=0),E619*[1]Sheet1!$D$7+[1]Sheet1!$L$7,IF(AND(OR(D619="S. acutus",D619="S. tabernaemontani"),G619&gt;0),E619*[1]Sheet1!$D$8+N619*[1]Sheet1!$E$8,IF(AND(D619="S. californicus",G619&gt;0),E619*[1]Sheet1!$D$9+N619*[1]Sheet1!$E$9,IF(D619="S. maritimus",F619*[1]Sheet1!$C$10+E619*[1]Sheet1!$D$10+G619*[1]Sheet1!$F$10+[1]Sheet1!$L$10,IF(D619="S. americanus",F619*[1]Sheet1!$C$6+E619*[1]Sheet1!$D$6+[1]Sheet1!$L$6,IF(AND(OR(D619="T. domingensis",D619="T. latifolia"),E619&gt;0),F619*[1]Sheet1!$C$4+E619*[1]Sheet1!$D$4+H619*[1]Sheet1!$J$4+I619*[1]Sheet1!$K$4+[1]Sheet1!$L$4,IF(AND(OR(D619="T. domingensis",D619="T. latifolia"),J619&gt;0),J619*[1]Sheet1!$G$5+K619*[1]Sheet1!$H$5+L619*[1]Sheet1!$I$5+[1]Sheet1!$L$5,0)))))))</f>
        <v>40.358142000000008</v>
      </c>
    </row>
    <row r="620" spans="1:15">
      <c r="A620" s="9">
        <v>41766</v>
      </c>
      <c r="B620" s="7" t="s">
        <v>22</v>
      </c>
      <c r="C620">
        <v>44</v>
      </c>
      <c r="D620" t="s">
        <v>23</v>
      </c>
      <c r="F620">
        <v>3.45</v>
      </c>
      <c r="J620">
        <f>83+91+134+142+177+188+214+224</f>
        <v>1253</v>
      </c>
      <c r="K620">
        <v>8</v>
      </c>
      <c r="L620">
        <v>224</v>
      </c>
      <c r="N620" t="str">
        <f>IF(OR(D620="S. acutus", D620="S. tabernaemontani", D620="S. californicus"),(1/3)*(3.14159)*((F620/2)^2)*E620,"NA")</f>
        <v>NA</v>
      </c>
      <c r="O620">
        <f>IF(AND(OR(D620="S. acutus",D620="S. californicus",D620="S. tabernaemontani"),G620=0),E620*[1]Sheet1!$D$7+[1]Sheet1!$L$7,IF(AND(OR(D620="S. acutus",D620="S. tabernaemontani"),G620&gt;0),E620*[1]Sheet1!$D$8+N620*[1]Sheet1!$E$8,IF(AND(D620="S. californicus",G620&gt;0),E620*[1]Sheet1!$D$9+N620*[1]Sheet1!$E$9,IF(D620="S. maritimus",F620*[1]Sheet1!$C$10+E620*[1]Sheet1!$D$10+G620*[1]Sheet1!$F$10+[1]Sheet1!$L$10,IF(D620="S. americanus",F620*[1]Sheet1!$C$6+E620*[1]Sheet1!$D$6+[1]Sheet1!$L$6,IF(AND(OR(D620="T. domingensis",D620="T. latifolia"),E620&gt;0),F620*[1]Sheet1!$C$4+E620*[1]Sheet1!$D$4+H620*[1]Sheet1!$J$4+I620*[1]Sheet1!$K$4+[1]Sheet1!$L$4,IF(AND(OR(D620="T. domingensis",D620="T. latifolia"),J620&gt;0),J620*[1]Sheet1!$G$5+K620*[1]Sheet1!$H$5+L620*[1]Sheet1!$I$5+[1]Sheet1!$L$5,0)))))))</f>
        <v>26.854295000000008</v>
      </c>
    </row>
    <row r="621" spans="1:15">
      <c r="A621" s="9">
        <v>41766</v>
      </c>
      <c r="B621" s="7" t="s">
        <v>22</v>
      </c>
      <c r="C621">
        <v>44</v>
      </c>
      <c r="D621" s="8" t="s">
        <v>19</v>
      </c>
      <c r="F621">
        <v>2.87</v>
      </c>
      <c r="J621">
        <f>102+130+132+161+198+208+226</f>
        <v>1157</v>
      </c>
      <c r="K621">
        <v>7</v>
      </c>
      <c r="L621">
        <v>226</v>
      </c>
      <c r="N621" t="str">
        <f>IF(OR(D621="S. acutus", D621="S. tabernaemontani", D621="S. californicus"),(1/3)*(3.14159)*((F621/2)^2)*E621,"NA")</f>
        <v>NA</v>
      </c>
      <c r="O621">
        <f>IF(AND(OR(D621="S. acutus",D621="S. californicus",D621="S. tabernaemontani"),G621=0),E621*[1]Sheet1!$D$7+[1]Sheet1!$L$7,IF(AND(OR(D621="S. acutus",D621="S. tabernaemontani"),G621&gt;0),E621*[1]Sheet1!$D$8+N621*[1]Sheet1!$E$8,IF(AND(D621="S. californicus",G621&gt;0),E621*[1]Sheet1!$D$9+N621*[1]Sheet1!$E$9,IF(D621="S. maritimus",F621*[1]Sheet1!$C$10+E621*[1]Sheet1!$D$10+G621*[1]Sheet1!$F$10+[1]Sheet1!$L$10,IF(D621="S. americanus",F621*[1]Sheet1!$C$6+E621*[1]Sheet1!$D$6+[1]Sheet1!$L$6,IF(AND(OR(D621="T. domingensis",D621="T. latifolia"),E621&gt;0),F621*[1]Sheet1!$C$4+E621*[1]Sheet1!$D$4+H621*[1]Sheet1!$J$4+I621*[1]Sheet1!$K$4+[1]Sheet1!$L$4,IF(AND(OR(D621="T. domingensis",D621="T. latifolia"),J621&gt;0),J621*[1]Sheet1!$G$5+K621*[1]Sheet1!$H$5+L621*[1]Sheet1!$I$5+[1]Sheet1!$L$5,0)))))))</f>
        <v>24.273678000000011</v>
      </c>
    </row>
    <row r="622" spans="1:15">
      <c r="A622" s="9">
        <v>41766</v>
      </c>
      <c r="B622" s="7" t="s">
        <v>22</v>
      </c>
      <c r="C622">
        <v>44</v>
      </c>
      <c r="D622" t="s">
        <v>19</v>
      </c>
      <c r="F622">
        <v>2.39</v>
      </c>
      <c r="J622">
        <f>112+135+166+189+222+231</f>
        <v>1055</v>
      </c>
      <c r="K622">
        <v>6</v>
      </c>
      <c r="L622">
        <v>231</v>
      </c>
      <c r="N622" t="str">
        <f>IF(OR(D622="S. acutus", D622="S. tabernaemontani", D622="S. californicus"),(1/3)*(3.14159)*((F622/2)^2)*E622,"NA")</f>
        <v>NA</v>
      </c>
      <c r="O622">
        <f>IF(AND(OR(D622="S. acutus",D622="S. californicus",D622="S. tabernaemontani"),G622=0),E622*[1]Sheet1!$D$7+[1]Sheet1!$L$7,IF(AND(OR(D622="S. acutus",D622="S. tabernaemontani"),G622&gt;0),E622*[1]Sheet1!$D$8+N622*[1]Sheet1!$E$8,IF(AND(D622="S. californicus",G622&gt;0),E622*[1]Sheet1!$D$9+N622*[1]Sheet1!$E$9,IF(D622="S. maritimus",F622*[1]Sheet1!$C$10+E622*[1]Sheet1!$D$10+G622*[1]Sheet1!$F$10+[1]Sheet1!$L$10,IF(D622="S. americanus",F622*[1]Sheet1!$C$6+E622*[1]Sheet1!$D$6+[1]Sheet1!$L$6,IF(AND(OR(D622="T. domingensis",D622="T. latifolia"),E622&gt;0),F622*[1]Sheet1!$C$4+E622*[1]Sheet1!$D$4+H622*[1]Sheet1!$J$4+I622*[1]Sheet1!$K$4+[1]Sheet1!$L$4,IF(AND(OR(D622="T. domingensis",D622="T. latifolia"),J622&gt;0),J622*[1]Sheet1!$G$5+K622*[1]Sheet1!$H$5+L622*[1]Sheet1!$I$5+[1]Sheet1!$L$5,0)))))))</f>
        <v>20.226796000000014</v>
      </c>
    </row>
    <row r="623" spans="1:15">
      <c r="A623" s="9">
        <v>41766</v>
      </c>
      <c r="B623" s="7" t="s">
        <v>22</v>
      </c>
      <c r="C623">
        <v>44</v>
      </c>
      <c r="D623" t="s">
        <v>19</v>
      </c>
      <c r="F623">
        <v>3.19</v>
      </c>
      <c r="J623">
        <f>70+112+147+161+178+184+190</f>
        <v>1042</v>
      </c>
      <c r="K623">
        <v>7</v>
      </c>
      <c r="L623">
        <v>190</v>
      </c>
      <c r="N623" t="str">
        <f>IF(OR(D623="S. acutus", D623="S. tabernaemontani", D623="S. californicus"),(1/3)*(3.14159)*((F623/2)^2)*E623,"NA")</f>
        <v>NA</v>
      </c>
      <c r="O623">
        <f>IF(AND(OR(D623="S. acutus",D623="S. californicus",D623="S. tabernaemontani"),G623=0),E623*[1]Sheet1!$D$7+[1]Sheet1!$L$7,IF(AND(OR(D623="S. acutus",D623="S. tabernaemontani"),G623&gt;0),E623*[1]Sheet1!$D$8+N623*[1]Sheet1!$E$8,IF(AND(D623="S. californicus",G623&gt;0),E623*[1]Sheet1!$D$9+N623*[1]Sheet1!$E$9,IF(D623="S. maritimus",F623*[1]Sheet1!$C$10+E623*[1]Sheet1!$D$10+G623*[1]Sheet1!$F$10+[1]Sheet1!$L$10,IF(D623="S. americanus",F623*[1]Sheet1!$C$6+E623*[1]Sheet1!$D$6+[1]Sheet1!$L$6,IF(AND(OR(D623="T. domingensis",D623="T. latifolia"),E623&gt;0),F623*[1]Sheet1!$C$4+E623*[1]Sheet1!$D$4+H623*[1]Sheet1!$J$4+I623*[1]Sheet1!$K$4+[1]Sheet1!$L$4,IF(AND(OR(D623="T. domingensis",D623="T. latifolia"),J623&gt;0),J623*[1]Sheet1!$G$5+K623*[1]Sheet1!$H$5+L623*[1]Sheet1!$I$5+[1]Sheet1!$L$5,0)))))))</f>
        <v>24.336673000000012</v>
      </c>
    </row>
    <row r="624" spans="1:15">
      <c r="A624" s="9">
        <v>41766</v>
      </c>
      <c r="B624" s="7" t="s">
        <v>22</v>
      </c>
      <c r="C624">
        <v>44</v>
      </c>
      <c r="D624" t="s">
        <v>19</v>
      </c>
      <c r="F624">
        <v>3.91</v>
      </c>
      <c r="J624">
        <f>69+137+176+195+203+207+215+229</f>
        <v>1431</v>
      </c>
      <c r="K624">
        <v>8</v>
      </c>
      <c r="L624">
        <v>229</v>
      </c>
      <c r="N624" t="str">
        <f>IF(OR(D624="S. acutus", D624="S. tabernaemontani", D624="S. californicus"),(1/3)*(3.14159)*((F624/2)^2)*E624,"NA")</f>
        <v>NA</v>
      </c>
      <c r="O624">
        <f>IF(AND(OR(D624="S. acutus",D624="S. californicus",D624="S. tabernaemontani"),G624=0),E624*[1]Sheet1!$D$7+[1]Sheet1!$L$7,IF(AND(OR(D624="S. acutus",D624="S. tabernaemontani"),G624&gt;0),E624*[1]Sheet1!$D$8+N624*[1]Sheet1!$E$8,IF(AND(D624="S. californicus",G624&gt;0),E624*[1]Sheet1!$D$9+N624*[1]Sheet1!$E$9,IF(D624="S. maritimus",F624*[1]Sheet1!$C$10+E624*[1]Sheet1!$D$10+G624*[1]Sheet1!$F$10+[1]Sheet1!$L$10,IF(D624="S. americanus",F624*[1]Sheet1!$C$6+E624*[1]Sheet1!$D$6+[1]Sheet1!$L$6,IF(AND(OR(D624="T. domingensis",D624="T. latifolia"),E624&gt;0),F624*[1]Sheet1!$C$4+E624*[1]Sheet1!$D$4+H624*[1]Sheet1!$J$4+I624*[1]Sheet1!$K$4+[1]Sheet1!$L$4,IF(AND(OR(D624="T. domingensis",D624="T. latifolia"),J624&gt;0),J624*[1]Sheet1!$G$5+K624*[1]Sheet1!$H$5+L624*[1]Sheet1!$I$5+[1]Sheet1!$L$5,0)))))))</f>
        <v>42.036460000000027</v>
      </c>
    </row>
    <row r="625" spans="1:15">
      <c r="A625" s="9">
        <v>41766</v>
      </c>
      <c r="B625" s="7" t="s">
        <v>22</v>
      </c>
      <c r="C625">
        <v>44</v>
      </c>
      <c r="D625" t="s">
        <v>19</v>
      </c>
      <c r="F625">
        <v>1.96</v>
      </c>
      <c r="J625">
        <f>66+88+41+130+153+175</f>
        <v>653</v>
      </c>
      <c r="K625">
        <v>6</v>
      </c>
      <c r="L625">
        <v>175</v>
      </c>
      <c r="N625" t="str">
        <f>IF(OR(D625="S. acutus", D625="S. tabernaemontani", D625="S. californicus"),(1/3)*(3.14159)*((F625/2)^2)*E625,"NA")</f>
        <v>NA</v>
      </c>
      <c r="O625">
        <f>IF(AND(OR(D625="S. acutus",D625="S. californicus",D625="S. tabernaemontani"),G625=0),E625*[1]Sheet1!$D$7+[1]Sheet1!$L$7,IF(AND(OR(D625="S. acutus",D625="S. tabernaemontani"),G625&gt;0),E625*[1]Sheet1!$D$8+N625*[1]Sheet1!$E$8,IF(AND(D625="S. californicus",G625&gt;0),E625*[1]Sheet1!$D$9+N625*[1]Sheet1!$E$9,IF(D625="S. maritimus",F625*[1]Sheet1!$C$10+E625*[1]Sheet1!$D$10+G625*[1]Sheet1!$F$10+[1]Sheet1!$L$10,IF(D625="S. americanus",F625*[1]Sheet1!$C$6+E625*[1]Sheet1!$D$6+[1]Sheet1!$L$6,IF(AND(OR(D625="T. domingensis",D625="T. latifolia"),E625&gt;0),F625*[1]Sheet1!$C$4+E625*[1]Sheet1!$D$4+H625*[1]Sheet1!$J$4+I625*[1]Sheet1!$K$4+[1]Sheet1!$L$4,IF(AND(OR(D625="T. domingensis",D625="T. latifolia"),J625&gt;0),J625*[1]Sheet1!$G$5+K625*[1]Sheet1!$H$5+L625*[1]Sheet1!$I$5+[1]Sheet1!$L$5,0)))))))</f>
        <v>-0.59299399999999736</v>
      </c>
    </row>
    <row r="626" spans="1:15">
      <c r="A626" s="6"/>
    </row>
    <row r="627" spans="1:15">
      <c r="A627" s="6"/>
    </row>
    <row r="628" spans="1:15">
      <c r="A628" s="6"/>
    </row>
    <row r="629" spans="1:15">
      <c r="A629" s="6"/>
    </row>
    <row r="630" spans="1:15">
      <c r="A630" s="6"/>
    </row>
    <row r="631" spans="1:15">
      <c r="A631" s="6"/>
    </row>
    <row r="632" spans="1:15">
      <c r="A632" s="6"/>
    </row>
    <row r="633" spans="1:15">
      <c r="A633" s="6"/>
    </row>
    <row r="634" spans="1:15">
      <c r="A634" s="6"/>
    </row>
    <row r="635" spans="1:15">
      <c r="A635" s="6"/>
    </row>
    <row r="636" spans="1:15">
      <c r="A636" s="6"/>
    </row>
    <row r="637" spans="1:15">
      <c r="A637" s="6"/>
    </row>
    <row r="638" spans="1:15">
      <c r="A638" s="6"/>
    </row>
    <row r="639" spans="1:15">
      <c r="A639" s="6"/>
    </row>
    <row r="640" spans="1:15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</sheetData>
  <sortState ref="A4:O625">
    <sortCondition ref="B4:B625"/>
    <sortCondition ref="C4:C625"/>
    <sortCondition ref="D4:D625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S52" sqref="S52"/>
    </sheetView>
  </sheetViews>
  <sheetFormatPr baseColWidth="10" defaultRowHeight="15" x14ac:dyDescent="0"/>
  <sheetData>
    <row r="1" spans="1:34" ht="20" thickBot="1">
      <c r="A1" s="41" t="s">
        <v>34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11"/>
      <c r="AA1" s="11"/>
    </row>
    <row r="2" spans="1:34" ht="99" thickTop="1">
      <c r="A2" s="12" t="s">
        <v>35</v>
      </c>
      <c r="B2" s="12" t="s">
        <v>4</v>
      </c>
      <c r="C2" s="4" t="s">
        <v>36</v>
      </c>
      <c r="D2" s="13" t="s">
        <v>37</v>
      </c>
      <c r="E2" s="12" t="s">
        <v>38</v>
      </c>
      <c r="F2" s="4" t="s">
        <v>39</v>
      </c>
      <c r="G2" s="4" t="s">
        <v>37</v>
      </c>
      <c r="H2" s="12" t="s">
        <v>40</v>
      </c>
      <c r="I2" s="4" t="s">
        <v>41</v>
      </c>
      <c r="J2" s="4" t="s">
        <v>37</v>
      </c>
      <c r="K2" s="12" t="s">
        <v>42</v>
      </c>
      <c r="L2" s="4" t="s">
        <v>43</v>
      </c>
      <c r="M2" s="14" t="s">
        <v>37</v>
      </c>
      <c r="N2" s="12" t="s">
        <v>44</v>
      </c>
      <c r="O2" s="4" t="s">
        <v>45</v>
      </c>
      <c r="P2" s="4" t="s">
        <v>37</v>
      </c>
      <c r="Q2" s="12" t="s">
        <v>46</v>
      </c>
      <c r="R2" s="4" t="s">
        <v>47</v>
      </c>
      <c r="S2" s="14" t="s">
        <v>37</v>
      </c>
      <c r="T2" s="12" t="s">
        <v>48</v>
      </c>
      <c r="U2" s="4" t="s">
        <v>49</v>
      </c>
      <c r="V2" s="4" t="s">
        <v>37</v>
      </c>
      <c r="W2" s="12" t="s">
        <v>50</v>
      </c>
      <c r="X2" s="12" t="s">
        <v>51</v>
      </c>
      <c r="Y2" s="12" t="s">
        <v>52</v>
      </c>
      <c r="Z2" s="12" t="s">
        <v>53</v>
      </c>
      <c r="AA2" s="12" t="s">
        <v>54</v>
      </c>
      <c r="AB2" s="12" t="s">
        <v>55</v>
      </c>
      <c r="AC2" s="12" t="s">
        <v>56</v>
      </c>
      <c r="AD2" s="12" t="s">
        <v>57</v>
      </c>
      <c r="AE2" s="12" t="s">
        <v>58</v>
      </c>
      <c r="AF2" s="15" t="s">
        <v>59</v>
      </c>
      <c r="AG2" s="15" t="s">
        <v>60</v>
      </c>
      <c r="AH2" s="15" t="s">
        <v>61</v>
      </c>
    </row>
    <row r="3" spans="1:34">
      <c r="A3" s="16" t="s">
        <v>28</v>
      </c>
      <c r="B3" s="17">
        <f>'Plant Measurments'!C4</f>
        <v>1</v>
      </c>
      <c r="C3" s="18">
        <f>('Plant Measurments'!O4)</f>
        <v>-3.3771999999999913E-2</v>
      </c>
      <c r="D3" s="19"/>
      <c r="E3" s="17">
        <f>C3*4</f>
        <v>-0.13508799999999965</v>
      </c>
      <c r="F3" s="18"/>
      <c r="G3" s="20"/>
      <c r="H3" s="17">
        <f>F3*4</f>
        <v>0</v>
      </c>
      <c r="I3" s="18"/>
      <c r="J3" s="20"/>
      <c r="K3" s="17">
        <f>I3*4</f>
        <v>0</v>
      </c>
      <c r="L3" s="18"/>
      <c r="M3" s="20"/>
      <c r="N3" s="17">
        <f>L3*4</f>
        <v>0</v>
      </c>
      <c r="O3" s="18"/>
      <c r="P3" s="20"/>
      <c r="Q3" s="17">
        <f>O3*4</f>
        <v>0</v>
      </c>
      <c r="R3" s="18">
        <f>SUM('Plant Measurments'!O6:O40)</f>
        <v>636.1546840000002</v>
      </c>
      <c r="S3" s="20"/>
      <c r="T3" s="17">
        <f>R3*4</f>
        <v>2544.6187360000008</v>
      </c>
      <c r="U3" s="18">
        <f>SUM('Plant Measurments'!O5)</f>
        <v>19.787201000000003</v>
      </c>
      <c r="V3" s="20"/>
      <c r="W3" s="17">
        <f>U3*4</f>
        <v>79.148804000000013</v>
      </c>
      <c r="X3" s="17">
        <f>SUM(W3,T3,Q3,N3,K3,H3,E3)</f>
        <v>2623.6324520000007</v>
      </c>
      <c r="Y3" s="21">
        <f>AVERAGE(X3:X7)</f>
        <v>2217.5469012480003</v>
      </c>
      <c r="Z3" s="22">
        <f>E3+Q3</f>
        <v>-0.13508799999999965</v>
      </c>
      <c r="AA3" s="22">
        <f>W3+T3</f>
        <v>2623.7675400000007</v>
      </c>
      <c r="AB3">
        <f>IF(X3&gt;0,(Q3+E3)/X3," ")</f>
        <v>-5.1488919454789397E-5</v>
      </c>
      <c r="AC3">
        <f>IF(X3&gt;0,H3/X3," ")</f>
        <v>0</v>
      </c>
      <c r="AD3">
        <f>IF(X3&gt;0,K3/X3," ")</f>
        <v>0</v>
      </c>
      <c r="AE3">
        <f>IF(X3&gt;0,(W3+T3)/X3," ")</f>
        <v>1.0000514889194547</v>
      </c>
      <c r="AF3">
        <f>210336.2801/10</f>
        <v>21033.62801</v>
      </c>
      <c r="AG3">
        <f>AF3/5</f>
        <v>4206.7256020000004</v>
      </c>
      <c r="AH3">
        <f>(AG3*X3)/1000</f>
        <v>11036.90180606644</v>
      </c>
    </row>
    <row r="4" spans="1:34">
      <c r="A4" s="23" t="s">
        <v>28</v>
      </c>
      <c r="B4" s="24">
        <f>'Plant Measurments'!C41</f>
        <v>5</v>
      </c>
      <c r="C4" s="25">
        <f>SUM('Plant Measurments'!O41:O49)</f>
        <v>15.960411999999998</v>
      </c>
      <c r="D4" s="26"/>
      <c r="E4" s="17">
        <f t="shared" ref="E4:E52" si="0">C4*4</f>
        <v>63.841647999999992</v>
      </c>
      <c r="F4" s="25"/>
      <c r="G4" s="27"/>
      <c r="H4" s="17">
        <f t="shared" ref="H4:H7" si="1">F4*4</f>
        <v>0</v>
      </c>
      <c r="I4" s="25"/>
      <c r="J4" s="27"/>
      <c r="K4" s="17">
        <f t="shared" ref="K4:K52" si="2">I4*4</f>
        <v>0</v>
      </c>
      <c r="L4" s="25"/>
      <c r="M4" s="27"/>
      <c r="N4" s="17">
        <f t="shared" ref="N4:N52" si="3">L4*4</f>
        <v>0</v>
      </c>
      <c r="O4" s="25"/>
      <c r="P4" s="27"/>
      <c r="Q4" s="17">
        <f t="shared" ref="Q4:Q52" si="4">O4*4</f>
        <v>0</v>
      </c>
      <c r="R4" s="25">
        <f>SUM('Plant Measurments'!O50:O58)</f>
        <v>469.53176500000012</v>
      </c>
      <c r="S4" s="27"/>
      <c r="T4" s="17">
        <f t="shared" ref="T4:T52" si="5">R4*4</f>
        <v>1878.1270600000005</v>
      </c>
      <c r="U4" s="25"/>
      <c r="V4" s="27"/>
      <c r="W4" s="17">
        <f t="shared" ref="W4:W52" si="6">U4*4</f>
        <v>0</v>
      </c>
      <c r="X4" s="24">
        <f t="shared" ref="X4:X52" si="7">SUM(W4,T4,Q4,N4,K4,H4,E4)</f>
        <v>1941.9687080000006</v>
      </c>
      <c r="Y4" s="28"/>
      <c r="Z4" s="22">
        <f t="shared" ref="Z4:Z52" si="8">E4+Q4</f>
        <v>63.841647999999992</v>
      </c>
      <c r="AA4" s="22">
        <f t="shared" ref="AA4:AA52" si="9">W4+T4</f>
        <v>1878.1270600000005</v>
      </c>
      <c r="AB4">
        <f t="shared" ref="AB4:AB52" si="10">IF(X4&gt;0,(Q4+E4)/X4," ")</f>
        <v>3.2874704796736598E-2</v>
      </c>
      <c r="AC4">
        <f t="shared" ref="AC4:AC52" si="11">IF(X4&gt;0,H4/X4," ")</f>
        <v>0</v>
      </c>
      <c r="AD4">
        <f t="shared" ref="AD4:AD52" si="12">IF(X4&gt;0,K4/X4," ")</f>
        <v>0</v>
      </c>
      <c r="AE4">
        <f t="shared" ref="AE4:AE52" si="13">IF(X4&gt;0,(W4+T4)/X4," ")</f>
        <v>0.9671252952032634</v>
      </c>
      <c r="AF4">
        <f t="shared" ref="AF4:AF52" si="14">210336.2801/10</f>
        <v>21033.62801</v>
      </c>
      <c r="AG4">
        <f t="shared" ref="AG4:AG52" si="15">AF4/5</f>
        <v>4206.7256020000004</v>
      </c>
      <c r="AH4">
        <f t="shared" ref="AH4:AH52" si="16">(AG4*X4)/1000</f>
        <v>8169.3294822264661</v>
      </c>
    </row>
    <row r="5" spans="1:34">
      <c r="A5" s="23" t="s">
        <v>28</v>
      </c>
      <c r="B5" s="24">
        <f>'Plant Measurments'!C59</f>
        <v>40</v>
      </c>
      <c r="C5" s="25"/>
      <c r="D5" s="26"/>
      <c r="E5" s="17">
        <f t="shared" si="0"/>
        <v>0</v>
      </c>
      <c r="F5" s="25"/>
      <c r="G5" s="27"/>
      <c r="H5" s="17">
        <f t="shared" si="1"/>
        <v>0</v>
      </c>
      <c r="I5" s="25"/>
      <c r="J5" s="27"/>
      <c r="K5" s="17">
        <f t="shared" si="2"/>
        <v>0</v>
      </c>
      <c r="L5" s="25"/>
      <c r="M5" s="27"/>
      <c r="N5" s="17">
        <f t="shared" si="3"/>
        <v>0</v>
      </c>
      <c r="O5" s="25"/>
      <c r="P5" s="27"/>
      <c r="Q5" s="17">
        <f t="shared" si="4"/>
        <v>0</v>
      </c>
      <c r="R5" s="25">
        <f>SUM('Plant Measurments'!O63:O77)</f>
        <v>419.08851400000003</v>
      </c>
      <c r="S5" s="27"/>
      <c r="T5" s="17">
        <f t="shared" si="5"/>
        <v>1676.3540560000001</v>
      </c>
      <c r="U5" s="25">
        <f>SUM('Plant Measurments'!O59:O62)</f>
        <v>125.11825500000003</v>
      </c>
      <c r="V5" s="27"/>
      <c r="W5" s="17">
        <f t="shared" si="6"/>
        <v>500.47302000000013</v>
      </c>
      <c r="X5" s="24">
        <f t="shared" si="7"/>
        <v>2176.8270760000005</v>
      </c>
      <c r="Y5" s="28"/>
      <c r="Z5" s="22">
        <f t="shared" si="8"/>
        <v>0</v>
      </c>
      <c r="AA5" s="22">
        <f t="shared" si="9"/>
        <v>2176.8270760000005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>
        <f t="shared" si="14"/>
        <v>21033.62801</v>
      </c>
      <c r="AG5">
        <f t="shared" si="15"/>
        <v>4206.7256020000004</v>
      </c>
      <c r="AH5">
        <f t="shared" si="16"/>
        <v>9157.3141917360026</v>
      </c>
    </row>
    <row r="6" spans="1:34">
      <c r="A6" s="23" t="s">
        <v>28</v>
      </c>
      <c r="B6" s="24">
        <f>'Plant Measurments'!C78</f>
        <v>45</v>
      </c>
      <c r="C6" s="25"/>
      <c r="D6" s="26"/>
      <c r="E6" s="17">
        <f t="shared" si="0"/>
        <v>0</v>
      </c>
      <c r="F6" s="25"/>
      <c r="G6" s="27"/>
      <c r="H6" s="17">
        <f t="shared" si="1"/>
        <v>0</v>
      </c>
      <c r="I6" s="25"/>
      <c r="J6" s="27"/>
      <c r="K6" s="17">
        <f t="shared" si="2"/>
        <v>0</v>
      </c>
      <c r="L6" s="25"/>
      <c r="M6" s="27"/>
      <c r="N6" s="17">
        <f t="shared" si="3"/>
        <v>0</v>
      </c>
      <c r="O6" s="25"/>
      <c r="P6" s="27"/>
      <c r="Q6" s="17">
        <f t="shared" si="4"/>
        <v>0</v>
      </c>
      <c r="R6" s="25">
        <f>SUM('Plant Measurments'!O80:O92)</f>
        <v>201.60193500000005</v>
      </c>
      <c r="S6" s="27"/>
      <c r="T6" s="17">
        <f t="shared" si="5"/>
        <v>806.40774000000022</v>
      </c>
      <c r="U6" s="25">
        <f>SUM('Plant Measurments'!O78:O79)</f>
        <v>26.656297000000009</v>
      </c>
      <c r="V6" s="27"/>
      <c r="W6" s="17">
        <f t="shared" si="6"/>
        <v>106.62518800000004</v>
      </c>
      <c r="X6" s="24">
        <f t="shared" si="7"/>
        <v>913.03292800000031</v>
      </c>
      <c r="Y6" s="28"/>
      <c r="Z6" s="22">
        <f t="shared" si="8"/>
        <v>0</v>
      </c>
      <c r="AA6" s="22">
        <f t="shared" si="9"/>
        <v>913.03292800000031</v>
      </c>
      <c r="AB6">
        <f t="shared" si="10"/>
        <v>0</v>
      </c>
      <c r="AC6">
        <f t="shared" si="11"/>
        <v>0</v>
      </c>
      <c r="AD6">
        <f t="shared" si="12"/>
        <v>0</v>
      </c>
      <c r="AE6">
        <f t="shared" si="13"/>
        <v>1</v>
      </c>
      <c r="AF6">
        <f t="shared" si="14"/>
        <v>21033.62801</v>
      </c>
      <c r="AG6">
        <f>AF6/5</f>
        <v>4206.7256020000004</v>
      </c>
      <c r="AH6">
        <f t="shared" si="16"/>
        <v>3840.8789936866242</v>
      </c>
    </row>
    <row r="7" spans="1:34">
      <c r="A7" s="29" t="s">
        <v>28</v>
      </c>
      <c r="B7" s="30">
        <f>'Plant Measurments'!C93</f>
        <v>52</v>
      </c>
      <c r="C7" s="31"/>
      <c r="D7" s="32"/>
      <c r="E7" s="17">
        <f t="shared" si="0"/>
        <v>0</v>
      </c>
      <c r="F7" s="31"/>
      <c r="G7" s="33"/>
      <c r="H7" s="17">
        <f t="shared" si="1"/>
        <v>0</v>
      </c>
      <c r="I7" s="31"/>
      <c r="J7" s="33"/>
      <c r="K7" s="17">
        <f t="shared" si="2"/>
        <v>0</v>
      </c>
      <c r="L7" s="31"/>
      <c r="M7" s="33"/>
      <c r="N7" s="17">
        <f t="shared" si="3"/>
        <v>0</v>
      </c>
      <c r="O7" s="31"/>
      <c r="P7" s="33"/>
      <c r="Q7" s="17">
        <f t="shared" si="4"/>
        <v>0</v>
      </c>
      <c r="R7" s="31">
        <f>SUM('Plant Measurments'!O103:O105)</f>
        <v>300.82093356000001</v>
      </c>
      <c r="S7" s="33"/>
      <c r="T7" s="17">
        <f t="shared" si="5"/>
        <v>1203.2837342400001</v>
      </c>
      <c r="U7" s="31">
        <f>SUM('Plant Measurments'!O93:O102)</f>
        <v>557.24740200000019</v>
      </c>
      <c r="V7" s="33"/>
      <c r="W7" s="17">
        <f t="shared" si="6"/>
        <v>2228.9896080000008</v>
      </c>
      <c r="X7" s="30">
        <f t="shared" si="7"/>
        <v>3432.2733422400006</v>
      </c>
      <c r="Y7" s="34"/>
      <c r="Z7" s="22">
        <f t="shared" si="8"/>
        <v>0</v>
      </c>
      <c r="AA7" s="22">
        <f t="shared" si="9"/>
        <v>3432.2733422400006</v>
      </c>
      <c r="AB7">
        <f t="shared" si="10"/>
        <v>0</v>
      </c>
      <c r="AC7">
        <f t="shared" si="11"/>
        <v>0</v>
      </c>
      <c r="AD7">
        <f t="shared" si="12"/>
        <v>0</v>
      </c>
      <c r="AE7">
        <f t="shared" si="13"/>
        <v>1</v>
      </c>
      <c r="AF7">
        <f t="shared" si="14"/>
        <v>21033.62801</v>
      </c>
      <c r="AG7">
        <f t="shared" si="15"/>
        <v>4206.7256020000004</v>
      </c>
      <c r="AH7">
        <f t="shared" si="16"/>
        <v>14438.632141863121</v>
      </c>
    </row>
    <row r="8" spans="1:34">
      <c r="A8" s="16" t="s">
        <v>31</v>
      </c>
      <c r="B8" s="17">
        <f>'Plant Measurments'!C106</f>
        <v>1</v>
      </c>
      <c r="C8" s="18">
        <f>SUM('Plant Measurments'!O106:O112)</f>
        <v>59.243405461853229</v>
      </c>
      <c r="D8" s="19"/>
      <c r="E8" s="17">
        <f t="shared" si="0"/>
        <v>236.97362184741291</v>
      </c>
      <c r="F8" s="18"/>
      <c r="G8" s="20"/>
      <c r="H8" s="17"/>
      <c r="I8" s="18"/>
      <c r="J8" s="20"/>
      <c r="K8" s="17">
        <f t="shared" si="2"/>
        <v>0</v>
      </c>
      <c r="L8" s="18"/>
      <c r="M8" s="20"/>
      <c r="N8" s="17">
        <f t="shared" si="3"/>
        <v>0</v>
      </c>
      <c r="O8" s="18"/>
      <c r="P8" s="20"/>
      <c r="Q8" s="17">
        <f t="shared" si="4"/>
        <v>0</v>
      </c>
      <c r="R8" s="18">
        <f>SUM('Plant Measurments'!O113:O129)</f>
        <v>84.001747999999992</v>
      </c>
      <c r="S8" s="20"/>
      <c r="T8" s="17">
        <f t="shared" si="5"/>
        <v>336.00699199999997</v>
      </c>
      <c r="U8" s="18"/>
      <c r="V8" s="20"/>
      <c r="W8" s="17">
        <f t="shared" si="6"/>
        <v>0</v>
      </c>
      <c r="X8" s="17">
        <f t="shared" si="7"/>
        <v>572.98061384741288</v>
      </c>
      <c r="Y8" s="21">
        <f>AVERAGE(X8:X12)</f>
        <v>689.56972836948285</v>
      </c>
      <c r="Z8" s="22">
        <f t="shared" si="8"/>
        <v>236.97362184741291</v>
      </c>
      <c r="AA8" s="22">
        <f t="shared" si="9"/>
        <v>336.00699199999997</v>
      </c>
      <c r="AB8">
        <f t="shared" si="10"/>
        <v>0.41358052283165025</v>
      </c>
      <c r="AC8">
        <f t="shared" si="11"/>
        <v>0</v>
      </c>
      <c r="AD8">
        <f t="shared" si="12"/>
        <v>0</v>
      </c>
      <c r="AE8">
        <f t="shared" si="13"/>
        <v>0.58641947716834975</v>
      </c>
      <c r="AF8">
        <f t="shared" si="14"/>
        <v>21033.62801</v>
      </c>
      <c r="AG8">
        <f t="shared" si="15"/>
        <v>4206.7256020000004</v>
      </c>
      <c r="AH8">
        <f t="shared" si="16"/>
        <v>2410.3722177215882</v>
      </c>
    </row>
    <row r="9" spans="1:34">
      <c r="A9" s="23" t="s">
        <v>31</v>
      </c>
      <c r="B9" s="24">
        <f>'Plant Measurments'!C130</f>
        <v>30</v>
      </c>
      <c r="C9" s="25"/>
      <c r="D9" s="26"/>
      <c r="E9" s="17">
        <f t="shared" si="0"/>
        <v>0</v>
      </c>
      <c r="F9" s="25"/>
      <c r="G9" s="27"/>
      <c r="H9" s="24">
        <f>F9*4</f>
        <v>0</v>
      </c>
      <c r="I9" s="25"/>
      <c r="J9" s="27"/>
      <c r="K9" s="17">
        <f t="shared" si="2"/>
        <v>0</v>
      </c>
      <c r="L9" s="25"/>
      <c r="M9" s="27"/>
      <c r="N9" s="17">
        <f t="shared" si="3"/>
        <v>0</v>
      </c>
      <c r="O9" s="25"/>
      <c r="P9" s="27"/>
      <c r="Q9" s="17">
        <f t="shared" si="4"/>
        <v>0</v>
      </c>
      <c r="R9" s="25">
        <f>SUM('Plant Measurments'!O130:O132)</f>
        <v>39.92668700000003</v>
      </c>
      <c r="S9" s="27"/>
      <c r="T9" s="17">
        <f t="shared" si="5"/>
        <v>159.70674800000012</v>
      </c>
      <c r="U9" s="25"/>
      <c r="V9" s="27"/>
      <c r="W9" s="17">
        <f t="shared" si="6"/>
        <v>0</v>
      </c>
      <c r="X9" s="24">
        <f>SUM(W9,T9,Q9,N9,K9,H9,E9)</f>
        <v>159.70674800000012</v>
      </c>
      <c r="Y9" s="28"/>
      <c r="Z9" s="22">
        <f t="shared" si="8"/>
        <v>0</v>
      </c>
      <c r="AA9" s="22">
        <f t="shared" si="9"/>
        <v>159.70674800000012</v>
      </c>
      <c r="AB9">
        <f t="shared" si="10"/>
        <v>0</v>
      </c>
      <c r="AC9">
        <f t="shared" si="11"/>
        <v>0</v>
      </c>
      <c r="AD9">
        <f t="shared" si="12"/>
        <v>0</v>
      </c>
      <c r="AE9">
        <f t="shared" si="13"/>
        <v>1</v>
      </c>
      <c r="AF9">
        <f t="shared" si="14"/>
        <v>21033.62801</v>
      </c>
      <c r="AG9">
        <f t="shared" si="15"/>
        <v>4206.7256020000004</v>
      </c>
      <c r="AH9">
        <f t="shared" si="16"/>
        <v>671.84246562376279</v>
      </c>
    </row>
    <row r="10" spans="1:34">
      <c r="A10" s="23" t="s">
        <v>31</v>
      </c>
      <c r="B10" s="24">
        <f>'Plant Measurments'!C133</f>
        <v>41</v>
      </c>
      <c r="C10" s="25"/>
      <c r="D10" s="26"/>
      <c r="E10" s="17">
        <f t="shared" si="0"/>
        <v>0</v>
      </c>
      <c r="F10" s="25"/>
      <c r="G10" s="27"/>
      <c r="H10" s="24">
        <f t="shared" ref="H10:H42" si="17">F10*4</f>
        <v>0</v>
      </c>
      <c r="I10" s="25"/>
      <c r="J10" s="27"/>
      <c r="K10" s="17">
        <f t="shared" si="2"/>
        <v>0</v>
      </c>
      <c r="L10" s="25"/>
      <c r="M10" s="27"/>
      <c r="N10" s="17">
        <f t="shared" si="3"/>
        <v>0</v>
      </c>
      <c r="O10" s="25"/>
      <c r="P10" s="27"/>
      <c r="Q10" s="17">
        <f t="shared" si="4"/>
        <v>0</v>
      </c>
      <c r="R10" s="25">
        <f>SUM('Plant Measurments'!O133:O140)</f>
        <v>182.15026800000007</v>
      </c>
      <c r="S10" s="27"/>
      <c r="T10" s="17">
        <f t="shared" si="5"/>
        <v>728.60107200000027</v>
      </c>
      <c r="U10" s="25"/>
      <c r="V10" s="27"/>
      <c r="W10" s="17">
        <f t="shared" si="6"/>
        <v>0</v>
      </c>
      <c r="X10" s="24">
        <f t="shared" si="7"/>
        <v>728.60107200000027</v>
      </c>
      <c r="Y10" s="28"/>
      <c r="Z10" s="22">
        <f t="shared" si="8"/>
        <v>0</v>
      </c>
      <c r="AA10" s="22">
        <f t="shared" si="9"/>
        <v>728.60107200000027</v>
      </c>
      <c r="AB10">
        <f t="shared" si="10"/>
        <v>0</v>
      </c>
      <c r="AC10">
        <f t="shared" si="11"/>
        <v>0</v>
      </c>
      <c r="AD10">
        <f t="shared" si="12"/>
        <v>0</v>
      </c>
      <c r="AE10">
        <f t="shared" si="13"/>
        <v>1</v>
      </c>
      <c r="AF10">
        <f t="shared" si="14"/>
        <v>21033.62801</v>
      </c>
      <c r="AG10">
        <f t="shared" si="15"/>
        <v>4206.7256020000004</v>
      </c>
      <c r="AH10">
        <f t="shared" si="16"/>
        <v>3065.024783227047</v>
      </c>
    </row>
    <row r="11" spans="1:34">
      <c r="A11" s="23" t="s">
        <v>31</v>
      </c>
      <c r="B11" s="24">
        <f>'Plant Measurments'!C141</f>
        <v>42</v>
      </c>
      <c r="C11" s="25"/>
      <c r="D11" s="26"/>
      <c r="E11" s="17">
        <f t="shared" si="0"/>
        <v>0</v>
      </c>
      <c r="F11" s="25"/>
      <c r="G11" s="27"/>
      <c r="H11" s="24">
        <f t="shared" si="17"/>
        <v>0</v>
      </c>
      <c r="I11" s="25"/>
      <c r="J11" s="27"/>
      <c r="K11" s="17">
        <f t="shared" si="2"/>
        <v>0</v>
      </c>
      <c r="L11" s="25"/>
      <c r="M11" s="27"/>
      <c r="N11" s="17">
        <f t="shared" si="3"/>
        <v>0</v>
      </c>
      <c r="O11" s="25"/>
      <c r="P11" s="27"/>
      <c r="Q11" s="17">
        <f t="shared" si="4"/>
        <v>0</v>
      </c>
      <c r="R11" s="25">
        <f>SUM('Plant Measurments'!O141:O150)</f>
        <v>327.95868000000007</v>
      </c>
      <c r="S11" s="27"/>
      <c r="T11" s="17">
        <f t="shared" si="5"/>
        <v>1311.8347200000003</v>
      </c>
      <c r="U11" s="25"/>
      <c r="V11" s="27"/>
      <c r="W11" s="17">
        <f t="shared" si="6"/>
        <v>0</v>
      </c>
      <c r="X11" s="24">
        <f t="shared" si="7"/>
        <v>1311.8347200000003</v>
      </c>
      <c r="Y11" s="28"/>
      <c r="Z11" s="22">
        <f t="shared" si="8"/>
        <v>0</v>
      </c>
      <c r="AA11" s="22">
        <f t="shared" si="9"/>
        <v>1311.8347200000003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1</v>
      </c>
      <c r="AF11">
        <f t="shared" si="14"/>
        <v>21033.62801</v>
      </c>
      <c r="AG11">
        <f t="shared" si="15"/>
        <v>4206.7256020000004</v>
      </c>
      <c r="AH11">
        <f t="shared" si="16"/>
        <v>5518.528702216503</v>
      </c>
    </row>
    <row r="12" spans="1:34">
      <c r="A12" s="29" t="s">
        <v>31</v>
      </c>
      <c r="B12" s="30">
        <f>'Plant Measurments'!C151</f>
        <v>46</v>
      </c>
      <c r="C12" s="31"/>
      <c r="D12" s="32"/>
      <c r="E12" s="17">
        <f t="shared" si="0"/>
        <v>0</v>
      </c>
      <c r="F12" s="31"/>
      <c r="G12" s="33"/>
      <c r="H12" s="24">
        <f t="shared" si="17"/>
        <v>0</v>
      </c>
      <c r="I12" s="31"/>
      <c r="J12" s="33"/>
      <c r="K12" s="17">
        <f t="shared" si="2"/>
        <v>0</v>
      </c>
      <c r="L12" s="31"/>
      <c r="M12" s="33"/>
      <c r="N12" s="17">
        <f t="shared" si="3"/>
        <v>0</v>
      </c>
      <c r="O12" s="31"/>
      <c r="P12" s="33"/>
      <c r="Q12" s="17">
        <f t="shared" si="4"/>
        <v>0</v>
      </c>
      <c r="R12" s="31">
        <f>SUM('Plant Measurments'!O151:O157)</f>
        <v>168.6813720000001</v>
      </c>
      <c r="S12" s="33"/>
      <c r="T12" s="17">
        <f t="shared" si="5"/>
        <v>674.72548800000038</v>
      </c>
      <c r="U12" s="31"/>
      <c r="V12" s="33"/>
      <c r="W12" s="17">
        <f t="shared" si="6"/>
        <v>0</v>
      </c>
      <c r="X12" s="30">
        <f t="shared" si="7"/>
        <v>674.72548800000038</v>
      </c>
      <c r="Y12" s="34"/>
      <c r="Z12" s="22">
        <f t="shared" si="8"/>
        <v>0</v>
      </c>
      <c r="AA12" s="22">
        <f t="shared" si="9"/>
        <v>674.72548800000038</v>
      </c>
      <c r="AB12">
        <f t="shared" si="10"/>
        <v>0</v>
      </c>
      <c r="AC12">
        <f t="shared" si="11"/>
        <v>0</v>
      </c>
      <c r="AD12">
        <f t="shared" si="12"/>
        <v>0</v>
      </c>
      <c r="AE12">
        <f t="shared" si="13"/>
        <v>1</v>
      </c>
      <c r="AF12">
        <f t="shared" si="14"/>
        <v>21033.62801</v>
      </c>
      <c r="AG12">
        <f t="shared" si="15"/>
        <v>4206.7256020000004</v>
      </c>
      <c r="AH12">
        <f t="shared" si="16"/>
        <v>2838.3849846915459</v>
      </c>
    </row>
    <row r="13" spans="1:34">
      <c r="A13" s="35" t="s">
        <v>21</v>
      </c>
      <c r="B13" s="36">
        <f>'Plant Measurments'!C158</f>
        <v>4</v>
      </c>
      <c r="C13" s="18"/>
      <c r="D13" s="19"/>
      <c r="E13" s="17">
        <f t="shared" si="0"/>
        <v>0</v>
      </c>
      <c r="F13" s="18"/>
      <c r="G13" s="20"/>
      <c r="H13" s="24">
        <f t="shared" si="17"/>
        <v>0</v>
      </c>
      <c r="I13" s="18"/>
      <c r="J13" s="20"/>
      <c r="K13" s="17">
        <f t="shared" si="2"/>
        <v>0</v>
      </c>
      <c r="L13" s="18"/>
      <c r="M13" s="20"/>
      <c r="N13" s="17">
        <f t="shared" si="3"/>
        <v>0</v>
      </c>
      <c r="O13" s="18"/>
      <c r="P13" s="20"/>
      <c r="Q13" s="17">
        <f t="shared" si="4"/>
        <v>0</v>
      </c>
      <c r="R13" s="18">
        <f>SUM('Plant Measurments'!O158)</f>
        <v>26.229027000000016</v>
      </c>
      <c r="S13" s="20"/>
      <c r="T13" s="17">
        <f t="shared" si="5"/>
        <v>104.91610800000007</v>
      </c>
      <c r="U13" s="18"/>
      <c r="V13" s="20"/>
      <c r="W13" s="17">
        <f t="shared" si="6"/>
        <v>0</v>
      </c>
      <c r="X13" s="17">
        <f t="shared" si="7"/>
        <v>104.91610800000007</v>
      </c>
      <c r="Y13" s="21">
        <f>AVERAGE(X13:X17)</f>
        <v>214.26996080000004</v>
      </c>
      <c r="Z13" s="22">
        <f t="shared" si="8"/>
        <v>0</v>
      </c>
      <c r="AA13" s="22">
        <f t="shared" si="9"/>
        <v>104.91610800000007</v>
      </c>
      <c r="AB13">
        <f t="shared" si="10"/>
        <v>0</v>
      </c>
      <c r="AC13">
        <f t="shared" si="11"/>
        <v>0</v>
      </c>
      <c r="AD13">
        <f t="shared" si="12"/>
        <v>0</v>
      </c>
      <c r="AE13">
        <f t="shared" si="13"/>
        <v>1</v>
      </c>
      <c r="AF13">
        <f t="shared" si="14"/>
        <v>21033.62801</v>
      </c>
      <c r="AG13">
        <f t="shared" si="15"/>
        <v>4206.7256020000004</v>
      </c>
      <c r="AH13">
        <f t="shared" si="16"/>
        <v>441.35327758579734</v>
      </c>
    </row>
    <row r="14" spans="1:34">
      <c r="A14" s="23" t="s">
        <v>21</v>
      </c>
      <c r="B14" s="24">
        <f>'Plant Measurments'!C159</f>
        <v>6</v>
      </c>
      <c r="C14" s="25"/>
      <c r="D14" s="26"/>
      <c r="E14" s="17">
        <f t="shared" si="0"/>
        <v>0</v>
      </c>
      <c r="F14" s="25"/>
      <c r="G14" s="27"/>
      <c r="H14" s="24">
        <f t="shared" si="17"/>
        <v>0</v>
      </c>
      <c r="I14" s="25">
        <f>SUM('Plant Measurments'!O159:O163)</f>
        <v>16.65634</v>
      </c>
      <c r="J14" s="27"/>
      <c r="K14" s="17">
        <f t="shared" si="2"/>
        <v>66.625360000000001</v>
      </c>
      <c r="L14" s="25"/>
      <c r="M14" s="27"/>
      <c r="N14" s="17">
        <f t="shared" si="3"/>
        <v>0</v>
      </c>
      <c r="O14" s="25"/>
      <c r="P14" s="27"/>
      <c r="Q14" s="17">
        <f t="shared" si="4"/>
        <v>0</v>
      </c>
      <c r="R14" s="25"/>
      <c r="S14" s="27"/>
      <c r="T14" s="17">
        <f t="shared" si="5"/>
        <v>0</v>
      </c>
      <c r="U14" s="25"/>
      <c r="V14" s="27"/>
      <c r="W14" s="17">
        <f t="shared" si="6"/>
        <v>0</v>
      </c>
      <c r="X14" s="24">
        <f t="shared" si="7"/>
        <v>66.625360000000001</v>
      </c>
      <c r="Y14" s="28"/>
      <c r="Z14" s="22">
        <f t="shared" si="8"/>
        <v>0</v>
      </c>
      <c r="AA14" s="22">
        <f t="shared" si="9"/>
        <v>0</v>
      </c>
      <c r="AB14">
        <f t="shared" si="10"/>
        <v>0</v>
      </c>
      <c r="AC14">
        <f t="shared" si="11"/>
        <v>0</v>
      </c>
      <c r="AD14">
        <f t="shared" si="12"/>
        <v>1</v>
      </c>
      <c r="AE14">
        <f t="shared" si="13"/>
        <v>0</v>
      </c>
      <c r="AF14">
        <f t="shared" si="14"/>
        <v>21033.62801</v>
      </c>
      <c r="AG14">
        <f t="shared" si="15"/>
        <v>4206.7256020000004</v>
      </c>
      <c r="AH14">
        <f t="shared" si="16"/>
        <v>280.27460765446676</v>
      </c>
    </row>
    <row r="15" spans="1:34">
      <c r="A15" s="23" t="s">
        <v>21</v>
      </c>
      <c r="B15" s="24">
        <f>'Plant Measurments'!C164</f>
        <v>26</v>
      </c>
      <c r="C15" s="25"/>
      <c r="D15" s="26"/>
      <c r="E15" s="17">
        <f t="shared" si="0"/>
        <v>0</v>
      </c>
      <c r="F15" s="25"/>
      <c r="G15" s="27"/>
      <c r="H15" s="24">
        <f t="shared" si="17"/>
        <v>0</v>
      </c>
      <c r="I15" s="25"/>
      <c r="J15" s="27"/>
      <c r="K15" s="17">
        <f t="shared" si="2"/>
        <v>0</v>
      </c>
      <c r="L15" s="25"/>
      <c r="M15" s="27"/>
      <c r="N15" s="17">
        <f t="shared" si="3"/>
        <v>0</v>
      </c>
      <c r="O15" s="25"/>
      <c r="P15" s="27"/>
      <c r="Q15" s="17">
        <f t="shared" si="4"/>
        <v>0</v>
      </c>
      <c r="R15" s="25">
        <f>SUM('Plant Measurments'!O170:O172)</f>
        <v>18.635030000000008</v>
      </c>
      <c r="S15" s="27"/>
      <c r="T15" s="17">
        <f t="shared" si="5"/>
        <v>74.54012000000003</v>
      </c>
      <c r="U15" s="25">
        <f>SUM('Plant Measurments'!O164:O169)</f>
        <v>57.067601000000025</v>
      </c>
      <c r="V15" s="27"/>
      <c r="W15" s="17">
        <f t="shared" si="6"/>
        <v>228.2704040000001</v>
      </c>
      <c r="X15" s="24">
        <f t="shared" si="7"/>
        <v>302.8105240000001</v>
      </c>
      <c r="Y15" s="28"/>
      <c r="Z15" s="22">
        <f t="shared" si="8"/>
        <v>0</v>
      </c>
      <c r="AA15" s="22">
        <f t="shared" si="9"/>
        <v>302.8105240000001</v>
      </c>
      <c r="AB15">
        <f t="shared" si="10"/>
        <v>0</v>
      </c>
      <c r="AC15">
        <f t="shared" si="11"/>
        <v>0</v>
      </c>
      <c r="AD15">
        <f t="shared" si="12"/>
        <v>0</v>
      </c>
      <c r="AE15">
        <f t="shared" si="13"/>
        <v>1</v>
      </c>
      <c r="AF15">
        <f t="shared" si="14"/>
        <v>21033.62801</v>
      </c>
      <c r="AG15">
        <f t="shared" si="15"/>
        <v>4206.7256020000004</v>
      </c>
      <c r="AH15">
        <f t="shared" si="16"/>
        <v>1273.8407838658359</v>
      </c>
    </row>
    <row r="16" spans="1:34">
      <c r="A16" s="23" t="s">
        <v>21</v>
      </c>
      <c r="B16" s="24">
        <f>'Plant Measurments'!C173</f>
        <v>29</v>
      </c>
      <c r="C16" s="25">
        <f>SUM('Plant Measurments'!O173)</f>
        <v>4.9436830000000009</v>
      </c>
      <c r="D16" s="26"/>
      <c r="E16" s="17">
        <f t="shared" si="0"/>
        <v>19.774732000000004</v>
      </c>
      <c r="F16" s="25"/>
      <c r="G16" s="27"/>
      <c r="H16" s="24">
        <f t="shared" si="17"/>
        <v>0</v>
      </c>
      <c r="I16" s="25"/>
      <c r="J16" s="27"/>
      <c r="K16" s="17">
        <f t="shared" si="2"/>
        <v>0</v>
      </c>
      <c r="L16" s="25"/>
      <c r="M16" s="27"/>
      <c r="N16" s="17">
        <f t="shared" si="3"/>
        <v>0</v>
      </c>
      <c r="O16" s="25"/>
      <c r="P16" s="27"/>
      <c r="Q16" s="17">
        <f t="shared" si="4"/>
        <v>0</v>
      </c>
      <c r="R16" s="25">
        <f>SUM('Plant Measurments'!O177)</f>
        <v>-3.2658929999999984</v>
      </c>
      <c r="S16" s="27"/>
      <c r="T16" s="17">
        <f t="shared" si="5"/>
        <v>-13.063571999999994</v>
      </c>
      <c r="U16" s="25">
        <f>SUM('Plant Measurments'!O174:O176)</f>
        <v>42.481031000000009</v>
      </c>
      <c r="V16" s="27"/>
      <c r="W16" s="17">
        <f t="shared" si="6"/>
        <v>169.92412400000003</v>
      </c>
      <c r="X16" s="24">
        <f t="shared" si="7"/>
        <v>176.63528400000004</v>
      </c>
      <c r="Y16" s="28"/>
      <c r="Z16" s="22">
        <f t="shared" si="8"/>
        <v>19.774732000000004</v>
      </c>
      <c r="AA16" s="22">
        <f t="shared" si="9"/>
        <v>156.86055200000004</v>
      </c>
      <c r="AB16">
        <f t="shared" si="10"/>
        <v>0.11195233224184133</v>
      </c>
      <c r="AC16">
        <f t="shared" si="11"/>
        <v>0</v>
      </c>
      <c r="AD16">
        <f t="shared" si="12"/>
        <v>0</v>
      </c>
      <c r="AE16">
        <f t="shared" si="13"/>
        <v>0.88804766775815869</v>
      </c>
      <c r="AF16">
        <f t="shared" si="14"/>
        <v>21033.62801</v>
      </c>
      <c r="AG16">
        <f t="shared" si="15"/>
        <v>4206.7256020000004</v>
      </c>
      <c r="AH16">
        <f t="shared" si="16"/>
        <v>743.05617141934124</v>
      </c>
    </row>
    <row r="17" spans="1:34">
      <c r="A17" s="29" t="s">
        <v>21</v>
      </c>
      <c r="B17" s="30">
        <f>'Plant Measurments'!C178</f>
        <v>55</v>
      </c>
      <c r="C17" s="31"/>
      <c r="D17" s="32"/>
      <c r="E17" s="17">
        <f t="shared" si="0"/>
        <v>0</v>
      </c>
      <c r="F17" s="31"/>
      <c r="G17" s="33"/>
      <c r="H17" s="24">
        <f t="shared" si="17"/>
        <v>0</v>
      </c>
      <c r="I17" s="31"/>
      <c r="J17" s="33"/>
      <c r="K17" s="17">
        <f t="shared" si="2"/>
        <v>0</v>
      </c>
      <c r="L17" s="31"/>
      <c r="M17" s="33"/>
      <c r="N17" s="17">
        <f t="shared" si="3"/>
        <v>0</v>
      </c>
      <c r="O17" s="31"/>
      <c r="P17" s="33"/>
      <c r="Q17" s="17">
        <f t="shared" si="4"/>
        <v>0</v>
      </c>
      <c r="R17" s="31">
        <f>SUM('Plant Measurments'!O178)</f>
        <v>105.090632</v>
      </c>
      <c r="S17" s="33"/>
      <c r="T17" s="17">
        <f t="shared" si="5"/>
        <v>420.362528</v>
      </c>
      <c r="U17" s="31"/>
      <c r="V17" s="33"/>
      <c r="W17" s="17">
        <f t="shared" si="6"/>
        <v>0</v>
      </c>
      <c r="X17" s="30">
        <f t="shared" si="7"/>
        <v>420.362528</v>
      </c>
      <c r="Y17" s="34"/>
      <c r="Z17" s="22">
        <f t="shared" si="8"/>
        <v>0</v>
      </c>
      <c r="AA17" s="22">
        <f t="shared" si="9"/>
        <v>420.362528</v>
      </c>
      <c r="AB17">
        <f t="shared" si="10"/>
        <v>0</v>
      </c>
      <c r="AC17">
        <f t="shared" si="11"/>
        <v>0</v>
      </c>
      <c r="AD17">
        <f t="shared" si="12"/>
        <v>0</v>
      </c>
      <c r="AE17">
        <f t="shared" si="13"/>
        <v>1</v>
      </c>
      <c r="AF17">
        <f t="shared" si="14"/>
        <v>21033.62801</v>
      </c>
      <c r="AG17">
        <f t="shared" si="15"/>
        <v>4206.7256020000004</v>
      </c>
      <c r="AH17">
        <f t="shared" si="16"/>
        <v>1768.3498086590421</v>
      </c>
    </row>
    <row r="18" spans="1:34">
      <c r="A18" s="16" t="s">
        <v>24</v>
      </c>
      <c r="B18" s="17">
        <f>'Plant Measurments'!C179</f>
        <v>25</v>
      </c>
      <c r="C18" s="18"/>
      <c r="D18" s="19"/>
      <c r="E18" s="17">
        <f t="shared" si="0"/>
        <v>0</v>
      </c>
      <c r="F18" s="18"/>
      <c r="G18" s="20"/>
      <c r="H18" s="24">
        <f t="shared" si="17"/>
        <v>0</v>
      </c>
      <c r="I18" s="18">
        <f>SUM('Plant Measurments'!O179:O196)</f>
        <v>7.8534406695390633</v>
      </c>
      <c r="J18" s="20"/>
      <c r="K18" s="17">
        <f t="shared" si="2"/>
        <v>31.413762678156253</v>
      </c>
      <c r="L18" s="18"/>
      <c r="M18" s="20"/>
      <c r="N18" s="17">
        <f t="shared" si="3"/>
        <v>0</v>
      </c>
      <c r="O18" s="18"/>
      <c r="P18" s="20"/>
      <c r="Q18" s="17">
        <f t="shared" si="4"/>
        <v>0</v>
      </c>
      <c r="R18" s="18"/>
      <c r="S18" s="20"/>
      <c r="T18" s="17">
        <f t="shared" si="5"/>
        <v>0</v>
      </c>
      <c r="U18" s="18"/>
      <c r="V18" s="20"/>
      <c r="W18" s="17">
        <f t="shared" si="6"/>
        <v>0</v>
      </c>
      <c r="X18" s="17">
        <f t="shared" si="7"/>
        <v>31.413762678156253</v>
      </c>
      <c r="Y18" s="21">
        <f>AVERAGE(X18:X22)</f>
        <v>847.96259890475415</v>
      </c>
      <c r="Z18" s="22">
        <f t="shared" si="8"/>
        <v>0</v>
      </c>
      <c r="AA18" s="22">
        <f t="shared" si="9"/>
        <v>0</v>
      </c>
      <c r="AB18">
        <f t="shared" si="10"/>
        <v>0</v>
      </c>
      <c r="AC18">
        <f t="shared" si="11"/>
        <v>0</v>
      </c>
      <c r="AD18">
        <f t="shared" si="12"/>
        <v>1</v>
      </c>
      <c r="AE18">
        <f t="shared" si="13"/>
        <v>0</v>
      </c>
      <c r="AF18">
        <f t="shared" si="14"/>
        <v>21033.62801</v>
      </c>
      <c r="AG18">
        <f t="shared" si="15"/>
        <v>4206.7256020000004</v>
      </c>
      <c r="AH18">
        <f t="shared" si="16"/>
        <v>132.14907971335199</v>
      </c>
    </row>
    <row r="19" spans="1:34">
      <c r="A19" s="23" t="s">
        <v>24</v>
      </c>
      <c r="B19" s="24">
        <f>'Plant Measurments'!C197</f>
        <v>26</v>
      </c>
      <c r="C19" s="25"/>
      <c r="D19" s="26"/>
      <c r="E19" s="17">
        <f t="shared" si="0"/>
        <v>0</v>
      </c>
      <c r="F19" s="25"/>
      <c r="G19" s="27"/>
      <c r="H19" s="24">
        <f t="shared" si="17"/>
        <v>0</v>
      </c>
      <c r="I19" s="25"/>
      <c r="J19" s="27"/>
      <c r="K19" s="17">
        <f t="shared" si="2"/>
        <v>0</v>
      </c>
      <c r="L19" s="25"/>
      <c r="M19" s="27"/>
      <c r="N19" s="17">
        <f t="shared" si="3"/>
        <v>0</v>
      </c>
      <c r="O19" s="25"/>
      <c r="P19" s="27"/>
      <c r="Q19" s="17">
        <f t="shared" si="4"/>
        <v>0</v>
      </c>
      <c r="R19" s="25">
        <f>SUM('Plant Measurments'!O197:O199)</f>
        <v>37.507380999999995</v>
      </c>
      <c r="S19" s="27"/>
      <c r="T19" s="17">
        <f t="shared" si="5"/>
        <v>150.02952399999998</v>
      </c>
      <c r="U19" s="25"/>
      <c r="V19" s="27"/>
      <c r="W19" s="17">
        <f t="shared" si="6"/>
        <v>0</v>
      </c>
      <c r="X19" s="24">
        <f t="shared" si="7"/>
        <v>150.02952399999998</v>
      </c>
      <c r="Y19" s="28"/>
      <c r="Z19" s="22">
        <f t="shared" si="8"/>
        <v>0</v>
      </c>
      <c r="AA19" s="22">
        <f t="shared" si="9"/>
        <v>150.02952399999998</v>
      </c>
      <c r="AB19">
        <f t="shared" si="10"/>
        <v>0</v>
      </c>
      <c r="AC19">
        <f t="shared" si="11"/>
        <v>0</v>
      </c>
      <c r="AD19">
        <f t="shared" si="12"/>
        <v>0</v>
      </c>
      <c r="AE19">
        <f t="shared" si="13"/>
        <v>1</v>
      </c>
      <c r="AF19">
        <f t="shared" si="14"/>
        <v>21033.62801</v>
      </c>
      <c r="AG19">
        <f t="shared" si="15"/>
        <v>4206.7256020000004</v>
      </c>
      <c r="AH19">
        <f t="shared" si="16"/>
        <v>631.13303966667343</v>
      </c>
    </row>
    <row r="20" spans="1:34">
      <c r="A20" s="23" t="s">
        <v>24</v>
      </c>
      <c r="B20" s="24">
        <f>'Plant Measurments'!C200</f>
        <v>29</v>
      </c>
      <c r="C20" s="25"/>
      <c r="D20" s="26"/>
      <c r="E20" s="17">
        <f t="shared" si="0"/>
        <v>0</v>
      </c>
      <c r="F20" s="25"/>
      <c r="G20" s="27"/>
      <c r="H20" s="24">
        <f t="shared" si="17"/>
        <v>0</v>
      </c>
      <c r="I20" s="25">
        <f>SUM('Plant Measurments'!O200:O208)</f>
        <v>11.535618961403134</v>
      </c>
      <c r="J20" s="27"/>
      <c r="K20" s="17">
        <f t="shared" si="2"/>
        <v>46.142475845612537</v>
      </c>
      <c r="L20" s="25"/>
      <c r="M20" s="27"/>
      <c r="N20" s="17">
        <f t="shared" si="3"/>
        <v>0</v>
      </c>
      <c r="O20" s="25"/>
      <c r="P20" s="27"/>
      <c r="Q20" s="17">
        <f t="shared" si="4"/>
        <v>0</v>
      </c>
      <c r="R20" s="25"/>
      <c r="S20" s="27"/>
      <c r="T20" s="17">
        <f t="shared" si="5"/>
        <v>0</v>
      </c>
      <c r="U20" s="25"/>
      <c r="V20" s="27"/>
      <c r="W20" s="17">
        <f t="shared" si="6"/>
        <v>0</v>
      </c>
      <c r="X20" s="24">
        <f t="shared" si="7"/>
        <v>46.142475845612537</v>
      </c>
      <c r="Y20" s="28"/>
      <c r="Z20" s="22">
        <f t="shared" si="8"/>
        <v>0</v>
      </c>
      <c r="AA20" s="22">
        <f t="shared" si="9"/>
        <v>0</v>
      </c>
      <c r="AB20">
        <f t="shared" si="10"/>
        <v>0</v>
      </c>
      <c r="AC20">
        <f t="shared" si="11"/>
        <v>0</v>
      </c>
      <c r="AD20">
        <f t="shared" si="12"/>
        <v>1</v>
      </c>
      <c r="AE20">
        <f t="shared" si="13"/>
        <v>0</v>
      </c>
      <c r="AF20">
        <f t="shared" si="14"/>
        <v>21033.62801</v>
      </c>
      <c r="AG20">
        <f t="shared" si="15"/>
        <v>4206.7256020000004</v>
      </c>
      <c r="AH20">
        <f t="shared" si="16"/>
        <v>194.10873447940486</v>
      </c>
    </row>
    <row r="21" spans="1:34">
      <c r="A21" s="23" t="s">
        <v>24</v>
      </c>
      <c r="B21" s="24">
        <f>'Plant Measurments'!C209</f>
        <v>37</v>
      </c>
      <c r="C21" s="25"/>
      <c r="D21" s="26"/>
      <c r="E21" s="17">
        <f t="shared" si="0"/>
        <v>0</v>
      </c>
      <c r="F21" s="25"/>
      <c r="G21" s="27"/>
      <c r="H21" s="24">
        <f t="shared" si="17"/>
        <v>0</v>
      </c>
      <c r="I21" s="25"/>
      <c r="J21" s="27"/>
      <c r="K21" s="17">
        <f t="shared" si="2"/>
        <v>0</v>
      </c>
      <c r="L21" s="25"/>
      <c r="M21" s="27"/>
      <c r="N21" s="17">
        <f t="shared" si="3"/>
        <v>0</v>
      </c>
      <c r="O21" s="25"/>
      <c r="P21" s="27"/>
      <c r="Q21" s="17">
        <f t="shared" si="4"/>
        <v>0</v>
      </c>
      <c r="R21" s="25">
        <f>SUM('Plant Measurments'!O212:O225)</f>
        <v>329.4884150000002</v>
      </c>
      <c r="S21" s="27"/>
      <c r="T21" s="17">
        <f t="shared" si="5"/>
        <v>1317.9536600000008</v>
      </c>
      <c r="U21" s="25">
        <f>SUM('Plant Measurments'!O209:O211)</f>
        <v>110.50755700000005</v>
      </c>
      <c r="V21" s="27"/>
      <c r="W21" s="17">
        <f t="shared" si="6"/>
        <v>442.03022800000019</v>
      </c>
      <c r="X21" s="24">
        <f t="shared" si="7"/>
        <v>1759.9838880000011</v>
      </c>
      <c r="Y21" s="28"/>
      <c r="Z21" s="22">
        <f t="shared" si="8"/>
        <v>0</v>
      </c>
      <c r="AA21" s="22">
        <f t="shared" si="9"/>
        <v>1759.9838880000011</v>
      </c>
      <c r="AB21">
        <f t="shared" si="10"/>
        <v>0</v>
      </c>
      <c r="AC21">
        <f t="shared" si="11"/>
        <v>0</v>
      </c>
      <c r="AD21">
        <f t="shared" si="12"/>
        <v>0</v>
      </c>
      <c r="AE21">
        <f t="shared" si="13"/>
        <v>1</v>
      </c>
      <c r="AF21">
        <f t="shared" si="14"/>
        <v>21033.62801</v>
      </c>
      <c r="AG21">
        <f t="shared" si="15"/>
        <v>4206.7256020000004</v>
      </c>
      <c r="AH21">
        <f t="shared" si="16"/>
        <v>7403.7692807571057</v>
      </c>
    </row>
    <row r="22" spans="1:34">
      <c r="A22" s="29" t="s">
        <v>24</v>
      </c>
      <c r="B22" s="30">
        <f>'Plant Measurments'!C226</f>
        <v>38</v>
      </c>
      <c r="C22" s="31"/>
      <c r="D22" s="32"/>
      <c r="E22" s="17">
        <f t="shared" si="0"/>
        <v>0</v>
      </c>
      <c r="F22" s="31"/>
      <c r="G22" s="33"/>
      <c r="H22" s="24">
        <f t="shared" si="17"/>
        <v>0</v>
      </c>
      <c r="I22" s="31"/>
      <c r="J22" s="33"/>
      <c r="K22" s="17">
        <f t="shared" si="2"/>
        <v>0</v>
      </c>
      <c r="L22" s="31"/>
      <c r="M22" s="33"/>
      <c r="N22" s="17">
        <f t="shared" si="3"/>
        <v>0</v>
      </c>
      <c r="O22" s="31"/>
      <c r="P22" s="33"/>
      <c r="Q22" s="17">
        <f t="shared" si="4"/>
        <v>0</v>
      </c>
      <c r="R22" s="31">
        <f>SUM('Plant Measurments'!O231:O234)</f>
        <v>137.86418900000004</v>
      </c>
      <c r="S22" s="33"/>
      <c r="T22" s="17">
        <f t="shared" si="5"/>
        <v>551.45675600000015</v>
      </c>
      <c r="U22" s="31">
        <f>SUM('Plant Measurments'!O226:O230)</f>
        <v>425.1966470000001</v>
      </c>
      <c r="V22" s="33"/>
      <c r="W22" s="17">
        <f t="shared" si="6"/>
        <v>1700.7865880000004</v>
      </c>
      <c r="X22" s="30">
        <f t="shared" si="7"/>
        <v>2252.2433440000004</v>
      </c>
      <c r="Y22" s="34"/>
      <c r="Z22" s="22">
        <f t="shared" si="8"/>
        <v>0</v>
      </c>
      <c r="AA22" s="22">
        <f t="shared" si="9"/>
        <v>2252.2433440000004</v>
      </c>
      <c r="AB22">
        <f t="shared" si="10"/>
        <v>0</v>
      </c>
      <c r="AC22">
        <f t="shared" si="11"/>
        <v>0</v>
      </c>
      <c r="AD22">
        <f t="shared" si="12"/>
        <v>0</v>
      </c>
      <c r="AE22">
        <f t="shared" si="13"/>
        <v>1</v>
      </c>
      <c r="AF22">
        <f t="shared" si="14"/>
        <v>21033.62801</v>
      </c>
      <c r="AG22">
        <f t="shared" si="15"/>
        <v>4206.7256020000004</v>
      </c>
      <c r="AH22">
        <f t="shared" si="16"/>
        <v>9474.569737138896</v>
      </c>
    </row>
    <row r="23" spans="1:34">
      <c r="A23" s="16" t="s">
        <v>26</v>
      </c>
      <c r="B23" s="17">
        <f>'Plant Measurments'!C235</f>
        <v>4</v>
      </c>
      <c r="C23" s="18"/>
      <c r="D23" s="19"/>
      <c r="E23" s="17">
        <f t="shared" si="0"/>
        <v>0</v>
      </c>
      <c r="F23" s="18"/>
      <c r="G23" s="20"/>
      <c r="H23" s="24">
        <f t="shared" si="17"/>
        <v>0</v>
      </c>
      <c r="I23" s="18">
        <f>SUM('Plant Measurments'!O235:O247)</f>
        <v>29.005064000000001</v>
      </c>
      <c r="J23" s="20"/>
      <c r="K23" s="17">
        <f t="shared" si="2"/>
        <v>116.020256</v>
      </c>
      <c r="L23" s="18"/>
      <c r="M23" s="20"/>
      <c r="N23" s="17">
        <f t="shared" si="3"/>
        <v>0</v>
      </c>
      <c r="O23" s="18"/>
      <c r="P23" s="20"/>
      <c r="Q23" s="17">
        <f t="shared" si="4"/>
        <v>0</v>
      </c>
      <c r="R23" s="18"/>
      <c r="S23" s="20"/>
      <c r="T23" s="17">
        <f t="shared" si="5"/>
        <v>0</v>
      </c>
      <c r="U23" s="18"/>
      <c r="V23" s="20"/>
      <c r="W23" s="17">
        <f t="shared" si="6"/>
        <v>0</v>
      </c>
      <c r="X23" s="17">
        <f t="shared" si="7"/>
        <v>116.020256</v>
      </c>
      <c r="Y23" s="21">
        <f>AVERAGE(X23:X27)</f>
        <v>286.58824934549375</v>
      </c>
      <c r="Z23" s="22">
        <f t="shared" si="8"/>
        <v>0</v>
      </c>
      <c r="AA23" s="22">
        <f t="shared" si="9"/>
        <v>0</v>
      </c>
      <c r="AB23">
        <f t="shared" si="10"/>
        <v>0</v>
      </c>
      <c r="AC23">
        <f t="shared" si="11"/>
        <v>0</v>
      </c>
      <c r="AD23">
        <f t="shared" si="12"/>
        <v>1</v>
      </c>
      <c r="AE23">
        <f t="shared" si="13"/>
        <v>0</v>
      </c>
      <c r="AF23">
        <f t="shared" si="14"/>
        <v>21033.62801</v>
      </c>
      <c r="AG23">
        <f t="shared" si="15"/>
        <v>4206.7256020000004</v>
      </c>
      <c r="AH23">
        <f t="shared" si="16"/>
        <v>488.06538126579414</v>
      </c>
    </row>
    <row r="24" spans="1:34">
      <c r="A24" s="23" t="s">
        <v>26</v>
      </c>
      <c r="B24" s="24">
        <f>'Plant Measurments'!C248</f>
        <v>9</v>
      </c>
      <c r="C24" s="25"/>
      <c r="D24" s="26"/>
      <c r="E24" s="17">
        <f t="shared" si="0"/>
        <v>0</v>
      </c>
      <c r="F24" s="25"/>
      <c r="G24" s="27"/>
      <c r="H24" s="24">
        <f t="shared" si="17"/>
        <v>0</v>
      </c>
      <c r="I24" s="25">
        <f>SUM('Plant Measurments'!O248:O259)</f>
        <v>54.840093681867053</v>
      </c>
      <c r="J24" s="27"/>
      <c r="K24" s="17">
        <f t="shared" si="2"/>
        <v>219.36037472746821</v>
      </c>
      <c r="L24" s="25"/>
      <c r="M24" s="27"/>
      <c r="N24" s="17">
        <f t="shared" si="3"/>
        <v>0</v>
      </c>
      <c r="O24" s="25"/>
      <c r="P24" s="27"/>
      <c r="Q24" s="17">
        <f t="shared" si="4"/>
        <v>0</v>
      </c>
      <c r="R24" s="25">
        <f>SUM('Plant Measurments'!O261:O262)</f>
        <v>10.178024000000001</v>
      </c>
      <c r="S24" s="27"/>
      <c r="T24" s="17">
        <f t="shared" si="5"/>
        <v>40.712096000000003</v>
      </c>
      <c r="U24" s="25">
        <f>SUM('Plant Measurments'!O260)</f>
        <v>21.769928000000007</v>
      </c>
      <c r="V24" s="27"/>
      <c r="W24" s="17">
        <f t="shared" si="6"/>
        <v>87.079712000000029</v>
      </c>
      <c r="X24" s="24">
        <f t="shared" si="7"/>
        <v>347.15218272746824</v>
      </c>
      <c r="Y24" s="28"/>
      <c r="Z24" s="22">
        <f t="shared" si="8"/>
        <v>0</v>
      </c>
      <c r="AA24" s="22">
        <f t="shared" si="9"/>
        <v>127.79180800000003</v>
      </c>
      <c r="AB24">
        <f t="shared" si="10"/>
        <v>0</v>
      </c>
      <c r="AC24">
        <f t="shared" si="11"/>
        <v>0</v>
      </c>
      <c r="AD24">
        <f t="shared" si="12"/>
        <v>0.6318853391732151</v>
      </c>
      <c r="AE24">
        <f t="shared" si="13"/>
        <v>0.3681146608267849</v>
      </c>
      <c r="AF24">
        <f t="shared" si="14"/>
        <v>21033.62801</v>
      </c>
      <c r="AG24">
        <f t="shared" si="15"/>
        <v>4206.7256020000004</v>
      </c>
      <c r="AH24">
        <f t="shared" si="16"/>
        <v>1460.3739748698231</v>
      </c>
    </row>
    <row r="25" spans="1:34">
      <c r="A25" s="23" t="s">
        <v>26</v>
      </c>
      <c r="B25" s="24">
        <f>'Plant Measurments'!C263</f>
        <v>22</v>
      </c>
      <c r="C25" s="25">
        <f>SUM('Plant Measurments'!O263:O278)</f>
        <v>33.110048000000006</v>
      </c>
      <c r="D25" s="26"/>
      <c r="E25" s="17">
        <f t="shared" si="0"/>
        <v>132.44019200000002</v>
      </c>
      <c r="F25" s="25"/>
      <c r="G25" s="27"/>
      <c r="H25" s="24">
        <f t="shared" si="17"/>
        <v>0</v>
      </c>
      <c r="I25" s="25"/>
      <c r="J25" s="27"/>
      <c r="K25" s="17">
        <f t="shared" si="2"/>
        <v>0</v>
      </c>
      <c r="L25" s="25"/>
      <c r="M25" s="27"/>
      <c r="N25" s="17">
        <f t="shared" si="3"/>
        <v>0</v>
      </c>
      <c r="O25" s="25"/>
      <c r="P25" s="27"/>
      <c r="Q25" s="17">
        <f t="shared" si="4"/>
        <v>0</v>
      </c>
      <c r="R25" s="25">
        <f>SUM('Plant Measurments'!O279:O283)</f>
        <v>44.881916000000011</v>
      </c>
      <c r="S25" s="27"/>
      <c r="T25" s="17">
        <f t="shared" si="5"/>
        <v>179.52766400000004</v>
      </c>
      <c r="U25" s="25"/>
      <c r="V25" s="27"/>
      <c r="W25" s="17">
        <f t="shared" si="6"/>
        <v>0</v>
      </c>
      <c r="X25" s="24">
        <f t="shared" si="7"/>
        <v>311.9678560000001</v>
      </c>
      <c r="Y25" s="28"/>
      <c r="Z25" s="22">
        <f t="shared" si="8"/>
        <v>132.44019200000002</v>
      </c>
      <c r="AA25" s="22">
        <f t="shared" si="9"/>
        <v>179.52766400000004</v>
      </c>
      <c r="AB25">
        <f t="shared" si="10"/>
        <v>0.42453153250506676</v>
      </c>
      <c r="AC25">
        <f t="shared" si="11"/>
        <v>0</v>
      </c>
      <c r="AD25">
        <f t="shared" si="12"/>
        <v>0</v>
      </c>
      <c r="AE25">
        <f t="shared" si="13"/>
        <v>0.57546846749493319</v>
      </c>
      <c r="AF25">
        <f t="shared" si="14"/>
        <v>21033.62801</v>
      </c>
      <c r="AG25">
        <f t="shared" si="15"/>
        <v>4206.7256020000004</v>
      </c>
      <c r="AH25">
        <f t="shared" si="16"/>
        <v>1312.3631668362498</v>
      </c>
    </row>
    <row r="26" spans="1:34">
      <c r="A26" s="23" t="s">
        <v>26</v>
      </c>
      <c r="B26" s="24">
        <f>'Plant Measurments'!C284</f>
        <v>23</v>
      </c>
      <c r="C26" s="25">
        <f>SUM('Plant Measurments'!O284:O285)</f>
        <v>5.3305410000000011</v>
      </c>
      <c r="D26" s="26"/>
      <c r="E26" s="17">
        <f t="shared" si="0"/>
        <v>21.322164000000004</v>
      </c>
      <c r="F26" s="25"/>
      <c r="G26" s="27"/>
      <c r="H26" s="24">
        <f t="shared" si="17"/>
        <v>0</v>
      </c>
      <c r="I26" s="25"/>
      <c r="J26" s="27"/>
      <c r="K26" s="17">
        <f t="shared" si="2"/>
        <v>0</v>
      </c>
      <c r="L26" s="25"/>
      <c r="M26" s="27"/>
      <c r="N26" s="17">
        <f t="shared" si="3"/>
        <v>0</v>
      </c>
      <c r="O26" s="25"/>
      <c r="P26" s="27"/>
      <c r="Q26" s="17">
        <f t="shared" si="4"/>
        <v>0</v>
      </c>
      <c r="R26" s="25">
        <f>SUM('Plant Measurments'!O286:O287)</f>
        <v>19.400082000000012</v>
      </c>
      <c r="S26" s="27"/>
      <c r="T26" s="17">
        <f t="shared" si="5"/>
        <v>77.600328000000047</v>
      </c>
      <c r="U26" s="25"/>
      <c r="V26" s="27"/>
      <c r="W26" s="17">
        <f t="shared" si="6"/>
        <v>0</v>
      </c>
      <c r="X26" s="24">
        <f t="shared" si="7"/>
        <v>98.922492000000048</v>
      </c>
      <c r="Y26" s="28"/>
      <c r="Z26" s="22">
        <f t="shared" si="8"/>
        <v>21.322164000000004</v>
      </c>
      <c r="AA26" s="22">
        <f t="shared" si="9"/>
        <v>77.600328000000047</v>
      </c>
      <c r="AB26">
        <f t="shared" si="10"/>
        <v>0.21554414541032785</v>
      </c>
      <c r="AC26">
        <f t="shared" si="11"/>
        <v>0</v>
      </c>
      <c r="AD26">
        <f t="shared" si="12"/>
        <v>0</v>
      </c>
      <c r="AE26">
        <f t="shared" si="13"/>
        <v>0.78445585458967215</v>
      </c>
      <c r="AF26">
        <f t="shared" si="14"/>
        <v>21033.62801</v>
      </c>
      <c r="AG26">
        <f t="shared" si="15"/>
        <v>4206.7256020000004</v>
      </c>
      <c r="AH26">
        <f t="shared" si="16"/>
        <v>416.13977971004044</v>
      </c>
    </row>
    <row r="27" spans="1:34">
      <c r="A27" s="29" t="s">
        <v>26</v>
      </c>
      <c r="B27" s="30">
        <f>'Plant Measurments'!C288</f>
        <v>37</v>
      </c>
      <c r="C27" s="31"/>
      <c r="D27" s="32"/>
      <c r="E27" s="17">
        <f t="shared" si="0"/>
        <v>0</v>
      </c>
      <c r="F27" s="31"/>
      <c r="G27" s="33"/>
      <c r="H27" s="24">
        <f t="shared" si="17"/>
        <v>0</v>
      </c>
      <c r="I27" s="31"/>
      <c r="J27" s="33"/>
      <c r="K27" s="17">
        <f t="shared" si="2"/>
        <v>0</v>
      </c>
      <c r="L27" s="31"/>
      <c r="M27" s="33"/>
      <c r="N27" s="17">
        <f t="shared" si="3"/>
        <v>0</v>
      </c>
      <c r="O27" s="31"/>
      <c r="P27" s="33"/>
      <c r="Q27" s="17">
        <f t="shared" si="4"/>
        <v>0</v>
      </c>
      <c r="R27" s="31">
        <f>SUM('Plant Measurments'!O289:O300)</f>
        <v>132.76452200000006</v>
      </c>
      <c r="S27" s="33"/>
      <c r="T27" s="17">
        <f t="shared" si="5"/>
        <v>531.05808800000023</v>
      </c>
      <c r="U27" s="31">
        <f>SUM('Plant Measurments'!O288)</f>
        <v>6.9550930000000122</v>
      </c>
      <c r="V27" s="33"/>
      <c r="W27" s="17">
        <f t="shared" si="6"/>
        <v>27.820372000000049</v>
      </c>
      <c r="X27" s="30">
        <f t="shared" si="7"/>
        <v>558.87846000000025</v>
      </c>
      <c r="Y27" s="34"/>
      <c r="Z27" s="22">
        <f t="shared" si="8"/>
        <v>0</v>
      </c>
      <c r="AA27" s="22">
        <f t="shared" si="9"/>
        <v>558.87846000000025</v>
      </c>
      <c r="AB27">
        <f t="shared" si="10"/>
        <v>0</v>
      </c>
      <c r="AC27">
        <f t="shared" si="11"/>
        <v>0</v>
      </c>
      <c r="AD27">
        <f t="shared" si="12"/>
        <v>0</v>
      </c>
      <c r="AE27">
        <f t="shared" si="13"/>
        <v>1</v>
      </c>
      <c r="AF27">
        <f t="shared" si="14"/>
        <v>21033.62801</v>
      </c>
      <c r="AG27">
        <f t="shared" si="15"/>
        <v>4206.7256020000004</v>
      </c>
      <c r="AH27">
        <f t="shared" si="16"/>
        <v>2351.0483260883339</v>
      </c>
    </row>
    <row r="28" spans="1:34">
      <c r="A28" s="16" t="s">
        <v>27</v>
      </c>
      <c r="B28" s="36">
        <f>'Plant Measurments'!C301</f>
        <v>3</v>
      </c>
      <c r="C28" s="18"/>
      <c r="D28" s="19"/>
      <c r="E28" s="17">
        <f t="shared" si="0"/>
        <v>0</v>
      </c>
      <c r="F28" s="18"/>
      <c r="G28" s="20"/>
      <c r="H28" s="24">
        <f t="shared" si="17"/>
        <v>0</v>
      </c>
      <c r="I28" s="18">
        <f>SUM('Plant Measurments'!O301:O320)</f>
        <v>183.75380319905636</v>
      </c>
      <c r="J28" s="20"/>
      <c r="K28" s="17">
        <f t="shared" si="2"/>
        <v>735.01521279622546</v>
      </c>
      <c r="L28" s="18"/>
      <c r="M28" s="20"/>
      <c r="N28" s="17">
        <f t="shared" si="3"/>
        <v>0</v>
      </c>
      <c r="O28" s="18"/>
      <c r="P28" s="20"/>
      <c r="Q28" s="17">
        <f t="shared" si="4"/>
        <v>0</v>
      </c>
      <c r="R28" s="18">
        <f>SUM('Plant Measurments'!O321:O322)</f>
        <v>-0.70348099999999647</v>
      </c>
      <c r="S28" s="20"/>
      <c r="T28" s="17">
        <f t="shared" si="5"/>
        <v>-2.8139239999999859</v>
      </c>
      <c r="U28" s="18"/>
      <c r="V28" s="20"/>
      <c r="W28" s="17">
        <f t="shared" si="6"/>
        <v>0</v>
      </c>
      <c r="X28" s="17">
        <f t="shared" si="7"/>
        <v>732.20128879622553</v>
      </c>
      <c r="Y28" s="21">
        <f>AVERAGE(X28:X32)</f>
        <v>952.0244383860412</v>
      </c>
      <c r="Z28" s="22">
        <f t="shared" si="8"/>
        <v>0</v>
      </c>
      <c r="AA28" s="22">
        <f t="shared" si="9"/>
        <v>-2.8139239999999859</v>
      </c>
      <c r="AB28">
        <f t="shared" si="10"/>
        <v>0</v>
      </c>
      <c r="AC28">
        <f t="shared" si="11"/>
        <v>0</v>
      </c>
      <c r="AD28">
        <f t="shared" si="12"/>
        <v>1.0038431016758058</v>
      </c>
      <c r="AE28">
        <f t="shared" si="13"/>
        <v>-3.8431016758058616E-3</v>
      </c>
      <c r="AF28">
        <f t="shared" si="14"/>
        <v>21033.62801</v>
      </c>
      <c r="AG28">
        <f t="shared" si="15"/>
        <v>4206.7256020000004</v>
      </c>
      <c r="AH28">
        <f t="shared" si="16"/>
        <v>3080.1699073964783</v>
      </c>
    </row>
    <row r="29" spans="1:34">
      <c r="A29" s="23" t="s">
        <v>27</v>
      </c>
      <c r="B29" s="24">
        <f>'Plant Measurments'!C323</f>
        <v>11</v>
      </c>
      <c r="C29" s="25"/>
      <c r="D29" s="26"/>
      <c r="E29" s="17">
        <f t="shared" si="0"/>
        <v>0</v>
      </c>
      <c r="F29" s="25"/>
      <c r="G29" s="27"/>
      <c r="H29" s="24">
        <f t="shared" si="17"/>
        <v>0</v>
      </c>
      <c r="I29" s="25">
        <f>SUM('Plant Measurments'!O323:O324)</f>
        <v>11.639991</v>
      </c>
      <c r="J29" s="27"/>
      <c r="K29" s="17">
        <f t="shared" si="2"/>
        <v>46.559964000000001</v>
      </c>
      <c r="L29" s="25"/>
      <c r="M29" s="27"/>
      <c r="N29" s="17">
        <f t="shared" si="3"/>
        <v>0</v>
      </c>
      <c r="O29" s="25"/>
      <c r="P29" s="27"/>
      <c r="Q29" s="17">
        <f t="shared" si="4"/>
        <v>0</v>
      </c>
      <c r="R29" s="25">
        <f>SUM('Plant Measurments'!O325:O331)</f>
        <v>154.22236500000002</v>
      </c>
      <c r="S29" s="27"/>
      <c r="T29" s="17">
        <f t="shared" si="5"/>
        <v>616.8894600000001</v>
      </c>
      <c r="U29" s="25"/>
      <c r="V29" s="27"/>
      <c r="W29" s="17">
        <f t="shared" si="6"/>
        <v>0</v>
      </c>
      <c r="X29" s="24">
        <f t="shared" si="7"/>
        <v>663.44942400000014</v>
      </c>
      <c r="Y29" s="28"/>
      <c r="Z29" s="22">
        <f t="shared" si="8"/>
        <v>0</v>
      </c>
      <c r="AA29" s="22">
        <f t="shared" si="9"/>
        <v>616.8894600000001</v>
      </c>
      <c r="AB29">
        <f t="shared" si="10"/>
        <v>0</v>
      </c>
      <c r="AC29">
        <f t="shared" si="11"/>
        <v>0</v>
      </c>
      <c r="AD29">
        <f t="shared" si="12"/>
        <v>7.0178618468436552E-2</v>
      </c>
      <c r="AE29">
        <f t="shared" si="13"/>
        <v>0.92982138153156335</v>
      </c>
      <c r="AF29">
        <f t="shared" si="14"/>
        <v>21033.62801</v>
      </c>
      <c r="AG29">
        <f t="shared" si="15"/>
        <v>4206.7256020000004</v>
      </c>
      <c r="AH29">
        <f t="shared" si="16"/>
        <v>2790.949677572954</v>
      </c>
    </row>
    <row r="30" spans="1:34">
      <c r="A30" s="23" t="s">
        <v>27</v>
      </c>
      <c r="B30">
        <f>'Plant Measurments'!C332</f>
        <v>25</v>
      </c>
      <c r="C30" s="25"/>
      <c r="D30" s="26"/>
      <c r="E30" s="17">
        <f t="shared" si="0"/>
        <v>0</v>
      </c>
      <c r="F30" s="25"/>
      <c r="G30" s="27"/>
      <c r="H30" s="24">
        <f t="shared" si="17"/>
        <v>0</v>
      </c>
      <c r="I30" s="25">
        <f>SUM('Plant Measurments'!O332:O338)</f>
        <v>41.934825128442682</v>
      </c>
      <c r="J30" s="27"/>
      <c r="K30" s="17">
        <f t="shared" si="2"/>
        <v>167.73930051377073</v>
      </c>
      <c r="L30" s="25"/>
      <c r="M30" s="27"/>
      <c r="N30" s="17">
        <f t="shared" si="3"/>
        <v>0</v>
      </c>
      <c r="O30" s="25"/>
      <c r="P30" s="27"/>
      <c r="Q30" s="17">
        <f t="shared" si="4"/>
        <v>0</v>
      </c>
      <c r="R30" s="25"/>
      <c r="S30" s="27"/>
      <c r="T30" s="17">
        <f t="shared" si="5"/>
        <v>0</v>
      </c>
      <c r="U30" s="25"/>
      <c r="V30" s="27"/>
      <c r="W30" s="17">
        <f t="shared" si="6"/>
        <v>0</v>
      </c>
      <c r="X30" s="24">
        <f t="shared" si="7"/>
        <v>167.73930051377073</v>
      </c>
      <c r="Y30" s="28"/>
      <c r="Z30" s="22">
        <f t="shared" si="8"/>
        <v>0</v>
      </c>
      <c r="AA30" s="22">
        <f t="shared" si="9"/>
        <v>0</v>
      </c>
      <c r="AB30">
        <f t="shared" si="10"/>
        <v>0</v>
      </c>
      <c r="AC30">
        <f t="shared" si="11"/>
        <v>0</v>
      </c>
      <c r="AD30">
        <f t="shared" si="12"/>
        <v>1</v>
      </c>
      <c r="AE30">
        <f t="shared" si="13"/>
        <v>0</v>
      </c>
      <c r="AF30">
        <f t="shared" si="14"/>
        <v>21033.62801</v>
      </c>
      <c r="AG30">
        <f t="shared" si="15"/>
        <v>4206.7256020000004</v>
      </c>
      <c r="AH30">
        <f t="shared" si="16"/>
        <v>705.63320993285117</v>
      </c>
    </row>
    <row r="31" spans="1:34">
      <c r="A31" s="23" t="s">
        <v>27</v>
      </c>
      <c r="B31" s="24">
        <f>'Plant Measurments'!C339</f>
        <v>32</v>
      </c>
      <c r="C31" s="25">
        <f>SUM('Plant Measurments'!O339:O363)</f>
        <v>311.81198465505219</v>
      </c>
      <c r="D31" s="26"/>
      <c r="E31" s="17">
        <f t="shared" si="0"/>
        <v>1247.2479386202087</v>
      </c>
      <c r="F31" s="25"/>
      <c r="G31" s="27"/>
      <c r="H31" s="24">
        <f t="shared" si="17"/>
        <v>0</v>
      </c>
      <c r="I31" s="25"/>
      <c r="J31" s="27"/>
      <c r="K31" s="17">
        <f t="shared" si="2"/>
        <v>0</v>
      </c>
      <c r="L31" s="25"/>
      <c r="M31" s="27"/>
      <c r="N31" s="17">
        <f t="shared" si="3"/>
        <v>0</v>
      </c>
      <c r="O31" s="25"/>
      <c r="P31" s="27"/>
      <c r="Q31" s="17">
        <f t="shared" si="4"/>
        <v>0</v>
      </c>
      <c r="R31" s="25">
        <f>SUM('Plant Measurments'!O370:O382)</f>
        <v>70.023060000000044</v>
      </c>
      <c r="S31" s="27"/>
      <c r="T31" s="17">
        <f t="shared" si="5"/>
        <v>280.09224000000017</v>
      </c>
      <c r="U31" s="25">
        <f>SUM('Plant Measurments'!O364:O369)</f>
        <v>285.62618700000002</v>
      </c>
      <c r="V31" s="27"/>
      <c r="W31" s="17">
        <f t="shared" si="6"/>
        <v>1142.5047480000001</v>
      </c>
      <c r="X31" s="24">
        <f t="shared" si="7"/>
        <v>2669.8449266202088</v>
      </c>
      <c r="Y31" s="28"/>
      <c r="Z31" s="22">
        <f t="shared" si="8"/>
        <v>1247.2479386202087</v>
      </c>
      <c r="AA31" s="22">
        <f t="shared" si="9"/>
        <v>1422.5969880000002</v>
      </c>
      <c r="AB31">
        <f t="shared" si="10"/>
        <v>0.46716119209182538</v>
      </c>
      <c r="AC31">
        <f t="shared" si="11"/>
        <v>0</v>
      </c>
      <c r="AD31">
        <f t="shared" si="12"/>
        <v>0</v>
      </c>
      <c r="AE31">
        <f t="shared" si="13"/>
        <v>0.53283880790817473</v>
      </c>
      <c r="AF31">
        <f t="shared" si="14"/>
        <v>21033.62801</v>
      </c>
      <c r="AG31">
        <f t="shared" si="15"/>
        <v>4206.7256020000004</v>
      </c>
      <c r="AH31">
        <f t="shared" si="16"/>
        <v>11231.305006183045</v>
      </c>
    </row>
    <row r="32" spans="1:34">
      <c r="A32" s="29" t="s">
        <v>27</v>
      </c>
      <c r="B32" s="24">
        <f>'Plant Measurments'!C383</f>
        <v>50</v>
      </c>
      <c r="C32" s="31"/>
      <c r="D32" s="32"/>
      <c r="E32" s="17">
        <f t="shared" si="0"/>
        <v>0</v>
      </c>
      <c r="F32" s="31"/>
      <c r="G32" s="33"/>
      <c r="H32" s="24">
        <f t="shared" si="17"/>
        <v>0</v>
      </c>
      <c r="I32" s="31"/>
      <c r="J32" s="33"/>
      <c r="K32" s="17">
        <f t="shared" si="2"/>
        <v>0</v>
      </c>
      <c r="L32" s="31"/>
      <c r="M32" s="33"/>
      <c r="N32" s="17">
        <f t="shared" si="3"/>
        <v>0</v>
      </c>
      <c r="O32" s="31"/>
      <c r="P32" s="33"/>
      <c r="Q32" s="17">
        <f t="shared" si="4"/>
        <v>0</v>
      </c>
      <c r="R32" s="31">
        <f>SUM('Plant Measurments'!O383:O388)</f>
        <v>131.72181300000005</v>
      </c>
      <c r="S32" s="33"/>
      <c r="T32" s="17">
        <f t="shared" si="5"/>
        <v>526.88725200000022</v>
      </c>
      <c r="U32" s="31"/>
      <c r="V32" s="33"/>
      <c r="W32" s="17">
        <f t="shared" si="6"/>
        <v>0</v>
      </c>
      <c r="X32" s="30">
        <f t="shared" si="7"/>
        <v>526.88725200000022</v>
      </c>
      <c r="Y32" s="34"/>
      <c r="Z32" s="22">
        <f t="shared" si="8"/>
        <v>0</v>
      </c>
      <c r="AA32" s="22">
        <f t="shared" si="9"/>
        <v>526.88725200000022</v>
      </c>
      <c r="AB32">
        <f t="shared" si="10"/>
        <v>0</v>
      </c>
      <c r="AC32">
        <f t="shared" si="11"/>
        <v>0</v>
      </c>
      <c r="AD32">
        <f t="shared" si="12"/>
        <v>0</v>
      </c>
      <c r="AE32">
        <f t="shared" si="13"/>
        <v>1</v>
      </c>
      <c r="AF32">
        <f t="shared" si="14"/>
        <v>21033.62801</v>
      </c>
      <c r="AG32">
        <f t="shared" si="15"/>
        <v>4206.7256020000004</v>
      </c>
      <c r="AH32">
        <f t="shared" si="16"/>
        <v>2216.4700923558271</v>
      </c>
    </row>
    <row r="33" spans="1:34">
      <c r="A33" s="16" t="s">
        <v>32</v>
      </c>
      <c r="B33" s="17">
        <f>'Plant Measurments'!C389</f>
        <v>3</v>
      </c>
      <c r="C33" s="18">
        <f>SUM('Plant Measurments'!O389:O400)</f>
        <v>68.126930796953445</v>
      </c>
      <c r="D33" s="37"/>
      <c r="E33" s="17">
        <f t="shared" si="0"/>
        <v>272.50772318781378</v>
      </c>
      <c r="F33" s="18"/>
      <c r="G33" s="20"/>
      <c r="H33" s="24">
        <f t="shared" si="17"/>
        <v>0</v>
      </c>
      <c r="I33" s="18">
        <f>SUM('Plant Measurments'!O401:O404)</f>
        <v>49.790674693789668</v>
      </c>
      <c r="J33" s="20"/>
      <c r="K33" s="17">
        <f t="shared" si="2"/>
        <v>199.16269877515867</v>
      </c>
      <c r="L33" s="18"/>
      <c r="M33" s="20"/>
      <c r="N33" s="17">
        <f t="shared" si="3"/>
        <v>0</v>
      </c>
      <c r="O33" s="18"/>
      <c r="P33" s="20"/>
      <c r="Q33" s="17">
        <f t="shared" si="4"/>
        <v>0</v>
      </c>
      <c r="R33" s="18">
        <f>SUM('Plant Measurments'!O407:O410)</f>
        <v>123.59956700000004</v>
      </c>
      <c r="S33" s="20"/>
      <c r="T33" s="17">
        <f t="shared" si="5"/>
        <v>494.39826800000014</v>
      </c>
      <c r="U33" s="18">
        <f>SUM('Plant Measurments'!O405:O406)</f>
        <v>102.45202700000002</v>
      </c>
      <c r="V33" s="20"/>
      <c r="W33" s="17">
        <f t="shared" si="6"/>
        <v>409.80810800000006</v>
      </c>
      <c r="X33" s="17">
        <f t="shared" si="7"/>
        <v>1375.8767979629727</v>
      </c>
      <c r="Y33" s="21">
        <f>AVERAGE(X33:X37)</f>
        <v>591.2434574325946</v>
      </c>
      <c r="Z33" s="22">
        <f t="shared" si="8"/>
        <v>272.50772318781378</v>
      </c>
      <c r="AA33" s="22">
        <f t="shared" si="9"/>
        <v>904.2063760000002</v>
      </c>
      <c r="AB33">
        <f t="shared" si="10"/>
        <v>0.19806113715360979</v>
      </c>
      <c r="AC33">
        <f t="shared" si="11"/>
        <v>0</v>
      </c>
      <c r="AD33">
        <f t="shared" si="12"/>
        <v>0.14475329409582682</v>
      </c>
      <c r="AE33">
        <f t="shared" si="13"/>
        <v>0.65718556875056344</v>
      </c>
      <c r="AF33">
        <f t="shared" si="14"/>
        <v>21033.62801</v>
      </c>
      <c r="AG33">
        <f t="shared" si="15"/>
        <v>4206.7256020000004</v>
      </c>
      <c r="AH33">
        <f t="shared" si="16"/>
        <v>5787.9361511886191</v>
      </c>
    </row>
    <row r="34" spans="1:34">
      <c r="A34" s="23" t="s">
        <v>32</v>
      </c>
      <c r="B34" s="24">
        <f>'Plant Measurments'!C411</f>
        <v>12</v>
      </c>
      <c r="C34" s="25">
        <f>SUM('Plant Measurments'!O411:O425)</f>
        <v>108.01596000000002</v>
      </c>
      <c r="D34" s="26"/>
      <c r="E34" s="17">
        <f t="shared" si="0"/>
        <v>432.06384000000008</v>
      </c>
      <c r="F34" s="25"/>
      <c r="G34" s="27"/>
      <c r="H34" s="24">
        <f t="shared" si="17"/>
        <v>0</v>
      </c>
      <c r="I34" s="25"/>
      <c r="J34" s="27"/>
      <c r="K34" s="17">
        <f t="shared" si="2"/>
        <v>0</v>
      </c>
      <c r="L34" s="25"/>
      <c r="M34" s="27"/>
      <c r="N34" s="17">
        <f t="shared" si="3"/>
        <v>0</v>
      </c>
      <c r="O34" s="25"/>
      <c r="P34" s="27"/>
      <c r="Q34" s="17">
        <f t="shared" si="4"/>
        <v>0</v>
      </c>
      <c r="R34" s="25"/>
      <c r="S34" s="27"/>
      <c r="T34" s="17">
        <f t="shared" si="5"/>
        <v>0</v>
      </c>
      <c r="U34" s="25"/>
      <c r="V34" s="27"/>
      <c r="W34" s="17">
        <f t="shared" si="6"/>
        <v>0</v>
      </c>
      <c r="X34" s="24">
        <f t="shared" si="7"/>
        <v>432.06384000000008</v>
      </c>
      <c r="Y34" s="28"/>
      <c r="Z34" s="22">
        <f t="shared" si="8"/>
        <v>432.06384000000008</v>
      </c>
      <c r="AA34" s="22">
        <f t="shared" si="9"/>
        <v>0</v>
      </c>
      <c r="AB34">
        <f t="shared" si="10"/>
        <v>1</v>
      </c>
      <c r="AC34">
        <f t="shared" si="11"/>
        <v>0</v>
      </c>
      <c r="AD34">
        <f t="shared" si="12"/>
        <v>0</v>
      </c>
      <c r="AE34">
        <f t="shared" si="13"/>
        <v>0</v>
      </c>
      <c r="AF34">
        <f t="shared" si="14"/>
        <v>21033.62801</v>
      </c>
      <c r="AG34">
        <f t="shared" si="15"/>
        <v>4206.7256020000004</v>
      </c>
      <c r="AH34">
        <f t="shared" si="16"/>
        <v>1817.5740174264322</v>
      </c>
    </row>
    <row r="35" spans="1:34">
      <c r="A35" s="23" t="s">
        <v>32</v>
      </c>
      <c r="B35" s="24">
        <f>'Plant Measurments'!C426</f>
        <v>16</v>
      </c>
      <c r="C35" s="25">
        <f>SUM('Plant Measurments'!O426:O429)</f>
        <v>6.0341519999999971</v>
      </c>
      <c r="D35" s="26"/>
      <c r="E35" s="17">
        <f t="shared" si="0"/>
        <v>24.136607999999988</v>
      </c>
      <c r="F35" s="25"/>
      <c r="G35" s="27"/>
      <c r="H35" s="24">
        <f t="shared" si="17"/>
        <v>0</v>
      </c>
      <c r="I35" s="25"/>
      <c r="J35" s="27"/>
      <c r="K35" s="17">
        <f t="shared" si="2"/>
        <v>0</v>
      </c>
      <c r="L35" s="25"/>
      <c r="M35" s="27"/>
      <c r="N35" s="17">
        <f t="shared" si="3"/>
        <v>0</v>
      </c>
      <c r="O35" s="25"/>
      <c r="P35" s="27"/>
      <c r="Q35" s="17">
        <f t="shared" si="4"/>
        <v>0</v>
      </c>
      <c r="R35" s="25"/>
      <c r="S35" s="27"/>
      <c r="T35" s="17">
        <f t="shared" si="5"/>
        <v>0</v>
      </c>
      <c r="U35" s="25"/>
      <c r="V35" s="27"/>
      <c r="W35" s="17">
        <f t="shared" si="6"/>
        <v>0</v>
      </c>
      <c r="X35" s="24">
        <f t="shared" si="7"/>
        <v>24.136607999999988</v>
      </c>
      <c r="Y35" s="28"/>
      <c r="Z35" s="22">
        <f t="shared" si="8"/>
        <v>24.136607999999988</v>
      </c>
      <c r="AA35" s="22">
        <f t="shared" si="9"/>
        <v>0</v>
      </c>
      <c r="AB35">
        <f t="shared" si="10"/>
        <v>1</v>
      </c>
      <c r="AC35">
        <f t="shared" si="11"/>
        <v>0</v>
      </c>
      <c r="AD35">
        <f t="shared" si="12"/>
        <v>0</v>
      </c>
      <c r="AE35">
        <f t="shared" si="13"/>
        <v>0</v>
      </c>
      <c r="AF35">
        <f t="shared" si="14"/>
        <v>21033.62801</v>
      </c>
      <c r="AG35">
        <f t="shared" si="15"/>
        <v>4206.7256020000004</v>
      </c>
      <c r="AH35">
        <f t="shared" si="16"/>
        <v>101.53608681903799</v>
      </c>
    </row>
    <row r="36" spans="1:34">
      <c r="A36" s="23" t="s">
        <v>32</v>
      </c>
      <c r="B36" s="24">
        <f>'Plant Measurments'!C430</f>
        <v>22</v>
      </c>
      <c r="C36" s="25"/>
      <c r="D36" s="26"/>
      <c r="E36" s="17">
        <f t="shared" si="0"/>
        <v>0</v>
      </c>
      <c r="F36" s="25"/>
      <c r="G36" s="27"/>
      <c r="H36" s="24">
        <f t="shared" si="17"/>
        <v>0</v>
      </c>
      <c r="I36" s="25"/>
      <c r="J36" s="27"/>
      <c r="K36" s="17">
        <f t="shared" si="2"/>
        <v>0</v>
      </c>
      <c r="L36" s="25"/>
      <c r="M36" s="27"/>
      <c r="N36" s="17">
        <f t="shared" si="3"/>
        <v>0</v>
      </c>
      <c r="O36" s="25"/>
      <c r="P36" s="27"/>
      <c r="Q36" s="17">
        <f t="shared" si="4"/>
        <v>0</v>
      </c>
      <c r="R36" s="25"/>
      <c r="S36" s="27"/>
      <c r="T36" s="17">
        <f t="shared" si="5"/>
        <v>0</v>
      </c>
      <c r="U36" s="25"/>
      <c r="V36" s="27"/>
      <c r="W36" s="17">
        <f t="shared" si="6"/>
        <v>0</v>
      </c>
      <c r="X36" s="24">
        <f t="shared" si="7"/>
        <v>0</v>
      </c>
      <c r="Y36" s="28"/>
      <c r="Z36" s="22">
        <f t="shared" si="8"/>
        <v>0</v>
      </c>
      <c r="AA36" s="22">
        <f t="shared" si="9"/>
        <v>0</v>
      </c>
      <c r="AB36" t="str">
        <f t="shared" si="10"/>
        <v xml:space="preserve"> </v>
      </c>
      <c r="AC36" t="str">
        <f t="shared" si="11"/>
        <v xml:space="preserve"> </v>
      </c>
      <c r="AD36" t="str">
        <f t="shared" si="12"/>
        <v xml:space="preserve"> </v>
      </c>
      <c r="AE36" t="str">
        <f t="shared" si="13"/>
        <v xml:space="preserve"> </v>
      </c>
      <c r="AF36">
        <f t="shared" si="14"/>
        <v>21033.62801</v>
      </c>
      <c r="AG36">
        <f t="shared" si="15"/>
        <v>4206.7256020000004</v>
      </c>
      <c r="AH36">
        <f t="shared" si="16"/>
        <v>0</v>
      </c>
    </row>
    <row r="37" spans="1:34">
      <c r="A37" s="29" t="s">
        <v>32</v>
      </c>
      <c r="B37" s="30">
        <f>'Plant Measurments'!C431</f>
        <v>34</v>
      </c>
      <c r="C37" s="31"/>
      <c r="D37" s="32"/>
      <c r="E37" s="17">
        <f t="shared" si="0"/>
        <v>0</v>
      </c>
      <c r="F37" s="31"/>
      <c r="G37" s="33"/>
      <c r="H37" s="24">
        <f t="shared" si="17"/>
        <v>0</v>
      </c>
      <c r="I37" s="31"/>
      <c r="J37" s="33"/>
      <c r="K37" s="17">
        <f t="shared" si="2"/>
        <v>0</v>
      </c>
      <c r="L37" s="31"/>
      <c r="M37" s="33"/>
      <c r="N37" s="17">
        <f t="shared" si="3"/>
        <v>0</v>
      </c>
      <c r="O37" s="31"/>
      <c r="P37" s="33"/>
      <c r="Q37" s="17">
        <f t="shared" si="4"/>
        <v>0</v>
      </c>
      <c r="R37" s="31">
        <f>SUM('Plant Measurments'!O432:O441)</f>
        <v>216.39562600000005</v>
      </c>
      <c r="S37" s="33"/>
      <c r="T37" s="17">
        <f t="shared" si="5"/>
        <v>865.5825040000002</v>
      </c>
      <c r="U37" s="31">
        <f>SUM('Plant Measurments'!O431)</f>
        <v>64.639384300000017</v>
      </c>
      <c r="V37" s="33"/>
      <c r="W37" s="17">
        <f t="shared" si="6"/>
        <v>258.55753720000007</v>
      </c>
      <c r="X37" s="30">
        <f t="shared" si="7"/>
        <v>1124.1400412000003</v>
      </c>
      <c r="Y37" s="34"/>
      <c r="Z37" s="22">
        <f t="shared" si="8"/>
        <v>0</v>
      </c>
      <c r="AA37" s="22">
        <f t="shared" si="9"/>
        <v>1124.1400412000003</v>
      </c>
      <c r="AB37">
        <f t="shared" si="10"/>
        <v>0</v>
      </c>
      <c r="AC37">
        <f t="shared" si="11"/>
        <v>0</v>
      </c>
      <c r="AD37">
        <f t="shared" si="12"/>
        <v>0</v>
      </c>
      <c r="AE37">
        <f t="shared" si="13"/>
        <v>1</v>
      </c>
      <c r="AF37">
        <f t="shared" si="14"/>
        <v>21033.62801</v>
      </c>
      <c r="AG37">
        <f t="shared" si="15"/>
        <v>4206.7256020000004</v>
      </c>
      <c r="AH37">
        <f t="shared" si="16"/>
        <v>4728.9486915493762</v>
      </c>
    </row>
    <row r="38" spans="1:34">
      <c r="A38" s="16" t="s">
        <v>30</v>
      </c>
      <c r="B38" s="17">
        <f>'Plant Measurments'!C442</f>
        <v>19</v>
      </c>
      <c r="C38" s="18"/>
      <c r="D38" s="19"/>
      <c r="E38" s="17">
        <f t="shared" si="0"/>
        <v>0</v>
      </c>
      <c r="F38" s="18"/>
      <c r="G38" s="20"/>
      <c r="H38" s="24">
        <f t="shared" si="17"/>
        <v>0</v>
      </c>
      <c r="I38" s="18"/>
      <c r="J38" s="20"/>
      <c r="K38" s="17">
        <f t="shared" si="2"/>
        <v>0</v>
      </c>
      <c r="L38" s="18"/>
      <c r="M38" s="20"/>
      <c r="N38" s="17">
        <f t="shared" si="3"/>
        <v>0</v>
      </c>
      <c r="O38" s="18"/>
      <c r="P38" s="20"/>
      <c r="Q38" s="17">
        <f t="shared" si="4"/>
        <v>0</v>
      </c>
      <c r="R38" s="18">
        <f>SUM('Plant Measurments'!O442:O456)</f>
        <v>262.31201700000008</v>
      </c>
      <c r="S38" s="20"/>
      <c r="T38" s="17">
        <f t="shared" si="5"/>
        <v>1049.2480680000003</v>
      </c>
      <c r="U38" s="18"/>
      <c r="V38" s="20"/>
      <c r="W38" s="17">
        <f t="shared" si="6"/>
        <v>0</v>
      </c>
      <c r="X38" s="17">
        <f t="shared" si="7"/>
        <v>1049.2480680000003</v>
      </c>
      <c r="Y38" s="21">
        <f>AVERAGE(X38:X42)</f>
        <v>512.53803189574296</v>
      </c>
      <c r="Z38" s="22">
        <f t="shared" si="8"/>
        <v>0</v>
      </c>
      <c r="AA38" s="22">
        <f t="shared" si="9"/>
        <v>1049.2480680000003</v>
      </c>
      <c r="AB38">
        <f t="shared" si="10"/>
        <v>0</v>
      </c>
      <c r="AC38">
        <f t="shared" si="11"/>
        <v>0</v>
      </c>
      <c r="AD38">
        <f t="shared" si="12"/>
        <v>0</v>
      </c>
      <c r="AE38">
        <f t="shared" si="13"/>
        <v>1</v>
      </c>
      <c r="AF38">
        <f t="shared" si="14"/>
        <v>21033.62801</v>
      </c>
      <c r="AG38">
        <f t="shared" si="15"/>
        <v>4206.7256020000004</v>
      </c>
      <c r="AH38">
        <f t="shared" si="16"/>
        <v>4413.898710504639</v>
      </c>
    </row>
    <row r="39" spans="1:34">
      <c r="A39" s="23" t="s">
        <v>30</v>
      </c>
      <c r="B39" s="24">
        <f>'Plant Measurments'!C457</f>
        <v>26</v>
      </c>
      <c r="C39" s="25">
        <f>SUM('Plant Measurments'!O457:O466)</f>
        <v>101.75210584351069</v>
      </c>
      <c r="D39" s="26"/>
      <c r="E39" s="17">
        <f t="shared" si="0"/>
        <v>407.00842337404276</v>
      </c>
      <c r="F39" s="25"/>
      <c r="G39" s="27"/>
      <c r="H39" s="24">
        <f t="shared" si="17"/>
        <v>0</v>
      </c>
      <c r="I39" s="25"/>
      <c r="J39" s="27"/>
      <c r="K39" s="17">
        <f t="shared" si="2"/>
        <v>0</v>
      </c>
      <c r="L39" s="25"/>
      <c r="M39" s="27"/>
      <c r="N39" s="17">
        <f t="shared" si="3"/>
        <v>0</v>
      </c>
      <c r="O39" s="25"/>
      <c r="P39" s="27"/>
      <c r="Q39" s="17">
        <f t="shared" si="4"/>
        <v>0</v>
      </c>
      <c r="R39" s="25">
        <f>SUM('Plant Measurments'!O467:O469)</f>
        <v>121.67180800000003</v>
      </c>
      <c r="S39" s="27"/>
      <c r="T39" s="17">
        <f t="shared" si="5"/>
        <v>486.68723200000011</v>
      </c>
      <c r="U39" s="25"/>
      <c r="V39" s="27"/>
      <c r="W39" s="17">
        <f t="shared" si="6"/>
        <v>0</v>
      </c>
      <c r="X39" s="24">
        <f t="shared" si="7"/>
        <v>893.69565537404287</v>
      </c>
      <c r="Y39" s="28"/>
      <c r="Z39" s="22">
        <f t="shared" si="8"/>
        <v>407.00842337404276</v>
      </c>
      <c r="AA39" s="22">
        <f t="shared" si="9"/>
        <v>486.68723200000011</v>
      </c>
      <c r="AB39">
        <f t="shared" si="10"/>
        <v>0.45542173213731862</v>
      </c>
      <c r="AC39">
        <f t="shared" si="11"/>
        <v>0</v>
      </c>
      <c r="AD39">
        <f t="shared" si="12"/>
        <v>0</v>
      </c>
      <c r="AE39">
        <f t="shared" si="13"/>
        <v>0.54457826786268138</v>
      </c>
      <c r="AF39">
        <f t="shared" si="14"/>
        <v>21033.62801</v>
      </c>
      <c r="AG39">
        <f t="shared" si="15"/>
        <v>4206.7256020000004</v>
      </c>
      <c r="AH39">
        <f t="shared" si="16"/>
        <v>3759.532393858155</v>
      </c>
    </row>
    <row r="40" spans="1:34">
      <c r="A40" s="23" t="s">
        <v>30</v>
      </c>
      <c r="B40" s="24">
        <f>'Plant Measurments'!C470</f>
        <v>44</v>
      </c>
      <c r="C40" s="25"/>
      <c r="D40" s="26"/>
      <c r="E40" s="17">
        <f t="shared" si="0"/>
        <v>0</v>
      </c>
      <c r="F40" s="25"/>
      <c r="G40" s="27"/>
      <c r="H40" s="24">
        <f t="shared" si="17"/>
        <v>0</v>
      </c>
      <c r="I40" s="25"/>
      <c r="J40" s="27"/>
      <c r="K40" s="17">
        <f t="shared" si="2"/>
        <v>0</v>
      </c>
      <c r="L40" s="25"/>
      <c r="M40" s="27"/>
      <c r="N40" s="17">
        <f t="shared" si="3"/>
        <v>0</v>
      </c>
      <c r="O40" s="25"/>
      <c r="P40" s="27"/>
      <c r="Q40" s="17">
        <f t="shared" si="4"/>
        <v>0</v>
      </c>
      <c r="R40" s="25">
        <f>SUM('Plant Measurments'!O470:O486)</f>
        <v>63.386234000000044</v>
      </c>
      <c r="S40" s="27"/>
      <c r="T40" s="17">
        <f t="shared" si="5"/>
        <v>253.54493600000018</v>
      </c>
      <c r="U40" s="25"/>
      <c r="V40" s="27"/>
      <c r="W40" s="17">
        <f t="shared" si="6"/>
        <v>0</v>
      </c>
      <c r="X40" s="24">
        <f t="shared" si="7"/>
        <v>253.54493600000018</v>
      </c>
      <c r="Y40" s="28"/>
      <c r="Z40" s="22">
        <f t="shared" si="8"/>
        <v>0</v>
      </c>
      <c r="AA40" s="22">
        <f t="shared" si="9"/>
        <v>253.54493600000018</v>
      </c>
      <c r="AB40">
        <f t="shared" si="10"/>
        <v>0</v>
      </c>
      <c r="AC40">
        <f t="shared" si="11"/>
        <v>0</v>
      </c>
      <c r="AD40">
        <f t="shared" si="12"/>
        <v>0</v>
      </c>
      <c r="AE40">
        <f t="shared" si="13"/>
        <v>1</v>
      </c>
      <c r="AF40">
        <f t="shared" si="14"/>
        <v>21033.62801</v>
      </c>
      <c r="AG40">
        <f t="shared" si="15"/>
        <v>4206.7256020000004</v>
      </c>
      <c r="AH40">
        <f t="shared" si="16"/>
        <v>1066.5939735286522</v>
      </c>
    </row>
    <row r="41" spans="1:34">
      <c r="A41" s="23" t="s">
        <v>30</v>
      </c>
      <c r="B41" s="24">
        <f>'Plant Measurments'!C487</f>
        <v>48</v>
      </c>
      <c r="C41" s="25"/>
      <c r="D41" s="26"/>
      <c r="E41" s="17">
        <f t="shared" si="0"/>
        <v>0</v>
      </c>
      <c r="F41" s="25"/>
      <c r="G41" s="27"/>
      <c r="H41" s="24">
        <f t="shared" si="17"/>
        <v>0</v>
      </c>
      <c r="I41" s="25"/>
      <c r="J41" s="27"/>
      <c r="K41" s="17">
        <f t="shared" si="2"/>
        <v>0</v>
      </c>
      <c r="L41" s="25"/>
      <c r="M41" s="27"/>
      <c r="N41" s="17">
        <f t="shared" si="3"/>
        <v>0</v>
      </c>
      <c r="O41" s="25"/>
      <c r="P41" s="27"/>
      <c r="Q41" s="17">
        <f t="shared" si="4"/>
        <v>0</v>
      </c>
      <c r="R41" s="25">
        <f>SUM('Plant Measurments'!O487:O493)</f>
        <v>48.494545000000024</v>
      </c>
      <c r="S41" s="27"/>
      <c r="T41" s="17">
        <f t="shared" si="5"/>
        <v>193.97818000000009</v>
      </c>
      <c r="U41" s="25"/>
      <c r="V41" s="27"/>
      <c r="W41" s="17">
        <f t="shared" si="6"/>
        <v>0</v>
      </c>
      <c r="X41" s="24">
        <f t="shared" si="7"/>
        <v>193.97818000000009</v>
      </c>
      <c r="Y41" s="28"/>
      <c r="Z41" s="22">
        <f t="shared" si="8"/>
        <v>0</v>
      </c>
      <c r="AA41" s="22">
        <f t="shared" si="9"/>
        <v>193.97818000000009</v>
      </c>
      <c r="AB41">
        <f t="shared" si="10"/>
        <v>0</v>
      </c>
      <c r="AC41">
        <f t="shared" si="11"/>
        <v>0</v>
      </c>
      <c r="AD41">
        <f t="shared" si="12"/>
        <v>0</v>
      </c>
      <c r="AE41">
        <f t="shared" si="13"/>
        <v>1</v>
      </c>
      <c r="AF41">
        <f t="shared" si="14"/>
        <v>21033.62801</v>
      </c>
      <c r="AG41">
        <f t="shared" si="15"/>
        <v>4206.7256020000004</v>
      </c>
      <c r="AH41">
        <f t="shared" si="16"/>
        <v>816.01297603536477</v>
      </c>
    </row>
    <row r="42" spans="1:34">
      <c r="A42" s="29" t="s">
        <v>30</v>
      </c>
      <c r="B42" s="30">
        <f>'Plant Measurments'!C494</f>
        <v>50</v>
      </c>
      <c r="C42" s="31">
        <f>SUM('Plant Measurments'!O494:O504)</f>
        <v>13.68632902616784</v>
      </c>
      <c r="D42" s="32"/>
      <c r="E42" s="17">
        <f>C42*4</f>
        <v>54.74531610467136</v>
      </c>
      <c r="F42" s="31"/>
      <c r="G42" s="33"/>
      <c r="H42" s="24">
        <f t="shared" si="17"/>
        <v>0</v>
      </c>
      <c r="I42" s="31"/>
      <c r="J42" s="33"/>
      <c r="K42" s="17">
        <f t="shared" si="2"/>
        <v>0</v>
      </c>
      <c r="L42" s="31"/>
      <c r="M42" s="33"/>
      <c r="N42" s="17">
        <f t="shared" si="3"/>
        <v>0</v>
      </c>
      <c r="O42" s="31"/>
      <c r="P42" s="33"/>
      <c r="Q42" s="17">
        <f t="shared" si="4"/>
        <v>0</v>
      </c>
      <c r="R42" s="31">
        <f>SUM('Plant Measurments'!O505:O508)</f>
        <v>29.369501000000014</v>
      </c>
      <c r="S42" s="33"/>
      <c r="T42" s="17">
        <f t="shared" si="5"/>
        <v>117.47800400000006</v>
      </c>
      <c r="U42" s="31"/>
      <c r="V42" s="33"/>
      <c r="W42" s="17">
        <f t="shared" si="6"/>
        <v>0</v>
      </c>
      <c r="X42" s="30">
        <f t="shared" si="7"/>
        <v>172.22332010467142</v>
      </c>
      <c r="Y42" s="34"/>
      <c r="Z42" s="22">
        <f t="shared" si="8"/>
        <v>54.74531610467136</v>
      </c>
      <c r="AA42" s="22">
        <f t="shared" si="9"/>
        <v>117.47800400000006</v>
      </c>
      <c r="AB42">
        <f t="shared" si="10"/>
        <v>0.3178740026112552</v>
      </c>
      <c r="AC42">
        <f t="shared" si="11"/>
        <v>0</v>
      </c>
      <c r="AD42">
        <f t="shared" si="12"/>
        <v>0</v>
      </c>
      <c r="AE42">
        <f t="shared" si="13"/>
        <v>0.6821259973887448</v>
      </c>
      <c r="AF42">
        <f t="shared" si="14"/>
        <v>21033.62801</v>
      </c>
      <c r="AG42">
        <f t="shared" si="15"/>
        <v>4206.7256020000004</v>
      </c>
      <c r="AH42">
        <f t="shared" si="16"/>
        <v>724.49624994576266</v>
      </c>
    </row>
    <row r="43" spans="1:34">
      <c r="A43" s="16" t="s">
        <v>29</v>
      </c>
      <c r="B43" s="17">
        <f>'Plant Measurments'!C509</f>
        <v>9</v>
      </c>
      <c r="C43" s="18"/>
      <c r="D43" s="38"/>
      <c r="E43" s="17">
        <f t="shared" si="0"/>
        <v>0</v>
      </c>
      <c r="F43" s="18"/>
      <c r="G43" s="20"/>
      <c r="H43" s="17"/>
      <c r="I43" s="18"/>
      <c r="J43" s="20"/>
      <c r="K43" s="17">
        <f t="shared" si="2"/>
        <v>0</v>
      </c>
      <c r="L43" s="18"/>
      <c r="M43" s="20"/>
      <c r="N43" s="17">
        <f t="shared" si="3"/>
        <v>0</v>
      </c>
      <c r="O43" s="18"/>
      <c r="P43" s="20"/>
      <c r="Q43" s="17">
        <f t="shared" si="4"/>
        <v>0</v>
      </c>
      <c r="R43" s="18">
        <f>SUM('Plant Measurments'!O510)</f>
        <v>-10.296118999999997</v>
      </c>
      <c r="S43" s="20"/>
      <c r="T43" s="17">
        <f t="shared" si="5"/>
        <v>-41.184475999999989</v>
      </c>
      <c r="U43" s="18">
        <f>SUM('Plant Measurments'!O509)</f>
        <v>16.936171000000009</v>
      </c>
      <c r="V43" s="19"/>
      <c r="W43" s="17">
        <f t="shared" si="6"/>
        <v>67.744684000000035</v>
      </c>
      <c r="X43" s="17">
        <f t="shared" si="7"/>
        <v>26.560208000000046</v>
      </c>
      <c r="Y43" s="21">
        <f>AVERAGE(X43:X47)</f>
        <v>1366.4202666400993</v>
      </c>
      <c r="Z43" s="22">
        <f t="shared" si="8"/>
        <v>0</v>
      </c>
      <c r="AA43" s="22">
        <f t="shared" si="9"/>
        <v>26.560208000000046</v>
      </c>
      <c r="AB43">
        <f t="shared" si="10"/>
        <v>0</v>
      </c>
      <c r="AC43">
        <f t="shared" si="11"/>
        <v>0</v>
      </c>
      <c r="AD43">
        <f t="shared" si="12"/>
        <v>0</v>
      </c>
      <c r="AE43">
        <f t="shared" si="13"/>
        <v>1</v>
      </c>
      <c r="AF43">
        <f t="shared" si="14"/>
        <v>21033.62801</v>
      </c>
      <c r="AG43">
        <f t="shared" si="15"/>
        <v>4206.7256020000004</v>
      </c>
      <c r="AH43">
        <f t="shared" si="16"/>
        <v>111.73150698804542</v>
      </c>
    </row>
    <row r="44" spans="1:34">
      <c r="A44" s="23" t="s">
        <v>29</v>
      </c>
      <c r="B44" s="24">
        <f>'Plant Measurments'!C511</f>
        <v>30</v>
      </c>
      <c r="C44" s="25">
        <f>SUM('Plant Measurments'!O511:O524)</f>
        <v>92.986414483016233</v>
      </c>
      <c r="D44" s="26"/>
      <c r="E44" s="17">
        <f t="shared" si="0"/>
        <v>371.94565793206493</v>
      </c>
      <c r="F44" s="25"/>
      <c r="G44" s="27"/>
      <c r="H44" s="24"/>
      <c r="I44" s="25"/>
      <c r="J44" s="27"/>
      <c r="K44" s="17">
        <f t="shared" si="2"/>
        <v>0</v>
      </c>
      <c r="L44" s="25"/>
      <c r="M44" s="27"/>
      <c r="N44" s="17">
        <f t="shared" si="3"/>
        <v>0</v>
      </c>
      <c r="O44" s="25"/>
      <c r="P44" s="27"/>
      <c r="Q44" s="17">
        <f t="shared" si="4"/>
        <v>0</v>
      </c>
      <c r="R44" s="25"/>
      <c r="S44" s="27"/>
      <c r="T44" s="17">
        <f t="shared" si="5"/>
        <v>0</v>
      </c>
      <c r="U44" s="25"/>
      <c r="V44" s="27"/>
      <c r="W44" s="17">
        <f t="shared" si="6"/>
        <v>0</v>
      </c>
      <c r="X44" s="24">
        <f t="shared" si="7"/>
        <v>371.94565793206493</v>
      </c>
      <c r="Y44" s="28"/>
      <c r="Z44" s="22">
        <f t="shared" si="8"/>
        <v>371.94565793206493</v>
      </c>
      <c r="AA44" s="22">
        <f t="shared" si="9"/>
        <v>0</v>
      </c>
      <c r="AB44">
        <f t="shared" si="10"/>
        <v>1</v>
      </c>
      <c r="AC44">
        <f t="shared" si="11"/>
        <v>0</v>
      </c>
      <c r="AD44">
        <f t="shared" si="12"/>
        <v>0</v>
      </c>
      <c r="AE44">
        <f t="shared" si="13"/>
        <v>0</v>
      </c>
      <c r="AF44">
        <f t="shared" si="14"/>
        <v>21033.62801</v>
      </c>
      <c r="AG44">
        <f t="shared" si="15"/>
        <v>4206.7256020000004</v>
      </c>
      <c r="AH44">
        <f t="shared" si="16"/>
        <v>1564.673321775552</v>
      </c>
    </row>
    <row r="45" spans="1:34">
      <c r="A45" s="23" t="s">
        <v>29</v>
      </c>
      <c r="B45" s="24">
        <f>'Plant Measurments'!C525</f>
        <v>41</v>
      </c>
      <c r="C45" s="25"/>
      <c r="D45" s="26"/>
      <c r="E45" s="17">
        <f t="shared" si="0"/>
        <v>0</v>
      </c>
      <c r="F45" s="25"/>
      <c r="G45" s="27"/>
      <c r="H45" s="24"/>
      <c r="I45" s="25"/>
      <c r="J45" s="27"/>
      <c r="K45" s="17">
        <f t="shared" si="2"/>
        <v>0</v>
      </c>
      <c r="L45" s="25"/>
      <c r="M45" s="27"/>
      <c r="N45" s="17">
        <f t="shared" si="3"/>
        <v>0</v>
      </c>
      <c r="O45" s="25"/>
      <c r="P45" s="27"/>
      <c r="Q45" s="17">
        <f t="shared" si="4"/>
        <v>0</v>
      </c>
      <c r="R45" s="25">
        <f>SUM('Plant Measurments'!O529:O536)</f>
        <v>88.80934100000006</v>
      </c>
      <c r="S45" s="27"/>
      <c r="T45" s="17">
        <f t="shared" si="5"/>
        <v>355.23736400000024</v>
      </c>
      <c r="U45" s="25">
        <f>SUM('Plant Measurments'!O525:O528)</f>
        <v>182.18001900000007</v>
      </c>
      <c r="V45" s="27"/>
      <c r="W45" s="17">
        <f t="shared" si="6"/>
        <v>728.72007600000029</v>
      </c>
      <c r="X45" s="24">
        <f t="shared" si="7"/>
        <v>1083.9574400000006</v>
      </c>
      <c r="Y45" s="28"/>
      <c r="Z45" s="22">
        <f t="shared" si="8"/>
        <v>0</v>
      </c>
      <c r="AA45" s="22">
        <f t="shared" si="9"/>
        <v>1083.9574400000006</v>
      </c>
      <c r="AB45">
        <f t="shared" si="10"/>
        <v>0</v>
      </c>
      <c r="AC45">
        <f t="shared" si="11"/>
        <v>0</v>
      </c>
      <c r="AD45">
        <f t="shared" si="12"/>
        <v>0</v>
      </c>
      <c r="AE45">
        <f t="shared" si="13"/>
        <v>1</v>
      </c>
      <c r="AF45">
        <f t="shared" si="14"/>
        <v>21033.62801</v>
      </c>
      <c r="AG45">
        <f t="shared" si="15"/>
        <v>4206.7256020000004</v>
      </c>
      <c r="AH45">
        <f t="shared" si="16"/>
        <v>4559.9115143263816</v>
      </c>
    </row>
    <row r="46" spans="1:34">
      <c r="A46" s="23" t="s">
        <v>29</v>
      </c>
      <c r="B46" s="24">
        <f>'Plant Measurments'!C537</f>
        <v>43</v>
      </c>
      <c r="C46" s="25">
        <f>SUM('Plant Measurments'!O537)</f>
        <v>5.2942080000000002</v>
      </c>
      <c r="D46" s="26"/>
      <c r="E46" s="17">
        <f t="shared" si="0"/>
        <v>21.176832000000001</v>
      </c>
      <c r="F46" s="25"/>
      <c r="G46" s="27"/>
      <c r="H46" s="24">
        <f>F46*4</f>
        <v>0</v>
      </c>
      <c r="I46" s="25"/>
      <c r="J46" s="27"/>
      <c r="K46" s="17">
        <f t="shared" si="2"/>
        <v>0</v>
      </c>
      <c r="L46" s="25"/>
      <c r="M46" s="27"/>
      <c r="N46" s="17">
        <f t="shared" si="3"/>
        <v>0</v>
      </c>
      <c r="O46" s="25"/>
      <c r="P46" s="27"/>
      <c r="Q46" s="17">
        <f t="shared" si="4"/>
        <v>0</v>
      </c>
      <c r="R46" s="25">
        <f>SUM('Plant Measurments'!O545:O547)</f>
        <v>219.77996500000006</v>
      </c>
      <c r="S46" s="27"/>
      <c r="T46" s="17">
        <f t="shared" si="5"/>
        <v>879.11986000000024</v>
      </c>
      <c r="U46" s="25">
        <f>SUM('Plant Measurments'!O538:O544)</f>
        <v>442.90923993000001</v>
      </c>
      <c r="V46" s="27"/>
      <c r="W46" s="17">
        <f t="shared" si="6"/>
        <v>1771.63695972</v>
      </c>
      <c r="X46" s="24">
        <f t="shared" si="7"/>
        <v>2671.9336517200004</v>
      </c>
      <c r="Y46" s="28"/>
      <c r="Z46" s="22">
        <f t="shared" si="8"/>
        <v>21.176832000000001</v>
      </c>
      <c r="AA46" s="22">
        <f t="shared" si="9"/>
        <v>2650.7568197200003</v>
      </c>
      <c r="AB46">
        <f t="shared" si="10"/>
        <v>7.9256578794042534E-3</v>
      </c>
      <c r="AC46">
        <f t="shared" si="11"/>
        <v>0</v>
      </c>
      <c r="AD46">
        <f t="shared" si="12"/>
        <v>0</v>
      </c>
      <c r="AE46">
        <f t="shared" si="13"/>
        <v>0.99207434212059575</v>
      </c>
      <c r="AF46">
        <f t="shared" si="14"/>
        <v>21033.62801</v>
      </c>
      <c r="AG46">
        <f t="shared" si="15"/>
        <v>4206.7256020000004</v>
      </c>
      <c r="AH46">
        <f t="shared" si="16"/>
        <v>11240.091699535878</v>
      </c>
    </row>
    <row r="47" spans="1:34">
      <c r="A47" s="29" t="s">
        <v>29</v>
      </c>
      <c r="B47" s="30">
        <f>'Plant Measurments'!C548</f>
        <v>49</v>
      </c>
      <c r="C47" s="31"/>
      <c r="D47" s="32"/>
      <c r="E47" s="17">
        <f t="shared" si="0"/>
        <v>0</v>
      </c>
      <c r="F47" s="31"/>
      <c r="G47" s="33"/>
      <c r="H47" s="30"/>
      <c r="I47" s="31">
        <f>SUM('Plant Measurments'!O548:O560)</f>
        <v>234.41267854710784</v>
      </c>
      <c r="J47" s="33"/>
      <c r="K47" s="17">
        <f t="shared" si="2"/>
        <v>937.65071418843138</v>
      </c>
      <c r="L47" s="31"/>
      <c r="M47" s="33"/>
      <c r="N47" s="17">
        <f t="shared" si="3"/>
        <v>0</v>
      </c>
      <c r="O47" s="31"/>
      <c r="P47" s="33"/>
      <c r="Q47" s="17">
        <f t="shared" si="4"/>
        <v>0</v>
      </c>
      <c r="R47" s="31">
        <f>SUM('Plant Measurments'!O563:O569)</f>
        <v>258.68785100000008</v>
      </c>
      <c r="S47" s="33"/>
      <c r="T47" s="17">
        <f t="shared" si="5"/>
        <v>1034.7514040000003</v>
      </c>
      <c r="U47" s="31">
        <f>SUM('Plant Measurments'!O561:O562)</f>
        <v>176.32556434</v>
      </c>
      <c r="V47" s="33"/>
      <c r="W47" s="17">
        <f t="shared" si="6"/>
        <v>705.30225736</v>
      </c>
      <c r="X47" s="30">
        <f t="shared" si="7"/>
        <v>2677.7043755484315</v>
      </c>
      <c r="Y47" s="34"/>
      <c r="Z47" s="22">
        <f t="shared" si="8"/>
        <v>0</v>
      </c>
      <c r="AA47" s="22">
        <f t="shared" si="9"/>
        <v>1740.0536613600002</v>
      </c>
      <c r="AB47">
        <f t="shared" si="10"/>
        <v>0</v>
      </c>
      <c r="AC47">
        <f t="shared" si="11"/>
        <v>0</v>
      </c>
      <c r="AD47">
        <f t="shared" si="12"/>
        <v>0.35016961646350053</v>
      </c>
      <c r="AE47">
        <f t="shared" si="13"/>
        <v>0.64983038353649958</v>
      </c>
      <c r="AF47">
        <f t="shared" si="14"/>
        <v>21033.62801</v>
      </c>
      <c r="AG47">
        <f t="shared" si="15"/>
        <v>4206.7256020000004</v>
      </c>
      <c r="AH47">
        <f t="shared" si="16"/>
        <v>11264.367551207009</v>
      </c>
    </row>
    <row r="48" spans="1:34">
      <c r="A48" s="16" t="s">
        <v>22</v>
      </c>
      <c r="B48" s="17">
        <f>'Plant Measurments'!C570</f>
        <v>14</v>
      </c>
      <c r="C48" s="18"/>
      <c r="D48" s="19"/>
      <c r="E48" s="17">
        <f t="shared" si="0"/>
        <v>0</v>
      </c>
      <c r="F48" s="18"/>
      <c r="G48" s="20"/>
      <c r="H48" s="17"/>
      <c r="I48" s="18">
        <f>SUM('Plant Measurments'!O570:O575)</f>
        <v>54.859551286430467</v>
      </c>
      <c r="J48" s="20"/>
      <c r="K48" s="17">
        <f t="shared" si="2"/>
        <v>219.43820514572187</v>
      </c>
      <c r="L48" s="18"/>
      <c r="M48" s="20"/>
      <c r="N48" s="17">
        <f t="shared" si="3"/>
        <v>0</v>
      </c>
      <c r="O48" s="18"/>
      <c r="P48" s="20"/>
      <c r="Q48" s="17">
        <f t="shared" si="4"/>
        <v>0</v>
      </c>
      <c r="R48" s="18">
        <f>SUM('Plant Measurments'!O578:O584)</f>
        <v>48.905999000000008</v>
      </c>
      <c r="S48" s="20"/>
      <c r="T48" s="17">
        <f t="shared" si="5"/>
        <v>195.62399600000003</v>
      </c>
      <c r="U48" s="18">
        <f>SUM('Plant Measurments'!O576:O577)</f>
        <v>68.495792000000009</v>
      </c>
      <c r="V48" s="20"/>
      <c r="W48" s="17">
        <f t="shared" si="6"/>
        <v>273.98316800000003</v>
      </c>
      <c r="X48" s="17">
        <f t="shared" si="7"/>
        <v>689.04536914572191</v>
      </c>
      <c r="Y48" s="21">
        <f>AVERAGE(X48:X52)</f>
        <v>452.52570262914452</v>
      </c>
      <c r="Z48" s="22">
        <f>E48+Q48</f>
        <v>0</v>
      </c>
      <c r="AA48" s="22">
        <f t="shared" si="9"/>
        <v>469.60716400000007</v>
      </c>
      <c r="AB48">
        <f t="shared" si="10"/>
        <v>0</v>
      </c>
      <c r="AC48">
        <f t="shared" si="11"/>
        <v>0</v>
      </c>
      <c r="AD48">
        <f t="shared" si="12"/>
        <v>0.31846699066823603</v>
      </c>
      <c r="AE48">
        <f t="shared" si="13"/>
        <v>0.68153300933176397</v>
      </c>
      <c r="AF48">
        <f t="shared" si="14"/>
        <v>21033.62801</v>
      </c>
      <c r="AG48">
        <f t="shared" si="15"/>
        <v>4206.7256020000004</v>
      </c>
      <c r="AH48">
        <f t="shared" si="16"/>
        <v>2898.6247953248494</v>
      </c>
    </row>
    <row r="49" spans="1:34">
      <c r="A49" s="23" t="s">
        <v>22</v>
      </c>
      <c r="B49" s="24">
        <f>'Plant Measurments'!C585</f>
        <v>15</v>
      </c>
      <c r="C49" s="25"/>
      <c r="D49" s="26"/>
      <c r="E49" s="17">
        <f t="shared" si="0"/>
        <v>0</v>
      </c>
      <c r="F49" s="25"/>
      <c r="G49" s="27"/>
      <c r="H49" s="24"/>
      <c r="I49" s="25"/>
      <c r="J49" s="27"/>
      <c r="K49" s="17">
        <f t="shared" si="2"/>
        <v>0</v>
      </c>
      <c r="L49" s="25"/>
      <c r="M49" s="27"/>
      <c r="N49" s="17">
        <f t="shared" si="3"/>
        <v>0</v>
      </c>
      <c r="O49" s="25"/>
      <c r="P49" s="27"/>
      <c r="Q49" s="17">
        <f t="shared" si="4"/>
        <v>0</v>
      </c>
      <c r="R49" s="25"/>
      <c r="S49" s="27"/>
      <c r="T49" s="17">
        <f t="shared" si="5"/>
        <v>0</v>
      </c>
      <c r="U49" s="25">
        <f>SUM('Plant Measurments'!O590:O597)</f>
        <v>53.338304000000001</v>
      </c>
      <c r="V49" s="27"/>
      <c r="W49" s="17">
        <f t="shared" si="6"/>
        <v>213.353216</v>
      </c>
      <c r="X49" s="24">
        <f t="shared" si="7"/>
        <v>213.353216</v>
      </c>
      <c r="Y49" s="28"/>
      <c r="Z49" s="22">
        <f t="shared" si="8"/>
        <v>0</v>
      </c>
      <c r="AA49" s="22">
        <f t="shared" si="9"/>
        <v>213.353216</v>
      </c>
      <c r="AB49">
        <f t="shared" si="10"/>
        <v>0</v>
      </c>
      <c r="AC49">
        <f t="shared" si="11"/>
        <v>0</v>
      </c>
      <c r="AD49">
        <f t="shared" si="12"/>
        <v>0</v>
      </c>
      <c r="AE49">
        <f t="shared" si="13"/>
        <v>1</v>
      </c>
      <c r="AF49">
        <f t="shared" si="14"/>
        <v>21033.62801</v>
      </c>
      <c r="AG49">
        <f t="shared" si="15"/>
        <v>4206.7256020000004</v>
      </c>
      <c r="AH49">
        <f t="shared" si="16"/>
        <v>897.51843601623614</v>
      </c>
    </row>
    <row r="50" spans="1:34">
      <c r="A50" s="23" t="s">
        <v>22</v>
      </c>
      <c r="B50" s="24">
        <f>'Plant Measurments'!C598</f>
        <v>31</v>
      </c>
      <c r="C50" s="25"/>
      <c r="D50" s="26"/>
      <c r="E50" s="17">
        <f t="shared" si="0"/>
        <v>0</v>
      </c>
      <c r="F50" s="25"/>
      <c r="G50" s="27"/>
      <c r="H50" s="24">
        <f>F50*4</f>
        <v>0</v>
      </c>
      <c r="I50" s="25"/>
      <c r="J50" s="27"/>
      <c r="K50" s="17">
        <f t="shared" si="2"/>
        <v>0</v>
      </c>
      <c r="L50" s="25"/>
      <c r="M50" s="27"/>
      <c r="N50" s="17">
        <f t="shared" si="3"/>
        <v>0</v>
      </c>
      <c r="O50" s="25"/>
      <c r="P50" s="27"/>
      <c r="Q50" s="17">
        <f t="shared" si="4"/>
        <v>0</v>
      </c>
      <c r="R50" s="25"/>
      <c r="S50" s="27"/>
      <c r="T50" s="17">
        <f t="shared" si="5"/>
        <v>0</v>
      </c>
      <c r="U50" s="25">
        <f>SUM('Plant Measurments'!O598:O603)</f>
        <v>119.04008600000003</v>
      </c>
      <c r="V50" s="27"/>
      <c r="W50" s="17">
        <f t="shared" si="6"/>
        <v>476.16034400000012</v>
      </c>
      <c r="X50" s="24">
        <f t="shared" si="7"/>
        <v>476.16034400000012</v>
      </c>
      <c r="Y50" s="28"/>
      <c r="Z50" s="22">
        <f t="shared" si="8"/>
        <v>0</v>
      </c>
      <c r="AA50" s="22">
        <f t="shared" si="9"/>
        <v>476.16034400000012</v>
      </c>
      <c r="AB50">
        <f t="shared" si="10"/>
        <v>0</v>
      </c>
      <c r="AC50">
        <f t="shared" si="11"/>
        <v>0</v>
      </c>
      <c r="AD50">
        <f t="shared" si="12"/>
        <v>0</v>
      </c>
      <c r="AE50">
        <f t="shared" si="13"/>
        <v>1</v>
      </c>
      <c r="AF50">
        <f t="shared" si="14"/>
        <v>21033.62801</v>
      </c>
      <c r="AG50">
        <f t="shared" si="15"/>
        <v>4206.7256020000004</v>
      </c>
      <c r="AH50">
        <f t="shared" si="16"/>
        <v>2003.0759097619277</v>
      </c>
    </row>
    <row r="51" spans="1:34">
      <c r="A51" s="23" t="s">
        <v>22</v>
      </c>
      <c r="B51" s="24">
        <f>'Plant Measurments'!C607</f>
        <v>39</v>
      </c>
      <c r="C51" s="25"/>
      <c r="D51" s="26"/>
      <c r="E51" s="17">
        <f t="shared" si="0"/>
        <v>0</v>
      </c>
      <c r="F51" s="25"/>
      <c r="G51" s="27"/>
      <c r="H51" s="24">
        <f>F51*4</f>
        <v>0</v>
      </c>
      <c r="I51" s="25"/>
      <c r="J51" s="27"/>
      <c r="K51" s="17">
        <f t="shared" si="2"/>
        <v>0</v>
      </c>
      <c r="L51" s="25"/>
      <c r="M51" s="27"/>
      <c r="N51" s="17">
        <f t="shared" si="3"/>
        <v>0</v>
      </c>
      <c r="O51" s="25"/>
      <c r="P51" s="27"/>
      <c r="Q51" s="17">
        <f t="shared" si="4"/>
        <v>0</v>
      </c>
      <c r="R51" s="25">
        <f>SUM('Plant Measurments'!O616:O618)</f>
        <v>38.356779999999993</v>
      </c>
      <c r="S51" s="27"/>
      <c r="T51" s="17">
        <f t="shared" si="5"/>
        <v>153.42711999999997</v>
      </c>
      <c r="U51" s="25"/>
      <c r="V51" s="27"/>
      <c r="W51" s="17">
        <f t="shared" si="6"/>
        <v>0</v>
      </c>
      <c r="X51" s="24">
        <f t="shared" si="7"/>
        <v>153.42711999999997</v>
      </c>
      <c r="Y51" s="28"/>
      <c r="Z51" s="22">
        <f t="shared" si="8"/>
        <v>0</v>
      </c>
      <c r="AA51" s="22">
        <f t="shared" si="9"/>
        <v>153.42711999999997</v>
      </c>
      <c r="AB51">
        <f t="shared" si="10"/>
        <v>0</v>
      </c>
      <c r="AC51">
        <f t="shared" si="11"/>
        <v>0</v>
      </c>
      <c r="AD51">
        <f t="shared" si="12"/>
        <v>0</v>
      </c>
      <c r="AE51">
        <f t="shared" si="13"/>
        <v>1</v>
      </c>
      <c r="AF51">
        <f t="shared" si="14"/>
        <v>21033.62801</v>
      </c>
      <c r="AG51">
        <f t="shared" si="15"/>
        <v>4206.7256020000004</v>
      </c>
      <c r="AH51">
        <f t="shared" si="16"/>
        <v>645.42579374512627</v>
      </c>
    </row>
    <row r="52" spans="1:34">
      <c r="A52" s="29" t="s">
        <v>22</v>
      </c>
      <c r="B52" s="30">
        <f>'Plant Measurments'!C618</f>
        <v>44</v>
      </c>
      <c r="C52" s="31"/>
      <c r="D52" s="32"/>
      <c r="E52" s="17">
        <f t="shared" si="0"/>
        <v>0</v>
      </c>
      <c r="F52" s="31"/>
      <c r="G52" s="33"/>
      <c r="H52" s="30"/>
      <c r="I52" s="31"/>
      <c r="J52" s="33"/>
      <c r="K52" s="17">
        <f t="shared" si="2"/>
        <v>0</v>
      </c>
      <c r="L52" s="31"/>
      <c r="M52" s="33"/>
      <c r="N52" s="17">
        <f t="shared" si="3"/>
        <v>0</v>
      </c>
      <c r="O52" s="31"/>
      <c r="P52" s="33"/>
      <c r="Q52" s="17">
        <f t="shared" si="4"/>
        <v>0</v>
      </c>
      <c r="R52" s="31">
        <f>SUM('Plant Measurments'!O621:O625)</f>
        <v>110.28061300000007</v>
      </c>
      <c r="S52" s="33"/>
      <c r="T52" s="17">
        <f t="shared" si="5"/>
        <v>441.12245200000029</v>
      </c>
      <c r="U52" s="31">
        <f>SUM('Plant Measurments'!O618:O620)</f>
        <v>72.380003000000016</v>
      </c>
      <c r="V52" s="33"/>
      <c r="W52" s="17">
        <f t="shared" si="6"/>
        <v>289.52001200000007</v>
      </c>
      <c r="X52" s="30">
        <f t="shared" si="7"/>
        <v>730.64246400000036</v>
      </c>
      <c r="Y52" s="34"/>
      <c r="Z52" s="22">
        <f t="shared" si="8"/>
        <v>0</v>
      </c>
      <c r="AA52" s="22">
        <f t="shared" si="9"/>
        <v>730.64246400000036</v>
      </c>
      <c r="AB52">
        <f t="shared" si="10"/>
        <v>0</v>
      </c>
      <c r="AC52">
        <f t="shared" si="11"/>
        <v>0</v>
      </c>
      <c r="AD52">
        <f t="shared" si="12"/>
        <v>0</v>
      </c>
      <c r="AE52">
        <f t="shared" si="13"/>
        <v>1</v>
      </c>
      <c r="AF52">
        <f t="shared" si="14"/>
        <v>21033.62801</v>
      </c>
      <c r="AG52">
        <f t="shared" si="15"/>
        <v>4206.7256020000004</v>
      </c>
      <c r="AH52">
        <f t="shared" si="16"/>
        <v>3073.6123592171652</v>
      </c>
    </row>
    <row r="53" spans="1:34">
      <c r="Y53" t="s">
        <v>62</v>
      </c>
      <c r="AB53">
        <f>AVERAGE(AB3:AB52)</f>
        <v>0.11520154021917513</v>
      </c>
      <c r="AC53">
        <f t="shared" ref="AC53:AE53" si="18">AVERAGE(AC3:AC52)</f>
        <v>0</v>
      </c>
      <c r="AD53">
        <f t="shared" si="18"/>
        <v>0.1534550400111229</v>
      </c>
      <c r="AE53">
        <f t="shared" si="18"/>
        <v>0.73134341976970207</v>
      </c>
      <c r="AG53" t="s">
        <v>63</v>
      </c>
      <c r="AH53">
        <f>SUM(AH3:AH52)</f>
        <v>171017.8949509646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2013-06-17T16:19:05Z</dcterms:created>
  <dcterms:modified xsi:type="dcterms:W3CDTF">2014-08-25T22:30:16Z</dcterms:modified>
</cp:coreProperties>
</file>