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680" yWindow="1660" windowWidth="43180" windowHeight="25420" tabRatio="500"/>
  </bookViews>
  <sheets>
    <sheet name="Plant Measurments" sheetId="1" r:id="rId1"/>
    <sheet name="Quadrat Tota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2" i="1" l="1"/>
  <c r="J561" i="1"/>
  <c r="J559" i="1"/>
  <c r="J558" i="1"/>
  <c r="J557" i="1"/>
  <c r="J555" i="1"/>
  <c r="J550" i="1"/>
  <c r="J549" i="1"/>
  <c r="J548" i="1"/>
  <c r="J544" i="1"/>
  <c r="J541" i="1"/>
  <c r="J537" i="1"/>
  <c r="J534" i="1"/>
  <c r="J533" i="1"/>
  <c r="J532" i="1"/>
  <c r="J530" i="1"/>
  <c r="J525" i="1"/>
  <c r="J524" i="1"/>
  <c r="J523" i="1"/>
  <c r="J521" i="1"/>
  <c r="J520" i="1"/>
  <c r="J519" i="1"/>
  <c r="J518" i="1"/>
  <c r="J515" i="1"/>
  <c r="J514" i="1"/>
  <c r="J513" i="1"/>
  <c r="J512" i="1"/>
  <c r="J507" i="1"/>
  <c r="J506" i="1"/>
  <c r="J503" i="1"/>
  <c r="J502" i="1"/>
  <c r="J501" i="1"/>
  <c r="J500" i="1"/>
  <c r="J499" i="1"/>
  <c r="J497" i="1"/>
  <c r="J496" i="1"/>
  <c r="J495" i="1"/>
  <c r="J494" i="1"/>
  <c r="J490" i="1"/>
  <c r="J488" i="1"/>
  <c r="J491" i="1"/>
  <c r="J489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64" i="1"/>
  <c r="J463" i="1"/>
  <c r="J462" i="1"/>
  <c r="J461" i="1"/>
  <c r="J460" i="1"/>
  <c r="J459" i="1"/>
  <c r="J458" i="1"/>
  <c r="J457" i="1"/>
  <c r="J456" i="1"/>
  <c r="J455" i="1"/>
  <c r="J445" i="1"/>
  <c r="J440" i="1"/>
  <c r="J442" i="1"/>
  <c r="J437" i="1"/>
  <c r="J434" i="1"/>
  <c r="J433" i="1"/>
  <c r="J432" i="1"/>
  <c r="J431" i="1"/>
  <c r="J429" i="1"/>
  <c r="J415" i="1"/>
  <c r="J414" i="1"/>
  <c r="J412" i="1"/>
  <c r="J402" i="1"/>
  <c r="J401" i="1"/>
  <c r="J398" i="1"/>
  <c r="J397" i="1"/>
  <c r="J394" i="1"/>
  <c r="J393" i="1"/>
  <c r="J392" i="1"/>
  <c r="J391" i="1"/>
  <c r="J390" i="1"/>
  <c r="J389" i="1"/>
  <c r="J387" i="1"/>
  <c r="J386" i="1"/>
  <c r="J385" i="1"/>
  <c r="J384" i="1"/>
  <c r="J383" i="1"/>
  <c r="J382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4" i="1"/>
  <c r="J362" i="1"/>
  <c r="J353" i="1"/>
  <c r="J348" i="1"/>
  <c r="J347" i="1"/>
  <c r="J346" i="1"/>
  <c r="J345" i="1"/>
  <c r="J344" i="1"/>
  <c r="J320" i="1"/>
  <c r="J319" i="1"/>
  <c r="J318" i="1"/>
  <c r="J317" i="1"/>
  <c r="J316" i="1"/>
  <c r="J315" i="1"/>
  <c r="J314" i="1"/>
  <c r="J313" i="1"/>
  <c r="J312" i="1"/>
  <c r="J311" i="1"/>
  <c r="J310" i="1"/>
  <c r="J307" i="1"/>
  <c r="J305" i="1"/>
  <c r="J293" i="1"/>
  <c r="J290" i="1"/>
  <c r="J280" i="1"/>
  <c r="J278" i="1"/>
  <c r="J276" i="1"/>
  <c r="J273" i="1"/>
  <c r="J272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43" i="1"/>
  <c r="J238" i="1"/>
  <c r="J235" i="1"/>
  <c r="J232" i="1"/>
  <c r="J231" i="1"/>
  <c r="J228" i="1"/>
  <c r="J227" i="1"/>
  <c r="J226" i="1"/>
  <c r="J225" i="1"/>
  <c r="J224" i="1"/>
  <c r="J223" i="1"/>
  <c r="J222" i="1"/>
  <c r="J221" i="1"/>
  <c r="J220" i="1"/>
  <c r="J219" i="1"/>
  <c r="J211" i="1"/>
  <c r="J208" i="1"/>
  <c r="J198" i="1"/>
  <c r="J197" i="1"/>
  <c r="J196" i="1"/>
  <c r="J195" i="1"/>
  <c r="J194" i="1"/>
  <c r="J193" i="1"/>
  <c r="J192" i="1"/>
  <c r="J191" i="1"/>
  <c r="J190" i="1"/>
  <c r="J189" i="1"/>
  <c r="J188" i="1"/>
  <c r="J186" i="1"/>
  <c r="J185" i="1"/>
  <c r="J182" i="1"/>
  <c r="J181" i="1"/>
  <c r="J180" i="1"/>
  <c r="J179" i="1"/>
  <c r="J167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8" i="1"/>
  <c r="J147" i="1"/>
  <c r="J146" i="1"/>
  <c r="J145" i="1"/>
  <c r="J144" i="1"/>
  <c r="J143" i="1"/>
  <c r="J142" i="1"/>
  <c r="J141" i="1"/>
  <c r="J140" i="1"/>
  <c r="J139" i="1"/>
  <c r="J136" i="1"/>
  <c r="J135" i="1"/>
  <c r="J133" i="1"/>
  <c r="J131" i="1"/>
  <c r="J130" i="1"/>
  <c r="J129" i="1"/>
  <c r="J128" i="1"/>
  <c r="J127" i="1"/>
  <c r="J126" i="1"/>
  <c r="J125" i="1"/>
  <c r="J124" i="1"/>
  <c r="J123" i="1"/>
  <c r="J120" i="1"/>
  <c r="J119" i="1"/>
  <c r="J117" i="1"/>
  <c r="J116" i="1"/>
  <c r="J115" i="1"/>
  <c r="J114" i="1"/>
  <c r="J113" i="1"/>
  <c r="J112" i="1"/>
  <c r="J111" i="1"/>
  <c r="J105" i="1"/>
  <c r="J103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6" i="1"/>
  <c r="J45" i="1"/>
  <c r="J44" i="1"/>
  <c r="J43" i="1"/>
  <c r="J42" i="1"/>
  <c r="J41" i="1"/>
  <c r="J39" i="1"/>
  <c r="J38" i="1"/>
  <c r="J37" i="1"/>
  <c r="J36" i="1"/>
  <c r="J35" i="1"/>
  <c r="J33" i="1"/>
  <c r="J32" i="1"/>
  <c r="J31" i="1"/>
  <c r="J30" i="1"/>
  <c r="J24" i="1"/>
  <c r="J21" i="1"/>
  <c r="J18" i="1"/>
  <c r="J17" i="1"/>
  <c r="J15" i="1"/>
  <c r="J14" i="1"/>
  <c r="J4" i="1"/>
  <c r="R52" i="2"/>
  <c r="U52" i="2"/>
  <c r="R51" i="2"/>
  <c r="U50" i="2"/>
  <c r="U49" i="2"/>
  <c r="R48" i="2"/>
  <c r="U48" i="2"/>
  <c r="I48" i="2"/>
  <c r="R47" i="2"/>
  <c r="U47" i="2"/>
  <c r="I47" i="2"/>
  <c r="R46" i="2"/>
  <c r="U46" i="2"/>
  <c r="C46" i="2"/>
  <c r="R45" i="2"/>
  <c r="U45" i="2"/>
  <c r="C44" i="2"/>
  <c r="R43" i="2"/>
  <c r="U43" i="2"/>
  <c r="R42" i="2"/>
  <c r="C42" i="2"/>
  <c r="R41" i="2"/>
  <c r="R40" i="2"/>
  <c r="R39" i="2"/>
  <c r="C39" i="2"/>
  <c r="R38" i="2"/>
  <c r="R37" i="2"/>
  <c r="U37" i="2"/>
  <c r="C35" i="2"/>
  <c r="C34" i="2"/>
  <c r="R33" i="2"/>
  <c r="U33" i="2"/>
  <c r="I33" i="2"/>
  <c r="C33" i="2"/>
  <c r="R32" i="2"/>
  <c r="R31" i="2"/>
  <c r="U31" i="2"/>
  <c r="C31" i="2"/>
  <c r="I30" i="2"/>
  <c r="R29" i="2"/>
  <c r="I29" i="2"/>
  <c r="R28" i="2"/>
  <c r="I28" i="2"/>
  <c r="R27" i="2"/>
  <c r="U27" i="2"/>
  <c r="R26" i="2"/>
  <c r="C26" i="2"/>
  <c r="R25" i="2"/>
  <c r="C25" i="2"/>
  <c r="R24" i="2"/>
  <c r="U24" i="2"/>
  <c r="I24" i="2"/>
  <c r="I23" i="2"/>
  <c r="R22" i="2"/>
  <c r="U22" i="2"/>
  <c r="R21" i="2"/>
  <c r="U21" i="2"/>
  <c r="I20" i="2"/>
  <c r="R19" i="2"/>
  <c r="I18" i="2"/>
  <c r="R17" i="2"/>
  <c r="R16" i="2"/>
  <c r="U16" i="2"/>
  <c r="C16" i="2"/>
  <c r="R15" i="2"/>
  <c r="U15" i="2"/>
  <c r="I14" i="2"/>
  <c r="R13" i="2"/>
  <c r="R12" i="2"/>
  <c r="R11" i="2"/>
  <c r="R10" i="2"/>
  <c r="R9" i="2"/>
  <c r="R8" i="2"/>
  <c r="C8" i="2"/>
  <c r="R7" i="2"/>
  <c r="U7" i="2"/>
  <c r="R6" i="2"/>
  <c r="U6" i="2"/>
  <c r="R5" i="2"/>
  <c r="U5" i="2"/>
  <c r="R4" i="2"/>
  <c r="C4" i="2"/>
  <c r="R3" i="2"/>
  <c r="U3" i="2"/>
  <c r="C3" i="2"/>
  <c r="B30" i="2"/>
  <c r="B3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E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</calcChain>
</file>

<file path=xl/sharedStrings.xml><?xml version="1.0" encoding="utf-8"?>
<sst xmlns="http://schemas.openxmlformats.org/spreadsheetml/2006/main" count="1226" uniqueCount="65">
  <si>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</si>
  <si>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</si>
  <si>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</si>
  <si>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</si>
  <si>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</si>
  <si>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</si>
  <si>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</si>
  <si>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</si>
  <si>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</si>
  <si>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</si>
  <si>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</si>
  <si>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</si>
  <si>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</si>
  <si>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</si>
  <si>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</si>
  <si>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</si>
  <si>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</si>
  <si>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</si>
  <si>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</si>
  <si>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</si>
  <si>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M-1-E</t>
  </si>
  <si>
    <t>M-5</t>
  </si>
  <si>
    <t>M-1-W</t>
  </si>
  <si>
    <t>M-2</t>
  </si>
  <si>
    <t>M-3</t>
  </si>
  <si>
    <t>C-1</t>
  </si>
  <si>
    <t>M-4-S</t>
  </si>
  <si>
    <t>M-4-N</t>
  </si>
  <si>
    <t>C-2</t>
  </si>
  <si>
    <t>M-4-C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</si>
  <si>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</si>
  <si>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</si>
  <si>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</si>
  <si>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</si>
  <si>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</si>
  <si>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</si>
  <si>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</si>
  <si>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</si>
  <si>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</si>
  <si>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</si>
  <si>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</si>
  <si>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</si>
  <si>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</si>
  <si>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</si>
  <si>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</si>
  <si>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</si>
  <si>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</si>
  <si>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</si>
  <si>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</si>
  <si>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</si>
  <si>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</si>
  <si>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</si>
  <si>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</si>
  <si>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</si>
  <si>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</si>
  <si>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</si>
  <si>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</si>
  <si>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</si>
  <si>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</si>
  <si>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</si>
  <si>
    <t>T. domingensis</t>
  </si>
  <si>
    <t>S. acutus</t>
  </si>
  <si>
    <t>S. californicus</t>
  </si>
  <si>
    <t>Thatched</t>
  </si>
  <si>
    <t>Clump of living material; not practical to measure; runover by airboat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</si>
</sst>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15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14" fontId="0" fillId="0" borderId="0" xfId="0" applyNumberFormat="1" applyAlignment="1">
      <alignment horizontal="right"/>
    </xf>
    <xf numFmtId="14" fontId="5" fillId="0" borderId="0" xfId="0" applyNumberFormat="1" applyFont="1"/>
    <xf numFmtId="0" fontId="6" fillId="2" borderId="1" xfId="1439" applyFill="1" applyAlignment="1">
      <alignment horizontal="center"/>
    </xf>
    <xf numFmtId="0" fontId="7" fillId="2" borderId="2" xfId="1440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1449" applyBorder="1" applyAlignment="1">
      <alignment wrapText="1"/>
    </xf>
    <xf numFmtId="0" fontId="7" fillId="2" borderId="3" xfId="1440" applyBorder="1"/>
    <xf numFmtId="0" fontId="7" fillId="2" borderId="4" xfId="144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1440" applyBorder="1"/>
    <xf numFmtId="0" fontId="7" fillId="2" borderId="0" xfId="1440" applyBorder="1"/>
    <xf numFmtId="0" fontId="7" fillId="2" borderId="8" xfId="1440" applyBorder="1"/>
    <xf numFmtId="0" fontId="7" fillId="2" borderId="2" xfId="1440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1440" applyBorder="1"/>
    <xf numFmtId="0" fontId="7" fillId="2" borderId="11" xfId="1440" applyBorder="1"/>
    <xf numFmtId="0" fontId="7" fillId="2" borderId="12" xfId="1440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1440" applyBorder="1"/>
    <xf numFmtId="0" fontId="7" fillId="0" borderId="3" xfId="1440" applyFill="1" applyBorder="1"/>
    <xf numFmtId="0" fontId="7" fillId="0" borderId="4" xfId="1440" applyFill="1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1439" applyFill="1" applyAlignment="1">
      <alignment horizontal="center"/>
    </xf>
  </cellXfs>
  <cellStyles count="15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Heading 1" xfId="1439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Normal" xfId="0" builtinId="0"/>
    <cellStyle name="Output" xfId="1440" builtinId="21"/>
    <cellStyle name="Output 2" xfId="144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1"/>
  <sheetViews>
    <sheetView tabSelected="1" topLeftCell="A500" workbookViewId="0">
      <selection activeCell="A547" sqref="A547:A563"/>
    </sheetView>
  </sheetViews>
  <sheetFormatPr baseColWidth="10" defaultRowHeight="15" x14ac:dyDescent="0"/>
  <cols>
    <col min="2" max="2" width="10.83203125" style="7"/>
    <col min="4" max="4" width="19.6640625" customWidth="1"/>
    <col min="5" max="5" width="12.6640625" customWidth="1"/>
    <col min="6" max="6" width="11.33203125" customWidth="1"/>
    <col min="7" max="7" width="11.83203125" customWidth="1"/>
    <col min="8" max="8" width="9.1640625" customWidth="1"/>
    <col min="9" max="9" width="8.33203125" customWidth="1"/>
    <col min="10" max="10" width="12.33203125" customWidth="1"/>
    <col min="11" max="11" width="12.5" customWidth="1"/>
    <col min="12" max="12" width="15.1640625" customWidth="1"/>
    <col min="13" max="13" width="19.33203125" customWidth="1"/>
    <col min="14" max="14" width="13.33203125" customWidth="1"/>
  </cols>
  <sheetData>
    <row r="1" spans="1:17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"/>
      <c r="Q1" s="1"/>
    </row>
    <row r="2" spans="1:17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2"/>
      <c r="Q2" s="2"/>
    </row>
    <row r="3" spans="1:17" ht="60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9">
        <v>41897</v>
      </c>
      <c r="B4" s="7" t="s">
        <v>21</v>
      </c>
      <c r="C4">
        <v>45</v>
      </c>
      <c r="D4" t="s">
        <v>19</v>
      </c>
      <c r="F4">
        <v>2.33</v>
      </c>
      <c r="J4">
        <f>114+130+181+190+230+237</f>
        <v>1082</v>
      </c>
      <c r="K4">
        <v>6</v>
      </c>
      <c r="L4">
        <v>237</v>
      </c>
    </row>
    <row r="5" spans="1:17">
      <c r="A5" s="9">
        <v>41897</v>
      </c>
      <c r="B5" s="7" t="s">
        <v>21</v>
      </c>
      <c r="C5">
        <v>45</v>
      </c>
      <c r="D5" t="s">
        <v>62</v>
      </c>
      <c r="E5">
        <v>277</v>
      </c>
      <c r="F5">
        <v>1.18</v>
      </c>
    </row>
    <row r="6" spans="1:17">
      <c r="A6" s="9">
        <v>41897</v>
      </c>
      <c r="B6" s="7" t="s">
        <v>21</v>
      </c>
      <c r="C6">
        <v>45</v>
      </c>
      <c r="D6" t="s">
        <v>62</v>
      </c>
      <c r="E6">
        <v>182</v>
      </c>
      <c r="F6">
        <v>1.47</v>
      </c>
    </row>
    <row r="7" spans="1:17">
      <c r="A7" s="9">
        <v>41897</v>
      </c>
      <c r="B7" s="7" t="s">
        <v>21</v>
      </c>
      <c r="C7">
        <v>45</v>
      </c>
      <c r="D7" t="s">
        <v>61</v>
      </c>
      <c r="E7">
        <v>203</v>
      </c>
      <c r="F7">
        <v>1.99</v>
      </c>
    </row>
    <row r="8" spans="1:17">
      <c r="A8" s="9">
        <v>41897</v>
      </c>
      <c r="B8" s="7" t="s">
        <v>21</v>
      </c>
      <c r="C8">
        <v>45</v>
      </c>
      <c r="D8" t="s">
        <v>62</v>
      </c>
      <c r="E8">
        <v>141</v>
      </c>
      <c r="F8">
        <v>0.91</v>
      </c>
    </row>
    <row r="9" spans="1:17">
      <c r="A9" s="9">
        <v>41897</v>
      </c>
      <c r="B9" s="7" t="s">
        <v>21</v>
      </c>
      <c r="C9">
        <v>45</v>
      </c>
      <c r="D9" t="s">
        <v>62</v>
      </c>
      <c r="E9">
        <v>152</v>
      </c>
      <c r="F9">
        <v>1.45</v>
      </c>
    </row>
    <row r="10" spans="1:17">
      <c r="A10" s="9">
        <v>41897</v>
      </c>
      <c r="B10" s="7" t="s">
        <v>21</v>
      </c>
      <c r="C10">
        <v>45</v>
      </c>
      <c r="D10" t="s">
        <v>62</v>
      </c>
      <c r="E10">
        <v>263</v>
      </c>
      <c r="F10">
        <v>1.1399999999999999</v>
      </c>
    </row>
    <row r="11" spans="1:17">
      <c r="A11" s="9">
        <v>41897</v>
      </c>
      <c r="B11" s="7" t="s">
        <v>21</v>
      </c>
      <c r="C11">
        <v>45</v>
      </c>
      <c r="D11" t="s">
        <v>62</v>
      </c>
      <c r="E11">
        <v>261</v>
      </c>
      <c r="F11">
        <v>2.34</v>
      </c>
    </row>
    <row r="12" spans="1:17">
      <c r="A12" s="9">
        <v>41897</v>
      </c>
      <c r="B12" s="7" t="s">
        <v>21</v>
      </c>
      <c r="C12">
        <v>45</v>
      </c>
      <c r="D12" t="s">
        <v>62</v>
      </c>
      <c r="E12">
        <v>340</v>
      </c>
      <c r="F12">
        <v>1.58</v>
      </c>
    </row>
    <row r="13" spans="1:17">
      <c r="A13" s="9">
        <v>41897</v>
      </c>
      <c r="B13" s="7" t="s">
        <v>21</v>
      </c>
      <c r="C13">
        <v>45</v>
      </c>
      <c r="D13" t="s">
        <v>62</v>
      </c>
      <c r="E13">
        <v>311</v>
      </c>
      <c r="F13">
        <v>2.4500000000000002</v>
      </c>
    </row>
    <row r="14" spans="1:17">
      <c r="A14" s="9">
        <v>41897</v>
      </c>
      <c r="B14" s="7" t="s">
        <v>21</v>
      </c>
      <c r="C14">
        <v>45</v>
      </c>
      <c r="D14" t="s">
        <v>60</v>
      </c>
      <c r="F14">
        <v>5.43</v>
      </c>
      <c r="J14">
        <f>145+231+250+280+320+331+325+330</f>
        <v>2212</v>
      </c>
      <c r="K14">
        <v>8</v>
      </c>
      <c r="L14">
        <v>330</v>
      </c>
    </row>
    <row r="15" spans="1:17">
      <c r="A15" s="9">
        <v>41897</v>
      </c>
      <c r="B15" s="7" t="s">
        <v>21</v>
      </c>
      <c r="C15">
        <v>45</v>
      </c>
      <c r="D15" t="s">
        <v>19</v>
      </c>
      <c r="F15">
        <v>1.6</v>
      </c>
      <c r="J15">
        <f>87+127+127+132+88</f>
        <v>561</v>
      </c>
      <c r="K15">
        <v>5</v>
      </c>
      <c r="L15">
        <v>132</v>
      </c>
    </row>
    <row r="16" spans="1:17">
      <c r="A16" s="9">
        <v>41897</v>
      </c>
      <c r="B16" s="7" t="s">
        <v>21</v>
      </c>
      <c r="C16">
        <v>45</v>
      </c>
      <c r="D16" t="s">
        <v>62</v>
      </c>
      <c r="E16">
        <v>299</v>
      </c>
      <c r="F16">
        <v>1.87</v>
      </c>
    </row>
    <row r="17" spans="1:12">
      <c r="A17" s="9">
        <v>41897</v>
      </c>
      <c r="B17" s="7" t="s">
        <v>21</v>
      </c>
      <c r="C17">
        <v>45</v>
      </c>
      <c r="D17" t="s">
        <v>19</v>
      </c>
      <c r="F17">
        <v>5.55</v>
      </c>
      <c r="J17">
        <f>241+250+302+347+375+383+390</f>
        <v>2288</v>
      </c>
      <c r="K17">
        <v>7</v>
      </c>
      <c r="L17">
        <v>390</v>
      </c>
    </row>
    <row r="18" spans="1:12">
      <c r="A18" s="9">
        <v>41897</v>
      </c>
      <c r="B18" s="7" t="s">
        <v>21</v>
      </c>
      <c r="C18">
        <v>45</v>
      </c>
      <c r="D18" t="s">
        <v>60</v>
      </c>
      <c r="F18">
        <v>4.4000000000000004</v>
      </c>
      <c r="J18">
        <f>164+216+272+297+368+376</f>
        <v>1693</v>
      </c>
      <c r="K18">
        <v>6</v>
      </c>
      <c r="L18">
        <v>376</v>
      </c>
    </row>
    <row r="19" spans="1:12">
      <c r="A19" s="9">
        <v>41897</v>
      </c>
      <c r="B19" s="7" t="s">
        <v>21</v>
      </c>
      <c r="C19">
        <v>45</v>
      </c>
      <c r="D19" t="s">
        <v>62</v>
      </c>
      <c r="E19">
        <v>121</v>
      </c>
      <c r="F19">
        <v>0.71</v>
      </c>
    </row>
    <row r="20" spans="1:12">
      <c r="A20" s="9">
        <v>41897</v>
      </c>
      <c r="B20" s="7" t="s">
        <v>21</v>
      </c>
      <c r="C20">
        <v>45</v>
      </c>
      <c r="D20" t="s">
        <v>62</v>
      </c>
      <c r="E20">
        <v>324</v>
      </c>
      <c r="F20">
        <v>1.49</v>
      </c>
      <c r="G20">
        <v>7</v>
      </c>
    </row>
    <row r="21" spans="1:12">
      <c r="A21" s="9">
        <v>41897</v>
      </c>
      <c r="B21" s="7" t="s">
        <v>21</v>
      </c>
      <c r="C21">
        <v>45</v>
      </c>
      <c r="D21" t="s">
        <v>19</v>
      </c>
      <c r="F21">
        <v>3.58</v>
      </c>
      <c r="J21">
        <f>179+261+270+340+340+359+362+370</f>
        <v>2481</v>
      </c>
      <c r="K21">
        <v>8</v>
      </c>
      <c r="L21">
        <v>370</v>
      </c>
    </row>
    <row r="22" spans="1:12">
      <c r="A22" s="9">
        <v>41897</v>
      </c>
      <c r="B22" s="7" t="s">
        <v>21</v>
      </c>
      <c r="C22">
        <v>45</v>
      </c>
      <c r="D22" t="s">
        <v>62</v>
      </c>
      <c r="E22">
        <v>362</v>
      </c>
      <c r="F22">
        <v>1.34</v>
      </c>
    </row>
    <row r="23" spans="1:12">
      <c r="A23" s="9">
        <v>41897</v>
      </c>
      <c r="B23" s="7" t="s">
        <v>21</v>
      </c>
      <c r="C23">
        <v>45</v>
      </c>
      <c r="D23" t="s">
        <v>62</v>
      </c>
      <c r="E23">
        <v>367</v>
      </c>
      <c r="F23">
        <v>1.29</v>
      </c>
      <c r="G23">
        <v>6</v>
      </c>
    </row>
    <row r="24" spans="1:12">
      <c r="A24" s="9">
        <v>41897</v>
      </c>
      <c r="B24" s="7" t="s">
        <v>21</v>
      </c>
      <c r="C24">
        <v>45</v>
      </c>
      <c r="D24" t="s">
        <v>19</v>
      </c>
      <c r="F24">
        <v>3.04</v>
      </c>
      <c r="J24">
        <f>82+115+236+280+289+294</f>
        <v>1296</v>
      </c>
      <c r="K24">
        <v>6</v>
      </c>
      <c r="L24">
        <v>294</v>
      </c>
    </row>
    <row r="25" spans="1:12">
      <c r="A25" s="9">
        <v>41897</v>
      </c>
      <c r="B25" s="7" t="s">
        <v>21</v>
      </c>
      <c r="C25">
        <v>45</v>
      </c>
      <c r="D25" t="s">
        <v>62</v>
      </c>
      <c r="E25">
        <v>168</v>
      </c>
      <c r="F25">
        <v>1.17</v>
      </c>
    </row>
    <row r="26" spans="1:12">
      <c r="A26" s="9">
        <v>41897</v>
      </c>
      <c r="B26" s="7" t="s">
        <v>21</v>
      </c>
      <c r="C26">
        <v>45</v>
      </c>
      <c r="D26" t="s">
        <v>62</v>
      </c>
      <c r="E26">
        <v>376</v>
      </c>
      <c r="F26">
        <v>1.21</v>
      </c>
    </row>
    <row r="27" spans="1:12">
      <c r="A27" s="9">
        <v>41897</v>
      </c>
      <c r="B27" s="7" t="s">
        <v>21</v>
      </c>
      <c r="C27">
        <v>45</v>
      </c>
      <c r="D27" t="s">
        <v>62</v>
      </c>
      <c r="E27">
        <v>217</v>
      </c>
      <c r="F27">
        <v>1.46</v>
      </c>
    </row>
    <row r="28" spans="1:12">
      <c r="A28" s="9">
        <v>41897</v>
      </c>
      <c r="B28" s="7" t="s">
        <v>21</v>
      </c>
      <c r="C28">
        <v>45</v>
      </c>
      <c r="D28" t="s">
        <v>62</v>
      </c>
      <c r="E28">
        <v>153</v>
      </c>
      <c r="F28">
        <v>1.06</v>
      </c>
    </row>
    <row r="29" spans="1:12">
      <c r="A29" s="9">
        <v>41897</v>
      </c>
      <c r="B29" s="7" t="s">
        <v>21</v>
      </c>
      <c r="C29">
        <v>45</v>
      </c>
      <c r="D29" t="s">
        <v>62</v>
      </c>
      <c r="E29">
        <v>323</v>
      </c>
      <c r="F29">
        <v>1.4</v>
      </c>
    </row>
    <row r="30" spans="1:12">
      <c r="A30" s="9">
        <v>41897</v>
      </c>
      <c r="B30" s="7" t="s">
        <v>21</v>
      </c>
      <c r="C30">
        <v>44</v>
      </c>
      <c r="D30" t="s">
        <v>19</v>
      </c>
      <c r="F30">
        <v>6</v>
      </c>
      <c r="J30">
        <f>152+205+283+288+322+331+344</f>
        <v>1925</v>
      </c>
      <c r="K30">
        <v>7</v>
      </c>
      <c r="L30">
        <v>344</v>
      </c>
    </row>
    <row r="31" spans="1:12">
      <c r="A31" s="9">
        <v>41897</v>
      </c>
      <c r="B31" s="7" t="s">
        <v>21</v>
      </c>
      <c r="C31">
        <v>44</v>
      </c>
      <c r="D31" t="s">
        <v>19</v>
      </c>
      <c r="F31">
        <v>5.51</v>
      </c>
      <c r="J31">
        <f>266+296+330+344+431+446+445</f>
        <v>2558</v>
      </c>
      <c r="K31">
        <v>7</v>
      </c>
      <c r="L31">
        <v>446</v>
      </c>
    </row>
    <row r="32" spans="1:12">
      <c r="A32" s="9">
        <v>41897</v>
      </c>
      <c r="B32" s="7" t="s">
        <v>21</v>
      </c>
      <c r="C32">
        <v>44</v>
      </c>
      <c r="D32" t="s">
        <v>19</v>
      </c>
      <c r="F32">
        <v>7.02</v>
      </c>
      <c r="J32">
        <f>256+274+323+373+382+421+440+440+452</f>
        <v>3361</v>
      </c>
      <c r="K32">
        <v>9</v>
      </c>
      <c r="L32">
        <v>452</v>
      </c>
    </row>
    <row r="33" spans="1:12">
      <c r="A33" s="9">
        <v>41897</v>
      </c>
      <c r="B33" s="7" t="s">
        <v>21</v>
      </c>
      <c r="C33">
        <v>44</v>
      </c>
      <c r="D33" t="s">
        <v>19</v>
      </c>
      <c r="F33">
        <v>5.2</v>
      </c>
      <c r="J33">
        <f>198+249+293+310+317+387+388+411</f>
        <v>2553</v>
      </c>
      <c r="K33">
        <v>8</v>
      </c>
      <c r="L33">
        <v>411</v>
      </c>
    </row>
    <row r="34" spans="1:12">
      <c r="A34" s="9">
        <v>41897</v>
      </c>
      <c r="B34" s="7" t="s">
        <v>21</v>
      </c>
      <c r="C34">
        <v>44</v>
      </c>
      <c r="D34" t="s">
        <v>62</v>
      </c>
      <c r="E34">
        <v>245</v>
      </c>
      <c r="F34">
        <v>0.93</v>
      </c>
    </row>
    <row r="35" spans="1:12">
      <c r="A35" s="9">
        <v>41897</v>
      </c>
      <c r="B35" s="7" t="s">
        <v>21</v>
      </c>
      <c r="C35">
        <v>29</v>
      </c>
      <c r="D35" t="s">
        <v>19</v>
      </c>
      <c r="F35">
        <v>0.88</v>
      </c>
      <c r="J35">
        <f>51+83+120</f>
        <v>254</v>
      </c>
      <c r="K35">
        <v>3</v>
      </c>
      <c r="L35">
        <v>120</v>
      </c>
    </row>
    <row r="36" spans="1:12">
      <c r="A36" s="9">
        <v>41897</v>
      </c>
      <c r="B36" s="7" t="s">
        <v>21</v>
      </c>
      <c r="C36">
        <v>29</v>
      </c>
      <c r="D36" t="s">
        <v>19</v>
      </c>
      <c r="F36">
        <v>4.91</v>
      </c>
      <c r="J36">
        <f>155+211+248+252+302+312+317</f>
        <v>1797</v>
      </c>
      <c r="K36">
        <v>7</v>
      </c>
      <c r="L36">
        <v>317</v>
      </c>
    </row>
    <row r="37" spans="1:12">
      <c r="A37" s="9">
        <v>41897</v>
      </c>
      <c r="B37" s="7" t="s">
        <v>21</v>
      </c>
      <c r="C37">
        <v>29</v>
      </c>
      <c r="D37" t="s">
        <v>19</v>
      </c>
      <c r="F37">
        <v>2.67</v>
      </c>
      <c r="J37">
        <f>99+144+131+166+179+196</f>
        <v>915</v>
      </c>
      <c r="K37">
        <v>6</v>
      </c>
      <c r="L37">
        <v>196</v>
      </c>
    </row>
    <row r="38" spans="1:12">
      <c r="A38" s="9">
        <v>41897</v>
      </c>
      <c r="B38" s="7" t="s">
        <v>21</v>
      </c>
      <c r="C38">
        <v>29</v>
      </c>
      <c r="D38" t="s">
        <v>19</v>
      </c>
      <c r="F38">
        <v>8.15</v>
      </c>
      <c r="J38">
        <f>238+250+302+322+336+353+363+371+378</f>
        <v>2913</v>
      </c>
      <c r="K38">
        <v>9</v>
      </c>
      <c r="L38">
        <v>378</v>
      </c>
    </row>
    <row r="39" spans="1:12">
      <c r="A39" s="9">
        <v>41897</v>
      </c>
      <c r="B39" s="7" t="s">
        <v>21</v>
      </c>
      <c r="C39">
        <v>29</v>
      </c>
      <c r="D39" t="s">
        <v>19</v>
      </c>
      <c r="F39">
        <v>3.4</v>
      </c>
      <c r="J39">
        <f>110+153+188+219+238+246</f>
        <v>1154</v>
      </c>
      <c r="K39">
        <v>6</v>
      </c>
      <c r="L39">
        <v>246</v>
      </c>
    </row>
    <row r="40" spans="1:12">
      <c r="A40" s="9">
        <v>41897</v>
      </c>
      <c r="B40" s="7" t="s">
        <v>21</v>
      </c>
      <c r="C40">
        <v>29</v>
      </c>
      <c r="D40" t="s">
        <v>60</v>
      </c>
      <c r="E40">
        <v>279</v>
      </c>
      <c r="F40">
        <v>4.4000000000000004</v>
      </c>
      <c r="H40">
        <v>36</v>
      </c>
      <c r="I40">
        <v>2</v>
      </c>
    </row>
    <row r="41" spans="1:12">
      <c r="A41" s="9">
        <v>41897</v>
      </c>
      <c r="B41" s="7" t="s">
        <v>21</v>
      </c>
      <c r="C41">
        <v>29</v>
      </c>
      <c r="D41" t="s">
        <v>19</v>
      </c>
      <c r="F41">
        <v>0.42</v>
      </c>
      <c r="J41">
        <f>84+99</f>
        <v>183</v>
      </c>
      <c r="K41">
        <v>2</v>
      </c>
      <c r="L41">
        <v>99</v>
      </c>
    </row>
    <row r="42" spans="1:12">
      <c r="A42" s="9">
        <v>41897</v>
      </c>
      <c r="B42" s="7" t="s">
        <v>21</v>
      </c>
      <c r="C42">
        <v>29</v>
      </c>
      <c r="D42" t="s">
        <v>19</v>
      </c>
      <c r="F42">
        <v>2.94</v>
      </c>
      <c r="J42">
        <f>135+207+217+237+290</f>
        <v>1086</v>
      </c>
      <c r="K42">
        <v>5</v>
      </c>
      <c r="L42">
        <v>290</v>
      </c>
    </row>
    <row r="43" spans="1:12">
      <c r="A43" s="9">
        <v>41897</v>
      </c>
      <c r="B43" s="7" t="s">
        <v>21</v>
      </c>
      <c r="C43">
        <v>29</v>
      </c>
      <c r="D43" t="s">
        <v>19</v>
      </c>
      <c r="F43">
        <v>0.9</v>
      </c>
      <c r="J43">
        <f>101+124+151</f>
        <v>376</v>
      </c>
      <c r="K43">
        <v>3</v>
      </c>
      <c r="L43">
        <v>151</v>
      </c>
    </row>
    <row r="44" spans="1:12">
      <c r="A44" s="9">
        <v>41897</v>
      </c>
      <c r="B44" s="7" t="s">
        <v>21</v>
      </c>
      <c r="C44">
        <v>29</v>
      </c>
      <c r="D44" t="s">
        <v>19</v>
      </c>
      <c r="F44">
        <v>1.01</v>
      </c>
      <c r="J44">
        <f>29+56+61</f>
        <v>146</v>
      </c>
      <c r="K44">
        <v>3</v>
      </c>
      <c r="L44">
        <v>61</v>
      </c>
    </row>
    <row r="45" spans="1:12">
      <c r="A45" s="9">
        <v>41897</v>
      </c>
      <c r="B45" s="7" t="s">
        <v>21</v>
      </c>
      <c r="C45">
        <v>29</v>
      </c>
      <c r="D45" t="s">
        <v>19</v>
      </c>
      <c r="F45">
        <v>4.21</v>
      </c>
      <c r="J45">
        <f>120+189+231+257+271+282+282</f>
        <v>1632</v>
      </c>
      <c r="K45">
        <v>7</v>
      </c>
      <c r="L45">
        <v>282</v>
      </c>
    </row>
    <row r="46" spans="1:12">
      <c r="A46" s="9">
        <v>41897</v>
      </c>
      <c r="B46" s="7" t="s">
        <v>21</v>
      </c>
      <c r="C46">
        <v>29</v>
      </c>
      <c r="D46" t="s">
        <v>19</v>
      </c>
      <c r="F46">
        <v>0.5</v>
      </c>
      <c r="J46">
        <f>25+31+34</f>
        <v>90</v>
      </c>
      <c r="K46">
        <v>3</v>
      </c>
      <c r="L46">
        <v>34</v>
      </c>
    </row>
    <row r="47" spans="1:12">
      <c r="A47" s="9">
        <v>41897</v>
      </c>
      <c r="B47" s="7" t="s">
        <v>21</v>
      </c>
      <c r="C47">
        <v>29</v>
      </c>
      <c r="D47" t="s">
        <v>60</v>
      </c>
      <c r="E47">
        <v>323</v>
      </c>
      <c r="F47">
        <v>3.06</v>
      </c>
      <c r="H47">
        <v>26</v>
      </c>
      <c r="I47">
        <v>3</v>
      </c>
    </row>
    <row r="48" spans="1:12">
      <c r="A48" s="9">
        <v>41897</v>
      </c>
      <c r="B48" s="7" t="s">
        <v>21</v>
      </c>
      <c r="C48">
        <v>29</v>
      </c>
      <c r="D48" t="s">
        <v>19</v>
      </c>
      <c r="F48">
        <v>3.15</v>
      </c>
      <c r="J48">
        <f>173+254+256+293+303+311</f>
        <v>1590</v>
      </c>
      <c r="K48">
        <v>6</v>
      </c>
      <c r="L48">
        <v>311</v>
      </c>
    </row>
    <row r="49" spans="1:12">
      <c r="A49" s="9">
        <v>41897</v>
      </c>
      <c r="B49" s="7" t="s">
        <v>21</v>
      </c>
      <c r="C49">
        <v>29</v>
      </c>
      <c r="D49" t="s">
        <v>19</v>
      </c>
      <c r="F49">
        <v>3.03</v>
      </c>
      <c r="J49">
        <f>108+151+151+197+211+238+252</f>
        <v>1308</v>
      </c>
      <c r="K49">
        <v>7</v>
      </c>
      <c r="L49">
        <v>252</v>
      </c>
    </row>
    <row r="50" spans="1:12">
      <c r="A50" s="9">
        <v>41897</v>
      </c>
      <c r="B50" s="7" t="s">
        <v>21</v>
      </c>
      <c r="C50">
        <v>29</v>
      </c>
      <c r="D50" t="s">
        <v>19</v>
      </c>
      <c r="F50">
        <v>1.77</v>
      </c>
      <c r="J50">
        <f>144+198+224+131+243</f>
        <v>940</v>
      </c>
      <c r="K50">
        <v>5</v>
      </c>
      <c r="L50">
        <v>243</v>
      </c>
    </row>
    <row r="51" spans="1:12">
      <c r="A51" s="9">
        <v>41897</v>
      </c>
      <c r="B51" s="7" t="s">
        <v>21</v>
      </c>
      <c r="C51">
        <v>29</v>
      </c>
      <c r="D51" t="s">
        <v>19</v>
      </c>
      <c r="F51">
        <v>0.91</v>
      </c>
      <c r="J51">
        <f>100+107+131+135+162</f>
        <v>635</v>
      </c>
      <c r="K51">
        <v>5</v>
      </c>
      <c r="L51">
        <v>162</v>
      </c>
    </row>
    <row r="52" spans="1:12">
      <c r="A52" s="9">
        <v>41897</v>
      </c>
      <c r="B52" s="7" t="s">
        <v>21</v>
      </c>
      <c r="C52">
        <v>29</v>
      </c>
      <c r="D52" t="s">
        <v>19</v>
      </c>
      <c r="F52">
        <v>1.46</v>
      </c>
      <c r="J52">
        <f>155+166+236+256</f>
        <v>813</v>
      </c>
      <c r="K52">
        <v>4</v>
      </c>
      <c r="L52">
        <v>256</v>
      </c>
    </row>
    <row r="53" spans="1:12">
      <c r="A53" s="9">
        <v>41897</v>
      </c>
      <c r="B53" s="7" t="s">
        <v>21</v>
      </c>
      <c r="C53">
        <v>29</v>
      </c>
      <c r="D53" t="s">
        <v>19</v>
      </c>
      <c r="F53">
        <v>4.3099999999999996</v>
      </c>
      <c r="J53">
        <f>119+200+206+243+261+293+305</f>
        <v>1627</v>
      </c>
      <c r="K53">
        <v>7</v>
      </c>
      <c r="L53">
        <v>305</v>
      </c>
    </row>
    <row r="54" spans="1:12">
      <c r="A54" s="9">
        <v>41897</v>
      </c>
      <c r="B54" s="7" t="s">
        <v>21</v>
      </c>
      <c r="C54">
        <v>29</v>
      </c>
      <c r="D54" t="s">
        <v>19</v>
      </c>
      <c r="F54">
        <v>4.79</v>
      </c>
      <c r="J54">
        <f>117+154+211+266+277+295+320+320</f>
        <v>1960</v>
      </c>
      <c r="K54">
        <v>8</v>
      </c>
      <c r="L54">
        <v>320</v>
      </c>
    </row>
    <row r="55" spans="1:12">
      <c r="A55" s="9">
        <v>41897</v>
      </c>
      <c r="B55" s="7" t="s">
        <v>21</v>
      </c>
      <c r="C55">
        <v>16</v>
      </c>
      <c r="D55" t="s">
        <v>19</v>
      </c>
      <c r="F55">
        <v>0.54</v>
      </c>
      <c r="J55">
        <f>19+26+31</f>
        <v>76</v>
      </c>
      <c r="K55">
        <v>3</v>
      </c>
      <c r="L55">
        <v>31</v>
      </c>
    </row>
    <row r="56" spans="1:12">
      <c r="A56" s="9">
        <v>41897</v>
      </c>
      <c r="B56" s="7" t="s">
        <v>21</v>
      </c>
      <c r="C56">
        <v>16</v>
      </c>
      <c r="D56" t="s">
        <v>19</v>
      </c>
      <c r="F56">
        <v>1.4</v>
      </c>
      <c r="J56">
        <f>29+68+81+85</f>
        <v>263</v>
      </c>
      <c r="K56">
        <v>4</v>
      </c>
      <c r="L56">
        <v>85</v>
      </c>
    </row>
    <row r="57" spans="1:12">
      <c r="A57" s="9">
        <v>41897</v>
      </c>
      <c r="B57" s="7" t="s">
        <v>21</v>
      </c>
      <c r="C57">
        <v>16</v>
      </c>
      <c r="D57" t="s">
        <v>19</v>
      </c>
      <c r="F57">
        <v>1.74</v>
      </c>
      <c r="J57">
        <f>56+97+116+133+158+161</f>
        <v>721</v>
      </c>
      <c r="K57">
        <v>6</v>
      </c>
      <c r="L57">
        <v>161</v>
      </c>
    </row>
    <row r="58" spans="1:12">
      <c r="A58" s="9">
        <v>41897</v>
      </c>
      <c r="B58" s="7" t="s">
        <v>21</v>
      </c>
      <c r="C58">
        <v>16</v>
      </c>
      <c r="D58" t="s">
        <v>19</v>
      </c>
      <c r="F58">
        <v>3.02</v>
      </c>
      <c r="J58">
        <f>114+144+180+239+239+262+262+263</f>
        <v>1703</v>
      </c>
      <c r="K58">
        <v>8</v>
      </c>
      <c r="L58">
        <v>263</v>
      </c>
    </row>
    <row r="59" spans="1:12">
      <c r="A59" s="9">
        <v>41897</v>
      </c>
      <c r="B59" s="7" t="s">
        <v>21</v>
      </c>
      <c r="C59">
        <v>16</v>
      </c>
      <c r="D59" t="s">
        <v>19</v>
      </c>
      <c r="F59">
        <v>1.29</v>
      </c>
      <c r="J59">
        <f>42+96+149</f>
        <v>287</v>
      </c>
      <c r="K59">
        <v>3</v>
      </c>
      <c r="L59">
        <v>149</v>
      </c>
    </row>
    <row r="60" spans="1:12">
      <c r="A60" s="9">
        <v>41897</v>
      </c>
      <c r="B60" s="7" t="s">
        <v>21</v>
      </c>
      <c r="C60">
        <v>16</v>
      </c>
      <c r="D60" t="s">
        <v>19</v>
      </c>
      <c r="F60">
        <v>6</v>
      </c>
      <c r="J60">
        <f>226+248+254+271+288+290+300+312+320+347</f>
        <v>2856</v>
      </c>
      <c r="K60">
        <v>10</v>
      </c>
      <c r="L60">
        <v>347</v>
      </c>
    </row>
    <row r="61" spans="1:12">
      <c r="A61" s="9">
        <v>41897</v>
      </c>
      <c r="B61" s="7" t="s">
        <v>21</v>
      </c>
      <c r="C61">
        <v>16</v>
      </c>
      <c r="D61" t="s">
        <v>19</v>
      </c>
      <c r="F61">
        <v>2.83</v>
      </c>
      <c r="J61">
        <f>169+225+237</f>
        <v>631</v>
      </c>
      <c r="K61">
        <v>3</v>
      </c>
      <c r="L61">
        <v>237</v>
      </c>
    </row>
    <row r="62" spans="1:12">
      <c r="A62" s="9">
        <v>41897</v>
      </c>
      <c r="B62" s="7" t="s">
        <v>21</v>
      </c>
      <c r="C62">
        <v>16</v>
      </c>
      <c r="D62" t="s">
        <v>19</v>
      </c>
      <c r="F62">
        <v>3.08</v>
      </c>
      <c r="J62">
        <f>45+82+90+100+160+182+227+223+264</f>
        <v>1373</v>
      </c>
      <c r="K62">
        <v>9</v>
      </c>
      <c r="L62">
        <v>264</v>
      </c>
    </row>
    <row r="63" spans="1:12">
      <c r="A63" s="9">
        <v>41897</v>
      </c>
      <c r="B63" s="7" t="s">
        <v>21</v>
      </c>
      <c r="C63">
        <v>16</v>
      </c>
      <c r="D63" t="s">
        <v>19</v>
      </c>
      <c r="F63">
        <v>0.74</v>
      </c>
      <c r="J63">
        <f>68+92+116+142</f>
        <v>418</v>
      </c>
      <c r="K63">
        <v>4</v>
      </c>
      <c r="L63">
        <v>142</v>
      </c>
    </row>
    <row r="64" spans="1:12">
      <c r="A64" s="9">
        <v>41897</v>
      </c>
      <c r="B64" s="7" t="s">
        <v>21</v>
      </c>
      <c r="C64">
        <v>16</v>
      </c>
      <c r="D64" t="s">
        <v>19</v>
      </c>
      <c r="F64">
        <v>1.07</v>
      </c>
      <c r="J64">
        <f>25+50+60+79+87</f>
        <v>301</v>
      </c>
      <c r="K64">
        <v>5</v>
      </c>
      <c r="L64">
        <v>87</v>
      </c>
    </row>
    <row r="65" spans="1:12">
      <c r="A65" s="9">
        <v>41897</v>
      </c>
      <c r="B65" s="7" t="s">
        <v>21</v>
      </c>
      <c r="C65">
        <v>16</v>
      </c>
      <c r="D65" t="s">
        <v>19</v>
      </c>
      <c r="F65">
        <v>1.26</v>
      </c>
      <c r="J65">
        <f>49+99+101+149+150</f>
        <v>548</v>
      </c>
      <c r="K65">
        <v>5</v>
      </c>
      <c r="L65">
        <v>150</v>
      </c>
    </row>
    <row r="66" spans="1:12">
      <c r="A66" s="9">
        <v>41897</v>
      </c>
      <c r="B66" s="7" t="s">
        <v>21</v>
      </c>
      <c r="C66">
        <v>16</v>
      </c>
      <c r="D66" t="s">
        <v>19</v>
      </c>
      <c r="F66">
        <v>1.23</v>
      </c>
      <c r="J66">
        <f>52+80+87+123+137+151+166</f>
        <v>796</v>
      </c>
      <c r="K66">
        <v>7</v>
      </c>
      <c r="L66">
        <v>166</v>
      </c>
    </row>
    <row r="67" spans="1:12">
      <c r="A67" s="9">
        <v>41897</v>
      </c>
      <c r="B67" s="7" t="s">
        <v>21</v>
      </c>
      <c r="C67">
        <v>16</v>
      </c>
      <c r="D67" t="s">
        <v>19</v>
      </c>
      <c r="F67">
        <v>2.48</v>
      </c>
      <c r="J67">
        <f>87+112+139+179+184+211</f>
        <v>912</v>
      </c>
      <c r="K67">
        <v>6</v>
      </c>
      <c r="L67">
        <v>211</v>
      </c>
    </row>
    <row r="68" spans="1:12">
      <c r="A68" s="9">
        <v>41897</v>
      </c>
      <c r="B68" s="7" t="s">
        <v>21</v>
      </c>
      <c r="C68">
        <v>16</v>
      </c>
      <c r="D68" t="s">
        <v>19</v>
      </c>
      <c r="F68">
        <v>2.36</v>
      </c>
      <c r="J68">
        <f>81+84+132+166+196+205+218</f>
        <v>1082</v>
      </c>
      <c r="K68">
        <v>7</v>
      </c>
      <c r="L68">
        <v>218</v>
      </c>
    </row>
    <row r="69" spans="1:12">
      <c r="A69" s="9">
        <v>41897</v>
      </c>
      <c r="B69" s="7" t="s">
        <v>21</v>
      </c>
      <c r="C69">
        <v>16</v>
      </c>
      <c r="D69" t="s">
        <v>19</v>
      </c>
      <c r="F69">
        <v>3.42</v>
      </c>
      <c r="J69">
        <f>56+90+156+190+228+231+234+235</f>
        <v>1420</v>
      </c>
      <c r="K69">
        <v>8</v>
      </c>
      <c r="L69">
        <v>235</v>
      </c>
    </row>
    <row r="70" spans="1:12">
      <c r="A70" s="9">
        <v>41897</v>
      </c>
      <c r="B70" s="7" t="s">
        <v>21</v>
      </c>
      <c r="C70">
        <v>16</v>
      </c>
      <c r="D70" t="s">
        <v>19</v>
      </c>
      <c r="F70">
        <v>5.0199999999999996</v>
      </c>
      <c r="J70">
        <f>161+261+281+283+327+340+349</f>
        <v>2002</v>
      </c>
      <c r="K70">
        <v>7</v>
      </c>
      <c r="L70">
        <v>349</v>
      </c>
    </row>
    <row r="71" spans="1:12">
      <c r="A71" s="9">
        <v>41897</v>
      </c>
      <c r="B71" s="7" t="s">
        <v>21</v>
      </c>
      <c r="C71">
        <v>16</v>
      </c>
      <c r="D71" t="s">
        <v>19</v>
      </c>
      <c r="F71">
        <v>4.16</v>
      </c>
      <c r="J71">
        <f>120+197+245+249+269+273+294+296</f>
        <v>1943</v>
      </c>
      <c r="K71">
        <v>8</v>
      </c>
      <c r="L71">
        <v>296</v>
      </c>
    </row>
    <row r="72" spans="1:12">
      <c r="A72" s="9">
        <v>41897</v>
      </c>
      <c r="B72" s="7" t="s">
        <v>21</v>
      </c>
      <c r="C72">
        <v>16</v>
      </c>
      <c r="D72" t="s">
        <v>19</v>
      </c>
      <c r="F72">
        <v>1.98</v>
      </c>
      <c r="J72">
        <f>113+151+161+190+192+200</f>
        <v>1007</v>
      </c>
      <c r="K72">
        <v>6</v>
      </c>
      <c r="L72">
        <v>200</v>
      </c>
    </row>
    <row r="73" spans="1:12">
      <c r="A73" s="9">
        <v>41897</v>
      </c>
      <c r="B73" s="7" t="s">
        <v>21</v>
      </c>
      <c r="C73">
        <v>16</v>
      </c>
      <c r="D73" t="s">
        <v>19</v>
      </c>
      <c r="F73">
        <v>0.95</v>
      </c>
      <c r="J73">
        <f>37+38+70+102+121+147+162</f>
        <v>677</v>
      </c>
      <c r="K73">
        <v>7</v>
      </c>
      <c r="L73">
        <v>162</v>
      </c>
    </row>
    <row r="74" spans="1:12">
      <c r="A74" s="9">
        <v>41897</v>
      </c>
      <c r="B74" s="7" t="s">
        <v>21</v>
      </c>
      <c r="C74">
        <v>16</v>
      </c>
      <c r="D74" t="s">
        <v>19</v>
      </c>
      <c r="F74">
        <v>1.5</v>
      </c>
      <c r="J74">
        <f>48+77+87+202+219+230</f>
        <v>863</v>
      </c>
      <c r="K74">
        <v>6</v>
      </c>
      <c r="L74">
        <v>230</v>
      </c>
    </row>
    <row r="75" spans="1:12">
      <c r="A75" s="9">
        <v>41897</v>
      </c>
      <c r="B75" s="7" t="s">
        <v>21</v>
      </c>
      <c r="C75">
        <v>12</v>
      </c>
      <c r="D75" t="s">
        <v>60</v>
      </c>
      <c r="E75">
        <v>294</v>
      </c>
      <c r="F75">
        <v>2.79</v>
      </c>
      <c r="H75">
        <v>31</v>
      </c>
      <c r="I75">
        <v>2.5</v>
      </c>
    </row>
    <row r="76" spans="1:12">
      <c r="A76" s="9">
        <v>41897</v>
      </c>
      <c r="B76" s="7" t="s">
        <v>21</v>
      </c>
      <c r="C76">
        <v>12</v>
      </c>
      <c r="D76" t="s">
        <v>62</v>
      </c>
      <c r="E76">
        <v>240</v>
      </c>
      <c r="F76">
        <v>1.21</v>
      </c>
    </row>
    <row r="77" spans="1:12">
      <c r="A77" s="9">
        <v>41897</v>
      </c>
      <c r="B77" s="7" t="s">
        <v>21</v>
      </c>
      <c r="C77">
        <v>12</v>
      </c>
      <c r="D77" t="s">
        <v>62</v>
      </c>
      <c r="E77">
        <v>166</v>
      </c>
      <c r="F77">
        <v>1.51</v>
      </c>
    </row>
    <row r="78" spans="1:12">
      <c r="A78" s="9">
        <v>41897</v>
      </c>
      <c r="B78" s="7" t="s">
        <v>21</v>
      </c>
      <c r="C78">
        <v>12</v>
      </c>
      <c r="D78" t="s">
        <v>62</v>
      </c>
      <c r="E78">
        <v>186</v>
      </c>
      <c r="F78">
        <v>1.22</v>
      </c>
    </row>
    <row r="79" spans="1:12">
      <c r="A79" s="9">
        <v>41897</v>
      </c>
      <c r="B79" s="7" t="s">
        <v>21</v>
      </c>
      <c r="C79">
        <v>12</v>
      </c>
      <c r="D79" t="s">
        <v>62</v>
      </c>
      <c r="E79">
        <v>58</v>
      </c>
      <c r="F79">
        <v>0.54</v>
      </c>
    </row>
    <row r="80" spans="1:12">
      <c r="A80" s="9">
        <v>41897</v>
      </c>
      <c r="B80" s="7" t="s">
        <v>21</v>
      </c>
      <c r="C80">
        <v>12</v>
      </c>
      <c r="D80" t="s">
        <v>62</v>
      </c>
      <c r="E80">
        <v>199</v>
      </c>
      <c r="F80">
        <v>1.25</v>
      </c>
    </row>
    <row r="81" spans="1:12">
      <c r="A81" s="9">
        <v>41897</v>
      </c>
      <c r="B81" s="7" t="s">
        <v>21</v>
      </c>
      <c r="C81">
        <v>12</v>
      </c>
      <c r="D81" t="s">
        <v>62</v>
      </c>
      <c r="E81">
        <v>53</v>
      </c>
      <c r="F81">
        <v>0.77</v>
      </c>
    </row>
    <row r="82" spans="1:12">
      <c r="A82" s="9">
        <v>41897</v>
      </c>
      <c r="B82" s="7" t="s">
        <v>21</v>
      </c>
      <c r="C82">
        <v>12</v>
      </c>
      <c r="D82" t="s">
        <v>62</v>
      </c>
      <c r="E82">
        <v>261</v>
      </c>
      <c r="F82">
        <v>1.28</v>
      </c>
    </row>
    <row r="83" spans="1:12">
      <c r="A83" s="9">
        <v>41897</v>
      </c>
      <c r="B83" s="7" t="s">
        <v>21</v>
      </c>
      <c r="C83">
        <v>12</v>
      </c>
      <c r="D83" t="s">
        <v>62</v>
      </c>
      <c r="E83">
        <v>67</v>
      </c>
      <c r="F83">
        <v>0.54</v>
      </c>
    </row>
    <row r="84" spans="1:12">
      <c r="A84" s="9">
        <v>41897</v>
      </c>
      <c r="B84" s="7" t="s">
        <v>21</v>
      </c>
      <c r="C84">
        <v>12</v>
      </c>
      <c r="D84" t="s">
        <v>62</v>
      </c>
      <c r="E84">
        <v>200</v>
      </c>
      <c r="F84">
        <v>1.4</v>
      </c>
    </row>
    <row r="85" spans="1:12">
      <c r="A85" s="9">
        <v>41897</v>
      </c>
      <c r="B85" s="7" t="s">
        <v>21</v>
      </c>
      <c r="C85">
        <v>12</v>
      </c>
      <c r="D85" t="s">
        <v>62</v>
      </c>
      <c r="E85">
        <v>97</v>
      </c>
      <c r="F85">
        <v>0.86</v>
      </c>
    </row>
    <row r="86" spans="1:12">
      <c r="A86" s="9">
        <v>41897</v>
      </c>
      <c r="B86" s="7" t="s">
        <v>21</v>
      </c>
      <c r="C86">
        <v>12</v>
      </c>
      <c r="D86" t="s">
        <v>62</v>
      </c>
      <c r="E86">
        <v>164</v>
      </c>
      <c r="F86">
        <v>1.05</v>
      </c>
    </row>
    <row r="87" spans="1:12">
      <c r="A87" s="9">
        <v>41906</v>
      </c>
      <c r="B87" s="7" t="s">
        <v>27</v>
      </c>
      <c r="C87">
        <v>42</v>
      </c>
      <c r="D87" t="s">
        <v>60</v>
      </c>
      <c r="F87">
        <v>2.8</v>
      </c>
      <c r="J87">
        <f>274+297+332+334+337+346+359</f>
        <v>2279</v>
      </c>
      <c r="K87">
        <v>7</v>
      </c>
      <c r="L87">
        <v>359</v>
      </c>
    </row>
    <row r="88" spans="1:12">
      <c r="A88" s="9">
        <v>41906</v>
      </c>
      <c r="B88" s="7" t="s">
        <v>27</v>
      </c>
      <c r="C88">
        <v>42</v>
      </c>
      <c r="D88" t="s">
        <v>19</v>
      </c>
      <c r="F88">
        <v>1.68</v>
      </c>
      <c r="J88">
        <f>168+228</f>
        <v>396</v>
      </c>
      <c r="K88">
        <v>2</v>
      </c>
      <c r="L88">
        <v>228</v>
      </c>
    </row>
    <row r="89" spans="1:12">
      <c r="A89" s="9">
        <v>41906</v>
      </c>
      <c r="B89" s="7" t="s">
        <v>27</v>
      </c>
      <c r="C89">
        <v>42</v>
      </c>
      <c r="D89" t="s">
        <v>60</v>
      </c>
      <c r="F89">
        <v>2.4500000000000002</v>
      </c>
      <c r="J89">
        <f>302+321+324+329</f>
        <v>1276</v>
      </c>
      <c r="K89">
        <v>4</v>
      </c>
      <c r="L89">
        <v>329</v>
      </c>
    </row>
    <row r="90" spans="1:12">
      <c r="A90" s="9">
        <v>41906</v>
      </c>
      <c r="B90" s="7" t="s">
        <v>27</v>
      </c>
      <c r="C90">
        <v>42</v>
      </c>
      <c r="D90" t="s">
        <v>19</v>
      </c>
      <c r="F90">
        <v>3.46</v>
      </c>
      <c r="J90">
        <f>239+252+255</f>
        <v>746</v>
      </c>
      <c r="K90">
        <v>3</v>
      </c>
      <c r="L90">
        <v>255</v>
      </c>
    </row>
    <row r="91" spans="1:12">
      <c r="A91" s="9">
        <v>41906</v>
      </c>
      <c r="B91" s="7" t="s">
        <v>27</v>
      </c>
      <c r="C91">
        <v>42</v>
      </c>
      <c r="D91" t="s">
        <v>19</v>
      </c>
      <c r="F91">
        <v>2.89</v>
      </c>
      <c r="J91">
        <f>264+295+287+313</f>
        <v>1159</v>
      </c>
      <c r="K91">
        <v>4</v>
      </c>
      <c r="L91">
        <v>313</v>
      </c>
    </row>
    <row r="92" spans="1:12">
      <c r="A92" s="9">
        <v>41906</v>
      </c>
      <c r="B92" s="7" t="s">
        <v>27</v>
      </c>
      <c r="C92">
        <v>42</v>
      </c>
      <c r="D92" t="s">
        <v>19</v>
      </c>
      <c r="F92">
        <v>4.66</v>
      </c>
      <c r="J92">
        <f>267+333+348+358+359+364</f>
        <v>2029</v>
      </c>
      <c r="K92">
        <v>6</v>
      </c>
      <c r="L92">
        <v>364</v>
      </c>
    </row>
    <row r="93" spans="1:12">
      <c r="A93" s="9">
        <v>41906</v>
      </c>
      <c r="B93" s="7" t="s">
        <v>27</v>
      </c>
      <c r="C93">
        <v>21</v>
      </c>
      <c r="D93" t="s">
        <v>19</v>
      </c>
      <c r="F93">
        <v>10.35</v>
      </c>
      <c r="J93">
        <f>92+169+196+198+212+217+223+231+242+252+228</f>
        <v>2260</v>
      </c>
      <c r="K93">
        <v>11</v>
      </c>
      <c r="L93">
        <v>242</v>
      </c>
    </row>
    <row r="94" spans="1:12">
      <c r="A94" s="9">
        <v>41906</v>
      </c>
      <c r="B94" s="7" t="s">
        <v>27</v>
      </c>
      <c r="C94">
        <v>21</v>
      </c>
      <c r="D94" t="s">
        <v>19</v>
      </c>
      <c r="F94">
        <v>9.4499999999999993</v>
      </c>
      <c r="J94">
        <f>62+161+158+184+197+195+208+219+223+225+222+225+222+226+229</f>
        <v>2956</v>
      </c>
      <c r="K94">
        <v>15</v>
      </c>
      <c r="L94">
        <v>229</v>
      </c>
    </row>
    <row r="95" spans="1:12">
      <c r="A95" s="9">
        <v>41906</v>
      </c>
      <c r="B95" s="7" t="s">
        <v>27</v>
      </c>
      <c r="C95">
        <v>21</v>
      </c>
      <c r="D95" t="s">
        <v>19</v>
      </c>
      <c r="F95">
        <v>1.25</v>
      </c>
      <c r="J95">
        <f>34+37+42+63</f>
        <v>176</v>
      </c>
      <c r="K95">
        <v>4</v>
      </c>
      <c r="L95">
        <v>63</v>
      </c>
    </row>
    <row r="96" spans="1:12">
      <c r="A96" s="9">
        <v>41906</v>
      </c>
      <c r="B96" s="7" t="s">
        <v>27</v>
      </c>
      <c r="C96">
        <v>21</v>
      </c>
      <c r="D96" t="s">
        <v>19</v>
      </c>
      <c r="F96">
        <v>0.51</v>
      </c>
      <c r="J96">
        <f>20+25</f>
        <v>45</v>
      </c>
      <c r="K96">
        <v>2</v>
      </c>
      <c r="L96">
        <v>25</v>
      </c>
    </row>
    <row r="97" spans="1:12">
      <c r="A97" s="9">
        <v>41906</v>
      </c>
      <c r="B97" s="7" t="s">
        <v>27</v>
      </c>
      <c r="C97">
        <v>21</v>
      </c>
      <c r="D97" t="s">
        <v>19</v>
      </c>
      <c r="F97">
        <v>0.93</v>
      </c>
      <c r="J97">
        <f>14+23+31+34</f>
        <v>102</v>
      </c>
      <c r="K97">
        <v>4</v>
      </c>
      <c r="L97">
        <v>34</v>
      </c>
    </row>
    <row r="98" spans="1:12">
      <c r="A98" s="9">
        <v>41906</v>
      </c>
      <c r="B98" s="7" t="s">
        <v>27</v>
      </c>
      <c r="C98">
        <v>21</v>
      </c>
      <c r="D98" t="s">
        <v>19</v>
      </c>
      <c r="F98">
        <v>8.68</v>
      </c>
      <c r="J98">
        <f>81+61+161+179+186+179+197+210+220+228+235+240+241+238</f>
        <v>2656</v>
      </c>
      <c r="K98">
        <v>14</v>
      </c>
      <c r="L98">
        <v>238</v>
      </c>
    </row>
    <row r="99" spans="1:12">
      <c r="A99" s="9">
        <v>41906</v>
      </c>
      <c r="B99" s="7" t="s">
        <v>27</v>
      </c>
      <c r="C99">
        <v>21</v>
      </c>
      <c r="D99" t="s">
        <v>19</v>
      </c>
      <c r="F99">
        <v>1.93</v>
      </c>
      <c r="J99">
        <f>55+72+77+98+108</f>
        <v>410</v>
      </c>
      <c r="K99">
        <v>5</v>
      </c>
      <c r="L99">
        <v>108</v>
      </c>
    </row>
    <row r="100" spans="1:12">
      <c r="A100" s="9">
        <v>41906</v>
      </c>
      <c r="B100" s="7" t="s">
        <v>27</v>
      </c>
      <c r="C100">
        <v>21</v>
      </c>
      <c r="D100" t="s">
        <v>61</v>
      </c>
      <c r="E100">
        <v>108</v>
      </c>
      <c r="F100">
        <v>0.71</v>
      </c>
    </row>
    <row r="101" spans="1:12">
      <c r="A101" s="9">
        <v>41906</v>
      </c>
      <c r="B101" s="7" t="s">
        <v>27</v>
      </c>
      <c r="C101">
        <v>21</v>
      </c>
      <c r="D101" t="s">
        <v>61</v>
      </c>
      <c r="E101">
        <v>132</v>
      </c>
      <c r="F101">
        <v>0.71</v>
      </c>
    </row>
    <row r="102" spans="1:12">
      <c r="A102" s="9">
        <v>41906</v>
      </c>
      <c r="B102" s="7" t="s">
        <v>27</v>
      </c>
      <c r="C102">
        <v>21</v>
      </c>
      <c r="D102" t="s">
        <v>61</v>
      </c>
      <c r="E102">
        <v>78</v>
      </c>
      <c r="F102">
        <v>0.76</v>
      </c>
    </row>
    <row r="103" spans="1:12">
      <c r="A103" s="9">
        <v>41906</v>
      </c>
      <c r="B103" s="7" t="s">
        <v>27</v>
      </c>
      <c r="C103">
        <v>21</v>
      </c>
      <c r="D103" t="s">
        <v>19</v>
      </c>
      <c r="F103">
        <v>1.06</v>
      </c>
      <c r="J103">
        <f>96+141</f>
        <v>237</v>
      </c>
      <c r="K103">
        <v>2</v>
      </c>
      <c r="L103">
        <v>141</v>
      </c>
    </row>
    <row r="104" spans="1:12">
      <c r="A104" s="9">
        <v>41906</v>
      </c>
      <c r="B104" s="7" t="s">
        <v>27</v>
      </c>
      <c r="C104">
        <v>21</v>
      </c>
      <c r="D104" t="s">
        <v>19</v>
      </c>
      <c r="E104">
        <v>200</v>
      </c>
      <c r="F104">
        <v>2.1</v>
      </c>
      <c r="H104">
        <v>24</v>
      </c>
      <c r="I104">
        <v>1.5</v>
      </c>
    </row>
    <row r="105" spans="1:12">
      <c r="A105" s="9">
        <v>41906</v>
      </c>
      <c r="B105" s="7" t="s">
        <v>27</v>
      </c>
      <c r="C105">
        <v>21</v>
      </c>
      <c r="D105" t="s">
        <v>19</v>
      </c>
      <c r="F105">
        <v>7.21</v>
      </c>
      <c r="J105">
        <f>75+179+184+230+234+241+249+259+267+270</f>
        <v>2188</v>
      </c>
      <c r="K105">
        <v>10</v>
      </c>
      <c r="L105">
        <v>270</v>
      </c>
    </row>
    <row r="106" spans="1:12">
      <c r="A106" s="9">
        <v>41906</v>
      </c>
      <c r="B106" s="7" t="s">
        <v>27</v>
      </c>
      <c r="C106">
        <v>21</v>
      </c>
      <c r="D106" t="s">
        <v>61</v>
      </c>
      <c r="E106">
        <v>216</v>
      </c>
      <c r="F106">
        <v>1.23</v>
      </c>
    </row>
    <row r="107" spans="1:12">
      <c r="A107" s="9">
        <v>41906</v>
      </c>
      <c r="B107" s="7" t="s">
        <v>27</v>
      </c>
      <c r="C107">
        <v>21</v>
      </c>
      <c r="D107" t="s">
        <v>61</v>
      </c>
      <c r="E107">
        <v>287</v>
      </c>
      <c r="F107">
        <v>1.35</v>
      </c>
    </row>
    <row r="108" spans="1:12">
      <c r="A108" s="9">
        <v>41906</v>
      </c>
      <c r="B108" s="7" t="s">
        <v>27</v>
      </c>
      <c r="C108">
        <v>21</v>
      </c>
      <c r="D108" t="s">
        <v>61</v>
      </c>
      <c r="E108">
        <v>185</v>
      </c>
      <c r="F108">
        <v>1.07</v>
      </c>
    </row>
    <row r="109" spans="1:12">
      <c r="A109" s="9">
        <v>41906</v>
      </c>
      <c r="B109" s="7" t="s">
        <v>27</v>
      </c>
      <c r="C109">
        <v>21</v>
      </c>
      <c r="D109" t="s">
        <v>61</v>
      </c>
      <c r="E109">
        <v>196</v>
      </c>
      <c r="F109">
        <v>1.1299999999999999</v>
      </c>
    </row>
    <row r="110" spans="1:12">
      <c r="A110" s="9">
        <v>41906</v>
      </c>
      <c r="B110" s="7" t="s">
        <v>27</v>
      </c>
      <c r="C110">
        <v>21</v>
      </c>
      <c r="D110" t="s">
        <v>61</v>
      </c>
      <c r="E110">
        <v>246</v>
      </c>
      <c r="F110">
        <v>1.1599999999999999</v>
      </c>
    </row>
    <row r="111" spans="1:12">
      <c r="A111" s="9">
        <v>41906</v>
      </c>
      <c r="B111" s="7" t="s">
        <v>27</v>
      </c>
      <c r="C111">
        <v>21</v>
      </c>
      <c r="D111" t="s">
        <v>19</v>
      </c>
      <c r="F111">
        <v>1.3</v>
      </c>
      <c r="J111">
        <f>43+60</f>
        <v>103</v>
      </c>
      <c r="K111">
        <v>2</v>
      </c>
      <c r="L111">
        <v>60</v>
      </c>
    </row>
    <row r="112" spans="1:12">
      <c r="A112" s="9">
        <v>41906</v>
      </c>
      <c r="B112" s="7" t="s">
        <v>27</v>
      </c>
      <c r="C112">
        <v>21</v>
      </c>
      <c r="D112" t="s">
        <v>19</v>
      </c>
      <c r="F112">
        <v>1.78</v>
      </c>
      <c r="J112">
        <f>60+68+51+58+120+126</f>
        <v>483</v>
      </c>
      <c r="K112">
        <v>6</v>
      </c>
      <c r="L112">
        <v>126</v>
      </c>
    </row>
    <row r="113" spans="1:12">
      <c r="A113" s="9">
        <v>41906</v>
      </c>
      <c r="B113" s="7" t="s">
        <v>27</v>
      </c>
      <c r="C113">
        <v>21</v>
      </c>
      <c r="D113" t="s">
        <v>19</v>
      </c>
      <c r="F113">
        <v>1.3</v>
      </c>
      <c r="J113">
        <f>56+63+65+72</f>
        <v>256</v>
      </c>
      <c r="K113">
        <v>4</v>
      </c>
      <c r="L113">
        <v>72</v>
      </c>
    </row>
    <row r="114" spans="1:12">
      <c r="A114" s="9">
        <v>41906</v>
      </c>
      <c r="B114" s="7" t="s">
        <v>27</v>
      </c>
      <c r="C114">
        <v>21</v>
      </c>
      <c r="D114" t="s">
        <v>19</v>
      </c>
      <c r="F114">
        <v>2.54</v>
      </c>
      <c r="J114">
        <f>57+71+71+100</f>
        <v>299</v>
      </c>
      <c r="K114">
        <v>4</v>
      </c>
      <c r="L114">
        <v>100</v>
      </c>
    </row>
    <row r="115" spans="1:12">
      <c r="A115" s="9">
        <v>41906</v>
      </c>
      <c r="B115" s="7" t="s">
        <v>27</v>
      </c>
      <c r="C115">
        <v>21</v>
      </c>
      <c r="D115" t="s">
        <v>19</v>
      </c>
      <c r="F115">
        <v>0.76</v>
      </c>
      <c r="J115">
        <f>23+23</f>
        <v>46</v>
      </c>
      <c r="K115">
        <v>2</v>
      </c>
      <c r="L115">
        <v>23</v>
      </c>
    </row>
    <row r="116" spans="1:12">
      <c r="A116" s="9">
        <v>41906</v>
      </c>
      <c r="B116" s="7" t="s">
        <v>27</v>
      </c>
      <c r="C116">
        <v>21</v>
      </c>
      <c r="D116" t="s">
        <v>19</v>
      </c>
      <c r="F116">
        <v>0.95</v>
      </c>
      <c r="J116">
        <f>31+43+51</f>
        <v>125</v>
      </c>
      <c r="K116">
        <v>3</v>
      </c>
      <c r="L116">
        <v>51</v>
      </c>
    </row>
    <row r="117" spans="1:12">
      <c r="A117" s="9">
        <v>41906</v>
      </c>
      <c r="B117" s="7" t="s">
        <v>27</v>
      </c>
      <c r="C117">
        <v>21</v>
      </c>
      <c r="D117" t="s">
        <v>19</v>
      </c>
      <c r="F117">
        <v>1.1399999999999999</v>
      </c>
      <c r="J117">
        <f>41+53+54</f>
        <v>148</v>
      </c>
      <c r="K117">
        <v>3</v>
      </c>
      <c r="L117">
        <v>54</v>
      </c>
    </row>
    <row r="118" spans="1:12">
      <c r="A118" s="9">
        <v>41906</v>
      </c>
      <c r="B118" s="7" t="s">
        <v>27</v>
      </c>
      <c r="C118">
        <v>21</v>
      </c>
      <c r="D118" t="s">
        <v>60</v>
      </c>
      <c r="E118">
        <v>268</v>
      </c>
      <c r="F118">
        <v>2.58</v>
      </c>
      <c r="H118">
        <v>24</v>
      </c>
      <c r="I118">
        <v>1</v>
      </c>
    </row>
    <row r="119" spans="1:12">
      <c r="A119" s="9">
        <v>41906</v>
      </c>
      <c r="B119" s="7" t="s">
        <v>27</v>
      </c>
      <c r="C119">
        <v>21</v>
      </c>
      <c r="D119" t="s">
        <v>19</v>
      </c>
      <c r="F119">
        <v>1.77</v>
      </c>
      <c r="J119">
        <f>48+67+114+124+172</f>
        <v>525</v>
      </c>
      <c r="K119">
        <v>5</v>
      </c>
      <c r="L119">
        <v>172</v>
      </c>
    </row>
    <row r="120" spans="1:12">
      <c r="A120" s="9">
        <v>41906</v>
      </c>
      <c r="B120" s="7" t="s">
        <v>27</v>
      </c>
      <c r="C120">
        <v>21</v>
      </c>
      <c r="D120" t="s">
        <v>19</v>
      </c>
      <c r="F120">
        <v>3.54</v>
      </c>
      <c r="J120">
        <f>103+102+153+164+174+190+197</f>
        <v>1083</v>
      </c>
      <c r="K120">
        <v>7</v>
      </c>
      <c r="L120">
        <v>197</v>
      </c>
    </row>
    <row r="121" spans="1:12">
      <c r="A121" s="9">
        <v>41906</v>
      </c>
      <c r="B121" s="7" t="s">
        <v>27</v>
      </c>
      <c r="C121">
        <v>21</v>
      </c>
      <c r="D121" t="s">
        <v>60</v>
      </c>
      <c r="E121">
        <v>251</v>
      </c>
      <c r="F121">
        <v>1.42</v>
      </c>
      <c r="H121">
        <v>25</v>
      </c>
      <c r="I121">
        <v>1.8</v>
      </c>
    </row>
    <row r="122" spans="1:12">
      <c r="A122" s="9">
        <v>41906</v>
      </c>
      <c r="B122" s="7" t="s">
        <v>27</v>
      </c>
      <c r="C122">
        <v>21</v>
      </c>
      <c r="D122" t="s">
        <v>60</v>
      </c>
      <c r="E122">
        <v>275</v>
      </c>
      <c r="F122">
        <v>1.97</v>
      </c>
      <c r="H122">
        <v>30.5</v>
      </c>
      <c r="I122">
        <v>1.9</v>
      </c>
    </row>
    <row r="123" spans="1:12">
      <c r="A123" s="9">
        <v>41906</v>
      </c>
      <c r="B123" s="7" t="s">
        <v>27</v>
      </c>
      <c r="C123">
        <v>21</v>
      </c>
      <c r="D123" t="s">
        <v>19</v>
      </c>
      <c r="F123">
        <v>2.5099999999999998</v>
      </c>
      <c r="J123">
        <f>84+95+129+160+174+137</f>
        <v>779</v>
      </c>
      <c r="K123">
        <v>6</v>
      </c>
      <c r="L123">
        <v>174</v>
      </c>
    </row>
    <row r="124" spans="1:12">
      <c r="A124" s="9">
        <v>41906</v>
      </c>
      <c r="B124" s="7" t="s">
        <v>27</v>
      </c>
      <c r="C124">
        <v>17</v>
      </c>
      <c r="D124" t="s">
        <v>19</v>
      </c>
      <c r="F124">
        <v>10.14</v>
      </c>
      <c r="J124">
        <f>45+45+48+98+145+177+203+206+225+232+246+256+253+259</f>
        <v>2438</v>
      </c>
      <c r="K124">
        <v>14</v>
      </c>
      <c r="L124">
        <v>259</v>
      </c>
    </row>
    <row r="125" spans="1:12">
      <c r="A125" s="9">
        <v>41906</v>
      </c>
      <c r="B125" s="7" t="s">
        <v>27</v>
      </c>
      <c r="C125">
        <v>13</v>
      </c>
      <c r="D125" t="s">
        <v>19</v>
      </c>
      <c r="F125">
        <v>4.13</v>
      </c>
      <c r="J125">
        <f>50+66+66+145+176+202</f>
        <v>705</v>
      </c>
      <c r="K125">
        <v>6</v>
      </c>
      <c r="L125">
        <v>202</v>
      </c>
    </row>
    <row r="126" spans="1:12">
      <c r="A126" s="9">
        <v>41906</v>
      </c>
      <c r="B126" s="7" t="s">
        <v>27</v>
      </c>
      <c r="C126">
        <v>13</v>
      </c>
      <c r="D126" t="s">
        <v>19</v>
      </c>
      <c r="F126">
        <v>2.0699999999999998</v>
      </c>
      <c r="J126">
        <f>45+45+102</f>
        <v>192</v>
      </c>
      <c r="K126">
        <v>3</v>
      </c>
      <c r="L126">
        <v>3</v>
      </c>
    </row>
    <row r="127" spans="1:12">
      <c r="A127" s="9">
        <v>41906</v>
      </c>
      <c r="B127" s="7" t="s">
        <v>27</v>
      </c>
      <c r="C127">
        <v>13</v>
      </c>
      <c r="D127" t="s">
        <v>19</v>
      </c>
      <c r="F127">
        <v>2.37</v>
      </c>
      <c r="J127">
        <f>44+44+51+74+134</f>
        <v>347</v>
      </c>
      <c r="K127">
        <v>5</v>
      </c>
      <c r="L127">
        <v>134</v>
      </c>
    </row>
    <row r="128" spans="1:12">
      <c r="A128" s="9">
        <v>41906</v>
      </c>
      <c r="B128" s="7" t="s">
        <v>27</v>
      </c>
      <c r="C128">
        <v>13</v>
      </c>
      <c r="D128" t="s">
        <v>19</v>
      </c>
      <c r="F128">
        <v>2.2999999999999998</v>
      </c>
      <c r="J128">
        <f>25+56+52+68+77</f>
        <v>278</v>
      </c>
      <c r="K128">
        <v>5</v>
      </c>
      <c r="L128">
        <v>77</v>
      </c>
    </row>
    <row r="129" spans="1:13">
      <c r="A129" s="9">
        <v>41906</v>
      </c>
      <c r="B129" s="7" t="s">
        <v>27</v>
      </c>
      <c r="C129">
        <v>13</v>
      </c>
      <c r="D129" t="s">
        <v>19</v>
      </c>
      <c r="F129">
        <v>1.04</v>
      </c>
      <c r="J129">
        <f>32+40+51+68</f>
        <v>191</v>
      </c>
      <c r="K129">
        <v>4</v>
      </c>
      <c r="L129">
        <v>68</v>
      </c>
    </row>
    <row r="130" spans="1:13">
      <c r="A130" s="9">
        <v>41906</v>
      </c>
      <c r="B130" s="7" t="s">
        <v>27</v>
      </c>
      <c r="C130">
        <v>13</v>
      </c>
      <c r="D130" t="s">
        <v>19</v>
      </c>
      <c r="F130">
        <v>4.46</v>
      </c>
      <c r="J130">
        <f>50+79+92+135+140+140+141+159+193+205</f>
        <v>1334</v>
      </c>
      <c r="K130">
        <v>10</v>
      </c>
      <c r="L130">
        <v>205</v>
      </c>
    </row>
    <row r="131" spans="1:13">
      <c r="A131" s="9">
        <v>41906</v>
      </c>
      <c r="B131" s="7" t="s">
        <v>27</v>
      </c>
      <c r="C131">
        <v>13</v>
      </c>
      <c r="D131" t="s">
        <v>19</v>
      </c>
      <c r="F131">
        <v>4.2</v>
      </c>
      <c r="J131">
        <f>51+76+111+152+177+208</f>
        <v>775</v>
      </c>
      <c r="K131">
        <v>6</v>
      </c>
      <c r="L131">
        <v>208</v>
      </c>
    </row>
    <row r="132" spans="1:13">
      <c r="A132" s="9">
        <v>41906</v>
      </c>
      <c r="B132" s="7" t="s">
        <v>27</v>
      </c>
      <c r="C132">
        <v>13</v>
      </c>
      <c r="D132" t="s">
        <v>61</v>
      </c>
      <c r="E132">
        <v>85</v>
      </c>
      <c r="F132">
        <v>0.36</v>
      </c>
    </row>
    <row r="133" spans="1:13">
      <c r="A133" s="9">
        <v>41906</v>
      </c>
      <c r="B133" s="7" t="s">
        <v>27</v>
      </c>
      <c r="C133">
        <v>13</v>
      </c>
      <c r="D133" t="s">
        <v>19</v>
      </c>
      <c r="F133">
        <v>1.29</v>
      </c>
      <c r="J133">
        <f>84+145+191</f>
        <v>420</v>
      </c>
      <c r="K133">
        <v>3</v>
      </c>
      <c r="L133">
        <v>191</v>
      </c>
    </row>
    <row r="134" spans="1:13">
      <c r="A134" s="9">
        <v>41906</v>
      </c>
      <c r="B134" s="7" t="s">
        <v>27</v>
      </c>
      <c r="C134">
        <v>13</v>
      </c>
      <c r="D134" t="s">
        <v>61</v>
      </c>
      <c r="E134">
        <v>49</v>
      </c>
      <c r="F134">
        <v>0.23</v>
      </c>
    </row>
    <row r="135" spans="1:13">
      <c r="A135" s="9">
        <v>41906</v>
      </c>
      <c r="B135" s="7" t="s">
        <v>27</v>
      </c>
      <c r="C135">
        <v>13</v>
      </c>
      <c r="D135" t="s">
        <v>19</v>
      </c>
      <c r="F135">
        <v>3.68</v>
      </c>
      <c r="J135">
        <f>36+57+65+91+104+129+163+187+210+218+90</f>
        <v>1350</v>
      </c>
      <c r="K135">
        <v>11</v>
      </c>
      <c r="L135">
        <v>218</v>
      </c>
    </row>
    <row r="136" spans="1:13">
      <c r="A136" s="9">
        <v>41906</v>
      </c>
      <c r="B136" s="7" t="s">
        <v>27</v>
      </c>
      <c r="C136">
        <v>13</v>
      </c>
      <c r="D136" t="s">
        <v>19</v>
      </c>
      <c r="F136">
        <v>1.07</v>
      </c>
      <c r="J136">
        <f>67+87+121+130+153</f>
        <v>558</v>
      </c>
      <c r="K136">
        <v>5</v>
      </c>
      <c r="L136">
        <v>153</v>
      </c>
    </row>
    <row r="137" spans="1:13">
      <c r="A137" s="9">
        <v>41906</v>
      </c>
      <c r="B137" s="7" t="s">
        <v>27</v>
      </c>
      <c r="C137">
        <v>13</v>
      </c>
      <c r="D137" t="s">
        <v>19</v>
      </c>
      <c r="E137">
        <v>163</v>
      </c>
      <c r="F137">
        <v>3.35</v>
      </c>
      <c r="H137">
        <v>23</v>
      </c>
      <c r="I137">
        <v>2</v>
      </c>
    </row>
    <row r="138" spans="1:13">
      <c r="A138" s="9">
        <v>41906</v>
      </c>
      <c r="B138" s="7" t="s">
        <v>27</v>
      </c>
      <c r="C138">
        <v>12</v>
      </c>
      <c r="M138" t="s">
        <v>63</v>
      </c>
    </row>
    <row r="139" spans="1:13">
      <c r="A139" s="9">
        <v>41906</v>
      </c>
      <c r="B139" s="7" t="s">
        <v>29</v>
      </c>
      <c r="C139">
        <v>45</v>
      </c>
      <c r="D139" t="s">
        <v>19</v>
      </c>
      <c r="F139">
        <v>1.85</v>
      </c>
      <c r="J139">
        <f>59+84+108+169</f>
        <v>420</v>
      </c>
      <c r="K139">
        <v>4</v>
      </c>
      <c r="L139">
        <v>169</v>
      </c>
    </row>
    <row r="140" spans="1:13">
      <c r="A140" s="9">
        <v>41906</v>
      </c>
      <c r="B140" s="7" t="s">
        <v>29</v>
      </c>
      <c r="C140">
        <v>45</v>
      </c>
      <c r="D140" t="s">
        <v>19</v>
      </c>
      <c r="F140">
        <v>6.77</v>
      </c>
      <c r="J140">
        <f>131+167+193+200+213+230+281+301+328+326+338</f>
        <v>2708</v>
      </c>
      <c r="K140">
        <v>11</v>
      </c>
      <c r="L140">
        <v>338</v>
      </c>
    </row>
    <row r="141" spans="1:13">
      <c r="A141" s="9">
        <v>41906</v>
      </c>
      <c r="B141" s="7" t="s">
        <v>29</v>
      </c>
      <c r="C141">
        <v>45</v>
      </c>
      <c r="D141" t="s">
        <v>19</v>
      </c>
      <c r="F141">
        <v>3.93</v>
      </c>
      <c r="J141">
        <f>96+170+198+224+254+279+282+298+300</f>
        <v>2101</v>
      </c>
      <c r="K141">
        <v>9</v>
      </c>
      <c r="L141">
        <v>300</v>
      </c>
    </row>
    <row r="142" spans="1:13">
      <c r="A142" s="9">
        <v>41906</v>
      </c>
      <c r="B142" s="7" t="s">
        <v>29</v>
      </c>
      <c r="C142">
        <v>45</v>
      </c>
      <c r="D142" t="s">
        <v>19</v>
      </c>
      <c r="F142">
        <v>5.46</v>
      </c>
      <c r="J142">
        <f>97+113+166+193+200+266+280+298+300+317</f>
        <v>2230</v>
      </c>
      <c r="K142">
        <v>10</v>
      </c>
      <c r="L142">
        <v>317</v>
      </c>
    </row>
    <row r="143" spans="1:13">
      <c r="A143" s="9">
        <v>41906</v>
      </c>
      <c r="B143" s="7" t="s">
        <v>29</v>
      </c>
      <c r="C143">
        <v>45</v>
      </c>
      <c r="D143" t="s">
        <v>19</v>
      </c>
      <c r="F143">
        <v>9.94</v>
      </c>
      <c r="J143">
        <f>88+131+200+218+245+253+278+278+284+281+287</f>
        <v>2543</v>
      </c>
      <c r="K143">
        <v>11</v>
      </c>
      <c r="L143">
        <v>287</v>
      </c>
    </row>
    <row r="144" spans="1:13">
      <c r="A144" s="9">
        <v>41906</v>
      </c>
      <c r="B144" s="7" t="s">
        <v>29</v>
      </c>
      <c r="C144">
        <v>45</v>
      </c>
      <c r="D144" t="s">
        <v>19</v>
      </c>
      <c r="F144">
        <v>7.81</v>
      </c>
      <c r="J144">
        <f>130+122+157+163+189+204+214+222+247+250</f>
        <v>1898</v>
      </c>
      <c r="K144">
        <v>10</v>
      </c>
      <c r="L144">
        <v>250</v>
      </c>
    </row>
    <row r="145" spans="1:12">
      <c r="A145" s="9">
        <v>41906</v>
      </c>
      <c r="B145" s="7" t="s">
        <v>29</v>
      </c>
      <c r="C145">
        <v>45</v>
      </c>
      <c r="D145" t="s">
        <v>19</v>
      </c>
      <c r="F145">
        <v>4.32</v>
      </c>
      <c r="J145">
        <f>149+175+189+237+252+274+291+317+321</f>
        <v>2205</v>
      </c>
      <c r="K145">
        <v>9</v>
      </c>
      <c r="L145">
        <v>321</v>
      </c>
    </row>
    <row r="146" spans="1:12">
      <c r="A146" s="9">
        <v>41906</v>
      </c>
      <c r="B146" s="7" t="s">
        <v>29</v>
      </c>
      <c r="C146">
        <v>42</v>
      </c>
      <c r="D146" t="s">
        <v>19</v>
      </c>
      <c r="F146">
        <v>6.71</v>
      </c>
      <c r="J146">
        <f>100+118+144+175+186+230+295+327+359+373+384</f>
        <v>2691</v>
      </c>
      <c r="K146">
        <v>11</v>
      </c>
      <c r="L146">
        <v>384</v>
      </c>
    </row>
    <row r="147" spans="1:12">
      <c r="A147" s="9">
        <v>41906</v>
      </c>
      <c r="B147" s="7" t="s">
        <v>29</v>
      </c>
      <c r="C147">
        <v>42</v>
      </c>
      <c r="D147" t="s">
        <v>60</v>
      </c>
      <c r="F147">
        <v>1.96</v>
      </c>
      <c r="J147">
        <f>21+278</f>
        <v>299</v>
      </c>
      <c r="K147">
        <v>2</v>
      </c>
      <c r="L147">
        <v>278</v>
      </c>
    </row>
    <row r="148" spans="1:12">
      <c r="A148" s="9">
        <v>41906</v>
      </c>
      <c r="B148" s="7" t="s">
        <v>29</v>
      </c>
      <c r="C148">
        <v>42</v>
      </c>
      <c r="D148" t="s">
        <v>19</v>
      </c>
      <c r="F148">
        <v>2.4900000000000002</v>
      </c>
      <c r="J148">
        <f>88+160+160+212+231</f>
        <v>851</v>
      </c>
      <c r="K148">
        <v>5</v>
      </c>
      <c r="L148">
        <v>231</v>
      </c>
    </row>
    <row r="149" spans="1:12">
      <c r="A149" s="9">
        <v>41906</v>
      </c>
      <c r="B149" s="7" t="s">
        <v>29</v>
      </c>
      <c r="C149">
        <v>42</v>
      </c>
      <c r="D149" t="s">
        <v>60</v>
      </c>
      <c r="E149">
        <v>309</v>
      </c>
      <c r="F149">
        <v>2.38</v>
      </c>
      <c r="H149">
        <v>35</v>
      </c>
      <c r="I149">
        <v>2</v>
      </c>
    </row>
    <row r="150" spans="1:12">
      <c r="A150" s="9">
        <v>41906</v>
      </c>
      <c r="B150" s="7" t="s">
        <v>29</v>
      </c>
      <c r="C150">
        <v>42</v>
      </c>
      <c r="D150" t="s">
        <v>19</v>
      </c>
      <c r="F150">
        <v>2.48</v>
      </c>
      <c r="J150">
        <f>48+60+60+58+76+123+118+161</f>
        <v>704</v>
      </c>
      <c r="K150">
        <v>8</v>
      </c>
      <c r="L150">
        <v>161</v>
      </c>
    </row>
    <row r="151" spans="1:12">
      <c r="A151" s="9">
        <v>41906</v>
      </c>
      <c r="B151" s="7" t="s">
        <v>29</v>
      </c>
      <c r="C151">
        <v>33</v>
      </c>
      <c r="D151" t="s">
        <v>19</v>
      </c>
      <c r="F151">
        <v>8.5399999999999991</v>
      </c>
      <c r="J151">
        <f>196+226+256+284+298+304+333+338+351+352+352</f>
        <v>3290</v>
      </c>
      <c r="K151">
        <v>11</v>
      </c>
      <c r="L151">
        <v>352</v>
      </c>
    </row>
    <row r="152" spans="1:12">
      <c r="A152" s="9">
        <v>41906</v>
      </c>
      <c r="B152" s="7" t="s">
        <v>29</v>
      </c>
      <c r="C152">
        <v>33</v>
      </c>
      <c r="D152" t="s">
        <v>19</v>
      </c>
      <c r="F152">
        <v>7.59</v>
      </c>
      <c r="J152">
        <f>164+242+251+274+295+314+310+323+324+326+167</f>
        <v>2990</v>
      </c>
      <c r="K152">
        <v>11</v>
      </c>
      <c r="L152">
        <v>326</v>
      </c>
    </row>
    <row r="153" spans="1:12">
      <c r="A153" s="9">
        <v>41906</v>
      </c>
      <c r="B153" s="7" t="s">
        <v>29</v>
      </c>
      <c r="C153">
        <v>33</v>
      </c>
      <c r="D153" t="s">
        <v>19</v>
      </c>
      <c r="F153">
        <v>0.97</v>
      </c>
      <c r="J153">
        <f>24+62+72+80</f>
        <v>238</v>
      </c>
      <c r="K153">
        <v>4</v>
      </c>
      <c r="L153">
        <v>80</v>
      </c>
    </row>
    <row r="154" spans="1:12">
      <c r="A154" s="9">
        <v>41906</v>
      </c>
      <c r="B154" s="7" t="s">
        <v>29</v>
      </c>
      <c r="C154">
        <v>33</v>
      </c>
      <c r="D154" t="s">
        <v>19</v>
      </c>
      <c r="F154">
        <v>1.01</v>
      </c>
      <c r="J154">
        <f>47+58+77+83</f>
        <v>265</v>
      </c>
      <c r="K154">
        <v>4</v>
      </c>
      <c r="L154">
        <v>83</v>
      </c>
    </row>
    <row r="155" spans="1:12">
      <c r="A155" s="9">
        <v>41906</v>
      </c>
      <c r="B155" s="7" t="s">
        <v>29</v>
      </c>
      <c r="C155">
        <v>33</v>
      </c>
      <c r="D155" t="s">
        <v>19</v>
      </c>
      <c r="F155">
        <v>3.66</v>
      </c>
      <c r="J155">
        <f>71+103+120+149+151+189+200+220</f>
        <v>1203</v>
      </c>
      <c r="K155">
        <v>8</v>
      </c>
      <c r="L155">
        <v>220</v>
      </c>
    </row>
    <row r="156" spans="1:12">
      <c r="A156" s="9">
        <v>41906</v>
      </c>
      <c r="B156" s="7" t="s">
        <v>29</v>
      </c>
      <c r="C156">
        <v>33</v>
      </c>
      <c r="D156" t="s">
        <v>19</v>
      </c>
      <c r="F156">
        <v>8.07</v>
      </c>
      <c r="J156">
        <f>232+253+276+291+302+313+329+331+358+360+360</f>
        <v>3405</v>
      </c>
      <c r="K156">
        <v>11</v>
      </c>
      <c r="L156">
        <v>360</v>
      </c>
    </row>
    <row r="157" spans="1:12">
      <c r="A157" s="9">
        <v>41906</v>
      </c>
      <c r="B157" s="7" t="s">
        <v>29</v>
      </c>
      <c r="C157">
        <v>33</v>
      </c>
      <c r="D157" t="s">
        <v>19</v>
      </c>
      <c r="F157">
        <v>1.23</v>
      </c>
      <c r="J157">
        <f>32+56+74+91+94</f>
        <v>347</v>
      </c>
      <c r="K157">
        <v>5</v>
      </c>
      <c r="L157">
        <v>94</v>
      </c>
    </row>
    <row r="158" spans="1:12">
      <c r="A158" s="9">
        <v>41906</v>
      </c>
      <c r="B158" s="7" t="s">
        <v>29</v>
      </c>
      <c r="C158">
        <v>33</v>
      </c>
      <c r="D158" t="s">
        <v>19</v>
      </c>
      <c r="F158">
        <v>2.4500000000000002</v>
      </c>
      <c r="J158">
        <f>88+100+132+147+189+190</f>
        <v>846</v>
      </c>
      <c r="K158">
        <v>6</v>
      </c>
      <c r="L158">
        <v>190</v>
      </c>
    </row>
    <row r="159" spans="1:12">
      <c r="A159" s="9">
        <v>41906</v>
      </c>
      <c r="B159" s="7" t="s">
        <v>29</v>
      </c>
      <c r="C159">
        <v>33</v>
      </c>
      <c r="D159" t="s">
        <v>19</v>
      </c>
      <c r="F159">
        <v>1.55</v>
      </c>
      <c r="J159">
        <f>60+63+72</f>
        <v>195</v>
      </c>
      <c r="K159">
        <v>3</v>
      </c>
      <c r="L159">
        <v>72</v>
      </c>
    </row>
    <row r="160" spans="1:12">
      <c r="A160" s="9">
        <v>41906</v>
      </c>
      <c r="B160" s="7" t="s">
        <v>29</v>
      </c>
      <c r="C160">
        <v>33</v>
      </c>
      <c r="D160" t="s">
        <v>19</v>
      </c>
      <c r="F160">
        <v>1.06</v>
      </c>
      <c r="J160">
        <f>60+66+77</f>
        <v>203</v>
      </c>
      <c r="K160">
        <v>3</v>
      </c>
      <c r="L160">
        <v>77</v>
      </c>
    </row>
    <row r="161" spans="1:13">
      <c r="A161" s="9">
        <v>41906</v>
      </c>
      <c r="B161" s="7" t="s">
        <v>29</v>
      </c>
      <c r="C161">
        <v>33</v>
      </c>
      <c r="D161" t="s">
        <v>19</v>
      </c>
      <c r="F161">
        <v>5.64</v>
      </c>
      <c r="J161">
        <f>165+230+273+277+308+314+320+342+345</f>
        <v>2574</v>
      </c>
      <c r="K161">
        <v>9</v>
      </c>
      <c r="L161">
        <v>345</v>
      </c>
    </row>
    <row r="162" spans="1:13">
      <c r="A162" s="9">
        <v>41906</v>
      </c>
      <c r="B162" s="7" t="s">
        <v>29</v>
      </c>
      <c r="C162">
        <v>33</v>
      </c>
      <c r="D162" t="s">
        <v>19</v>
      </c>
      <c r="F162">
        <v>4.78</v>
      </c>
      <c r="J162">
        <f>173+248+256+276+267+267+271+282+288+296+299</f>
        <v>2923</v>
      </c>
      <c r="K162">
        <v>11</v>
      </c>
      <c r="L162">
        <v>299</v>
      </c>
    </row>
    <row r="163" spans="1:13">
      <c r="A163" s="9">
        <v>41906</v>
      </c>
      <c r="B163" s="7" t="s">
        <v>29</v>
      </c>
      <c r="C163">
        <v>33</v>
      </c>
      <c r="D163" t="s">
        <v>19</v>
      </c>
      <c r="F163">
        <v>5.53</v>
      </c>
      <c r="J163">
        <f>62+198+238+242+257+259</f>
        <v>1256</v>
      </c>
      <c r="K163">
        <v>6</v>
      </c>
      <c r="L163">
        <v>259</v>
      </c>
    </row>
    <row r="164" spans="1:13">
      <c r="A164" s="9">
        <v>41906</v>
      </c>
      <c r="B164" s="7" t="s">
        <v>29</v>
      </c>
      <c r="C164">
        <v>15</v>
      </c>
      <c r="M164" t="s">
        <v>63</v>
      </c>
    </row>
    <row r="165" spans="1:13">
      <c r="A165" s="9">
        <v>41906</v>
      </c>
      <c r="B165" s="7" t="s">
        <v>29</v>
      </c>
      <c r="C165">
        <v>4</v>
      </c>
      <c r="D165" t="s">
        <v>61</v>
      </c>
      <c r="E165">
        <v>55</v>
      </c>
      <c r="F165">
        <v>0.93</v>
      </c>
    </row>
    <row r="166" spans="1:13">
      <c r="A166" s="9">
        <v>41906</v>
      </c>
      <c r="B166" s="7" t="s">
        <v>29</v>
      </c>
      <c r="C166">
        <v>4</v>
      </c>
      <c r="D166" t="s">
        <v>62</v>
      </c>
      <c r="E166">
        <v>158</v>
      </c>
      <c r="F166">
        <v>2</v>
      </c>
    </row>
    <row r="167" spans="1:13">
      <c r="A167" s="9">
        <v>41906</v>
      </c>
      <c r="B167" s="7" t="s">
        <v>29</v>
      </c>
      <c r="C167">
        <v>4</v>
      </c>
      <c r="D167" t="s">
        <v>19</v>
      </c>
      <c r="F167">
        <v>1.59</v>
      </c>
      <c r="J167">
        <f>41+41+63+81+101</f>
        <v>327</v>
      </c>
      <c r="K167">
        <v>5</v>
      </c>
      <c r="L167">
        <v>101</v>
      </c>
    </row>
    <row r="168" spans="1:13">
      <c r="A168" s="9">
        <v>41906</v>
      </c>
      <c r="B168" s="7" t="s">
        <v>29</v>
      </c>
      <c r="C168">
        <v>4</v>
      </c>
      <c r="D168" t="s">
        <v>61</v>
      </c>
      <c r="E168">
        <v>107</v>
      </c>
      <c r="F168">
        <v>0.71</v>
      </c>
    </row>
    <row r="169" spans="1:13">
      <c r="A169" s="9">
        <v>41906</v>
      </c>
      <c r="B169" s="7" t="s">
        <v>29</v>
      </c>
      <c r="C169">
        <v>4</v>
      </c>
      <c r="D169" t="s">
        <v>61</v>
      </c>
      <c r="E169">
        <v>38</v>
      </c>
      <c r="F169">
        <v>0.89</v>
      </c>
    </row>
    <row r="170" spans="1:13">
      <c r="A170" s="9">
        <v>41906</v>
      </c>
      <c r="B170" s="7" t="s">
        <v>29</v>
      </c>
      <c r="C170">
        <v>4</v>
      </c>
      <c r="D170" t="s">
        <v>61</v>
      </c>
      <c r="E170">
        <v>107</v>
      </c>
      <c r="F170">
        <v>1.1599999999999999</v>
      </c>
      <c r="G170">
        <v>2</v>
      </c>
    </row>
    <row r="171" spans="1:13">
      <c r="A171" s="9">
        <v>41906</v>
      </c>
      <c r="B171" s="7" t="s">
        <v>29</v>
      </c>
      <c r="C171">
        <v>4</v>
      </c>
      <c r="D171" t="s">
        <v>61</v>
      </c>
      <c r="E171">
        <v>209</v>
      </c>
      <c r="F171">
        <v>1.73</v>
      </c>
      <c r="G171">
        <v>23</v>
      </c>
    </row>
    <row r="172" spans="1:13">
      <c r="A172" s="9">
        <v>41906</v>
      </c>
      <c r="B172" s="7" t="s">
        <v>29</v>
      </c>
      <c r="C172">
        <v>4</v>
      </c>
      <c r="D172" t="s">
        <v>61</v>
      </c>
      <c r="E172">
        <v>205</v>
      </c>
      <c r="F172">
        <v>2.02</v>
      </c>
    </row>
    <row r="173" spans="1:13">
      <c r="A173" s="9">
        <v>41906</v>
      </c>
      <c r="B173" s="7" t="s">
        <v>29</v>
      </c>
      <c r="C173">
        <v>4</v>
      </c>
      <c r="D173" t="s">
        <v>61</v>
      </c>
      <c r="E173">
        <v>63</v>
      </c>
      <c r="F173">
        <v>1.07</v>
      </c>
    </row>
    <row r="174" spans="1:13">
      <c r="A174" s="9">
        <v>41906</v>
      </c>
      <c r="B174" s="7" t="s">
        <v>29</v>
      </c>
      <c r="C174">
        <v>4</v>
      </c>
      <c r="D174" t="s">
        <v>61</v>
      </c>
      <c r="E174">
        <v>103</v>
      </c>
      <c r="F174">
        <v>1.4</v>
      </c>
      <c r="G174">
        <v>11</v>
      </c>
    </row>
    <row r="175" spans="1:13">
      <c r="A175" s="9">
        <v>41906</v>
      </c>
      <c r="B175" s="7" t="s">
        <v>29</v>
      </c>
      <c r="C175">
        <v>4</v>
      </c>
      <c r="D175" t="s">
        <v>61</v>
      </c>
      <c r="E175">
        <v>81</v>
      </c>
      <c r="F175">
        <v>0.84</v>
      </c>
    </row>
    <row r="176" spans="1:13">
      <c r="A176" s="9">
        <v>41906</v>
      </c>
      <c r="B176" s="7" t="s">
        <v>29</v>
      </c>
      <c r="C176">
        <v>4</v>
      </c>
      <c r="D176" t="s">
        <v>61</v>
      </c>
      <c r="E176">
        <v>167</v>
      </c>
      <c r="F176">
        <v>1.36</v>
      </c>
    </row>
    <row r="177" spans="1:12">
      <c r="A177" s="9">
        <v>41906</v>
      </c>
      <c r="B177" s="7" t="s">
        <v>29</v>
      </c>
      <c r="C177">
        <v>4</v>
      </c>
      <c r="D177" t="s">
        <v>61</v>
      </c>
      <c r="E177">
        <v>180</v>
      </c>
      <c r="F177">
        <v>1.92</v>
      </c>
    </row>
    <row r="178" spans="1:12">
      <c r="A178" s="9">
        <v>41906</v>
      </c>
      <c r="B178" s="7" t="s">
        <v>29</v>
      </c>
      <c r="C178">
        <v>4</v>
      </c>
      <c r="D178" t="s">
        <v>61</v>
      </c>
      <c r="E178">
        <v>169</v>
      </c>
      <c r="F178">
        <v>1.39</v>
      </c>
    </row>
    <row r="179" spans="1:12">
      <c r="A179" s="9">
        <v>41906</v>
      </c>
      <c r="B179" s="7" t="s">
        <v>29</v>
      </c>
      <c r="C179">
        <v>4</v>
      </c>
      <c r="D179" t="s">
        <v>60</v>
      </c>
      <c r="F179">
        <v>1.26</v>
      </c>
      <c r="J179">
        <f>35+44+50</f>
        <v>129</v>
      </c>
      <c r="K179">
        <v>3</v>
      </c>
      <c r="L179">
        <v>50</v>
      </c>
    </row>
    <row r="180" spans="1:12">
      <c r="A180" s="9">
        <v>41906</v>
      </c>
      <c r="B180" s="7" t="s">
        <v>29</v>
      </c>
      <c r="C180">
        <v>4</v>
      </c>
      <c r="D180" t="s">
        <v>19</v>
      </c>
      <c r="F180">
        <v>0.54</v>
      </c>
      <c r="J180">
        <f>41+42</f>
        <v>83</v>
      </c>
      <c r="K180">
        <v>2</v>
      </c>
      <c r="L180">
        <v>42</v>
      </c>
    </row>
    <row r="181" spans="1:12">
      <c r="A181" s="9">
        <v>41906</v>
      </c>
      <c r="B181" s="7" t="s">
        <v>24</v>
      </c>
      <c r="C181">
        <v>48</v>
      </c>
      <c r="D181" t="s">
        <v>19</v>
      </c>
      <c r="F181">
        <v>4.26</v>
      </c>
      <c r="J181">
        <f>244+316+344+380+385+390+397</f>
        <v>2456</v>
      </c>
      <c r="K181">
        <v>7</v>
      </c>
      <c r="L181">
        <v>397</v>
      </c>
    </row>
    <row r="182" spans="1:12">
      <c r="A182" s="9">
        <v>41906</v>
      </c>
      <c r="B182" s="7" t="s">
        <v>24</v>
      </c>
      <c r="C182">
        <v>48</v>
      </c>
      <c r="D182" t="s">
        <v>19</v>
      </c>
      <c r="F182">
        <v>1.6</v>
      </c>
      <c r="J182">
        <f>287+307+346</f>
        <v>940</v>
      </c>
      <c r="K182">
        <v>3</v>
      </c>
      <c r="L182">
        <v>346</v>
      </c>
    </row>
    <row r="183" spans="1:12">
      <c r="A183" s="9">
        <v>41906</v>
      </c>
      <c r="B183" s="7" t="s">
        <v>24</v>
      </c>
      <c r="C183">
        <v>48</v>
      </c>
      <c r="D183" t="s">
        <v>61</v>
      </c>
      <c r="E183">
        <v>122</v>
      </c>
      <c r="F183">
        <v>0.96</v>
      </c>
    </row>
    <row r="184" spans="1:12">
      <c r="A184" s="9">
        <v>41906</v>
      </c>
      <c r="B184" s="7" t="s">
        <v>24</v>
      </c>
      <c r="C184">
        <v>48</v>
      </c>
      <c r="D184" t="s">
        <v>60</v>
      </c>
      <c r="E184">
        <v>324</v>
      </c>
      <c r="F184">
        <v>2.88</v>
      </c>
      <c r="H184">
        <v>38</v>
      </c>
      <c r="I184">
        <v>2.1</v>
      </c>
    </row>
    <row r="185" spans="1:12">
      <c r="A185" s="9">
        <v>41906</v>
      </c>
      <c r="B185" s="7" t="s">
        <v>24</v>
      </c>
      <c r="C185">
        <v>45</v>
      </c>
      <c r="D185" t="s">
        <v>19</v>
      </c>
      <c r="F185">
        <v>1.1599999999999999</v>
      </c>
      <c r="J185">
        <f>44+48+61</f>
        <v>153</v>
      </c>
      <c r="K185">
        <v>3</v>
      </c>
      <c r="L185">
        <v>61</v>
      </c>
    </row>
    <row r="186" spans="1:12">
      <c r="A186" s="9">
        <v>41906</v>
      </c>
      <c r="B186" s="7" t="s">
        <v>24</v>
      </c>
      <c r="C186">
        <v>45</v>
      </c>
      <c r="D186" t="s">
        <v>19</v>
      </c>
      <c r="F186">
        <v>1.1000000000000001</v>
      </c>
      <c r="J186">
        <f>42+28+36</f>
        <v>106</v>
      </c>
      <c r="K186">
        <v>3</v>
      </c>
      <c r="L186">
        <v>42</v>
      </c>
    </row>
    <row r="187" spans="1:12">
      <c r="A187" s="9">
        <v>41906</v>
      </c>
      <c r="B187" s="7" t="s">
        <v>24</v>
      </c>
      <c r="C187">
        <v>45</v>
      </c>
      <c r="D187" t="s">
        <v>19</v>
      </c>
      <c r="E187">
        <v>185</v>
      </c>
      <c r="F187">
        <v>2.68</v>
      </c>
      <c r="H187">
        <v>8</v>
      </c>
      <c r="I187">
        <v>2</v>
      </c>
    </row>
    <row r="188" spans="1:12">
      <c r="A188" s="9">
        <v>41906</v>
      </c>
      <c r="B188" s="7" t="s">
        <v>24</v>
      </c>
      <c r="C188">
        <v>45</v>
      </c>
      <c r="D188" t="s">
        <v>19</v>
      </c>
      <c r="F188">
        <v>1.98</v>
      </c>
      <c r="J188">
        <f>193+223+267+273</f>
        <v>956</v>
      </c>
      <c r="K188">
        <v>4</v>
      </c>
      <c r="L188">
        <v>273</v>
      </c>
    </row>
    <row r="189" spans="1:12">
      <c r="A189" s="9">
        <v>41906</v>
      </c>
      <c r="B189" s="7" t="s">
        <v>24</v>
      </c>
      <c r="C189">
        <v>45</v>
      </c>
      <c r="D189" t="s">
        <v>60</v>
      </c>
      <c r="F189">
        <v>2.63</v>
      </c>
      <c r="J189">
        <f>233+260+283+288</f>
        <v>1064</v>
      </c>
      <c r="K189">
        <v>4</v>
      </c>
      <c r="L189">
        <v>288</v>
      </c>
    </row>
    <row r="190" spans="1:12">
      <c r="A190" s="9">
        <v>41906</v>
      </c>
      <c r="B190" s="7" t="s">
        <v>24</v>
      </c>
      <c r="C190">
        <v>45</v>
      </c>
      <c r="D190" t="s">
        <v>19</v>
      </c>
      <c r="F190">
        <v>2.15</v>
      </c>
      <c r="J190">
        <f>216+255+274+286+278</f>
        <v>1309</v>
      </c>
      <c r="K190">
        <v>5</v>
      </c>
      <c r="L190">
        <v>286</v>
      </c>
    </row>
    <row r="191" spans="1:12">
      <c r="A191" s="9">
        <v>41906</v>
      </c>
      <c r="B191" s="7" t="s">
        <v>24</v>
      </c>
      <c r="C191">
        <v>45</v>
      </c>
      <c r="D191" t="s">
        <v>19</v>
      </c>
      <c r="F191">
        <v>0.92</v>
      </c>
      <c r="J191">
        <f>34+39+51+58</f>
        <v>182</v>
      </c>
      <c r="K191">
        <v>4</v>
      </c>
      <c r="L191">
        <v>58</v>
      </c>
    </row>
    <row r="192" spans="1:12">
      <c r="A192" s="9">
        <v>41906</v>
      </c>
      <c r="B192" s="7" t="s">
        <v>24</v>
      </c>
      <c r="C192">
        <v>45</v>
      </c>
      <c r="D192" t="s">
        <v>19</v>
      </c>
      <c r="F192">
        <v>1.36</v>
      </c>
      <c r="J192">
        <f>38+50+54+77</f>
        <v>219</v>
      </c>
      <c r="K192">
        <v>4</v>
      </c>
      <c r="L192">
        <v>77</v>
      </c>
    </row>
    <row r="193" spans="1:12">
      <c r="A193" s="9">
        <v>41906</v>
      </c>
      <c r="B193" s="7" t="s">
        <v>24</v>
      </c>
      <c r="C193">
        <v>45</v>
      </c>
      <c r="D193" t="s">
        <v>19</v>
      </c>
      <c r="F193">
        <v>3.65</v>
      </c>
      <c r="J193">
        <f>198+244+270+300+304+306+331</f>
        <v>1953</v>
      </c>
      <c r="K193">
        <v>7</v>
      </c>
      <c r="L193">
        <v>331</v>
      </c>
    </row>
    <row r="194" spans="1:12">
      <c r="A194" s="9">
        <v>41906</v>
      </c>
      <c r="B194" s="7" t="s">
        <v>24</v>
      </c>
      <c r="C194">
        <v>45</v>
      </c>
      <c r="D194" t="s">
        <v>19</v>
      </c>
      <c r="F194">
        <v>0.85</v>
      </c>
      <c r="J194">
        <f>34+40</f>
        <v>74</v>
      </c>
      <c r="K194">
        <v>2</v>
      </c>
      <c r="L194">
        <v>40</v>
      </c>
    </row>
    <row r="195" spans="1:12">
      <c r="A195" s="9">
        <v>41906</v>
      </c>
      <c r="B195" s="7" t="s">
        <v>24</v>
      </c>
      <c r="C195">
        <v>45</v>
      </c>
      <c r="D195" t="s">
        <v>19</v>
      </c>
      <c r="F195">
        <v>5.33</v>
      </c>
      <c r="J195">
        <f>147+157+157+254+301+316+345</f>
        <v>1677</v>
      </c>
      <c r="K195">
        <v>7</v>
      </c>
      <c r="L195">
        <v>345</v>
      </c>
    </row>
    <row r="196" spans="1:12">
      <c r="A196" s="9">
        <v>41906</v>
      </c>
      <c r="B196" s="7" t="s">
        <v>24</v>
      </c>
      <c r="C196">
        <v>45</v>
      </c>
      <c r="D196" t="s">
        <v>19</v>
      </c>
      <c r="F196">
        <v>3.41</v>
      </c>
      <c r="J196">
        <f>200+215+288+266+301+330+350</f>
        <v>1950</v>
      </c>
      <c r="K196">
        <v>7</v>
      </c>
      <c r="L196">
        <v>350</v>
      </c>
    </row>
    <row r="197" spans="1:12">
      <c r="A197" s="9">
        <v>41906</v>
      </c>
      <c r="B197" s="7" t="s">
        <v>24</v>
      </c>
      <c r="C197">
        <v>33</v>
      </c>
      <c r="D197" t="s">
        <v>19</v>
      </c>
      <c r="F197">
        <v>1.49</v>
      </c>
      <c r="J197">
        <f>39+66+73+73</f>
        <v>251</v>
      </c>
      <c r="K197">
        <v>4</v>
      </c>
      <c r="L197">
        <v>73</v>
      </c>
    </row>
    <row r="198" spans="1:12">
      <c r="A198" s="9">
        <v>41906</v>
      </c>
      <c r="B198" s="7" t="s">
        <v>24</v>
      </c>
      <c r="C198">
        <v>33</v>
      </c>
      <c r="D198" t="s">
        <v>19</v>
      </c>
      <c r="F198">
        <v>3.09</v>
      </c>
      <c r="J198">
        <f>45+63+102+135</f>
        <v>345</v>
      </c>
      <c r="K198">
        <v>4</v>
      </c>
      <c r="L198">
        <v>135</v>
      </c>
    </row>
    <row r="199" spans="1:12">
      <c r="A199" s="9">
        <v>41906</v>
      </c>
      <c r="B199" s="7" t="s">
        <v>24</v>
      </c>
      <c r="C199">
        <v>27</v>
      </c>
      <c r="D199" t="s">
        <v>61</v>
      </c>
      <c r="E199">
        <v>195</v>
      </c>
      <c r="F199">
        <v>1.28</v>
      </c>
    </row>
    <row r="200" spans="1:12">
      <c r="A200" s="9">
        <v>41906</v>
      </c>
      <c r="B200" s="7" t="s">
        <v>24</v>
      </c>
      <c r="C200">
        <v>27</v>
      </c>
      <c r="D200" t="s">
        <v>61</v>
      </c>
      <c r="E200">
        <v>183</v>
      </c>
      <c r="F200">
        <v>1.5</v>
      </c>
    </row>
    <row r="201" spans="1:12">
      <c r="A201" s="9">
        <v>41906</v>
      </c>
      <c r="B201" s="7" t="s">
        <v>24</v>
      </c>
      <c r="C201">
        <v>27</v>
      </c>
      <c r="D201" t="s">
        <v>61</v>
      </c>
      <c r="E201">
        <v>147</v>
      </c>
      <c r="F201">
        <v>1.06</v>
      </c>
    </row>
    <row r="202" spans="1:12">
      <c r="A202" s="9">
        <v>41906</v>
      </c>
      <c r="B202" s="7" t="s">
        <v>24</v>
      </c>
      <c r="C202">
        <v>27</v>
      </c>
      <c r="D202" t="s">
        <v>61</v>
      </c>
      <c r="E202">
        <v>54</v>
      </c>
      <c r="F202">
        <v>0.35</v>
      </c>
    </row>
    <row r="203" spans="1:12">
      <c r="A203" s="9">
        <v>41906</v>
      </c>
      <c r="B203" s="7" t="s">
        <v>24</v>
      </c>
      <c r="C203">
        <v>27</v>
      </c>
      <c r="D203" t="s">
        <v>61</v>
      </c>
      <c r="E203">
        <v>208</v>
      </c>
      <c r="F203">
        <v>0.65</v>
      </c>
    </row>
    <row r="204" spans="1:12">
      <c r="A204" s="9">
        <v>41906</v>
      </c>
      <c r="B204" s="7" t="s">
        <v>24</v>
      </c>
      <c r="C204">
        <v>27</v>
      </c>
      <c r="D204" t="s">
        <v>61</v>
      </c>
      <c r="E204">
        <v>267</v>
      </c>
      <c r="F204">
        <v>1.46</v>
      </c>
      <c r="G204">
        <v>6</v>
      </c>
    </row>
    <row r="205" spans="1:12">
      <c r="A205" s="9">
        <v>41906</v>
      </c>
      <c r="B205" s="7" t="s">
        <v>24</v>
      </c>
      <c r="C205">
        <v>27</v>
      </c>
      <c r="D205" t="s">
        <v>61</v>
      </c>
      <c r="E205">
        <v>214</v>
      </c>
      <c r="F205">
        <v>1.1299999999999999</v>
      </c>
    </row>
    <row r="206" spans="1:12">
      <c r="A206" s="9">
        <v>41906</v>
      </c>
      <c r="B206" s="7" t="s">
        <v>24</v>
      </c>
      <c r="C206">
        <v>27</v>
      </c>
      <c r="D206" t="s">
        <v>61</v>
      </c>
      <c r="E206">
        <v>218</v>
      </c>
      <c r="F206">
        <v>1.0900000000000001</v>
      </c>
      <c r="G206">
        <v>12</v>
      </c>
    </row>
    <row r="207" spans="1:12">
      <c r="A207" s="9">
        <v>41906</v>
      </c>
      <c r="B207" s="7" t="s">
        <v>24</v>
      </c>
      <c r="C207">
        <v>27</v>
      </c>
      <c r="D207" t="s">
        <v>61</v>
      </c>
      <c r="E207">
        <v>257</v>
      </c>
      <c r="F207">
        <v>1.58</v>
      </c>
    </row>
    <row r="208" spans="1:12">
      <c r="A208" s="9">
        <v>41906</v>
      </c>
      <c r="B208" s="7" t="s">
        <v>24</v>
      </c>
      <c r="C208">
        <v>27</v>
      </c>
      <c r="D208" t="s">
        <v>19</v>
      </c>
      <c r="F208">
        <v>3.07</v>
      </c>
      <c r="J208">
        <f>87+136+183+197</f>
        <v>603</v>
      </c>
      <c r="K208">
        <v>4</v>
      </c>
      <c r="L208">
        <v>197</v>
      </c>
    </row>
    <row r="209" spans="1:12">
      <c r="A209" s="9">
        <v>41906</v>
      </c>
      <c r="B209" s="7" t="s">
        <v>24</v>
      </c>
      <c r="C209">
        <v>23</v>
      </c>
      <c r="D209" t="s">
        <v>61</v>
      </c>
      <c r="E209">
        <v>317</v>
      </c>
      <c r="F209">
        <v>1.4</v>
      </c>
    </row>
    <row r="210" spans="1:12">
      <c r="A210" s="9">
        <v>41906</v>
      </c>
      <c r="B210" s="7" t="s">
        <v>24</v>
      </c>
      <c r="C210">
        <v>23</v>
      </c>
      <c r="D210" t="s">
        <v>61</v>
      </c>
      <c r="E210">
        <v>193</v>
      </c>
      <c r="F210">
        <v>1.36</v>
      </c>
    </row>
    <row r="211" spans="1:12">
      <c r="A211" s="9">
        <v>41906</v>
      </c>
      <c r="B211" s="7" t="s">
        <v>24</v>
      </c>
      <c r="C211">
        <v>23</v>
      </c>
      <c r="D211" t="s">
        <v>19</v>
      </c>
      <c r="F211">
        <v>5.75</v>
      </c>
      <c r="J211">
        <f>91+109+194+232+242+262+265</f>
        <v>1395</v>
      </c>
      <c r="K211">
        <v>7</v>
      </c>
      <c r="L211">
        <v>265</v>
      </c>
    </row>
    <row r="212" spans="1:12">
      <c r="A212" s="9">
        <v>41906</v>
      </c>
      <c r="B212" s="7" t="s">
        <v>24</v>
      </c>
      <c r="C212">
        <v>23</v>
      </c>
      <c r="D212" t="s">
        <v>61</v>
      </c>
      <c r="E212">
        <v>300</v>
      </c>
      <c r="F212">
        <v>2</v>
      </c>
      <c r="G212">
        <v>24</v>
      </c>
    </row>
    <row r="213" spans="1:12">
      <c r="A213" s="9">
        <v>41906</v>
      </c>
      <c r="B213" s="7" t="s">
        <v>24</v>
      </c>
      <c r="C213">
        <v>23</v>
      </c>
      <c r="D213" t="s">
        <v>61</v>
      </c>
      <c r="E213">
        <v>56</v>
      </c>
      <c r="F213">
        <v>0.56999999999999995</v>
      </c>
    </row>
    <row r="214" spans="1:12">
      <c r="A214" s="9">
        <v>41906</v>
      </c>
      <c r="B214" s="7" t="s">
        <v>24</v>
      </c>
      <c r="C214">
        <v>23</v>
      </c>
      <c r="D214" t="s">
        <v>61</v>
      </c>
      <c r="E214">
        <v>268</v>
      </c>
      <c r="F214">
        <v>1.68</v>
      </c>
    </row>
    <row r="215" spans="1:12">
      <c r="A215" s="9">
        <v>41906</v>
      </c>
      <c r="B215" s="7" t="s">
        <v>24</v>
      </c>
      <c r="C215">
        <v>23</v>
      </c>
      <c r="D215" t="s">
        <v>61</v>
      </c>
      <c r="E215">
        <v>201</v>
      </c>
      <c r="F215">
        <v>1.37</v>
      </c>
    </row>
    <row r="216" spans="1:12">
      <c r="A216" s="9">
        <v>41906</v>
      </c>
      <c r="B216" s="7" t="s">
        <v>24</v>
      </c>
      <c r="C216">
        <v>23</v>
      </c>
      <c r="D216" t="s">
        <v>61</v>
      </c>
      <c r="E216">
        <v>311</v>
      </c>
      <c r="F216">
        <v>1.91</v>
      </c>
    </row>
    <row r="217" spans="1:12">
      <c r="A217" s="9">
        <v>41906</v>
      </c>
      <c r="B217" s="7" t="s">
        <v>24</v>
      </c>
      <c r="C217">
        <v>23</v>
      </c>
      <c r="D217" t="s">
        <v>61</v>
      </c>
      <c r="E217">
        <v>292</v>
      </c>
      <c r="F217">
        <v>2.11</v>
      </c>
    </row>
    <row r="218" spans="1:12">
      <c r="A218" s="9">
        <v>41906</v>
      </c>
      <c r="B218" s="7" t="s">
        <v>24</v>
      </c>
      <c r="C218">
        <v>23</v>
      </c>
      <c r="D218" t="s">
        <v>61</v>
      </c>
      <c r="E218">
        <v>297</v>
      </c>
      <c r="F218">
        <v>1.94</v>
      </c>
    </row>
    <row r="219" spans="1:12">
      <c r="A219" s="9">
        <v>41906</v>
      </c>
      <c r="B219" s="7" t="s">
        <v>28</v>
      </c>
      <c r="C219">
        <v>47</v>
      </c>
      <c r="D219" t="s">
        <v>19</v>
      </c>
      <c r="F219">
        <v>1.33</v>
      </c>
      <c r="J219">
        <f>74+96+116+123</f>
        <v>409</v>
      </c>
      <c r="K219">
        <v>4</v>
      </c>
      <c r="L219">
        <v>123</v>
      </c>
    </row>
    <row r="220" spans="1:12">
      <c r="A220" s="9">
        <v>41906</v>
      </c>
      <c r="B220" s="7" t="s">
        <v>28</v>
      </c>
      <c r="C220">
        <v>47</v>
      </c>
      <c r="D220" t="s">
        <v>19</v>
      </c>
      <c r="F220">
        <v>1.64</v>
      </c>
      <c r="J220">
        <f>67+72+74+100</f>
        <v>313</v>
      </c>
      <c r="K220">
        <v>4</v>
      </c>
      <c r="L220">
        <v>100</v>
      </c>
    </row>
    <row r="221" spans="1:12">
      <c r="A221" s="9">
        <v>41906</v>
      </c>
      <c r="B221" s="7" t="s">
        <v>28</v>
      </c>
      <c r="C221">
        <v>47</v>
      </c>
      <c r="D221" t="s">
        <v>19</v>
      </c>
      <c r="F221">
        <v>14.85</v>
      </c>
      <c r="J221">
        <f>300+327+368+362+397+417+423+442+444+441</f>
        <v>3921</v>
      </c>
      <c r="K221">
        <v>10</v>
      </c>
      <c r="L221">
        <v>444</v>
      </c>
    </row>
    <row r="222" spans="1:12">
      <c r="A222" s="9">
        <v>41906</v>
      </c>
      <c r="B222" s="7" t="s">
        <v>28</v>
      </c>
      <c r="C222">
        <v>47</v>
      </c>
      <c r="D222" t="s">
        <v>19</v>
      </c>
      <c r="F222">
        <v>1.71</v>
      </c>
      <c r="J222">
        <f>60+84+99+141+150</f>
        <v>534</v>
      </c>
      <c r="K222">
        <v>5</v>
      </c>
      <c r="L222">
        <v>150</v>
      </c>
    </row>
    <row r="223" spans="1:12">
      <c r="A223" s="9">
        <v>41906</v>
      </c>
      <c r="B223" s="7" t="s">
        <v>28</v>
      </c>
      <c r="C223">
        <v>47</v>
      </c>
      <c r="D223" t="s">
        <v>19</v>
      </c>
      <c r="F223">
        <v>11.84</v>
      </c>
      <c r="J223">
        <f>316+351+376+389+431+447+447+451</f>
        <v>3208</v>
      </c>
      <c r="K223">
        <v>8</v>
      </c>
      <c r="L223">
        <v>451</v>
      </c>
    </row>
    <row r="224" spans="1:12">
      <c r="A224" s="9">
        <v>41906</v>
      </c>
      <c r="B224" s="7" t="s">
        <v>28</v>
      </c>
      <c r="C224">
        <v>22</v>
      </c>
      <c r="D224" t="s">
        <v>19</v>
      </c>
      <c r="F224">
        <v>4.38</v>
      </c>
      <c r="J224">
        <f>76+119+129+154+161+179+195+194</f>
        <v>1207</v>
      </c>
      <c r="K224">
        <v>8</v>
      </c>
      <c r="L224">
        <v>194</v>
      </c>
    </row>
    <row r="225" spans="1:13">
      <c r="A225" s="9">
        <v>41906</v>
      </c>
      <c r="B225" s="7" t="s">
        <v>28</v>
      </c>
      <c r="C225">
        <v>22</v>
      </c>
      <c r="D225" t="s">
        <v>19</v>
      </c>
      <c r="F225">
        <v>1.85</v>
      </c>
      <c r="J225">
        <f>31+33+55+60+125</f>
        <v>304</v>
      </c>
      <c r="K225">
        <v>5</v>
      </c>
      <c r="L225">
        <v>125</v>
      </c>
    </row>
    <row r="226" spans="1:13">
      <c r="A226" s="9">
        <v>41906</v>
      </c>
      <c r="B226" s="7" t="s">
        <v>28</v>
      </c>
      <c r="C226">
        <v>22</v>
      </c>
      <c r="D226" t="s">
        <v>19</v>
      </c>
      <c r="F226">
        <v>0.35</v>
      </c>
      <c r="J226">
        <f>43+42</f>
        <v>85</v>
      </c>
      <c r="K226">
        <v>2</v>
      </c>
      <c r="L226">
        <v>43</v>
      </c>
    </row>
    <row r="227" spans="1:13">
      <c r="A227" s="9">
        <v>41906</v>
      </c>
      <c r="B227" s="7" t="s">
        <v>28</v>
      </c>
      <c r="C227">
        <v>22</v>
      </c>
      <c r="D227" t="s">
        <v>19</v>
      </c>
      <c r="F227">
        <v>1.59</v>
      </c>
      <c r="J227">
        <f>73+102+113+127</f>
        <v>415</v>
      </c>
      <c r="K227">
        <v>4</v>
      </c>
      <c r="L227">
        <v>127</v>
      </c>
    </row>
    <row r="228" spans="1:13">
      <c r="A228" s="9">
        <v>41906</v>
      </c>
      <c r="B228" s="7" t="s">
        <v>28</v>
      </c>
      <c r="C228">
        <v>22</v>
      </c>
      <c r="D228" t="s">
        <v>19</v>
      </c>
      <c r="F228">
        <v>3.75</v>
      </c>
      <c r="J228">
        <f>43+55+58+67+76+103+135+148</f>
        <v>685</v>
      </c>
      <c r="K228">
        <v>8</v>
      </c>
      <c r="L228">
        <v>148</v>
      </c>
    </row>
    <row r="229" spans="1:13">
      <c r="A229" s="9">
        <v>41906</v>
      </c>
      <c r="B229" s="7" t="s">
        <v>28</v>
      </c>
      <c r="C229">
        <v>22</v>
      </c>
      <c r="D229" t="s">
        <v>19</v>
      </c>
      <c r="E229">
        <v>161</v>
      </c>
      <c r="F229">
        <v>4.42</v>
      </c>
      <c r="H229">
        <v>22.5</v>
      </c>
      <c r="I229">
        <v>2.5</v>
      </c>
    </row>
    <row r="230" spans="1:13">
      <c r="A230" s="9">
        <v>41906</v>
      </c>
      <c r="B230" s="7" t="s">
        <v>28</v>
      </c>
      <c r="C230">
        <v>20</v>
      </c>
      <c r="M230" t="s">
        <v>63</v>
      </c>
    </row>
    <row r="231" spans="1:13">
      <c r="A231" s="9">
        <v>41906</v>
      </c>
      <c r="B231" s="7" t="s">
        <v>28</v>
      </c>
      <c r="C231">
        <v>16</v>
      </c>
      <c r="D231" t="s">
        <v>19</v>
      </c>
      <c r="F231">
        <v>6.66</v>
      </c>
      <c r="J231">
        <f>63+120+117+144+172+190+205+216+226+236+240+241+244</f>
        <v>2414</v>
      </c>
      <c r="K231">
        <v>13</v>
      </c>
      <c r="L231">
        <v>244</v>
      </c>
    </row>
    <row r="232" spans="1:13">
      <c r="A232" s="9">
        <v>41906</v>
      </c>
      <c r="B232" s="7" t="s">
        <v>28</v>
      </c>
      <c r="C232">
        <v>2</v>
      </c>
      <c r="D232" t="s">
        <v>19</v>
      </c>
      <c r="F232">
        <v>3.53</v>
      </c>
      <c r="J232">
        <f>183+191+198+205+217+202</f>
        <v>1196</v>
      </c>
      <c r="K232">
        <v>6</v>
      </c>
      <c r="L232">
        <v>217</v>
      </c>
    </row>
    <row r="233" spans="1:13">
      <c r="A233" s="9">
        <v>41906</v>
      </c>
      <c r="B233" s="7" t="s">
        <v>28</v>
      </c>
      <c r="C233">
        <v>2</v>
      </c>
      <c r="D233" t="s">
        <v>61</v>
      </c>
      <c r="E233">
        <v>250</v>
      </c>
      <c r="F233">
        <v>1.28</v>
      </c>
    </row>
    <row r="234" spans="1:13">
      <c r="A234" s="9">
        <v>41906</v>
      </c>
      <c r="B234" s="7" t="s">
        <v>28</v>
      </c>
      <c r="C234">
        <v>2</v>
      </c>
      <c r="D234" t="s">
        <v>61</v>
      </c>
      <c r="E234">
        <v>222</v>
      </c>
      <c r="F234">
        <v>1.1599999999999999</v>
      </c>
    </row>
    <row r="235" spans="1:13">
      <c r="A235" s="9">
        <v>41906</v>
      </c>
      <c r="B235" s="7" t="s">
        <v>28</v>
      </c>
      <c r="C235">
        <v>2</v>
      </c>
      <c r="D235" t="s">
        <v>19</v>
      </c>
      <c r="F235">
        <v>1.07</v>
      </c>
      <c r="J235">
        <f>60+167+188+228</f>
        <v>643</v>
      </c>
      <c r="K235">
        <v>4</v>
      </c>
      <c r="L235">
        <v>228</v>
      </c>
    </row>
    <row r="236" spans="1:13">
      <c r="A236" s="9">
        <v>41906</v>
      </c>
      <c r="B236" s="7" t="s">
        <v>28</v>
      </c>
      <c r="C236">
        <v>2</v>
      </c>
      <c r="D236" t="s">
        <v>61</v>
      </c>
      <c r="E236">
        <v>166</v>
      </c>
      <c r="F236">
        <v>1.08</v>
      </c>
    </row>
    <row r="237" spans="1:13">
      <c r="A237" s="9">
        <v>41906</v>
      </c>
      <c r="B237" s="7" t="s">
        <v>28</v>
      </c>
      <c r="C237">
        <v>2</v>
      </c>
      <c r="D237" t="s">
        <v>61</v>
      </c>
      <c r="E237">
        <v>54</v>
      </c>
      <c r="F237">
        <v>1.1200000000000001</v>
      </c>
    </row>
    <row r="238" spans="1:13">
      <c r="A238" s="9">
        <v>41906</v>
      </c>
      <c r="B238" s="7" t="s">
        <v>28</v>
      </c>
      <c r="C238">
        <v>2</v>
      </c>
      <c r="D238" t="s">
        <v>19</v>
      </c>
      <c r="F238">
        <v>1.51</v>
      </c>
      <c r="J238">
        <f>76+126</f>
        <v>202</v>
      </c>
      <c r="K238">
        <v>2</v>
      </c>
      <c r="L238">
        <v>126</v>
      </c>
    </row>
    <row r="239" spans="1:13">
      <c r="A239" s="9">
        <v>41906</v>
      </c>
      <c r="B239" s="7" t="s">
        <v>28</v>
      </c>
      <c r="C239">
        <v>2</v>
      </c>
      <c r="D239" t="s">
        <v>61</v>
      </c>
      <c r="E239">
        <v>303</v>
      </c>
      <c r="F239">
        <v>1.03</v>
      </c>
    </row>
    <row r="240" spans="1:13">
      <c r="A240" s="9">
        <v>41906</v>
      </c>
      <c r="B240" s="7" t="s">
        <v>28</v>
      </c>
      <c r="C240">
        <v>2</v>
      </c>
      <c r="D240" t="s">
        <v>61</v>
      </c>
      <c r="E240">
        <v>158</v>
      </c>
      <c r="F240">
        <v>0.86</v>
      </c>
    </row>
    <row r="241" spans="1:12">
      <c r="A241" s="9">
        <v>41906</v>
      </c>
      <c r="B241" s="7" t="s">
        <v>28</v>
      </c>
      <c r="C241">
        <v>2</v>
      </c>
      <c r="D241" t="s">
        <v>61</v>
      </c>
      <c r="E241">
        <v>178</v>
      </c>
      <c r="F241">
        <v>1.06</v>
      </c>
    </row>
    <row r="242" spans="1:12">
      <c r="A242" s="9">
        <v>41906</v>
      </c>
      <c r="B242" s="7" t="s">
        <v>28</v>
      </c>
      <c r="C242">
        <v>2</v>
      </c>
      <c r="D242" t="s">
        <v>61</v>
      </c>
      <c r="E242">
        <v>240</v>
      </c>
      <c r="F242">
        <v>0.9</v>
      </c>
      <c r="G242">
        <v>7</v>
      </c>
    </row>
    <row r="243" spans="1:12">
      <c r="A243" s="9">
        <v>41906</v>
      </c>
      <c r="B243" s="7" t="s">
        <v>28</v>
      </c>
      <c r="C243">
        <v>2</v>
      </c>
      <c r="D243" t="s">
        <v>19</v>
      </c>
      <c r="F243">
        <v>2.79</v>
      </c>
      <c r="J243">
        <f>176+177+241+239</f>
        <v>833</v>
      </c>
      <c r="K243">
        <v>4</v>
      </c>
      <c r="L243">
        <v>241</v>
      </c>
    </row>
    <row r="244" spans="1:12">
      <c r="A244" s="9">
        <v>41906</v>
      </c>
      <c r="B244" s="7" t="s">
        <v>28</v>
      </c>
      <c r="C244">
        <v>2</v>
      </c>
      <c r="D244" t="s">
        <v>61</v>
      </c>
      <c r="E244">
        <v>261</v>
      </c>
      <c r="F244">
        <v>1</v>
      </c>
    </row>
    <row r="245" spans="1:12">
      <c r="A245" s="9">
        <v>41906</v>
      </c>
      <c r="B245" s="7" t="s">
        <v>28</v>
      </c>
      <c r="C245">
        <v>2</v>
      </c>
      <c r="D245" t="s">
        <v>61</v>
      </c>
      <c r="E245">
        <v>281</v>
      </c>
      <c r="F245">
        <v>1.04</v>
      </c>
    </row>
    <row r="246" spans="1:12">
      <c r="A246" s="9">
        <v>41906</v>
      </c>
      <c r="B246" s="7" t="s">
        <v>28</v>
      </c>
      <c r="C246">
        <v>2</v>
      </c>
      <c r="D246" t="s">
        <v>61</v>
      </c>
      <c r="E246">
        <v>160</v>
      </c>
      <c r="F246">
        <v>0.89</v>
      </c>
    </row>
    <row r="247" spans="1:12">
      <c r="A247" s="9">
        <v>41906</v>
      </c>
      <c r="B247" s="7" t="s">
        <v>28</v>
      </c>
      <c r="C247">
        <v>2</v>
      </c>
      <c r="D247" t="s">
        <v>61</v>
      </c>
      <c r="E247">
        <v>99</v>
      </c>
      <c r="F247">
        <v>1.05</v>
      </c>
    </row>
    <row r="248" spans="1:12">
      <c r="A248" s="9">
        <v>41906</v>
      </c>
      <c r="B248" s="7" t="s">
        <v>28</v>
      </c>
      <c r="C248">
        <v>2</v>
      </c>
      <c r="D248" t="s">
        <v>61</v>
      </c>
      <c r="E248">
        <v>225</v>
      </c>
      <c r="F248">
        <v>0.8</v>
      </c>
    </row>
    <row r="249" spans="1:12">
      <c r="A249" s="9">
        <v>41906</v>
      </c>
      <c r="B249" s="7" t="s">
        <v>28</v>
      </c>
      <c r="C249">
        <v>2</v>
      </c>
      <c r="D249" t="s">
        <v>61</v>
      </c>
      <c r="E249">
        <v>271</v>
      </c>
      <c r="F249">
        <v>0.83</v>
      </c>
    </row>
    <row r="250" spans="1:12">
      <c r="A250" s="9">
        <v>41906</v>
      </c>
      <c r="B250" s="7" t="s">
        <v>28</v>
      </c>
      <c r="C250">
        <v>2</v>
      </c>
      <c r="D250" t="s">
        <v>61</v>
      </c>
      <c r="E250">
        <v>234</v>
      </c>
      <c r="F250">
        <v>0.88</v>
      </c>
    </row>
    <row r="251" spans="1:12">
      <c r="A251" s="9">
        <v>41906</v>
      </c>
      <c r="B251" s="7" t="s">
        <v>28</v>
      </c>
      <c r="C251">
        <v>2</v>
      </c>
      <c r="D251" t="s">
        <v>61</v>
      </c>
      <c r="E251">
        <v>234</v>
      </c>
      <c r="F251">
        <v>0.87</v>
      </c>
    </row>
    <row r="252" spans="1:12">
      <c r="A252" s="9">
        <v>41906</v>
      </c>
      <c r="B252" s="7" t="s">
        <v>28</v>
      </c>
      <c r="C252">
        <v>2</v>
      </c>
      <c r="D252" t="s">
        <v>61</v>
      </c>
      <c r="E252">
        <v>250</v>
      </c>
      <c r="F252">
        <v>1.1200000000000001</v>
      </c>
    </row>
    <row r="253" spans="1:12">
      <c r="A253" s="9">
        <v>41906</v>
      </c>
      <c r="B253" s="7" t="s">
        <v>28</v>
      </c>
      <c r="C253">
        <v>2</v>
      </c>
      <c r="D253" t="s">
        <v>61</v>
      </c>
      <c r="E253">
        <v>257</v>
      </c>
      <c r="F253">
        <v>0.95</v>
      </c>
    </row>
    <row r="254" spans="1:12">
      <c r="A254" s="9">
        <v>41906</v>
      </c>
      <c r="B254" s="7" t="s">
        <v>28</v>
      </c>
      <c r="C254">
        <v>2</v>
      </c>
      <c r="D254" t="s">
        <v>19</v>
      </c>
      <c r="F254">
        <v>1.04</v>
      </c>
      <c r="J254">
        <f>119+174+198+215+221</f>
        <v>927</v>
      </c>
      <c r="K254">
        <v>5</v>
      </c>
      <c r="L254">
        <v>221</v>
      </c>
    </row>
    <row r="255" spans="1:12">
      <c r="A255" s="9">
        <v>41906</v>
      </c>
      <c r="B255" s="7" t="s">
        <v>28</v>
      </c>
      <c r="C255">
        <v>2</v>
      </c>
      <c r="D255" t="s">
        <v>19</v>
      </c>
      <c r="F255">
        <v>0.48</v>
      </c>
      <c r="J255">
        <f>118+133+138</f>
        <v>389</v>
      </c>
      <c r="K255">
        <v>3</v>
      </c>
      <c r="L255">
        <v>138</v>
      </c>
    </row>
    <row r="256" spans="1:12">
      <c r="A256" s="9">
        <v>41911</v>
      </c>
      <c r="B256" s="7" t="s">
        <v>25</v>
      </c>
      <c r="C256">
        <v>46</v>
      </c>
      <c r="D256" t="s">
        <v>19</v>
      </c>
      <c r="F256">
        <v>7.74</v>
      </c>
      <c r="J256">
        <f>357+364+376+401+406+384+402+421</f>
        <v>3111</v>
      </c>
      <c r="K256">
        <v>9</v>
      </c>
      <c r="L256">
        <v>421</v>
      </c>
    </row>
    <row r="257" spans="1:12">
      <c r="A257" s="9">
        <v>41911</v>
      </c>
      <c r="B257" s="7" t="s">
        <v>25</v>
      </c>
      <c r="C257">
        <v>46</v>
      </c>
      <c r="D257" t="s">
        <v>19</v>
      </c>
      <c r="F257">
        <v>9.41</v>
      </c>
      <c r="J257">
        <f>282+333+329+118+235+326+323+335</f>
        <v>2281</v>
      </c>
      <c r="K257">
        <v>8</v>
      </c>
      <c r="L257">
        <v>335</v>
      </c>
    </row>
    <row r="258" spans="1:12">
      <c r="A258" s="9">
        <v>41911</v>
      </c>
      <c r="B258" s="7" t="s">
        <v>25</v>
      </c>
      <c r="C258">
        <v>46</v>
      </c>
      <c r="D258" t="s">
        <v>19</v>
      </c>
      <c r="F258">
        <v>1</v>
      </c>
      <c r="J258">
        <f>54+54+32</f>
        <v>140</v>
      </c>
      <c r="K258">
        <v>3</v>
      </c>
      <c r="L258">
        <v>54</v>
      </c>
    </row>
    <row r="259" spans="1:12">
      <c r="A259" s="9">
        <v>41911</v>
      </c>
      <c r="B259" s="7" t="s">
        <v>25</v>
      </c>
      <c r="C259">
        <v>38</v>
      </c>
      <c r="D259" t="s">
        <v>60</v>
      </c>
      <c r="F259">
        <v>2.87</v>
      </c>
      <c r="J259">
        <f>225+253+276</f>
        <v>754</v>
      </c>
      <c r="K259">
        <v>3</v>
      </c>
      <c r="L259">
        <v>276</v>
      </c>
    </row>
    <row r="260" spans="1:12">
      <c r="A260" s="9">
        <v>41911</v>
      </c>
      <c r="B260" s="7" t="s">
        <v>25</v>
      </c>
      <c r="C260">
        <v>38</v>
      </c>
      <c r="D260" t="s">
        <v>60</v>
      </c>
      <c r="F260">
        <v>2.41</v>
      </c>
      <c r="J260">
        <f>287+314</f>
        <v>601</v>
      </c>
      <c r="K260">
        <v>2</v>
      </c>
      <c r="L260">
        <v>314</v>
      </c>
    </row>
    <row r="261" spans="1:12">
      <c r="A261" s="9">
        <v>41911</v>
      </c>
      <c r="B261" s="7" t="s">
        <v>25</v>
      </c>
      <c r="C261">
        <v>38</v>
      </c>
      <c r="D261" t="s">
        <v>60</v>
      </c>
      <c r="F261">
        <v>2.2400000000000002</v>
      </c>
      <c r="J261">
        <f>291+335</f>
        <v>626</v>
      </c>
      <c r="K261">
        <v>2</v>
      </c>
      <c r="L261">
        <v>335</v>
      </c>
    </row>
    <row r="262" spans="1:12">
      <c r="A262" s="9">
        <v>41911</v>
      </c>
      <c r="B262" s="7" t="s">
        <v>25</v>
      </c>
      <c r="C262">
        <v>38</v>
      </c>
      <c r="D262" t="s">
        <v>60</v>
      </c>
      <c r="F262">
        <v>2.91</v>
      </c>
      <c r="J262">
        <f>292+325+331+350+364+391</f>
        <v>2053</v>
      </c>
      <c r="K262">
        <v>6</v>
      </c>
      <c r="L262">
        <v>391</v>
      </c>
    </row>
    <row r="263" spans="1:12">
      <c r="A263" s="9">
        <v>41911</v>
      </c>
      <c r="B263" s="7" t="s">
        <v>25</v>
      </c>
      <c r="C263">
        <v>38</v>
      </c>
      <c r="D263" t="s">
        <v>60</v>
      </c>
      <c r="F263">
        <v>3.9</v>
      </c>
      <c r="J263">
        <f>190+233+253+285+319+338+339</f>
        <v>1957</v>
      </c>
      <c r="K263">
        <v>7</v>
      </c>
      <c r="L263">
        <v>339</v>
      </c>
    </row>
    <row r="264" spans="1:12">
      <c r="A264" s="9">
        <v>41911</v>
      </c>
      <c r="B264" s="7" t="s">
        <v>25</v>
      </c>
      <c r="C264">
        <v>38</v>
      </c>
      <c r="D264" t="s">
        <v>60</v>
      </c>
      <c r="F264">
        <v>3.64</v>
      </c>
      <c r="J264">
        <f>234+285+291+228+201+288</f>
        <v>1527</v>
      </c>
      <c r="K264">
        <v>6</v>
      </c>
      <c r="L264">
        <v>291</v>
      </c>
    </row>
    <row r="265" spans="1:12">
      <c r="A265" s="9">
        <v>41911</v>
      </c>
      <c r="B265" s="7" t="s">
        <v>25</v>
      </c>
      <c r="C265">
        <v>38</v>
      </c>
      <c r="D265" t="s">
        <v>60</v>
      </c>
      <c r="F265">
        <v>1.6</v>
      </c>
      <c r="J265">
        <f>200+226+252</f>
        <v>678</v>
      </c>
      <c r="K265">
        <v>3</v>
      </c>
      <c r="L265">
        <v>252</v>
      </c>
    </row>
    <row r="266" spans="1:12">
      <c r="A266" s="9">
        <v>41911</v>
      </c>
      <c r="B266" s="7" t="s">
        <v>25</v>
      </c>
      <c r="C266">
        <v>38</v>
      </c>
      <c r="D266" t="s">
        <v>60</v>
      </c>
      <c r="F266">
        <v>2.1800000000000002</v>
      </c>
      <c r="J266">
        <f>190+245+273+291</f>
        <v>999</v>
      </c>
      <c r="K266">
        <v>4</v>
      </c>
      <c r="L266">
        <v>291</v>
      </c>
    </row>
    <row r="267" spans="1:12">
      <c r="A267" s="9">
        <v>41911</v>
      </c>
      <c r="B267" s="7" t="s">
        <v>25</v>
      </c>
      <c r="C267">
        <v>38</v>
      </c>
      <c r="D267" t="s">
        <v>60</v>
      </c>
      <c r="F267">
        <v>1.1499999999999999</v>
      </c>
      <c r="J267">
        <f>53+64+67</f>
        <v>184</v>
      </c>
      <c r="K267">
        <v>3</v>
      </c>
      <c r="L267">
        <v>67</v>
      </c>
    </row>
    <row r="268" spans="1:12">
      <c r="A268" s="9">
        <v>41911</v>
      </c>
      <c r="B268" s="7" t="s">
        <v>25</v>
      </c>
      <c r="C268">
        <v>38</v>
      </c>
      <c r="D268" t="s">
        <v>60</v>
      </c>
      <c r="F268">
        <v>3.3</v>
      </c>
      <c r="J268">
        <f>193+247+293+309+320</f>
        <v>1362</v>
      </c>
      <c r="K268">
        <v>5</v>
      </c>
      <c r="L268">
        <v>320</v>
      </c>
    </row>
    <row r="269" spans="1:12">
      <c r="A269" s="9">
        <v>41911</v>
      </c>
      <c r="B269" s="7" t="s">
        <v>25</v>
      </c>
      <c r="C269">
        <v>38</v>
      </c>
      <c r="D269" t="s">
        <v>60</v>
      </c>
      <c r="F269">
        <v>0.65</v>
      </c>
      <c r="J269">
        <f>32+32+49</f>
        <v>113</v>
      </c>
      <c r="K269">
        <v>3</v>
      </c>
      <c r="L269">
        <v>49</v>
      </c>
    </row>
    <row r="270" spans="1:12">
      <c r="A270" s="9">
        <v>41911</v>
      </c>
      <c r="B270" s="7" t="s">
        <v>25</v>
      </c>
      <c r="C270">
        <v>38</v>
      </c>
      <c r="D270" t="s">
        <v>60</v>
      </c>
      <c r="F270">
        <v>3.16</v>
      </c>
      <c r="J270">
        <f>280+277+213+246+280+289+320+341</f>
        <v>2246</v>
      </c>
      <c r="K270">
        <v>8</v>
      </c>
      <c r="L270">
        <v>341</v>
      </c>
    </row>
    <row r="271" spans="1:12">
      <c r="A271" s="9">
        <v>41911</v>
      </c>
      <c r="B271" s="7" t="s">
        <v>25</v>
      </c>
      <c r="C271">
        <v>38</v>
      </c>
      <c r="D271" t="s">
        <v>60</v>
      </c>
      <c r="E271">
        <v>219</v>
      </c>
      <c r="F271">
        <v>2.4900000000000002</v>
      </c>
      <c r="H271">
        <v>22</v>
      </c>
      <c r="I271">
        <v>2.2000000000000002</v>
      </c>
    </row>
    <row r="272" spans="1:12">
      <c r="A272" s="9">
        <v>41911</v>
      </c>
      <c r="B272" s="7" t="s">
        <v>25</v>
      </c>
      <c r="C272">
        <v>38</v>
      </c>
      <c r="D272" t="s">
        <v>60</v>
      </c>
      <c r="F272">
        <v>1.42</v>
      </c>
      <c r="J272">
        <f>106+146+177+201+230</f>
        <v>860</v>
      </c>
      <c r="K272">
        <v>5</v>
      </c>
      <c r="L272">
        <v>230</v>
      </c>
    </row>
    <row r="273" spans="1:12">
      <c r="A273" s="9">
        <v>41911</v>
      </c>
      <c r="B273" s="7" t="s">
        <v>25</v>
      </c>
      <c r="C273">
        <v>38</v>
      </c>
      <c r="D273" t="s">
        <v>60</v>
      </c>
      <c r="F273">
        <v>2.97</v>
      </c>
      <c r="J273">
        <f>82+95+222+279+306</f>
        <v>984</v>
      </c>
      <c r="K273">
        <v>5</v>
      </c>
      <c r="L273">
        <v>306</v>
      </c>
    </row>
    <row r="274" spans="1:12">
      <c r="A274" s="9">
        <v>41911</v>
      </c>
      <c r="B274" s="7" t="s">
        <v>25</v>
      </c>
      <c r="C274">
        <v>38</v>
      </c>
      <c r="D274" t="s">
        <v>60</v>
      </c>
      <c r="E274">
        <v>211</v>
      </c>
      <c r="F274">
        <v>3.12</v>
      </c>
      <c r="H274">
        <v>33</v>
      </c>
      <c r="I274">
        <v>2.75</v>
      </c>
    </row>
    <row r="275" spans="1:12">
      <c r="A275" s="9">
        <v>41911</v>
      </c>
      <c r="B275" s="7" t="s">
        <v>25</v>
      </c>
      <c r="C275">
        <v>38</v>
      </c>
      <c r="D275" t="s">
        <v>60</v>
      </c>
      <c r="E275">
        <v>219</v>
      </c>
      <c r="F275">
        <v>2.29</v>
      </c>
      <c r="H275">
        <v>24</v>
      </c>
      <c r="I275">
        <v>2.5</v>
      </c>
    </row>
    <row r="276" spans="1:12">
      <c r="A276" s="9">
        <v>41911</v>
      </c>
      <c r="B276" s="7" t="s">
        <v>25</v>
      </c>
      <c r="C276">
        <v>38</v>
      </c>
      <c r="D276" t="s">
        <v>60</v>
      </c>
      <c r="F276">
        <v>2.21</v>
      </c>
      <c r="J276">
        <f>185+224+255+280+290</f>
        <v>1234</v>
      </c>
      <c r="K276">
        <v>5</v>
      </c>
      <c r="L276">
        <v>290</v>
      </c>
    </row>
    <row r="277" spans="1:12">
      <c r="A277" s="9">
        <v>41911</v>
      </c>
      <c r="B277" s="7" t="s">
        <v>25</v>
      </c>
      <c r="C277">
        <v>38</v>
      </c>
      <c r="D277" t="s">
        <v>60</v>
      </c>
      <c r="E277">
        <v>248</v>
      </c>
      <c r="F277">
        <v>3.67</v>
      </c>
      <c r="H277">
        <v>31</v>
      </c>
      <c r="I277">
        <v>2.5</v>
      </c>
    </row>
    <row r="278" spans="1:12">
      <c r="A278" s="9">
        <v>41911</v>
      </c>
      <c r="B278" s="7" t="s">
        <v>25</v>
      </c>
      <c r="C278">
        <v>38</v>
      </c>
      <c r="D278" t="s">
        <v>60</v>
      </c>
      <c r="F278">
        <v>1.48</v>
      </c>
      <c r="J278">
        <f>74+100+114+116</f>
        <v>404</v>
      </c>
      <c r="K278">
        <v>4</v>
      </c>
      <c r="L278">
        <v>116</v>
      </c>
    </row>
    <row r="279" spans="1:12">
      <c r="A279" s="9">
        <v>41911</v>
      </c>
      <c r="B279" s="7" t="s">
        <v>25</v>
      </c>
      <c r="C279">
        <v>16</v>
      </c>
      <c r="D279" t="s">
        <v>61</v>
      </c>
      <c r="E279">
        <v>279</v>
      </c>
      <c r="F279">
        <v>1.92</v>
      </c>
    </row>
    <row r="280" spans="1:12">
      <c r="A280" s="9">
        <v>41911</v>
      </c>
      <c r="B280" s="7" t="s">
        <v>25</v>
      </c>
      <c r="C280">
        <v>16</v>
      </c>
      <c r="D280" t="s">
        <v>60</v>
      </c>
      <c r="F280">
        <v>1.9</v>
      </c>
      <c r="J280">
        <f>130+167+200+207+242</f>
        <v>946</v>
      </c>
      <c r="K280">
        <v>5</v>
      </c>
      <c r="L280">
        <v>242</v>
      </c>
    </row>
    <row r="281" spans="1:12">
      <c r="A281" s="9">
        <v>41911</v>
      </c>
      <c r="B281" s="7" t="s">
        <v>25</v>
      </c>
      <c r="C281">
        <v>16</v>
      </c>
      <c r="D281" t="s">
        <v>61</v>
      </c>
      <c r="E281">
        <v>300</v>
      </c>
      <c r="F281">
        <v>1.75</v>
      </c>
      <c r="G281">
        <v>14</v>
      </c>
    </row>
    <row r="282" spans="1:12">
      <c r="A282" s="9">
        <v>41911</v>
      </c>
      <c r="B282" s="7" t="s">
        <v>25</v>
      </c>
      <c r="C282">
        <v>16</v>
      </c>
      <c r="D282" t="s">
        <v>61</v>
      </c>
      <c r="E282">
        <v>178</v>
      </c>
      <c r="F282">
        <v>1.36</v>
      </c>
    </row>
    <row r="283" spans="1:12">
      <c r="A283" s="9">
        <v>41911</v>
      </c>
      <c r="B283" s="7" t="s">
        <v>25</v>
      </c>
      <c r="C283">
        <v>16</v>
      </c>
      <c r="D283" t="s">
        <v>61</v>
      </c>
      <c r="E283">
        <v>285</v>
      </c>
      <c r="F283">
        <v>1.75</v>
      </c>
    </row>
    <row r="284" spans="1:12">
      <c r="A284" s="9">
        <v>41911</v>
      </c>
      <c r="B284" s="7" t="s">
        <v>25</v>
      </c>
      <c r="C284">
        <v>16</v>
      </c>
      <c r="D284" t="s">
        <v>60</v>
      </c>
      <c r="E284">
        <v>240</v>
      </c>
      <c r="F284">
        <v>3.42</v>
      </c>
      <c r="H284">
        <v>31</v>
      </c>
      <c r="I284">
        <v>2.75</v>
      </c>
    </row>
    <row r="285" spans="1:12">
      <c r="A285" s="9">
        <v>41911</v>
      </c>
      <c r="B285" s="7" t="s">
        <v>25</v>
      </c>
      <c r="C285">
        <v>16</v>
      </c>
      <c r="D285" t="s">
        <v>61</v>
      </c>
      <c r="E285">
        <v>210</v>
      </c>
      <c r="F285">
        <v>1.1499999999999999</v>
      </c>
    </row>
    <row r="286" spans="1:12">
      <c r="A286" s="9">
        <v>41911</v>
      </c>
      <c r="B286" s="7" t="s">
        <v>25</v>
      </c>
      <c r="C286">
        <v>16</v>
      </c>
      <c r="D286" t="s">
        <v>61</v>
      </c>
      <c r="E286">
        <v>220</v>
      </c>
      <c r="F286">
        <v>1</v>
      </c>
      <c r="G286">
        <v>8</v>
      </c>
    </row>
    <row r="287" spans="1:12">
      <c r="A287" s="9">
        <v>41911</v>
      </c>
      <c r="B287" s="7" t="s">
        <v>25</v>
      </c>
      <c r="C287">
        <v>16</v>
      </c>
      <c r="D287" t="s">
        <v>61</v>
      </c>
      <c r="E287">
        <v>246</v>
      </c>
      <c r="F287">
        <v>1.19</v>
      </c>
      <c r="G287">
        <v>3</v>
      </c>
    </row>
    <row r="288" spans="1:12">
      <c r="A288" s="9">
        <v>41911</v>
      </c>
      <c r="B288" s="7" t="s">
        <v>25</v>
      </c>
      <c r="C288">
        <v>16</v>
      </c>
      <c r="D288" t="s">
        <v>61</v>
      </c>
      <c r="E288">
        <v>257</v>
      </c>
      <c r="F288">
        <v>1.1599999999999999</v>
      </c>
    </row>
    <row r="289" spans="1:12">
      <c r="A289" s="9">
        <v>41911</v>
      </c>
      <c r="B289" s="7" t="s">
        <v>25</v>
      </c>
      <c r="C289">
        <v>16</v>
      </c>
      <c r="D289" t="s">
        <v>61</v>
      </c>
      <c r="E289">
        <v>272</v>
      </c>
      <c r="F289">
        <v>0.96</v>
      </c>
      <c r="G289">
        <v>6</v>
      </c>
    </row>
    <row r="290" spans="1:12">
      <c r="A290" s="9">
        <v>41911</v>
      </c>
      <c r="B290" s="7" t="s">
        <v>25</v>
      </c>
      <c r="C290">
        <v>16</v>
      </c>
      <c r="D290" t="s">
        <v>19</v>
      </c>
      <c r="F290">
        <v>3.57</v>
      </c>
      <c r="J290">
        <f>149+200+228+294+251+307+344+356</f>
        <v>2129</v>
      </c>
      <c r="K290">
        <v>8</v>
      </c>
      <c r="L290">
        <v>256</v>
      </c>
    </row>
    <row r="291" spans="1:12">
      <c r="A291" s="9">
        <v>41911</v>
      </c>
      <c r="B291" s="7" t="s">
        <v>25</v>
      </c>
      <c r="C291">
        <v>16</v>
      </c>
      <c r="D291" t="s">
        <v>61</v>
      </c>
      <c r="E291">
        <v>200</v>
      </c>
      <c r="F291">
        <v>1.19</v>
      </c>
    </row>
    <row r="292" spans="1:12">
      <c r="A292" s="9">
        <v>41911</v>
      </c>
      <c r="B292" s="7" t="s">
        <v>25</v>
      </c>
      <c r="C292">
        <v>16</v>
      </c>
      <c r="D292" t="s">
        <v>61</v>
      </c>
      <c r="E292">
        <v>204</v>
      </c>
      <c r="F292">
        <v>1.02</v>
      </c>
      <c r="G292">
        <v>6</v>
      </c>
    </row>
    <row r="293" spans="1:12">
      <c r="A293" s="9">
        <v>41911</v>
      </c>
      <c r="B293" s="7" t="s">
        <v>25</v>
      </c>
      <c r="C293">
        <v>16</v>
      </c>
      <c r="D293" t="s">
        <v>60</v>
      </c>
      <c r="F293">
        <v>1.76</v>
      </c>
      <c r="J293">
        <f>245</f>
        <v>245</v>
      </c>
      <c r="K293">
        <v>1</v>
      </c>
      <c r="L293">
        <v>245</v>
      </c>
    </row>
    <row r="294" spans="1:12">
      <c r="A294" s="9">
        <v>41911</v>
      </c>
      <c r="B294" s="7" t="s">
        <v>25</v>
      </c>
      <c r="C294">
        <v>16</v>
      </c>
      <c r="D294" t="s">
        <v>61</v>
      </c>
      <c r="E294">
        <v>222</v>
      </c>
      <c r="F294">
        <v>0.84</v>
      </c>
      <c r="G294">
        <v>7</v>
      </c>
    </row>
    <row r="295" spans="1:12">
      <c r="A295" s="9">
        <v>41911</v>
      </c>
      <c r="B295" s="7" t="s">
        <v>25</v>
      </c>
      <c r="C295">
        <v>16</v>
      </c>
      <c r="D295" t="s">
        <v>61</v>
      </c>
      <c r="E295">
        <v>189</v>
      </c>
      <c r="F295">
        <v>1.08</v>
      </c>
      <c r="G295">
        <v>6</v>
      </c>
    </row>
    <row r="296" spans="1:12">
      <c r="A296" s="9">
        <v>41911</v>
      </c>
      <c r="B296" s="7" t="s">
        <v>25</v>
      </c>
      <c r="C296">
        <v>16</v>
      </c>
      <c r="D296" t="s">
        <v>61</v>
      </c>
      <c r="E296">
        <v>212</v>
      </c>
      <c r="F296">
        <v>0.72</v>
      </c>
      <c r="G296">
        <v>6</v>
      </c>
    </row>
    <row r="297" spans="1:12">
      <c r="A297" s="9">
        <v>41911</v>
      </c>
      <c r="B297" s="7" t="s">
        <v>25</v>
      </c>
      <c r="C297">
        <v>16</v>
      </c>
      <c r="D297" t="s">
        <v>61</v>
      </c>
      <c r="E297">
        <v>222</v>
      </c>
      <c r="F297">
        <v>1.05</v>
      </c>
    </row>
    <row r="298" spans="1:12">
      <c r="A298" s="9">
        <v>41911</v>
      </c>
      <c r="B298" s="7" t="s">
        <v>25</v>
      </c>
      <c r="C298">
        <v>16</v>
      </c>
      <c r="D298" t="s">
        <v>61</v>
      </c>
      <c r="E298">
        <v>220</v>
      </c>
      <c r="F298">
        <v>0.75</v>
      </c>
      <c r="G298">
        <v>6</v>
      </c>
    </row>
    <row r="299" spans="1:12">
      <c r="A299" s="9">
        <v>41911</v>
      </c>
      <c r="B299" s="7" t="s">
        <v>25</v>
      </c>
      <c r="C299">
        <v>16</v>
      </c>
      <c r="D299" t="s">
        <v>61</v>
      </c>
      <c r="E299">
        <v>207</v>
      </c>
      <c r="F299">
        <v>0.87</v>
      </c>
      <c r="G299">
        <v>8</v>
      </c>
    </row>
    <row r="300" spans="1:12">
      <c r="A300" s="9">
        <v>41911</v>
      </c>
      <c r="B300" s="7" t="s">
        <v>25</v>
      </c>
      <c r="C300">
        <v>16</v>
      </c>
      <c r="D300" t="s">
        <v>61</v>
      </c>
      <c r="E300">
        <v>189</v>
      </c>
      <c r="F300">
        <v>0.81</v>
      </c>
    </row>
    <row r="301" spans="1:12">
      <c r="A301" s="9">
        <v>41911</v>
      </c>
      <c r="B301" s="7" t="s">
        <v>25</v>
      </c>
      <c r="C301">
        <v>16</v>
      </c>
      <c r="D301" t="s">
        <v>61</v>
      </c>
      <c r="E301">
        <v>184</v>
      </c>
      <c r="F301">
        <v>0.69</v>
      </c>
      <c r="G301">
        <v>2</v>
      </c>
    </row>
    <row r="302" spans="1:12">
      <c r="A302" s="9">
        <v>41911</v>
      </c>
      <c r="B302" s="7" t="s">
        <v>25</v>
      </c>
      <c r="C302">
        <v>16</v>
      </c>
      <c r="D302" t="s">
        <v>61</v>
      </c>
      <c r="E302">
        <v>62</v>
      </c>
      <c r="F302">
        <v>0.95</v>
      </c>
    </row>
    <row r="303" spans="1:12">
      <c r="A303" s="9">
        <v>41911</v>
      </c>
      <c r="B303" s="7" t="s">
        <v>25</v>
      </c>
      <c r="C303">
        <v>16</v>
      </c>
      <c r="D303" t="s">
        <v>61</v>
      </c>
      <c r="E303">
        <v>292</v>
      </c>
      <c r="F303">
        <v>1.1100000000000001</v>
      </c>
    </row>
    <row r="304" spans="1:12">
      <c r="A304" s="9">
        <v>41911</v>
      </c>
      <c r="B304" s="7" t="s">
        <v>25</v>
      </c>
      <c r="C304">
        <v>16</v>
      </c>
      <c r="D304" t="s">
        <v>61</v>
      </c>
      <c r="E304">
        <v>229</v>
      </c>
      <c r="F304">
        <v>0.66</v>
      </c>
      <c r="G304">
        <v>5</v>
      </c>
    </row>
    <row r="305" spans="1:12">
      <c r="A305" s="9">
        <v>41911</v>
      </c>
      <c r="B305" s="7" t="s">
        <v>25</v>
      </c>
      <c r="C305">
        <v>16</v>
      </c>
      <c r="D305" t="s">
        <v>60</v>
      </c>
      <c r="F305">
        <v>0.2</v>
      </c>
      <c r="J305">
        <f>34+38</f>
        <v>72</v>
      </c>
      <c r="K305">
        <v>2</v>
      </c>
      <c r="L305">
        <v>38</v>
      </c>
    </row>
    <row r="306" spans="1:12">
      <c r="A306" s="9">
        <v>41911</v>
      </c>
      <c r="B306" s="7" t="s">
        <v>25</v>
      </c>
      <c r="C306">
        <v>12</v>
      </c>
      <c r="D306" t="s">
        <v>60</v>
      </c>
      <c r="E306">
        <v>200</v>
      </c>
      <c r="F306">
        <v>2.5</v>
      </c>
      <c r="H306">
        <v>22</v>
      </c>
      <c r="I306">
        <v>2.5</v>
      </c>
    </row>
    <row r="307" spans="1:12">
      <c r="A307" s="9">
        <v>41911</v>
      </c>
      <c r="B307" s="7" t="s">
        <v>25</v>
      </c>
      <c r="C307">
        <v>12</v>
      </c>
      <c r="D307" t="s">
        <v>19</v>
      </c>
      <c r="F307">
        <v>3.41</v>
      </c>
      <c r="J307">
        <f>207+240+275+301+307</f>
        <v>1330</v>
      </c>
      <c r="K307">
        <v>5</v>
      </c>
      <c r="L307">
        <v>307</v>
      </c>
    </row>
    <row r="308" spans="1:12">
      <c r="A308" s="9">
        <v>41911</v>
      </c>
      <c r="B308" s="7" t="s">
        <v>25</v>
      </c>
      <c r="C308">
        <v>12</v>
      </c>
      <c r="D308" t="s">
        <v>61</v>
      </c>
      <c r="E308">
        <v>207</v>
      </c>
      <c r="F308">
        <v>1</v>
      </c>
      <c r="G308">
        <v>3</v>
      </c>
    </row>
    <row r="309" spans="1:12">
      <c r="A309" s="9">
        <v>41911</v>
      </c>
      <c r="B309" s="7" t="s">
        <v>25</v>
      </c>
      <c r="C309">
        <v>12</v>
      </c>
      <c r="D309" t="s">
        <v>61</v>
      </c>
      <c r="E309">
        <v>108</v>
      </c>
      <c r="F309">
        <v>0.82</v>
      </c>
    </row>
    <row r="310" spans="1:12">
      <c r="A310" s="9">
        <v>41911</v>
      </c>
      <c r="B310" s="7" t="s">
        <v>25</v>
      </c>
      <c r="C310">
        <v>12</v>
      </c>
      <c r="D310" t="s">
        <v>60</v>
      </c>
      <c r="F310">
        <v>1.44</v>
      </c>
      <c r="J310">
        <f>120+158+230</f>
        <v>508</v>
      </c>
      <c r="K310">
        <v>3</v>
      </c>
      <c r="L310">
        <v>230</v>
      </c>
    </row>
    <row r="311" spans="1:12">
      <c r="A311" s="9">
        <v>41911</v>
      </c>
      <c r="B311" s="7" t="s">
        <v>25</v>
      </c>
      <c r="C311">
        <v>4</v>
      </c>
      <c r="D311" t="s">
        <v>19</v>
      </c>
      <c r="F311">
        <v>4.13</v>
      </c>
      <c r="J311">
        <f>250+284+262+269+270+259+195</f>
        <v>1789</v>
      </c>
      <c r="K311">
        <v>7</v>
      </c>
      <c r="L311">
        <v>270</v>
      </c>
    </row>
    <row r="312" spans="1:12">
      <c r="A312" s="9">
        <v>41911</v>
      </c>
      <c r="B312" s="7" t="s">
        <v>25</v>
      </c>
      <c r="C312">
        <v>4</v>
      </c>
      <c r="D312" t="s">
        <v>60</v>
      </c>
      <c r="F312">
        <v>3</v>
      </c>
      <c r="J312">
        <f>208+237+273</f>
        <v>718</v>
      </c>
      <c r="K312">
        <v>3</v>
      </c>
      <c r="L312">
        <v>273</v>
      </c>
    </row>
    <row r="313" spans="1:12">
      <c r="A313" s="9">
        <v>41911</v>
      </c>
      <c r="B313" s="7" t="s">
        <v>25</v>
      </c>
      <c r="C313">
        <v>4</v>
      </c>
      <c r="D313" t="s">
        <v>60</v>
      </c>
      <c r="F313">
        <v>1.39</v>
      </c>
      <c r="J313">
        <f>214</f>
        <v>214</v>
      </c>
      <c r="K313">
        <v>1</v>
      </c>
      <c r="L313">
        <v>214</v>
      </c>
    </row>
    <row r="314" spans="1:12">
      <c r="A314" s="9">
        <v>41911</v>
      </c>
      <c r="B314" s="7" t="s">
        <v>25</v>
      </c>
      <c r="C314">
        <v>4</v>
      </c>
      <c r="D314" t="s">
        <v>19</v>
      </c>
      <c r="F314">
        <v>4.88</v>
      </c>
      <c r="J314">
        <f>192+200+209+214+267+280+268+312+3259</f>
        <v>5201</v>
      </c>
      <c r="K314">
        <v>9</v>
      </c>
      <c r="L314">
        <v>325</v>
      </c>
    </row>
    <row r="315" spans="1:12">
      <c r="A315" s="9">
        <v>41911</v>
      </c>
      <c r="B315" s="7" t="s">
        <v>25</v>
      </c>
      <c r="C315">
        <v>4</v>
      </c>
      <c r="D315" t="s">
        <v>60</v>
      </c>
      <c r="F315">
        <v>1.54</v>
      </c>
      <c r="J315">
        <f>112+120+151</f>
        <v>383</v>
      </c>
      <c r="K315">
        <v>3</v>
      </c>
      <c r="L315">
        <v>151</v>
      </c>
    </row>
    <row r="316" spans="1:12">
      <c r="A316" s="9">
        <v>41911</v>
      </c>
      <c r="B316" s="7" t="s">
        <v>26</v>
      </c>
      <c r="C316">
        <v>38</v>
      </c>
      <c r="D316" t="s">
        <v>19</v>
      </c>
      <c r="F316">
        <v>9.15</v>
      </c>
      <c r="J316">
        <f>196+225+260+288+288+230+224+200+221+213+236+333+435+437</f>
        <v>3786</v>
      </c>
      <c r="K316">
        <v>14</v>
      </c>
      <c r="L316">
        <v>437</v>
      </c>
    </row>
    <row r="317" spans="1:12">
      <c r="A317" s="9">
        <v>41911</v>
      </c>
      <c r="B317" s="7" t="s">
        <v>26</v>
      </c>
      <c r="C317">
        <v>38</v>
      </c>
      <c r="D317" t="s">
        <v>19</v>
      </c>
      <c r="F317">
        <v>10.38</v>
      </c>
      <c r="J317">
        <f>296+357+360+400+410+417+426+428</f>
        <v>3094</v>
      </c>
      <c r="K317">
        <v>8</v>
      </c>
      <c r="L317">
        <v>428</v>
      </c>
    </row>
    <row r="318" spans="1:12">
      <c r="A318" s="9">
        <v>41911</v>
      </c>
      <c r="B318" s="7" t="s">
        <v>26</v>
      </c>
      <c r="C318">
        <v>38</v>
      </c>
      <c r="D318" t="s">
        <v>19</v>
      </c>
      <c r="F318">
        <v>8.58</v>
      </c>
      <c r="J318">
        <f>202+284+285+293+298+302</f>
        <v>1664</v>
      </c>
      <c r="K318">
        <v>6</v>
      </c>
      <c r="L318">
        <v>302</v>
      </c>
    </row>
    <row r="319" spans="1:12">
      <c r="A319" s="9">
        <v>41911</v>
      </c>
      <c r="B319" s="7" t="s">
        <v>26</v>
      </c>
      <c r="C319">
        <v>38</v>
      </c>
      <c r="D319" t="s">
        <v>19</v>
      </c>
      <c r="F319">
        <v>7.69</v>
      </c>
      <c r="J319">
        <f>77+130+162+195+210+217+253+292+293+310</f>
        <v>2139</v>
      </c>
      <c r="K319">
        <v>10</v>
      </c>
      <c r="L319">
        <v>310</v>
      </c>
    </row>
    <row r="320" spans="1:12">
      <c r="A320" s="9">
        <v>41911</v>
      </c>
      <c r="B320" s="7" t="s">
        <v>26</v>
      </c>
      <c r="C320">
        <v>38</v>
      </c>
      <c r="D320" t="s">
        <v>19</v>
      </c>
      <c r="F320">
        <v>5.27</v>
      </c>
      <c r="J320">
        <f>252+264+284+304+319+327</f>
        <v>1750</v>
      </c>
      <c r="K320">
        <v>6</v>
      </c>
      <c r="L320">
        <v>327</v>
      </c>
    </row>
    <row r="321" spans="1:7">
      <c r="A321" s="9">
        <v>41911</v>
      </c>
      <c r="B321" s="7" t="s">
        <v>26</v>
      </c>
      <c r="C321">
        <v>34</v>
      </c>
      <c r="D321" t="s">
        <v>61</v>
      </c>
      <c r="E321">
        <v>238</v>
      </c>
      <c r="F321">
        <v>1.81</v>
      </c>
      <c r="G321">
        <v>4</v>
      </c>
    </row>
    <row r="322" spans="1:7">
      <c r="A322" s="9">
        <v>41911</v>
      </c>
      <c r="B322" s="7" t="s">
        <v>26</v>
      </c>
      <c r="C322">
        <v>34</v>
      </c>
      <c r="D322" t="s">
        <v>61</v>
      </c>
      <c r="E322">
        <v>178</v>
      </c>
      <c r="F322">
        <v>1.7</v>
      </c>
    </row>
    <row r="323" spans="1:7">
      <c r="A323" s="9">
        <v>41911</v>
      </c>
      <c r="B323" s="7" t="s">
        <v>26</v>
      </c>
      <c r="C323">
        <v>34</v>
      </c>
      <c r="D323" t="s">
        <v>61</v>
      </c>
      <c r="E323">
        <v>188</v>
      </c>
      <c r="F323">
        <v>1.64</v>
      </c>
    </row>
    <row r="324" spans="1:7">
      <c r="A324" s="9">
        <v>41911</v>
      </c>
      <c r="B324" s="7" t="s">
        <v>26</v>
      </c>
      <c r="C324">
        <v>34</v>
      </c>
      <c r="D324" t="s">
        <v>61</v>
      </c>
      <c r="E324">
        <v>132</v>
      </c>
      <c r="F324">
        <v>1.42</v>
      </c>
    </row>
    <row r="325" spans="1:7">
      <c r="A325" s="9">
        <v>41911</v>
      </c>
      <c r="B325" s="7" t="s">
        <v>26</v>
      </c>
      <c r="C325">
        <v>34</v>
      </c>
      <c r="D325" t="s">
        <v>61</v>
      </c>
      <c r="E325">
        <v>29</v>
      </c>
      <c r="F325">
        <v>0.49</v>
      </c>
    </row>
    <row r="326" spans="1:7">
      <c r="A326" s="9">
        <v>41911</v>
      </c>
      <c r="B326" s="7" t="s">
        <v>26</v>
      </c>
      <c r="C326">
        <v>34</v>
      </c>
      <c r="D326" t="s">
        <v>61</v>
      </c>
      <c r="E326">
        <v>233</v>
      </c>
      <c r="F326">
        <v>0.91</v>
      </c>
    </row>
    <row r="327" spans="1:7">
      <c r="A327" s="9">
        <v>41911</v>
      </c>
      <c r="B327" s="7" t="s">
        <v>26</v>
      </c>
      <c r="C327">
        <v>34</v>
      </c>
      <c r="D327" t="s">
        <v>61</v>
      </c>
      <c r="E327">
        <v>98</v>
      </c>
      <c r="F327">
        <v>0.82</v>
      </c>
    </row>
    <row r="328" spans="1:7">
      <c r="A328" s="9">
        <v>41911</v>
      </c>
      <c r="B328" s="7" t="s">
        <v>26</v>
      </c>
      <c r="C328">
        <v>34</v>
      </c>
      <c r="D328" t="s">
        <v>61</v>
      </c>
      <c r="E328">
        <v>289</v>
      </c>
      <c r="F328">
        <v>2.2000000000000002</v>
      </c>
    </row>
    <row r="329" spans="1:7">
      <c r="A329" s="9">
        <v>41911</v>
      </c>
      <c r="B329" s="7" t="s">
        <v>26</v>
      </c>
      <c r="C329">
        <v>34</v>
      </c>
      <c r="D329" t="s">
        <v>61</v>
      </c>
      <c r="E329">
        <v>258</v>
      </c>
      <c r="F329">
        <v>1.1499999999999999</v>
      </c>
    </row>
    <row r="330" spans="1:7">
      <c r="A330" s="9">
        <v>41911</v>
      </c>
      <c r="B330" s="7" t="s">
        <v>26</v>
      </c>
      <c r="C330">
        <v>34</v>
      </c>
      <c r="D330" t="s">
        <v>61</v>
      </c>
      <c r="E330">
        <v>152</v>
      </c>
      <c r="F330">
        <v>0.4</v>
      </c>
    </row>
    <row r="331" spans="1:7">
      <c r="A331" s="9">
        <v>41911</v>
      </c>
      <c r="B331" s="7" t="s">
        <v>26</v>
      </c>
      <c r="C331">
        <v>34</v>
      </c>
      <c r="D331" t="s">
        <v>61</v>
      </c>
      <c r="E331">
        <v>290</v>
      </c>
      <c r="F331">
        <v>1.74</v>
      </c>
    </row>
    <row r="332" spans="1:7">
      <c r="A332" s="9">
        <v>41911</v>
      </c>
      <c r="B332" s="7" t="s">
        <v>26</v>
      </c>
      <c r="C332">
        <v>34</v>
      </c>
      <c r="D332" t="s">
        <v>61</v>
      </c>
      <c r="E332">
        <v>263</v>
      </c>
      <c r="F332">
        <v>3.42</v>
      </c>
    </row>
    <row r="333" spans="1:7">
      <c r="A333" s="9">
        <v>41911</v>
      </c>
      <c r="B333" s="7" t="s">
        <v>26</v>
      </c>
      <c r="C333">
        <v>34</v>
      </c>
      <c r="D333" t="s">
        <v>61</v>
      </c>
      <c r="E333">
        <v>272</v>
      </c>
      <c r="F333">
        <v>1.72</v>
      </c>
    </row>
    <row r="334" spans="1:7">
      <c r="A334" s="9">
        <v>41911</v>
      </c>
      <c r="B334" s="7" t="s">
        <v>26</v>
      </c>
      <c r="C334">
        <v>34</v>
      </c>
      <c r="D334" t="s">
        <v>61</v>
      </c>
      <c r="E334">
        <v>243</v>
      </c>
      <c r="F334">
        <v>1.94</v>
      </c>
    </row>
    <row r="335" spans="1:7">
      <c r="A335" s="9">
        <v>41911</v>
      </c>
      <c r="B335" s="7" t="s">
        <v>26</v>
      </c>
      <c r="C335">
        <v>34</v>
      </c>
      <c r="D335" t="s">
        <v>61</v>
      </c>
      <c r="E335">
        <v>283</v>
      </c>
      <c r="F335">
        <v>2.06</v>
      </c>
    </row>
    <row r="336" spans="1:7">
      <c r="A336" s="9">
        <v>41911</v>
      </c>
      <c r="B336" s="7" t="s">
        <v>26</v>
      </c>
      <c r="C336">
        <v>34</v>
      </c>
      <c r="D336" t="s">
        <v>61</v>
      </c>
      <c r="E336">
        <v>208</v>
      </c>
      <c r="F336">
        <v>1.65</v>
      </c>
    </row>
    <row r="337" spans="1:12">
      <c r="A337" s="9">
        <v>41911</v>
      </c>
      <c r="B337" s="7" t="s">
        <v>26</v>
      </c>
      <c r="C337">
        <v>34</v>
      </c>
      <c r="D337" t="s">
        <v>61</v>
      </c>
      <c r="E337">
        <v>200</v>
      </c>
      <c r="F337">
        <v>2.0099999999999998</v>
      </c>
    </row>
    <row r="338" spans="1:12">
      <c r="A338" s="9">
        <v>41911</v>
      </c>
      <c r="B338" s="7" t="s">
        <v>26</v>
      </c>
      <c r="C338">
        <v>34</v>
      </c>
      <c r="D338" t="s">
        <v>61</v>
      </c>
      <c r="E338">
        <v>232</v>
      </c>
      <c r="F338">
        <v>1.19</v>
      </c>
      <c r="G338">
        <v>4</v>
      </c>
    </row>
    <row r="339" spans="1:12">
      <c r="A339" s="9">
        <v>41911</v>
      </c>
      <c r="B339" s="7" t="s">
        <v>26</v>
      </c>
      <c r="C339">
        <v>34</v>
      </c>
      <c r="D339" t="s">
        <v>61</v>
      </c>
      <c r="E339">
        <v>117</v>
      </c>
      <c r="F339">
        <v>1.63</v>
      </c>
    </row>
    <row r="340" spans="1:12">
      <c r="A340" s="9">
        <v>41911</v>
      </c>
      <c r="B340" s="7" t="s">
        <v>26</v>
      </c>
      <c r="C340">
        <v>34</v>
      </c>
      <c r="D340" t="s">
        <v>61</v>
      </c>
      <c r="E340">
        <v>270</v>
      </c>
      <c r="F340">
        <v>3.06</v>
      </c>
    </row>
    <row r="341" spans="1:12">
      <c r="A341" s="9">
        <v>41911</v>
      </c>
      <c r="B341" s="7" t="s">
        <v>26</v>
      </c>
      <c r="C341">
        <v>34</v>
      </c>
      <c r="D341" t="s">
        <v>61</v>
      </c>
      <c r="E341">
        <v>252</v>
      </c>
      <c r="F341">
        <v>1.95</v>
      </c>
    </row>
    <row r="342" spans="1:12">
      <c r="A342" s="9">
        <v>41911</v>
      </c>
      <c r="B342" s="7" t="s">
        <v>26</v>
      </c>
      <c r="C342">
        <v>34</v>
      </c>
      <c r="D342" t="s">
        <v>61</v>
      </c>
      <c r="E342">
        <v>214</v>
      </c>
      <c r="F342">
        <v>1.31</v>
      </c>
    </row>
    <row r="343" spans="1:12">
      <c r="A343" s="9">
        <v>41911</v>
      </c>
      <c r="B343" s="7" t="s">
        <v>26</v>
      </c>
      <c r="C343">
        <v>34</v>
      </c>
      <c r="D343" t="s">
        <v>61</v>
      </c>
      <c r="E343">
        <v>128</v>
      </c>
      <c r="F343">
        <v>1.05</v>
      </c>
    </row>
    <row r="344" spans="1:12">
      <c r="A344" s="9">
        <v>41911</v>
      </c>
      <c r="B344" s="7" t="s">
        <v>26</v>
      </c>
      <c r="C344">
        <v>28</v>
      </c>
      <c r="D344" t="s">
        <v>19</v>
      </c>
      <c r="F344">
        <v>9.6300000000000008</v>
      </c>
      <c r="J344">
        <f>74+94+109+130+142+220+213+158+178+184</f>
        <v>1502</v>
      </c>
      <c r="K344">
        <v>10</v>
      </c>
      <c r="L344">
        <v>220</v>
      </c>
    </row>
    <row r="345" spans="1:12">
      <c r="A345" s="9">
        <v>41911</v>
      </c>
      <c r="B345" s="7" t="s">
        <v>26</v>
      </c>
      <c r="C345">
        <v>28</v>
      </c>
      <c r="D345" t="s">
        <v>19</v>
      </c>
      <c r="F345">
        <v>2.54</v>
      </c>
      <c r="J345">
        <f>151+194+195</f>
        <v>540</v>
      </c>
      <c r="K345">
        <v>3</v>
      </c>
      <c r="L345">
        <v>195</v>
      </c>
    </row>
    <row r="346" spans="1:12">
      <c r="A346" s="9">
        <v>41911</v>
      </c>
      <c r="B346" s="7" t="s">
        <v>26</v>
      </c>
      <c r="C346">
        <v>28</v>
      </c>
      <c r="D346" t="s">
        <v>19</v>
      </c>
      <c r="F346">
        <v>2.14</v>
      </c>
      <c r="J346">
        <f>20+33+76</f>
        <v>129</v>
      </c>
      <c r="K346">
        <v>3</v>
      </c>
      <c r="L346">
        <v>76</v>
      </c>
    </row>
    <row r="347" spans="1:12">
      <c r="A347" s="9">
        <v>41911</v>
      </c>
      <c r="B347" s="7" t="s">
        <v>26</v>
      </c>
      <c r="C347">
        <v>26</v>
      </c>
      <c r="D347" t="s">
        <v>19</v>
      </c>
      <c r="F347">
        <v>12.51</v>
      </c>
      <c r="J347">
        <f>107+127+154+175+183+186+189+196+197+223+213+218+219+224+226+234</f>
        <v>3071</v>
      </c>
      <c r="K347">
        <v>16</v>
      </c>
      <c r="L347">
        <v>234</v>
      </c>
    </row>
    <row r="348" spans="1:12">
      <c r="A348" s="9">
        <v>41911</v>
      </c>
      <c r="B348" s="7" t="s">
        <v>26</v>
      </c>
      <c r="C348">
        <v>26</v>
      </c>
      <c r="D348" t="s">
        <v>19</v>
      </c>
      <c r="F348">
        <v>2</v>
      </c>
      <c r="J348">
        <f>40+101</f>
        <v>141</v>
      </c>
      <c r="K348">
        <v>2</v>
      </c>
      <c r="L348">
        <v>101</v>
      </c>
    </row>
    <row r="349" spans="1:12">
      <c r="A349" s="9">
        <v>41911</v>
      </c>
      <c r="B349" s="7" t="s">
        <v>26</v>
      </c>
      <c r="C349">
        <v>12</v>
      </c>
      <c r="D349" t="s">
        <v>61</v>
      </c>
      <c r="E349">
        <v>276</v>
      </c>
      <c r="F349">
        <v>1.44</v>
      </c>
    </row>
    <row r="350" spans="1:12">
      <c r="A350" s="9">
        <v>41911</v>
      </c>
      <c r="B350" s="7" t="s">
        <v>26</v>
      </c>
      <c r="C350">
        <v>12</v>
      </c>
      <c r="D350" t="s">
        <v>61</v>
      </c>
      <c r="E350">
        <v>157</v>
      </c>
      <c r="F350">
        <v>1.24</v>
      </c>
    </row>
    <row r="351" spans="1:12">
      <c r="A351" s="9">
        <v>41911</v>
      </c>
      <c r="B351" s="7" t="s">
        <v>26</v>
      </c>
      <c r="C351">
        <v>12</v>
      </c>
      <c r="D351" t="s">
        <v>61</v>
      </c>
      <c r="E351">
        <v>325</v>
      </c>
      <c r="F351">
        <v>1.65</v>
      </c>
    </row>
    <row r="352" spans="1:12">
      <c r="A352" s="9">
        <v>41911</v>
      </c>
      <c r="B352" s="7" t="s">
        <v>26</v>
      </c>
      <c r="C352">
        <v>12</v>
      </c>
      <c r="D352" t="s">
        <v>61</v>
      </c>
      <c r="E352">
        <v>302</v>
      </c>
      <c r="F352">
        <v>2.2799999999999998</v>
      </c>
    </row>
    <row r="353" spans="1:12">
      <c r="A353" s="9">
        <v>41911</v>
      </c>
      <c r="B353" s="7" t="s">
        <v>26</v>
      </c>
      <c r="C353">
        <v>12</v>
      </c>
      <c r="D353" t="s">
        <v>60</v>
      </c>
      <c r="F353">
        <v>3.46</v>
      </c>
      <c r="J353">
        <f>232+267</f>
        <v>499</v>
      </c>
      <c r="K353">
        <v>2</v>
      </c>
      <c r="L353">
        <v>267</v>
      </c>
    </row>
    <row r="354" spans="1:12">
      <c r="A354" s="9">
        <v>41911</v>
      </c>
      <c r="B354" s="7" t="s">
        <v>26</v>
      </c>
      <c r="C354">
        <v>12</v>
      </c>
      <c r="D354" t="s">
        <v>61</v>
      </c>
      <c r="E354">
        <v>336</v>
      </c>
      <c r="F354">
        <v>1.66</v>
      </c>
    </row>
    <row r="355" spans="1:12">
      <c r="A355" s="9">
        <v>41911</v>
      </c>
      <c r="B355" s="7" t="s">
        <v>26</v>
      </c>
      <c r="C355">
        <v>12</v>
      </c>
      <c r="D355" t="s">
        <v>61</v>
      </c>
      <c r="E355">
        <v>286</v>
      </c>
      <c r="F355">
        <v>1.92</v>
      </c>
    </row>
    <row r="356" spans="1:12">
      <c r="A356" s="9">
        <v>41911</v>
      </c>
      <c r="B356" s="7" t="s">
        <v>26</v>
      </c>
      <c r="C356">
        <v>12</v>
      </c>
      <c r="D356" t="s">
        <v>61</v>
      </c>
      <c r="E356">
        <v>250</v>
      </c>
      <c r="F356">
        <v>1.79</v>
      </c>
    </row>
    <row r="357" spans="1:12">
      <c r="A357" s="9">
        <v>41911</v>
      </c>
      <c r="B357" s="7" t="s">
        <v>26</v>
      </c>
      <c r="C357">
        <v>12</v>
      </c>
      <c r="D357" t="s">
        <v>61</v>
      </c>
      <c r="E357">
        <v>265</v>
      </c>
      <c r="F357">
        <v>1.81</v>
      </c>
    </row>
    <row r="358" spans="1:12">
      <c r="A358" s="9">
        <v>41911</v>
      </c>
      <c r="B358" s="7" t="s">
        <v>26</v>
      </c>
      <c r="C358">
        <v>12</v>
      </c>
      <c r="D358" t="s">
        <v>61</v>
      </c>
      <c r="E358">
        <v>155</v>
      </c>
      <c r="F358">
        <v>1.77</v>
      </c>
    </row>
    <row r="359" spans="1:12">
      <c r="A359" s="9">
        <v>41911</v>
      </c>
      <c r="B359" s="7" t="s">
        <v>26</v>
      </c>
      <c r="C359">
        <v>12</v>
      </c>
      <c r="D359" t="s">
        <v>61</v>
      </c>
      <c r="E359">
        <v>204</v>
      </c>
      <c r="F359">
        <v>0.75</v>
      </c>
    </row>
    <row r="360" spans="1:12">
      <c r="A360" s="9">
        <v>41911</v>
      </c>
      <c r="B360" s="7" t="s">
        <v>26</v>
      </c>
      <c r="C360">
        <v>12</v>
      </c>
      <c r="D360" t="s">
        <v>61</v>
      </c>
      <c r="E360">
        <v>220</v>
      </c>
      <c r="F360">
        <v>1.75</v>
      </c>
    </row>
    <row r="361" spans="1:12">
      <c r="A361" s="9">
        <v>41911</v>
      </c>
      <c r="B361" s="7" t="s">
        <v>26</v>
      </c>
      <c r="C361">
        <v>12</v>
      </c>
      <c r="D361" t="s">
        <v>61</v>
      </c>
      <c r="E361">
        <v>191</v>
      </c>
      <c r="F361">
        <v>1.2</v>
      </c>
    </row>
    <row r="362" spans="1:12">
      <c r="A362" s="9">
        <v>41911</v>
      </c>
      <c r="B362" s="7" t="s">
        <v>26</v>
      </c>
      <c r="C362">
        <v>12</v>
      </c>
      <c r="D362" t="s">
        <v>60</v>
      </c>
      <c r="F362">
        <v>3.56</v>
      </c>
      <c r="J362">
        <f>107+111+117+125+160+265+268</f>
        <v>1153</v>
      </c>
      <c r="K362">
        <v>7</v>
      </c>
      <c r="L362">
        <v>268</v>
      </c>
    </row>
    <row r="363" spans="1:12">
      <c r="A363" s="9">
        <v>41911</v>
      </c>
      <c r="B363" s="7" t="s">
        <v>26</v>
      </c>
      <c r="C363">
        <v>12</v>
      </c>
      <c r="D363" t="s">
        <v>61</v>
      </c>
      <c r="E363">
        <v>205</v>
      </c>
      <c r="F363">
        <v>0.94</v>
      </c>
    </row>
    <row r="364" spans="1:12">
      <c r="A364" s="9">
        <v>41911</v>
      </c>
      <c r="B364" s="7" t="s">
        <v>26</v>
      </c>
      <c r="C364">
        <v>12</v>
      </c>
      <c r="D364" t="s">
        <v>19</v>
      </c>
      <c r="F364">
        <v>1.1499999999999999</v>
      </c>
      <c r="J364">
        <f>230</f>
        <v>230</v>
      </c>
      <c r="K364">
        <v>1</v>
      </c>
      <c r="L364">
        <v>230</v>
      </c>
    </row>
    <row r="365" spans="1:12">
      <c r="A365" s="9">
        <v>41911</v>
      </c>
      <c r="B365" s="7" t="s">
        <v>26</v>
      </c>
      <c r="C365">
        <v>12</v>
      </c>
      <c r="D365" t="s">
        <v>61</v>
      </c>
      <c r="E365">
        <v>318</v>
      </c>
      <c r="F365">
        <v>1.25</v>
      </c>
    </row>
    <row r="366" spans="1:12">
      <c r="A366" s="9">
        <v>41911</v>
      </c>
      <c r="B366" s="7" t="s">
        <v>23</v>
      </c>
      <c r="C366">
        <v>47</v>
      </c>
      <c r="D366" t="s">
        <v>60</v>
      </c>
      <c r="F366">
        <v>1.1000000000000001</v>
      </c>
      <c r="J366">
        <f>46+56+68</f>
        <v>170</v>
      </c>
      <c r="K366">
        <v>3</v>
      </c>
      <c r="L366">
        <v>68</v>
      </c>
    </row>
    <row r="367" spans="1:12">
      <c r="A367" s="9">
        <v>41911</v>
      </c>
      <c r="B367" s="7" t="s">
        <v>23</v>
      </c>
      <c r="C367">
        <v>47</v>
      </c>
      <c r="D367" t="s">
        <v>60</v>
      </c>
      <c r="F367">
        <v>1.19</v>
      </c>
      <c r="J367">
        <f>74+62+100+111+120</f>
        <v>467</v>
      </c>
      <c r="K367">
        <v>5</v>
      </c>
      <c r="L367">
        <v>120</v>
      </c>
    </row>
    <row r="368" spans="1:12">
      <c r="A368" s="9">
        <v>41911</v>
      </c>
      <c r="B368" s="7" t="s">
        <v>23</v>
      </c>
      <c r="C368">
        <v>47</v>
      </c>
      <c r="D368" t="s">
        <v>19</v>
      </c>
      <c r="F368">
        <v>4.25</v>
      </c>
      <c r="J368">
        <f>166+280+254+293+307+394+368+376</f>
        <v>2438</v>
      </c>
      <c r="K368">
        <v>8</v>
      </c>
      <c r="L368">
        <v>394</v>
      </c>
    </row>
    <row r="369" spans="1:12">
      <c r="A369" s="9">
        <v>41911</v>
      </c>
      <c r="B369" s="7" t="s">
        <v>23</v>
      </c>
      <c r="C369">
        <v>47</v>
      </c>
      <c r="D369" t="s">
        <v>19</v>
      </c>
      <c r="F369">
        <v>4.8099999999999996</v>
      </c>
      <c r="J369">
        <f>122+123+189+144+169+208+217</f>
        <v>1172</v>
      </c>
      <c r="K369">
        <v>7</v>
      </c>
      <c r="L369">
        <v>217</v>
      </c>
    </row>
    <row r="370" spans="1:12">
      <c r="A370" s="9">
        <v>41911</v>
      </c>
      <c r="B370" s="7" t="s">
        <v>23</v>
      </c>
      <c r="C370">
        <v>47</v>
      </c>
      <c r="D370" t="s">
        <v>19</v>
      </c>
      <c r="F370">
        <v>3.17</v>
      </c>
      <c r="J370">
        <f>243+309+324+337+403</f>
        <v>1616</v>
      </c>
      <c r="K370">
        <v>5</v>
      </c>
      <c r="L370">
        <v>403</v>
      </c>
    </row>
    <row r="371" spans="1:12">
      <c r="A371" s="9">
        <v>41911</v>
      </c>
      <c r="B371" s="7" t="s">
        <v>23</v>
      </c>
      <c r="C371">
        <v>47</v>
      </c>
      <c r="D371" t="s">
        <v>19</v>
      </c>
      <c r="F371">
        <v>10.01</v>
      </c>
      <c r="J371">
        <f>113+239+297+318+338+326+342+337+375</f>
        <v>2685</v>
      </c>
      <c r="K371">
        <v>9</v>
      </c>
      <c r="L371">
        <v>375</v>
      </c>
    </row>
    <row r="372" spans="1:12">
      <c r="A372" s="9">
        <v>41911</v>
      </c>
      <c r="B372" s="7" t="s">
        <v>23</v>
      </c>
      <c r="C372">
        <v>47</v>
      </c>
      <c r="D372" t="s">
        <v>19</v>
      </c>
      <c r="F372">
        <v>8.67</v>
      </c>
      <c r="J372">
        <f>250+262+320+335+333+380+313+320</f>
        <v>2513</v>
      </c>
      <c r="K372">
        <v>8</v>
      </c>
      <c r="L372">
        <v>380</v>
      </c>
    </row>
    <row r="373" spans="1:12">
      <c r="A373" s="9">
        <v>41911</v>
      </c>
      <c r="B373" s="7" t="s">
        <v>23</v>
      </c>
      <c r="C373">
        <v>47</v>
      </c>
      <c r="D373" t="s">
        <v>19</v>
      </c>
      <c r="F373">
        <v>2.4900000000000002</v>
      </c>
      <c r="J373">
        <f>50+93+165+212+254</f>
        <v>774</v>
      </c>
      <c r="K373">
        <v>5</v>
      </c>
      <c r="L373">
        <v>254</v>
      </c>
    </row>
    <row r="374" spans="1:12">
      <c r="A374" s="9">
        <v>41911</v>
      </c>
      <c r="B374" s="7" t="s">
        <v>23</v>
      </c>
      <c r="C374">
        <v>47</v>
      </c>
      <c r="D374" t="s">
        <v>19</v>
      </c>
      <c r="F374">
        <v>7.14</v>
      </c>
      <c r="J374">
        <f>226+320+332+410+420+419+425</f>
        <v>2552</v>
      </c>
      <c r="K374">
        <v>7</v>
      </c>
      <c r="L374">
        <v>425</v>
      </c>
    </row>
    <row r="375" spans="1:12">
      <c r="A375" s="9">
        <v>41911</v>
      </c>
      <c r="B375" s="7" t="s">
        <v>23</v>
      </c>
      <c r="C375">
        <v>47</v>
      </c>
      <c r="D375" t="s">
        <v>19</v>
      </c>
      <c r="F375">
        <v>2.81</v>
      </c>
      <c r="J375">
        <f>106+249+283+336+343</f>
        <v>1317</v>
      </c>
      <c r="K375">
        <v>5</v>
      </c>
      <c r="L375">
        <v>343</v>
      </c>
    </row>
    <row r="376" spans="1:12">
      <c r="A376" s="9">
        <v>41911</v>
      </c>
      <c r="B376" s="7" t="s">
        <v>23</v>
      </c>
      <c r="C376">
        <v>47</v>
      </c>
      <c r="D376" t="s">
        <v>60</v>
      </c>
      <c r="F376">
        <v>2.27</v>
      </c>
      <c r="J376">
        <f>270+278+284+300</f>
        <v>1132</v>
      </c>
      <c r="K376">
        <v>4</v>
      </c>
      <c r="L376">
        <v>300</v>
      </c>
    </row>
    <row r="377" spans="1:12">
      <c r="A377" s="9">
        <v>41911</v>
      </c>
      <c r="B377" s="7" t="s">
        <v>23</v>
      </c>
      <c r="C377">
        <v>47</v>
      </c>
      <c r="D377" t="s">
        <v>19</v>
      </c>
      <c r="F377">
        <v>1.28</v>
      </c>
      <c r="J377">
        <f>37+58+86+89</f>
        <v>270</v>
      </c>
      <c r="K377">
        <v>4</v>
      </c>
      <c r="L377">
        <v>89</v>
      </c>
    </row>
    <row r="378" spans="1:12">
      <c r="A378" s="9">
        <v>41911</v>
      </c>
      <c r="B378" s="7" t="s">
        <v>23</v>
      </c>
      <c r="C378">
        <v>47</v>
      </c>
      <c r="D378" t="s">
        <v>19</v>
      </c>
      <c r="F378">
        <v>0.69</v>
      </c>
      <c r="J378">
        <f>37+44+48</f>
        <v>129</v>
      </c>
      <c r="K378">
        <v>3</v>
      </c>
      <c r="L378">
        <v>48</v>
      </c>
    </row>
    <row r="379" spans="1:12">
      <c r="A379" s="9">
        <v>41911</v>
      </c>
      <c r="B379" s="7" t="s">
        <v>23</v>
      </c>
      <c r="C379">
        <v>47</v>
      </c>
      <c r="D379" t="s">
        <v>19</v>
      </c>
      <c r="F379">
        <v>0.7</v>
      </c>
      <c r="J379">
        <f>49+52</f>
        <v>101</v>
      </c>
      <c r="K379">
        <v>2</v>
      </c>
      <c r="L379">
        <v>52</v>
      </c>
    </row>
    <row r="380" spans="1:12">
      <c r="A380" s="9">
        <v>41911</v>
      </c>
      <c r="B380" s="7" t="s">
        <v>23</v>
      </c>
      <c r="C380">
        <v>26</v>
      </c>
      <c r="D380" t="s">
        <v>19</v>
      </c>
      <c r="F380">
        <v>5.4</v>
      </c>
      <c r="J380">
        <f>111+150+169+181+197+217+225+235+243</f>
        <v>1728</v>
      </c>
      <c r="K380">
        <v>9</v>
      </c>
      <c r="L380">
        <v>243</v>
      </c>
    </row>
    <row r="381" spans="1:12">
      <c r="A381" s="9">
        <v>41911</v>
      </c>
      <c r="B381" s="7" t="s">
        <v>23</v>
      </c>
      <c r="C381">
        <v>24</v>
      </c>
      <c r="D381" t="s">
        <v>19</v>
      </c>
      <c r="F381">
        <v>3.41</v>
      </c>
    </row>
    <row r="382" spans="1:12">
      <c r="A382" s="9">
        <v>41911</v>
      </c>
      <c r="B382" s="7" t="s">
        <v>23</v>
      </c>
      <c r="C382">
        <v>24</v>
      </c>
      <c r="D382" t="s">
        <v>19</v>
      </c>
      <c r="F382">
        <v>2.67</v>
      </c>
      <c r="J382">
        <f>60+68+69+101+108+124+120</f>
        <v>650</v>
      </c>
      <c r="K382">
        <v>7</v>
      </c>
      <c r="L382">
        <v>124</v>
      </c>
    </row>
    <row r="383" spans="1:12">
      <c r="A383" s="9">
        <v>41911</v>
      </c>
      <c r="B383" s="7" t="s">
        <v>23</v>
      </c>
      <c r="C383">
        <v>24</v>
      </c>
      <c r="D383" t="s">
        <v>19</v>
      </c>
      <c r="F383">
        <v>1.1100000000000001</v>
      </c>
      <c r="J383">
        <f>39+37+60+68+80</f>
        <v>284</v>
      </c>
      <c r="K383">
        <v>5</v>
      </c>
      <c r="L383">
        <v>80</v>
      </c>
    </row>
    <row r="384" spans="1:12">
      <c r="A384" s="9">
        <v>41911</v>
      </c>
      <c r="B384" s="7" t="s">
        <v>23</v>
      </c>
      <c r="C384">
        <v>24</v>
      </c>
      <c r="D384" t="s">
        <v>19</v>
      </c>
      <c r="F384">
        <v>0.92</v>
      </c>
      <c r="J384">
        <f>55+66+84+81+98</f>
        <v>384</v>
      </c>
      <c r="K384">
        <v>5</v>
      </c>
      <c r="L384">
        <v>98</v>
      </c>
    </row>
    <row r="385" spans="1:12">
      <c r="A385" s="9">
        <v>41911</v>
      </c>
      <c r="B385" s="7" t="s">
        <v>23</v>
      </c>
      <c r="C385">
        <v>24</v>
      </c>
      <c r="D385" t="s">
        <v>19</v>
      </c>
      <c r="F385">
        <v>0.68</v>
      </c>
      <c r="J385">
        <f>37+37+44</f>
        <v>118</v>
      </c>
      <c r="K385">
        <v>3</v>
      </c>
      <c r="L385">
        <v>44</v>
      </c>
    </row>
    <row r="386" spans="1:12">
      <c r="A386" s="9">
        <v>41911</v>
      </c>
      <c r="B386" s="7" t="s">
        <v>23</v>
      </c>
      <c r="C386">
        <v>24</v>
      </c>
      <c r="D386" t="s">
        <v>19</v>
      </c>
      <c r="F386">
        <v>0.63</v>
      </c>
      <c r="J386">
        <f>33+41+62+62</f>
        <v>198</v>
      </c>
      <c r="K386">
        <v>4</v>
      </c>
      <c r="L386">
        <v>62</v>
      </c>
    </row>
    <row r="387" spans="1:12">
      <c r="A387" s="9">
        <v>41911</v>
      </c>
      <c r="B387" s="7" t="s">
        <v>23</v>
      </c>
      <c r="C387">
        <v>24</v>
      </c>
      <c r="D387" t="s">
        <v>19</v>
      </c>
      <c r="F387">
        <v>0.39</v>
      </c>
      <c r="J387">
        <f>21+41+63+63</f>
        <v>188</v>
      </c>
      <c r="K387">
        <v>4</v>
      </c>
      <c r="L387">
        <v>63</v>
      </c>
    </row>
    <row r="388" spans="1:12">
      <c r="A388" s="9">
        <v>41911</v>
      </c>
      <c r="B388" s="7" t="s">
        <v>23</v>
      </c>
      <c r="C388">
        <v>24</v>
      </c>
      <c r="D388" t="s">
        <v>19</v>
      </c>
      <c r="F388">
        <v>6.11</v>
      </c>
    </row>
    <row r="389" spans="1:12">
      <c r="A389" s="9">
        <v>41911</v>
      </c>
      <c r="B389" s="7" t="s">
        <v>23</v>
      </c>
      <c r="C389">
        <v>24</v>
      </c>
      <c r="D389" t="s">
        <v>19</v>
      </c>
      <c r="F389">
        <v>2.23</v>
      </c>
      <c r="J389">
        <f>47+48+70+87+115</f>
        <v>367</v>
      </c>
      <c r="K389">
        <v>5</v>
      </c>
      <c r="L389">
        <v>115</v>
      </c>
    </row>
    <row r="390" spans="1:12">
      <c r="A390" s="9">
        <v>41911</v>
      </c>
      <c r="B390" s="7" t="s">
        <v>23</v>
      </c>
      <c r="C390">
        <v>24</v>
      </c>
      <c r="D390" t="s">
        <v>19</v>
      </c>
      <c r="F390">
        <v>0.71</v>
      </c>
      <c r="J390">
        <f>19</f>
        <v>19</v>
      </c>
      <c r="K390">
        <v>1</v>
      </c>
      <c r="L390">
        <v>19</v>
      </c>
    </row>
    <row r="391" spans="1:12">
      <c r="A391" s="9">
        <v>41911</v>
      </c>
      <c r="B391" s="7" t="s">
        <v>23</v>
      </c>
      <c r="C391">
        <v>24</v>
      </c>
      <c r="D391" t="s">
        <v>19</v>
      </c>
      <c r="F391">
        <v>4.04</v>
      </c>
      <c r="J391">
        <f>45+52+88+92+109+140+166</f>
        <v>692</v>
      </c>
      <c r="K391">
        <v>7</v>
      </c>
      <c r="L391">
        <v>166</v>
      </c>
    </row>
    <row r="392" spans="1:12">
      <c r="A392" s="9">
        <v>41911</v>
      </c>
      <c r="B392" s="7" t="s">
        <v>23</v>
      </c>
      <c r="C392">
        <v>24</v>
      </c>
      <c r="D392" t="s">
        <v>19</v>
      </c>
      <c r="F392">
        <v>0.65</v>
      </c>
      <c r="J392">
        <f>25+42+46</f>
        <v>113</v>
      </c>
      <c r="K392">
        <v>3</v>
      </c>
      <c r="L392">
        <v>46</v>
      </c>
    </row>
    <row r="393" spans="1:12">
      <c r="A393" s="9">
        <v>41911</v>
      </c>
      <c r="B393" s="7" t="s">
        <v>23</v>
      </c>
      <c r="C393">
        <v>20</v>
      </c>
      <c r="D393" t="s">
        <v>19</v>
      </c>
      <c r="F393">
        <v>2.2400000000000002</v>
      </c>
      <c r="J393">
        <f>66+116+117+148+158+174</f>
        <v>779</v>
      </c>
      <c r="K393">
        <v>6</v>
      </c>
      <c r="L393">
        <v>174</v>
      </c>
    </row>
    <row r="394" spans="1:12">
      <c r="A394" s="9">
        <v>41911</v>
      </c>
      <c r="B394" s="7" t="s">
        <v>23</v>
      </c>
      <c r="C394">
        <v>20</v>
      </c>
      <c r="D394" t="s">
        <v>19</v>
      </c>
      <c r="F394">
        <v>4.93</v>
      </c>
      <c r="J394">
        <f>51+130+134+151+194+284+213+235+257</f>
        <v>1649</v>
      </c>
      <c r="K394">
        <v>9</v>
      </c>
      <c r="L394">
        <v>284</v>
      </c>
    </row>
    <row r="395" spans="1:12">
      <c r="A395" s="9">
        <v>41911</v>
      </c>
      <c r="B395" s="7" t="s">
        <v>23</v>
      </c>
      <c r="C395">
        <v>20</v>
      </c>
      <c r="D395" t="s">
        <v>61</v>
      </c>
      <c r="E395">
        <v>105</v>
      </c>
      <c r="F395">
        <v>0.8</v>
      </c>
    </row>
    <row r="396" spans="1:12">
      <c r="A396" s="9">
        <v>41911</v>
      </c>
      <c r="B396" s="7" t="s">
        <v>23</v>
      </c>
      <c r="C396">
        <v>20</v>
      </c>
      <c r="D396" t="s">
        <v>61</v>
      </c>
      <c r="E396">
        <v>134</v>
      </c>
      <c r="F396">
        <v>1.37</v>
      </c>
    </row>
    <row r="397" spans="1:12">
      <c r="A397" s="9">
        <v>41911</v>
      </c>
      <c r="B397" s="7" t="s">
        <v>23</v>
      </c>
      <c r="C397">
        <v>20</v>
      </c>
      <c r="D397" t="s">
        <v>19</v>
      </c>
      <c r="F397">
        <v>4.7300000000000004</v>
      </c>
      <c r="J397">
        <f>97+136+160+200+210+230</f>
        <v>1033</v>
      </c>
      <c r="K397">
        <v>6</v>
      </c>
      <c r="L397">
        <v>230</v>
      </c>
    </row>
    <row r="398" spans="1:12">
      <c r="A398" s="9">
        <v>41911</v>
      </c>
      <c r="B398" s="7" t="s">
        <v>23</v>
      </c>
      <c r="C398">
        <v>20</v>
      </c>
      <c r="D398" t="s">
        <v>19</v>
      </c>
      <c r="F398">
        <v>1.54</v>
      </c>
      <c r="J398">
        <f>42+55+70+105+105</f>
        <v>377</v>
      </c>
      <c r="K398">
        <v>5</v>
      </c>
      <c r="L398">
        <v>105</v>
      </c>
    </row>
    <row r="399" spans="1:12">
      <c r="A399" s="9">
        <v>41911</v>
      </c>
      <c r="B399" s="7" t="s">
        <v>23</v>
      </c>
      <c r="C399">
        <v>20</v>
      </c>
      <c r="D399" t="s">
        <v>61</v>
      </c>
      <c r="E399">
        <v>182</v>
      </c>
      <c r="F399">
        <v>1.38</v>
      </c>
    </row>
    <row r="400" spans="1:12">
      <c r="A400" s="9">
        <v>41911</v>
      </c>
      <c r="B400" s="7" t="s">
        <v>23</v>
      </c>
      <c r="C400">
        <v>20</v>
      </c>
      <c r="D400" t="s">
        <v>61</v>
      </c>
      <c r="E400">
        <v>62</v>
      </c>
      <c r="F400">
        <v>0.71</v>
      </c>
    </row>
    <row r="401" spans="1:12">
      <c r="A401" s="9">
        <v>41911</v>
      </c>
      <c r="B401" s="7" t="s">
        <v>23</v>
      </c>
      <c r="C401">
        <v>20</v>
      </c>
      <c r="D401" t="s">
        <v>19</v>
      </c>
      <c r="F401">
        <v>2.16</v>
      </c>
      <c r="J401">
        <f>58+68+96+111+163+170</f>
        <v>666</v>
      </c>
      <c r="K401">
        <v>6</v>
      </c>
      <c r="L401">
        <v>170</v>
      </c>
    </row>
    <row r="402" spans="1:12">
      <c r="A402" s="9">
        <v>41911</v>
      </c>
      <c r="B402" s="7" t="s">
        <v>23</v>
      </c>
      <c r="C402">
        <v>20</v>
      </c>
      <c r="D402" t="s">
        <v>19</v>
      </c>
      <c r="F402">
        <v>4.57</v>
      </c>
      <c r="J402">
        <f>46+96+131+162+153+184+202</f>
        <v>974</v>
      </c>
      <c r="K402">
        <v>7</v>
      </c>
      <c r="L402">
        <v>202</v>
      </c>
    </row>
    <row r="403" spans="1:12">
      <c r="A403" s="9">
        <v>41911</v>
      </c>
      <c r="B403" s="7" t="s">
        <v>23</v>
      </c>
      <c r="C403">
        <v>20</v>
      </c>
      <c r="D403" t="s">
        <v>61</v>
      </c>
      <c r="E403">
        <v>232</v>
      </c>
      <c r="F403">
        <v>1.49</v>
      </c>
    </row>
    <row r="404" spans="1:12">
      <c r="A404" s="9">
        <v>41911</v>
      </c>
      <c r="B404" s="7" t="s">
        <v>23</v>
      </c>
      <c r="C404">
        <v>20</v>
      </c>
      <c r="D404" t="s">
        <v>61</v>
      </c>
      <c r="E404">
        <v>159</v>
      </c>
      <c r="F404">
        <v>1.49</v>
      </c>
    </row>
    <row r="405" spans="1:12">
      <c r="A405" s="9">
        <v>41911</v>
      </c>
      <c r="B405" s="7" t="s">
        <v>23</v>
      </c>
      <c r="C405">
        <v>20</v>
      </c>
      <c r="D405" t="s">
        <v>61</v>
      </c>
      <c r="E405">
        <v>257</v>
      </c>
      <c r="F405">
        <v>1.19</v>
      </c>
    </row>
    <row r="406" spans="1:12">
      <c r="A406" s="9">
        <v>41911</v>
      </c>
      <c r="B406" s="7" t="s">
        <v>23</v>
      </c>
      <c r="C406">
        <v>20</v>
      </c>
      <c r="D406" t="s">
        <v>61</v>
      </c>
      <c r="E406">
        <v>277</v>
      </c>
      <c r="F406">
        <v>1.35</v>
      </c>
    </row>
    <row r="407" spans="1:12">
      <c r="A407" s="9">
        <v>41911</v>
      </c>
      <c r="B407" s="7" t="s">
        <v>23</v>
      </c>
      <c r="C407">
        <v>20</v>
      </c>
      <c r="D407" t="s">
        <v>61</v>
      </c>
      <c r="E407">
        <v>241</v>
      </c>
      <c r="F407">
        <v>1.26</v>
      </c>
    </row>
    <row r="408" spans="1:12">
      <c r="A408" s="9">
        <v>41911</v>
      </c>
      <c r="B408" s="7" t="s">
        <v>23</v>
      </c>
      <c r="C408">
        <v>20</v>
      </c>
      <c r="D408" t="s">
        <v>61</v>
      </c>
      <c r="E408">
        <v>43</v>
      </c>
      <c r="F408">
        <v>0.69</v>
      </c>
    </row>
    <row r="409" spans="1:12">
      <c r="A409" s="9">
        <v>41911</v>
      </c>
      <c r="B409" s="7" t="s">
        <v>23</v>
      </c>
      <c r="C409">
        <v>20</v>
      </c>
      <c r="D409" t="s">
        <v>60</v>
      </c>
      <c r="E409">
        <v>272</v>
      </c>
      <c r="F409">
        <v>3.78</v>
      </c>
      <c r="H409">
        <v>31</v>
      </c>
      <c r="I409">
        <v>2.5</v>
      </c>
    </row>
    <row r="410" spans="1:12">
      <c r="A410" s="9">
        <v>41911</v>
      </c>
      <c r="B410" s="7" t="s">
        <v>23</v>
      </c>
      <c r="C410">
        <v>20</v>
      </c>
      <c r="D410" t="s">
        <v>61</v>
      </c>
      <c r="E410">
        <v>251</v>
      </c>
      <c r="F410">
        <v>1.23</v>
      </c>
    </row>
    <row r="411" spans="1:12">
      <c r="A411" s="9">
        <v>41911</v>
      </c>
      <c r="B411" s="7" t="s">
        <v>23</v>
      </c>
      <c r="C411">
        <v>20</v>
      </c>
      <c r="D411" t="s">
        <v>61</v>
      </c>
      <c r="E411">
        <v>280</v>
      </c>
      <c r="F411">
        <v>1.38</v>
      </c>
    </row>
    <row r="412" spans="1:12">
      <c r="A412" s="9">
        <v>41911</v>
      </c>
      <c r="B412" s="7" t="s">
        <v>23</v>
      </c>
      <c r="C412">
        <v>20</v>
      </c>
      <c r="D412" t="s">
        <v>19</v>
      </c>
      <c r="F412">
        <v>1.66</v>
      </c>
      <c r="J412">
        <f>48+61+94+95+145</f>
        <v>443</v>
      </c>
      <c r="K412">
        <v>5</v>
      </c>
      <c r="L412">
        <v>145</v>
      </c>
    </row>
    <row r="413" spans="1:12">
      <c r="A413" s="9">
        <v>41911</v>
      </c>
      <c r="B413" s="7" t="s">
        <v>23</v>
      </c>
      <c r="C413">
        <v>20</v>
      </c>
      <c r="D413" t="s">
        <v>61</v>
      </c>
      <c r="F413">
        <v>1.27</v>
      </c>
    </row>
    <row r="414" spans="1:12">
      <c r="A414" s="9">
        <v>41911</v>
      </c>
      <c r="B414" s="7" t="s">
        <v>23</v>
      </c>
      <c r="C414">
        <v>20</v>
      </c>
      <c r="D414" t="s">
        <v>19</v>
      </c>
      <c r="F414">
        <v>1.35</v>
      </c>
      <c r="J414">
        <f>22+26+33+36+37</f>
        <v>154</v>
      </c>
      <c r="K414">
        <v>5</v>
      </c>
      <c r="L414">
        <v>37</v>
      </c>
    </row>
    <row r="415" spans="1:12">
      <c r="A415" s="9">
        <v>41911</v>
      </c>
      <c r="B415" s="7" t="s">
        <v>23</v>
      </c>
      <c r="C415">
        <v>20</v>
      </c>
      <c r="D415" t="s">
        <v>19</v>
      </c>
      <c r="F415">
        <v>1.49</v>
      </c>
      <c r="J415">
        <f>41+75+89+93+105+114</f>
        <v>517</v>
      </c>
      <c r="K415">
        <v>6</v>
      </c>
      <c r="L415">
        <v>114</v>
      </c>
    </row>
    <row r="416" spans="1:12">
      <c r="A416" s="9">
        <v>41911</v>
      </c>
      <c r="B416" s="7" t="s">
        <v>23</v>
      </c>
      <c r="C416">
        <v>20</v>
      </c>
      <c r="D416" t="s">
        <v>61</v>
      </c>
      <c r="E416">
        <v>201</v>
      </c>
      <c r="F416">
        <v>0.99</v>
      </c>
    </row>
    <row r="417" spans="1:12">
      <c r="A417" s="9">
        <v>41911</v>
      </c>
      <c r="B417" s="7" t="s">
        <v>23</v>
      </c>
      <c r="C417">
        <v>20</v>
      </c>
      <c r="D417" t="s">
        <v>61</v>
      </c>
      <c r="E417">
        <v>222</v>
      </c>
      <c r="F417">
        <v>1.24</v>
      </c>
    </row>
    <row r="418" spans="1:12">
      <c r="A418" s="9">
        <v>41911</v>
      </c>
      <c r="B418" s="7" t="s">
        <v>23</v>
      </c>
      <c r="C418">
        <v>20</v>
      </c>
      <c r="D418" t="s">
        <v>61</v>
      </c>
      <c r="E418">
        <v>143</v>
      </c>
      <c r="F418">
        <v>1.18</v>
      </c>
    </row>
    <row r="419" spans="1:12">
      <c r="A419" s="9">
        <v>41911</v>
      </c>
      <c r="B419" s="7" t="s">
        <v>23</v>
      </c>
      <c r="C419">
        <v>20</v>
      </c>
      <c r="D419" t="s">
        <v>61</v>
      </c>
      <c r="E419">
        <v>222</v>
      </c>
      <c r="F419">
        <v>1.19</v>
      </c>
    </row>
    <row r="420" spans="1:12">
      <c r="A420" s="9">
        <v>41911</v>
      </c>
      <c r="B420" s="7" t="s">
        <v>23</v>
      </c>
      <c r="C420">
        <v>20</v>
      </c>
      <c r="D420" t="s">
        <v>61</v>
      </c>
      <c r="E420">
        <v>111</v>
      </c>
      <c r="F420">
        <v>1.1100000000000001</v>
      </c>
    </row>
    <row r="421" spans="1:12">
      <c r="A421" s="9">
        <v>41911</v>
      </c>
      <c r="B421" s="7" t="s">
        <v>23</v>
      </c>
      <c r="C421">
        <v>20</v>
      </c>
      <c r="D421" t="s">
        <v>61</v>
      </c>
      <c r="E421">
        <v>114</v>
      </c>
      <c r="F421">
        <v>0.83</v>
      </c>
    </row>
    <row r="422" spans="1:12">
      <c r="A422" s="9">
        <v>41911</v>
      </c>
      <c r="B422" s="7" t="s">
        <v>23</v>
      </c>
      <c r="C422">
        <v>20</v>
      </c>
      <c r="D422" t="s">
        <v>61</v>
      </c>
      <c r="E422">
        <v>221</v>
      </c>
      <c r="F422">
        <v>1.4</v>
      </c>
    </row>
    <row r="423" spans="1:12">
      <c r="A423" s="9">
        <v>41911</v>
      </c>
      <c r="B423" s="7" t="s">
        <v>23</v>
      </c>
      <c r="C423">
        <v>20</v>
      </c>
      <c r="D423" t="s">
        <v>61</v>
      </c>
      <c r="E423">
        <v>169</v>
      </c>
      <c r="F423">
        <v>0.99</v>
      </c>
    </row>
    <row r="424" spans="1:12">
      <c r="A424" s="9">
        <v>41911</v>
      </c>
      <c r="B424" s="7" t="s">
        <v>23</v>
      </c>
      <c r="C424">
        <v>20</v>
      </c>
      <c r="D424" t="s">
        <v>61</v>
      </c>
      <c r="E424">
        <v>202</v>
      </c>
      <c r="F424">
        <v>0.92</v>
      </c>
    </row>
    <row r="425" spans="1:12">
      <c r="A425" s="9">
        <v>41911</v>
      </c>
      <c r="B425" s="7" t="s">
        <v>23</v>
      </c>
      <c r="C425">
        <v>20</v>
      </c>
      <c r="D425" t="s">
        <v>61</v>
      </c>
      <c r="E425">
        <v>217</v>
      </c>
      <c r="F425">
        <v>1.01</v>
      </c>
    </row>
    <row r="426" spans="1:12">
      <c r="A426" s="9">
        <v>41911</v>
      </c>
      <c r="B426" s="7" t="s">
        <v>23</v>
      </c>
      <c r="C426">
        <v>20</v>
      </c>
      <c r="D426" t="s">
        <v>61</v>
      </c>
      <c r="E426">
        <v>197</v>
      </c>
      <c r="F426">
        <v>0.93</v>
      </c>
    </row>
    <row r="427" spans="1:12">
      <c r="A427" s="9">
        <v>41911</v>
      </c>
      <c r="B427" s="7" t="s">
        <v>23</v>
      </c>
      <c r="C427">
        <v>20</v>
      </c>
      <c r="D427" t="s">
        <v>61</v>
      </c>
      <c r="E427">
        <v>164</v>
      </c>
      <c r="F427">
        <v>0.98</v>
      </c>
    </row>
    <row r="428" spans="1:12">
      <c r="A428" s="9">
        <v>41911</v>
      </c>
      <c r="B428" s="7" t="s">
        <v>23</v>
      </c>
      <c r="C428">
        <v>20</v>
      </c>
      <c r="D428" t="s">
        <v>61</v>
      </c>
      <c r="E428">
        <v>260</v>
      </c>
      <c r="F428">
        <v>1.18</v>
      </c>
    </row>
    <row r="429" spans="1:12">
      <c r="A429" s="9">
        <v>41911</v>
      </c>
      <c r="B429" s="7" t="s">
        <v>23</v>
      </c>
      <c r="C429">
        <v>20</v>
      </c>
      <c r="D429" t="s">
        <v>19</v>
      </c>
      <c r="F429">
        <v>13.15</v>
      </c>
      <c r="J429">
        <f>71+104+185+242+245+50+92+321+319+310+316+295+276+285+286</f>
        <v>3397</v>
      </c>
      <c r="K429">
        <v>15</v>
      </c>
      <c r="L429">
        <v>321</v>
      </c>
    </row>
    <row r="430" spans="1:12">
      <c r="A430" s="9">
        <v>41911</v>
      </c>
      <c r="B430" s="7" t="s">
        <v>23</v>
      </c>
      <c r="C430">
        <v>20</v>
      </c>
      <c r="D430" t="s">
        <v>61</v>
      </c>
      <c r="E430">
        <v>266</v>
      </c>
      <c r="F430">
        <v>1.25</v>
      </c>
    </row>
    <row r="431" spans="1:12">
      <c r="A431" s="9">
        <v>41911</v>
      </c>
      <c r="B431" s="7" t="s">
        <v>23</v>
      </c>
      <c r="C431">
        <v>20</v>
      </c>
      <c r="D431" t="s">
        <v>19</v>
      </c>
      <c r="F431">
        <v>6.79</v>
      </c>
      <c r="J431">
        <f>60+163+170+198+204+214+189</f>
        <v>1198</v>
      </c>
      <c r="K431">
        <v>7</v>
      </c>
      <c r="L431">
        <v>214</v>
      </c>
    </row>
    <row r="432" spans="1:12">
      <c r="A432" s="9">
        <v>41911</v>
      </c>
      <c r="B432" s="7" t="s">
        <v>23</v>
      </c>
      <c r="C432">
        <v>12</v>
      </c>
      <c r="D432" t="s">
        <v>19</v>
      </c>
      <c r="F432">
        <v>10.050000000000001</v>
      </c>
      <c r="J432">
        <f>184+189+210+213+214+226+229+236+218+230+211+206+192</f>
        <v>2758</v>
      </c>
      <c r="K432">
        <v>13</v>
      </c>
      <c r="L432">
        <v>236</v>
      </c>
    </row>
    <row r="433" spans="1:12">
      <c r="A433" s="9">
        <v>41911</v>
      </c>
      <c r="B433" s="7" t="s">
        <v>23</v>
      </c>
      <c r="C433">
        <v>12</v>
      </c>
      <c r="D433" t="s">
        <v>19</v>
      </c>
      <c r="F433">
        <v>4.0599999999999996</v>
      </c>
      <c r="J433">
        <f>132+156+222+258+285+300+311</f>
        <v>1664</v>
      </c>
      <c r="K433">
        <v>7</v>
      </c>
      <c r="L433">
        <v>311</v>
      </c>
    </row>
    <row r="434" spans="1:12">
      <c r="A434" s="9">
        <v>41911</v>
      </c>
      <c r="B434" s="7" t="s">
        <v>23</v>
      </c>
      <c r="C434">
        <v>12</v>
      </c>
      <c r="D434" t="s">
        <v>19</v>
      </c>
      <c r="F434">
        <v>2</v>
      </c>
      <c r="J434">
        <f>32+58+87+90</f>
        <v>267</v>
      </c>
      <c r="K434">
        <v>4</v>
      </c>
      <c r="L434">
        <v>90</v>
      </c>
    </row>
    <row r="435" spans="1:12">
      <c r="A435" s="9">
        <v>41911</v>
      </c>
      <c r="B435" s="7" t="s">
        <v>23</v>
      </c>
      <c r="C435">
        <v>12</v>
      </c>
      <c r="D435" t="s">
        <v>61</v>
      </c>
      <c r="E435">
        <v>232</v>
      </c>
      <c r="F435">
        <v>1.54</v>
      </c>
    </row>
    <row r="436" spans="1:12">
      <c r="A436" s="9">
        <v>41911</v>
      </c>
      <c r="B436" s="7" t="s">
        <v>23</v>
      </c>
      <c r="C436">
        <v>12</v>
      </c>
      <c r="D436" t="s">
        <v>61</v>
      </c>
      <c r="E436">
        <v>188</v>
      </c>
      <c r="F436">
        <v>1.29</v>
      </c>
    </row>
    <row r="437" spans="1:12">
      <c r="A437" s="9">
        <v>41911</v>
      </c>
      <c r="B437" s="7" t="s">
        <v>23</v>
      </c>
      <c r="C437">
        <v>12</v>
      </c>
      <c r="D437" t="s">
        <v>19</v>
      </c>
      <c r="F437">
        <v>1.99</v>
      </c>
      <c r="J437">
        <f>82+122+159+175+186</f>
        <v>724</v>
      </c>
      <c r="K437">
        <v>5</v>
      </c>
      <c r="L437">
        <v>186</v>
      </c>
    </row>
    <row r="438" spans="1:12">
      <c r="A438" s="9">
        <v>41911</v>
      </c>
      <c r="B438" s="7" t="s">
        <v>23</v>
      </c>
      <c r="C438">
        <v>12</v>
      </c>
      <c r="D438" t="s">
        <v>61</v>
      </c>
      <c r="E438">
        <v>174</v>
      </c>
      <c r="F438">
        <v>1.29</v>
      </c>
    </row>
    <row r="439" spans="1:12">
      <c r="A439" s="9">
        <v>41911</v>
      </c>
      <c r="B439" s="7" t="s">
        <v>23</v>
      </c>
      <c r="C439">
        <v>12</v>
      </c>
      <c r="D439" t="s">
        <v>61</v>
      </c>
      <c r="E439">
        <v>70</v>
      </c>
      <c r="F439">
        <v>1.38</v>
      </c>
    </row>
    <row r="440" spans="1:12">
      <c r="A440" s="9">
        <v>41911</v>
      </c>
      <c r="B440" s="7" t="s">
        <v>23</v>
      </c>
      <c r="C440">
        <v>12</v>
      </c>
      <c r="D440" t="s">
        <v>19</v>
      </c>
      <c r="F440">
        <v>0.55000000000000004</v>
      </c>
      <c r="J440">
        <f>28+38+51+50</f>
        <v>167</v>
      </c>
      <c r="K440">
        <v>4</v>
      </c>
      <c r="L440">
        <v>51</v>
      </c>
    </row>
    <row r="441" spans="1:12">
      <c r="A441" s="9">
        <v>41911</v>
      </c>
      <c r="B441" s="7" t="s">
        <v>23</v>
      </c>
      <c r="C441">
        <v>12</v>
      </c>
      <c r="D441" t="s">
        <v>61</v>
      </c>
      <c r="E441">
        <v>201</v>
      </c>
      <c r="F441">
        <v>1.17</v>
      </c>
    </row>
    <row r="442" spans="1:12">
      <c r="A442" s="9">
        <v>41911</v>
      </c>
      <c r="B442" s="7" t="s">
        <v>23</v>
      </c>
      <c r="C442">
        <v>12</v>
      </c>
      <c r="D442" t="s">
        <v>19</v>
      </c>
      <c r="F442">
        <v>11</v>
      </c>
      <c r="J442">
        <f>170+187+194+210+213+219+222+238+223+246+245+253+256</f>
        <v>2876</v>
      </c>
      <c r="K442">
        <v>13</v>
      </c>
      <c r="L442">
        <v>256</v>
      </c>
    </row>
    <row r="443" spans="1:12">
      <c r="A443" s="9">
        <v>41911</v>
      </c>
      <c r="B443" s="7" t="s">
        <v>23</v>
      </c>
      <c r="C443">
        <v>12</v>
      </c>
      <c r="D443" t="s">
        <v>61</v>
      </c>
      <c r="E443">
        <v>100</v>
      </c>
      <c r="F443">
        <v>0.94</v>
      </c>
    </row>
    <row r="444" spans="1:12">
      <c r="A444" s="9">
        <v>41911</v>
      </c>
      <c r="B444" s="7" t="s">
        <v>23</v>
      </c>
      <c r="C444">
        <v>12</v>
      </c>
      <c r="D444" t="s">
        <v>61</v>
      </c>
      <c r="E444">
        <v>232</v>
      </c>
      <c r="F444">
        <v>1.84</v>
      </c>
    </row>
    <row r="445" spans="1:12">
      <c r="A445" s="9">
        <v>41911</v>
      </c>
      <c r="B445" s="7" t="s">
        <v>23</v>
      </c>
      <c r="C445">
        <v>12</v>
      </c>
      <c r="D445" t="s">
        <v>19</v>
      </c>
      <c r="F445">
        <v>1.38</v>
      </c>
      <c r="J445">
        <f>47+56+57</f>
        <v>160</v>
      </c>
      <c r="K445">
        <v>3</v>
      </c>
      <c r="L445">
        <v>57</v>
      </c>
    </row>
    <row r="446" spans="1:12">
      <c r="A446" s="9">
        <v>41911</v>
      </c>
      <c r="B446" s="7" t="s">
        <v>23</v>
      </c>
      <c r="C446">
        <v>12</v>
      </c>
      <c r="D446" t="s">
        <v>61</v>
      </c>
      <c r="E446">
        <v>254</v>
      </c>
      <c r="F446">
        <v>1.53</v>
      </c>
    </row>
    <row r="447" spans="1:12">
      <c r="A447" s="9">
        <v>41911</v>
      </c>
      <c r="B447" s="7" t="s">
        <v>23</v>
      </c>
      <c r="C447">
        <v>12</v>
      </c>
      <c r="D447" t="s">
        <v>61</v>
      </c>
      <c r="E447">
        <v>200</v>
      </c>
      <c r="F447">
        <v>1.34</v>
      </c>
    </row>
    <row r="448" spans="1:12">
      <c r="A448" s="9">
        <v>41911</v>
      </c>
      <c r="B448" s="7" t="s">
        <v>23</v>
      </c>
      <c r="C448">
        <v>12</v>
      </c>
      <c r="D448" t="s">
        <v>61</v>
      </c>
      <c r="E448">
        <v>215</v>
      </c>
      <c r="F448">
        <v>0.84</v>
      </c>
    </row>
    <row r="449" spans="1:12">
      <c r="A449" s="9">
        <v>41911</v>
      </c>
      <c r="B449" s="7" t="s">
        <v>23</v>
      </c>
      <c r="C449">
        <v>12</v>
      </c>
      <c r="D449" t="s">
        <v>61</v>
      </c>
      <c r="E449">
        <v>134</v>
      </c>
      <c r="F449">
        <v>2.37</v>
      </c>
    </row>
    <row r="450" spans="1:12">
      <c r="A450" s="9">
        <v>41911</v>
      </c>
      <c r="B450" s="7" t="s">
        <v>23</v>
      </c>
      <c r="C450">
        <v>12</v>
      </c>
      <c r="D450" t="s">
        <v>61</v>
      </c>
      <c r="E450">
        <v>102</v>
      </c>
      <c r="F450">
        <v>0.88</v>
      </c>
    </row>
    <row r="451" spans="1:12">
      <c r="A451" s="9">
        <v>41911</v>
      </c>
      <c r="B451" s="7" t="s">
        <v>23</v>
      </c>
      <c r="C451">
        <v>12</v>
      </c>
      <c r="D451" t="s">
        <v>61</v>
      </c>
      <c r="E451">
        <v>165</v>
      </c>
      <c r="F451">
        <v>1.35</v>
      </c>
    </row>
    <row r="452" spans="1:12">
      <c r="A452" s="9">
        <v>41911</v>
      </c>
      <c r="B452" s="7" t="s">
        <v>23</v>
      </c>
      <c r="C452">
        <v>12</v>
      </c>
      <c r="D452" t="s">
        <v>61</v>
      </c>
      <c r="E452">
        <v>230</v>
      </c>
      <c r="F452">
        <v>0.76</v>
      </c>
    </row>
    <row r="453" spans="1:12">
      <c r="A453" s="9">
        <v>41911</v>
      </c>
      <c r="B453" s="7" t="s">
        <v>23</v>
      </c>
      <c r="C453">
        <v>12</v>
      </c>
      <c r="D453" t="s">
        <v>61</v>
      </c>
      <c r="E453">
        <v>228</v>
      </c>
      <c r="F453">
        <v>1.51</v>
      </c>
    </row>
    <row r="454" spans="1:12">
      <c r="A454" s="9">
        <v>41911</v>
      </c>
      <c r="B454" s="7" t="s">
        <v>23</v>
      </c>
      <c r="C454">
        <v>12</v>
      </c>
      <c r="D454" t="s">
        <v>61</v>
      </c>
      <c r="E454">
        <v>38</v>
      </c>
      <c r="F454">
        <v>0.68</v>
      </c>
    </row>
    <row r="455" spans="1:12">
      <c r="A455" s="9">
        <v>41923</v>
      </c>
      <c r="B455" s="7" t="s">
        <v>22</v>
      </c>
      <c r="C455">
        <v>34</v>
      </c>
      <c r="D455" t="s">
        <v>19</v>
      </c>
      <c r="F455">
        <v>0.56999999999999995</v>
      </c>
      <c r="J455">
        <f>17+23</f>
        <v>40</v>
      </c>
      <c r="K455">
        <v>2</v>
      </c>
      <c r="L455">
        <v>23</v>
      </c>
    </row>
    <row r="456" spans="1:12">
      <c r="A456" s="9">
        <v>41923</v>
      </c>
      <c r="B456" s="7" t="s">
        <v>22</v>
      </c>
      <c r="C456">
        <v>34</v>
      </c>
      <c r="D456" t="s">
        <v>19</v>
      </c>
      <c r="F456">
        <v>1.07</v>
      </c>
      <c r="J456">
        <f>71+77+97</f>
        <v>245</v>
      </c>
      <c r="K456">
        <v>3</v>
      </c>
      <c r="L456">
        <v>97</v>
      </c>
    </row>
    <row r="457" spans="1:12">
      <c r="A457" s="9">
        <v>41923</v>
      </c>
      <c r="B457" s="7" t="s">
        <v>22</v>
      </c>
      <c r="C457">
        <v>34</v>
      </c>
      <c r="D457" t="s">
        <v>19</v>
      </c>
      <c r="F457">
        <v>2.7</v>
      </c>
      <c r="J457">
        <f>54+72+98+34</f>
        <v>258</v>
      </c>
      <c r="K457">
        <v>4</v>
      </c>
      <c r="L457">
        <v>98</v>
      </c>
    </row>
    <row r="458" spans="1:12">
      <c r="A458" s="9">
        <v>41923</v>
      </c>
      <c r="B458" s="7" t="s">
        <v>22</v>
      </c>
      <c r="C458">
        <v>34</v>
      </c>
      <c r="D458" t="s">
        <v>19</v>
      </c>
      <c r="F458">
        <v>5.16</v>
      </c>
      <c r="J458">
        <f>277+307+356+334+330</f>
        <v>1604</v>
      </c>
      <c r="K458">
        <v>5</v>
      </c>
      <c r="L458">
        <v>356</v>
      </c>
    </row>
    <row r="459" spans="1:12">
      <c r="A459" s="9">
        <v>41923</v>
      </c>
      <c r="B459" s="7" t="s">
        <v>22</v>
      </c>
      <c r="C459">
        <v>34</v>
      </c>
      <c r="D459" t="s">
        <v>19</v>
      </c>
      <c r="F459">
        <v>1.6</v>
      </c>
      <c r="J459">
        <f>30+45+61+70+84</f>
        <v>290</v>
      </c>
      <c r="K459">
        <v>5</v>
      </c>
      <c r="L459">
        <v>84</v>
      </c>
    </row>
    <row r="460" spans="1:12">
      <c r="A460" s="9">
        <v>41923</v>
      </c>
      <c r="B460" s="7" t="s">
        <v>22</v>
      </c>
      <c r="C460">
        <v>34</v>
      </c>
      <c r="D460" t="s">
        <v>19</v>
      </c>
      <c r="F460">
        <v>0.87</v>
      </c>
      <c r="J460">
        <f>23+48+54+63</f>
        <v>188</v>
      </c>
      <c r="K460">
        <v>4</v>
      </c>
      <c r="L460">
        <v>63</v>
      </c>
    </row>
    <row r="461" spans="1:12">
      <c r="A461" s="9">
        <v>41923</v>
      </c>
      <c r="B461" s="7" t="s">
        <v>22</v>
      </c>
      <c r="C461">
        <v>34</v>
      </c>
      <c r="D461" t="s">
        <v>19</v>
      </c>
      <c r="F461">
        <v>3.46</v>
      </c>
      <c r="J461">
        <f>298+310+322+342</f>
        <v>1272</v>
      </c>
      <c r="K461">
        <v>4</v>
      </c>
      <c r="L461">
        <v>342</v>
      </c>
    </row>
    <row r="462" spans="1:12">
      <c r="A462" s="9">
        <v>41923</v>
      </c>
      <c r="B462" s="7" t="s">
        <v>22</v>
      </c>
      <c r="C462">
        <v>34</v>
      </c>
      <c r="D462" t="s">
        <v>19</v>
      </c>
      <c r="F462">
        <v>0.64</v>
      </c>
      <c r="J462">
        <f>26+38+43</f>
        <v>107</v>
      </c>
      <c r="K462">
        <v>3</v>
      </c>
      <c r="L462">
        <v>43</v>
      </c>
    </row>
    <row r="463" spans="1:12">
      <c r="A463" s="9">
        <v>41923</v>
      </c>
      <c r="B463" s="7" t="s">
        <v>22</v>
      </c>
      <c r="C463">
        <v>34</v>
      </c>
      <c r="D463" t="s">
        <v>19</v>
      </c>
      <c r="F463">
        <v>4</v>
      </c>
      <c r="J463">
        <f>131+218+271+272+286+296</f>
        <v>1474</v>
      </c>
      <c r="K463">
        <v>6</v>
      </c>
      <c r="L463">
        <v>296</v>
      </c>
    </row>
    <row r="464" spans="1:12">
      <c r="A464" s="9">
        <v>41923</v>
      </c>
      <c r="B464" s="7" t="s">
        <v>22</v>
      </c>
      <c r="C464">
        <v>34</v>
      </c>
      <c r="D464" t="s">
        <v>19</v>
      </c>
      <c r="F464">
        <v>3.81</v>
      </c>
      <c r="J464">
        <f>321+343+377+370</f>
        <v>1411</v>
      </c>
      <c r="K464">
        <v>4</v>
      </c>
      <c r="L464">
        <v>377</v>
      </c>
    </row>
    <row r="465" spans="1:12">
      <c r="A465" s="9">
        <v>41923</v>
      </c>
      <c r="B465" s="7" t="s">
        <v>22</v>
      </c>
      <c r="C465">
        <v>29</v>
      </c>
      <c r="D465" t="s">
        <v>61</v>
      </c>
      <c r="E465">
        <v>288</v>
      </c>
      <c r="F465">
        <v>1.17</v>
      </c>
    </row>
    <row r="466" spans="1:12">
      <c r="A466" s="9">
        <v>41923</v>
      </c>
      <c r="B466" s="7" t="s">
        <v>22</v>
      </c>
      <c r="C466">
        <v>29</v>
      </c>
      <c r="D466" t="s">
        <v>61</v>
      </c>
      <c r="E466">
        <v>232</v>
      </c>
      <c r="F466">
        <v>0.98</v>
      </c>
    </row>
    <row r="467" spans="1:12">
      <c r="A467" s="9">
        <v>41923</v>
      </c>
      <c r="B467" s="7" t="s">
        <v>22</v>
      </c>
      <c r="C467">
        <v>29</v>
      </c>
      <c r="D467" t="s">
        <v>61</v>
      </c>
      <c r="E467">
        <v>248</v>
      </c>
      <c r="F467">
        <v>1.21</v>
      </c>
    </row>
    <row r="468" spans="1:12">
      <c r="A468" s="9">
        <v>41923</v>
      </c>
      <c r="B468" s="7" t="s">
        <v>22</v>
      </c>
      <c r="C468">
        <v>29</v>
      </c>
      <c r="D468" t="s">
        <v>61</v>
      </c>
      <c r="E468">
        <v>252</v>
      </c>
      <c r="F468">
        <v>1.2</v>
      </c>
    </row>
    <row r="469" spans="1:12">
      <c r="A469" s="9">
        <v>41923</v>
      </c>
      <c r="B469" s="7" t="s">
        <v>22</v>
      </c>
      <c r="C469">
        <v>29</v>
      </c>
      <c r="D469" t="s">
        <v>61</v>
      </c>
      <c r="E469">
        <v>208</v>
      </c>
      <c r="F469">
        <v>1.27</v>
      </c>
    </row>
    <row r="470" spans="1:12">
      <c r="A470" s="9">
        <v>41923</v>
      </c>
      <c r="B470" s="7" t="s">
        <v>22</v>
      </c>
      <c r="C470">
        <v>29</v>
      </c>
      <c r="D470" t="s">
        <v>61</v>
      </c>
      <c r="E470">
        <v>235</v>
      </c>
      <c r="F470">
        <v>1.55</v>
      </c>
    </row>
    <row r="471" spans="1:12">
      <c r="A471" s="9">
        <v>41923</v>
      </c>
      <c r="B471" s="7" t="s">
        <v>22</v>
      </c>
      <c r="C471">
        <v>29</v>
      </c>
      <c r="D471" t="s">
        <v>61</v>
      </c>
      <c r="E471">
        <v>279</v>
      </c>
      <c r="F471">
        <v>1.35</v>
      </c>
    </row>
    <row r="472" spans="1:12">
      <c r="A472" s="9">
        <v>41923</v>
      </c>
      <c r="B472" s="7" t="s">
        <v>22</v>
      </c>
      <c r="C472">
        <v>29</v>
      </c>
      <c r="D472" t="s">
        <v>61</v>
      </c>
      <c r="E472">
        <v>54</v>
      </c>
      <c r="F472">
        <v>1.01</v>
      </c>
    </row>
    <row r="473" spans="1:12">
      <c r="A473" s="9">
        <v>41923</v>
      </c>
      <c r="B473" s="7" t="s">
        <v>22</v>
      </c>
      <c r="C473">
        <v>29</v>
      </c>
      <c r="D473" t="s">
        <v>61</v>
      </c>
      <c r="E473">
        <v>286</v>
      </c>
      <c r="F473">
        <v>1.56</v>
      </c>
    </row>
    <row r="474" spans="1:12">
      <c r="A474" s="9">
        <v>41923</v>
      </c>
      <c r="B474" s="7" t="s">
        <v>22</v>
      </c>
      <c r="C474">
        <v>29</v>
      </c>
      <c r="D474" t="s">
        <v>19</v>
      </c>
      <c r="F474">
        <v>1.18</v>
      </c>
      <c r="J474">
        <f>34+38+49</f>
        <v>121</v>
      </c>
      <c r="K474">
        <v>3</v>
      </c>
      <c r="L474">
        <v>49</v>
      </c>
    </row>
    <row r="475" spans="1:12">
      <c r="A475" s="9">
        <v>41923</v>
      </c>
      <c r="B475" s="7" t="s">
        <v>22</v>
      </c>
      <c r="C475">
        <v>29</v>
      </c>
      <c r="D475" t="s">
        <v>19</v>
      </c>
      <c r="F475">
        <v>3.71</v>
      </c>
      <c r="J475">
        <f>200+269+277+265+252+292</f>
        <v>1555</v>
      </c>
      <c r="K475">
        <v>6</v>
      </c>
      <c r="L475">
        <v>292</v>
      </c>
    </row>
    <row r="476" spans="1:12">
      <c r="A476" s="9">
        <v>41923</v>
      </c>
      <c r="B476" s="7" t="s">
        <v>22</v>
      </c>
      <c r="C476">
        <v>22</v>
      </c>
      <c r="D476" t="s">
        <v>19</v>
      </c>
      <c r="F476">
        <v>1.18</v>
      </c>
      <c r="J476">
        <f>35+59+64+102+101</f>
        <v>361</v>
      </c>
      <c r="K476">
        <v>5</v>
      </c>
      <c r="L476">
        <v>102</v>
      </c>
    </row>
    <row r="477" spans="1:12">
      <c r="A477" s="9">
        <v>41923</v>
      </c>
      <c r="B477" s="7" t="s">
        <v>22</v>
      </c>
      <c r="C477">
        <v>22</v>
      </c>
      <c r="D477" t="s">
        <v>19</v>
      </c>
      <c r="F477">
        <v>2.71</v>
      </c>
      <c r="J477">
        <f>99+112+142+145+183+186+170</f>
        <v>1037</v>
      </c>
      <c r="K477">
        <v>7</v>
      </c>
      <c r="L477">
        <v>186</v>
      </c>
    </row>
    <row r="478" spans="1:12">
      <c r="A478" s="9">
        <v>41923</v>
      </c>
      <c r="B478" s="7" t="s">
        <v>22</v>
      </c>
      <c r="C478">
        <v>22</v>
      </c>
      <c r="D478" t="s">
        <v>19</v>
      </c>
      <c r="F478">
        <v>0.39</v>
      </c>
      <c r="J478">
        <f>49+62+72</f>
        <v>183</v>
      </c>
      <c r="K478">
        <v>3</v>
      </c>
      <c r="L478">
        <v>72</v>
      </c>
    </row>
    <row r="479" spans="1:12">
      <c r="A479" s="9">
        <v>41923</v>
      </c>
      <c r="B479" s="7" t="s">
        <v>22</v>
      </c>
      <c r="C479">
        <v>22</v>
      </c>
      <c r="D479" t="s">
        <v>19</v>
      </c>
      <c r="F479">
        <v>6.94</v>
      </c>
      <c r="J479">
        <f>105+159+202+227+211+237+244+250+250+236+261</f>
        <v>2382</v>
      </c>
      <c r="K479">
        <v>11</v>
      </c>
      <c r="L479">
        <v>261</v>
      </c>
    </row>
    <row r="480" spans="1:12">
      <c r="A480" s="9">
        <v>41923</v>
      </c>
      <c r="B480" s="7" t="s">
        <v>22</v>
      </c>
      <c r="C480">
        <v>22</v>
      </c>
      <c r="D480" t="s">
        <v>19</v>
      </c>
      <c r="F480">
        <v>12.78</v>
      </c>
      <c r="J480">
        <f>73+167+190+205+223+229+230+239+243+244+246+251+254+256+260+260+264+272</f>
        <v>4106</v>
      </c>
      <c r="K480">
        <v>18</v>
      </c>
      <c r="L480">
        <v>272</v>
      </c>
    </row>
    <row r="481" spans="1:13">
      <c r="A481" s="9">
        <v>41923</v>
      </c>
      <c r="B481" s="7" t="s">
        <v>22</v>
      </c>
      <c r="C481">
        <v>22</v>
      </c>
      <c r="D481" t="s">
        <v>19</v>
      </c>
      <c r="F481">
        <v>0.79</v>
      </c>
      <c r="J481">
        <f>45+51+79+84</f>
        <v>259</v>
      </c>
      <c r="K481">
        <v>4</v>
      </c>
      <c r="L481">
        <v>84</v>
      </c>
    </row>
    <row r="482" spans="1:13">
      <c r="A482" s="9">
        <v>41923</v>
      </c>
      <c r="B482" s="7" t="s">
        <v>22</v>
      </c>
      <c r="C482">
        <v>22</v>
      </c>
      <c r="D482" t="s">
        <v>19</v>
      </c>
      <c r="F482">
        <v>0.97</v>
      </c>
      <c r="J482">
        <f>53+102+107</f>
        <v>262</v>
      </c>
      <c r="K482">
        <v>3</v>
      </c>
      <c r="L482">
        <v>107</v>
      </c>
    </row>
    <row r="483" spans="1:13">
      <c r="A483" s="9">
        <v>41923</v>
      </c>
      <c r="B483" s="7" t="s">
        <v>22</v>
      </c>
      <c r="C483">
        <v>22</v>
      </c>
      <c r="D483" t="s">
        <v>19</v>
      </c>
      <c r="F483">
        <v>0.81</v>
      </c>
      <c r="J483">
        <f>58+78+78+99</f>
        <v>313</v>
      </c>
      <c r="K483">
        <v>4</v>
      </c>
      <c r="L483">
        <v>99</v>
      </c>
    </row>
    <row r="484" spans="1:13">
      <c r="A484" s="9">
        <v>41923</v>
      </c>
      <c r="B484" s="7" t="s">
        <v>22</v>
      </c>
      <c r="C484">
        <v>22</v>
      </c>
      <c r="D484" t="s">
        <v>19</v>
      </c>
      <c r="F484">
        <v>3.42</v>
      </c>
      <c r="J484">
        <f>82+154+167+180+185+203+21+233</f>
        <v>1225</v>
      </c>
      <c r="K484">
        <v>8</v>
      </c>
      <c r="L484">
        <v>233</v>
      </c>
    </row>
    <row r="485" spans="1:13">
      <c r="A485" s="9">
        <v>41923</v>
      </c>
      <c r="B485" s="7" t="s">
        <v>22</v>
      </c>
      <c r="C485">
        <v>22</v>
      </c>
      <c r="D485" t="s">
        <v>19</v>
      </c>
      <c r="F485">
        <v>2.78</v>
      </c>
      <c r="J485">
        <f>55+94+99+148+149+172+185</f>
        <v>902</v>
      </c>
      <c r="K485">
        <v>7</v>
      </c>
      <c r="L485">
        <v>185</v>
      </c>
    </row>
    <row r="486" spans="1:13">
      <c r="A486" s="9">
        <v>41923</v>
      </c>
      <c r="B486" s="7" t="s">
        <v>22</v>
      </c>
      <c r="C486">
        <v>22</v>
      </c>
      <c r="D486" t="s">
        <v>19</v>
      </c>
      <c r="F486">
        <v>0.6</v>
      </c>
      <c r="J486">
        <f>30+58+73+90</f>
        <v>251</v>
      </c>
      <c r="K486">
        <v>4</v>
      </c>
      <c r="L486">
        <v>90</v>
      </c>
    </row>
    <row r="487" spans="1:13">
      <c r="A487" s="9">
        <v>41923</v>
      </c>
      <c r="B487" s="7" t="s">
        <v>22</v>
      </c>
      <c r="C487">
        <v>22</v>
      </c>
      <c r="D487" t="s">
        <v>19</v>
      </c>
      <c r="F487">
        <v>8.49</v>
      </c>
      <c r="J487">
        <f>175+188+195+242+246+232+223+229+228+222+253+262+257</f>
        <v>2952</v>
      </c>
      <c r="K487">
        <v>13</v>
      </c>
      <c r="L487">
        <v>262</v>
      </c>
    </row>
    <row r="488" spans="1:13">
      <c r="A488" s="9">
        <v>41923</v>
      </c>
      <c r="B488" s="7" t="s">
        <v>22</v>
      </c>
      <c r="C488">
        <v>22</v>
      </c>
      <c r="D488" t="s">
        <v>19</v>
      </c>
      <c r="F488">
        <v>3.5</v>
      </c>
      <c r="J488">
        <f>61+86+142+163+192+188+206+215</f>
        <v>1253</v>
      </c>
      <c r="K488">
        <v>8</v>
      </c>
      <c r="L488">
        <v>215</v>
      </c>
    </row>
    <row r="489" spans="1:13">
      <c r="A489" s="9">
        <v>41923</v>
      </c>
      <c r="B489" s="7" t="s">
        <v>22</v>
      </c>
      <c r="C489">
        <v>22</v>
      </c>
      <c r="D489" t="s">
        <v>19</v>
      </c>
      <c r="F489">
        <v>1.23</v>
      </c>
      <c r="J489">
        <f>96+127+146+158</f>
        <v>527</v>
      </c>
      <c r="K489">
        <v>4</v>
      </c>
      <c r="L489">
        <v>158</v>
      </c>
    </row>
    <row r="490" spans="1:13">
      <c r="A490" s="9">
        <v>41923</v>
      </c>
      <c r="B490" s="7" t="s">
        <v>22</v>
      </c>
      <c r="C490">
        <v>22</v>
      </c>
      <c r="D490" t="s">
        <v>19</v>
      </c>
      <c r="F490">
        <v>2.14</v>
      </c>
      <c r="J490">
        <f>75+128+129+165+175</f>
        <v>672</v>
      </c>
      <c r="K490">
        <v>5</v>
      </c>
      <c r="L490">
        <v>175</v>
      </c>
    </row>
    <row r="491" spans="1:13">
      <c r="A491" s="9">
        <v>41923</v>
      </c>
      <c r="B491" s="7" t="s">
        <v>22</v>
      </c>
      <c r="C491">
        <v>22</v>
      </c>
      <c r="D491" t="s">
        <v>19</v>
      </c>
      <c r="F491">
        <v>1.99</v>
      </c>
      <c r="J491">
        <f>81+95+132+136+159</f>
        <v>603</v>
      </c>
      <c r="K491">
        <v>5</v>
      </c>
      <c r="L491">
        <v>159</v>
      </c>
    </row>
    <row r="492" spans="1:13">
      <c r="A492" s="9">
        <v>41923</v>
      </c>
      <c r="B492" s="7" t="s">
        <v>22</v>
      </c>
      <c r="C492">
        <v>11</v>
      </c>
      <c r="M492" t="s">
        <v>63</v>
      </c>
    </row>
    <row r="493" spans="1:13">
      <c r="A493" s="9">
        <v>41923</v>
      </c>
      <c r="B493" s="7" t="s">
        <v>22</v>
      </c>
      <c r="C493">
        <v>5</v>
      </c>
      <c r="M493" t="s">
        <v>64</v>
      </c>
    </row>
    <row r="494" spans="1:13">
      <c r="A494" s="9">
        <v>41886</v>
      </c>
      <c r="B494" s="7" t="s">
        <v>20</v>
      </c>
      <c r="C494">
        <v>27</v>
      </c>
      <c r="D494" t="s">
        <v>19</v>
      </c>
      <c r="F494">
        <v>2.58</v>
      </c>
      <c r="J494">
        <f>135+190+243+251+283</f>
        <v>1102</v>
      </c>
      <c r="K494">
        <v>5</v>
      </c>
      <c r="L494">
        <v>283</v>
      </c>
    </row>
    <row r="495" spans="1:13">
      <c r="A495" s="9">
        <v>41886</v>
      </c>
      <c r="B495" s="7" t="s">
        <v>20</v>
      </c>
      <c r="C495">
        <v>27</v>
      </c>
      <c r="D495" t="s">
        <v>19</v>
      </c>
      <c r="F495">
        <v>10.6</v>
      </c>
      <c r="J495">
        <f>140+224+256+283+282+273+273+270+265+275</f>
        <v>2541</v>
      </c>
      <c r="K495">
        <v>10</v>
      </c>
      <c r="L495">
        <v>283</v>
      </c>
    </row>
    <row r="496" spans="1:13">
      <c r="A496" s="9">
        <v>41886</v>
      </c>
      <c r="B496" s="7" t="s">
        <v>20</v>
      </c>
      <c r="C496">
        <v>27</v>
      </c>
      <c r="D496" t="s">
        <v>19</v>
      </c>
      <c r="F496">
        <v>6.68</v>
      </c>
      <c r="J496">
        <f>114+202+233+282+279+304+316+322+330</f>
        <v>2382</v>
      </c>
      <c r="K496">
        <v>9</v>
      </c>
      <c r="L496">
        <v>330</v>
      </c>
    </row>
    <row r="497" spans="1:12">
      <c r="A497" s="9">
        <v>41886</v>
      </c>
      <c r="B497" s="7" t="s">
        <v>20</v>
      </c>
      <c r="C497">
        <v>27</v>
      </c>
      <c r="D497" t="s">
        <v>19</v>
      </c>
      <c r="F497">
        <v>0.97</v>
      </c>
      <c r="J497">
        <f>44+43</f>
        <v>87</v>
      </c>
      <c r="K497">
        <v>2</v>
      </c>
      <c r="L497">
        <v>44</v>
      </c>
    </row>
    <row r="498" spans="1:12">
      <c r="A498" s="9">
        <v>41886</v>
      </c>
      <c r="B498" s="7" t="s">
        <v>20</v>
      </c>
      <c r="C498">
        <v>27</v>
      </c>
      <c r="D498" t="s">
        <v>61</v>
      </c>
      <c r="E498">
        <v>235</v>
      </c>
      <c r="F498">
        <v>1.23</v>
      </c>
    </row>
    <row r="499" spans="1:12">
      <c r="A499" s="9">
        <v>41886</v>
      </c>
      <c r="B499" s="7" t="s">
        <v>20</v>
      </c>
      <c r="C499">
        <v>27</v>
      </c>
      <c r="D499" t="s">
        <v>19</v>
      </c>
      <c r="F499">
        <v>6.63</v>
      </c>
      <c r="J499">
        <f>179+251+239+275+278+308+317+325+336+337</f>
        <v>2845</v>
      </c>
      <c r="K499">
        <v>10</v>
      </c>
      <c r="L499">
        <v>337</v>
      </c>
    </row>
    <row r="500" spans="1:12">
      <c r="A500" s="9">
        <v>41886</v>
      </c>
      <c r="B500" s="7" t="s">
        <v>20</v>
      </c>
      <c r="C500">
        <v>27</v>
      </c>
      <c r="D500" t="s">
        <v>19</v>
      </c>
      <c r="F500">
        <v>1.57</v>
      </c>
      <c r="J500">
        <f>59+19+81+111+113</f>
        <v>383</v>
      </c>
      <c r="K500">
        <v>5</v>
      </c>
      <c r="L500">
        <v>113</v>
      </c>
    </row>
    <row r="501" spans="1:12">
      <c r="A501" s="9">
        <v>41886</v>
      </c>
      <c r="B501" s="7" t="s">
        <v>20</v>
      </c>
      <c r="C501">
        <v>27</v>
      </c>
      <c r="D501" t="s">
        <v>19</v>
      </c>
      <c r="F501">
        <v>4.9800000000000004</v>
      </c>
      <c r="J501">
        <f>143+167+193+233+259+269+295+303+310+328+335</f>
        <v>2835</v>
      </c>
      <c r="K501">
        <v>11</v>
      </c>
      <c r="L501">
        <v>335</v>
      </c>
    </row>
    <row r="502" spans="1:12">
      <c r="A502" s="9">
        <v>41886</v>
      </c>
      <c r="B502" s="7" t="s">
        <v>20</v>
      </c>
      <c r="C502">
        <v>27</v>
      </c>
      <c r="D502" t="s">
        <v>19</v>
      </c>
      <c r="F502">
        <v>4.05</v>
      </c>
      <c r="J502">
        <f>95+243+95+97+236+246</f>
        <v>1012</v>
      </c>
      <c r="K502">
        <v>6</v>
      </c>
      <c r="L502">
        <v>246</v>
      </c>
    </row>
    <row r="503" spans="1:12">
      <c r="A503" s="9">
        <v>41886</v>
      </c>
      <c r="B503" s="7" t="s">
        <v>20</v>
      </c>
      <c r="C503">
        <v>27</v>
      </c>
      <c r="D503" t="s">
        <v>19</v>
      </c>
      <c r="F503">
        <v>1.38</v>
      </c>
      <c r="J503">
        <f>35+53+124</f>
        <v>212</v>
      </c>
      <c r="K503">
        <v>3</v>
      </c>
      <c r="L503">
        <v>124</v>
      </c>
    </row>
    <row r="504" spans="1:12">
      <c r="A504" s="9">
        <v>41886</v>
      </c>
      <c r="B504" s="7" t="s">
        <v>20</v>
      </c>
      <c r="C504">
        <v>27</v>
      </c>
      <c r="D504" t="s">
        <v>61</v>
      </c>
      <c r="E504">
        <v>237</v>
      </c>
      <c r="F504">
        <v>0.79</v>
      </c>
    </row>
    <row r="505" spans="1:12">
      <c r="A505" s="9">
        <v>41886</v>
      </c>
      <c r="B505" s="7" t="s">
        <v>20</v>
      </c>
      <c r="C505">
        <v>27</v>
      </c>
      <c r="D505" t="s">
        <v>61</v>
      </c>
      <c r="E505">
        <v>123</v>
      </c>
      <c r="F505">
        <v>1.88</v>
      </c>
    </row>
    <row r="506" spans="1:12">
      <c r="A506" s="9">
        <v>41886</v>
      </c>
      <c r="B506" s="7" t="s">
        <v>20</v>
      </c>
      <c r="C506">
        <v>27</v>
      </c>
      <c r="D506" t="s">
        <v>19</v>
      </c>
      <c r="F506">
        <v>7.45</v>
      </c>
      <c r="J506">
        <f>114+166+165+170+174+220+261+289+286+315+310</f>
        <v>2470</v>
      </c>
      <c r="K506">
        <v>11</v>
      </c>
      <c r="L506">
        <v>315</v>
      </c>
    </row>
    <row r="507" spans="1:12">
      <c r="A507" s="9">
        <v>41886</v>
      </c>
      <c r="B507" s="7" t="s">
        <v>20</v>
      </c>
      <c r="C507">
        <v>27</v>
      </c>
      <c r="D507" t="s">
        <v>19</v>
      </c>
      <c r="F507">
        <v>1.1299999999999999</v>
      </c>
      <c r="J507">
        <f>38+46+55</f>
        <v>139</v>
      </c>
      <c r="K507">
        <v>3</v>
      </c>
      <c r="L507">
        <v>55</v>
      </c>
    </row>
    <row r="508" spans="1:12">
      <c r="A508" s="9">
        <v>41886</v>
      </c>
      <c r="B508" s="7" t="s">
        <v>20</v>
      </c>
      <c r="C508">
        <v>27</v>
      </c>
      <c r="D508" t="s">
        <v>61</v>
      </c>
      <c r="E508">
        <v>373</v>
      </c>
      <c r="F508">
        <v>2.2000000000000002</v>
      </c>
    </row>
    <row r="509" spans="1:12">
      <c r="A509" s="9">
        <v>41886</v>
      </c>
      <c r="B509" s="7" t="s">
        <v>20</v>
      </c>
      <c r="C509">
        <v>27</v>
      </c>
      <c r="D509" t="s">
        <v>61</v>
      </c>
      <c r="E509">
        <v>321</v>
      </c>
      <c r="F509">
        <v>2.23</v>
      </c>
    </row>
    <row r="510" spans="1:12">
      <c r="A510" s="9">
        <v>41886</v>
      </c>
      <c r="B510" s="7" t="s">
        <v>20</v>
      </c>
      <c r="C510">
        <v>27</v>
      </c>
      <c r="D510" t="s">
        <v>61</v>
      </c>
      <c r="E510">
        <v>386</v>
      </c>
      <c r="F510">
        <v>1.94</v>
      </c>
    </row>
    <row r="511" spans="1:12">
      <c r="A511" s="9">
        <v>41886</v>
      </c>
      <c r="B511" s="7" t="s">
        <v>20</v>
      </c>
      <c r="C511">
        <v>27</v>
      </c>
      <c r="D511" t="s">
        <v>61</v>
      </c>
      <c r="E511">
        <v>163</v>
      </c>
      <c r="F511">
        <v>1.98</v>
      </c>
    </row>
    <row r="512" spans="1:12">
      <c r="A512" s="9">
        <v>41886</v>
      </c>
      <c r="B512" s="7" t="s">
        <v>20</v>
      </c>
      <c r="C512">
        <v>21</v>
      </c>
      <c r="D512" t="s">
        <v>19</v>
      </c>
      <c r="F512">
        <v>2.97</v>
      </c>
      <c r="J512">
        <f>83+207+229+282+287+316+322+338+349</f>
        <v>2413</v>
      </c>
      <c r="K512">
        <v>9</v>
      </c>
      <c r="L512">
        <v>349</v>
      </c>
    </row>
    <row r="513" spans="1:12">
      <c r="A513" s="9">
        <v>41886</v>
      </c>
      <c r="B513" s="7" t="s">
        <v>20</v>
      </c>
      <c r="C513">
        <v>21</v>
      </c>
      <c r="D513" t="s">
        <v>19</v>
      </c>
      <c r="F513">
        <v>2.58</v>
      </c>
      <c r="J513">
        <f>224+276+294+304+330+334</f>
        <v>1762</v>
      </c>
      <c r="K513">
        <v>6</v>
      </c>
      <c r="L513">
        <v>334</v>
      </c>
    </row>
    <row r="514" spans="1:12">
      <c r="A514" s="9">
        <v>41886</v>
      </c>
      <c r="B514" s="7" t="s">
        <v>20</v>
      </c>
      <c r="C514">
        <v>21</v>
      </c>
      <c r="D514" t="s">
        <v>19</v>
      </c>
      <c r="F514">
        <v>0.83</v>
      </c>
      <c r="J514">
        <f>31+73+86+125+133</f>
        <v>448</v>
      </c>
      <c r="K514">
        <v>5</v>
      </c>
      <c r="L514">
        <v>133</v>
      </c>
    </row>
    <row r="515" spans="1:12">
      <c r="A515" s="9">
        <v>41886</v>
      </c>
      <c r="B515" s="7" t="s">
        <v>20</v>
      </c>
      <c r="C515">
        <v>21</v>
      </c>
      <c r="D515" t="s">
        <v>19</v>
      </c>
      <c r="F515">
        <v>0.49</v>
      </c>
      <c r="J515">
        <f>20+22+23</f>
        <v>65</v>
      </c>
      <c r="K515">
        <v>3</v>
      </c>
      <c r="L515">
        <v>23</v>
      </c>
    </row>
    <row r="516" spans="1:12">
      <c r="A516" s="9">
        <v>41886</v>
      </c>
      <c r="B516" s="7" t="s">
        <v>20</v>
      </c>
      <c r="C516">
        <v>21</v>
      </c>
      <c r="D516" t="s">
        <v>61</v>
      </c>
      <c r="E516">
        <v>398</v>
      </c>
      <c r="F516">
        <v>1.6</v>
      </c>
    </row>
    <row r="517" spans="1:12">
      <c r="A517" s="9">
        <v>41886</v>
      </c>
      <c r="B517" s="7" t="s">
        <v>20</v>
      </c>
      <c r="C517">
        <v>21</v>
      </c>
      <c r="D517" t="s">
        <v>61</v>
      </c>
      <c r="E517">
        <v>308</v>
      </c>
      <c r="F517">
        <v>1.65</v>
      </c>
    </row>
    <row r="518" spans="1:12">
      <c r="A518" s="9">
        <v>41886</v>
      </c>
      <c r="B518" s="7" t="s">
        <v>20</v>
      </c>
      <c r="C518">
        <v>21</v>
      </c>
      <c r="D518" t="s">
        <v>19</v>
      </c>
      <c r="F518">
        <v>1.34</v>
      </c>
      <c r="J518">
        <f>259+305</f>
        <v>564</v>
      </c>
      <c r="K518">
        <v>2</v>
      </c>
      <c r="L518">
        <v>305</v>
      </c>
    </row>
    <row r="519" spans="1:12">
      <c r="A519" s="9">
        <v>41886</v>
      </c>
      <c r="B519" s="7" t="s">
        <v>20</v>
      </c>
      <c r="C519">
        <v>21</v>
      </c>
      <c r="D519" t="s">
        <v>19</v>
      </c>
      <c r="F519">
        <v>0.68</v>
      </c>
      <c r="J519">
        <f>15+41+41+70+71</f>
        <v>238</v>
      </c>
      <c r="K519">
        <v>5</v>
      </c>
      <c r="L519">
        <v>71</v>
      </c>
    </row>
    <row r="520" spans="1:12">
      <c r="A520" s="9">
        <v>41886</v>
      </c>
      <c r="B520" s="7" t="s">
        <v>20</v>
      </c>
      <c r="C520">
        <v>21</v>
      </c>
      <c r="D520" t="s">
        <v>19</v>
      </c>
      <c r="F520">
        <v>2.25</v>
      </c>
      <c r="J520">
        <f>108+120+118+243+271+295+314+315+329</f>
        <v>2113</v>
      </c>
      <c r="K520">
        <v>9</v>
      </c>
      <c r="L520">
        <v>329</v>
      </c>
    </row>
    <row r="521" spans="1:12">
      <c r="A521" s="9">
        <v>41886</v>
      </c>
      <c r="B521" s="7" t="s">
        <v>20</v>
      </c>
      <c r="C521">
        <v>21</v>
      </c>
      <c r="D521" t="s">
        <v>19</v>
      </c>
      <c r="F521">
        <v>1.08</v>
      </c>
      <c r="J521">
        <f>23+18</f>
        <v>41</v>
      </c>
      <c r="K521">
        <v>2</v>
      </c>
      <c r="L521">
        <v>23</v>
      </c>
    </row>
    <row r="522" spans="1:12">
      <c r="A522" s="9">
        <v>41886</v>
      </c>
      <c r="B522" s="7" t="s">
        <v>20</v>
      </c>
      <c r="C522">
        <v>21</v>
      </c>
      <c r="D522" t="s">
        <v>61</v>
      </c>
      <c r="E522">
        <v>134</v>
      </c>
      <c r="F522">
        <v>0.9</v>
      </c>
    </row>
    <row r="523" spans="1:12">
      <c r="A523" s="9">
        <v>41886</v>
      </c>
      <c r="B523" s="7" t="s">
        <v>20</v>
      </c>
      <c r="C523">
        <v>21</v>
      </c>
      <c r="D523" t="s">
        <v>19</v>
      </c>
      <c r="F523">
        <v>0.8</v>
      </c>
      <c r="J523">
        <f>60+109+115+158</f>
        <v>442</v>
      </c>
      <c r="K523">
        <v>4</v>
      </c>
      <c r="L523">
        <v>158</v>
      </c>
    </row>
    <row r="524" spans="1:12">
      <c r="A524" s="9">
        <v>41886</v>
      </c>
      <c r="B524" s="7" t="s">
        <v>20</v>
      </c>
      <c r="C524">
        <v>20</v>
      </c>
      <c r="D524" t="s">
        <v>19</v>
      </c>
      <c r="F524">
        <v>0.91</v>
      </c>
      <c r="J524">
        <f>135+225+233+236+315+328</f>
        <v>1472</v>
      </c>
      <c r="K524">
        <v>6</v>
      </c>
      <c r="L524">
        <v>328</v>
      </c>
    </row>
    <row r="525" spans="1:12">
      <c r="A525" s="9">
        <v>41886</v>
      </c>
      <c r="B525" s="7" t="s">
        <v>20</v>
      </c>
      <c r="C525">
        <v>20</v>
      </c>
      <c r="D525" t="s">
        <v>19</v>
      </c>
      <c r="F525">
        <v>1.31</v>
      </c>
      <c r="J525">
        <f>61+134+124+189+218+218+234</f>
        <v>1178</v>
      </c>
      <c r="K525">
        <v>7</v>
      </c>
      <c r="L525">
        <v>234</v>
      </c>
    </row>
    <row r="526" spans="1:12">
      <c r="A526" s="9">
        <v>41886</v>
      </c>
      <c r="B526" s="7" t="s">
        <v>20</v>
      </c>
      <c r="C526">
        <v>20</v>
      </c>
      <c r="D526" t="s">
        <v>19</v>
      </c>
      <c r="E526">
        <v>257</v>
      </c>
      <c r="F526">
        <v>1.94</v>
      </c>
      <c r="H526">
        <v>26</v>
      </c>
      <c r="I526">
        <v>2</v>
      </c>
    </row>
    <row r="527" spans="1:12">
      <c r="A527" s="9">
        <v>41886</v>
      </c>
      <c r="B527" s="7" t="s">
        <v>20</v>
      </c>
      <c r="C527">
        <v>20</v>
      </c>
      <c r="D527" t="s">
        <v>61</v>
      </c>
      <c r="E527">
        <v>249</v>
      </c>
      <c r="F527">
        <v>1.46</v>
      </c>
    </row>
    <row r="528" spans="1:12">
      <c r="A528" s="9">
        <v>41886</v>
      </c>
      <c r="B528" s="7" t="s">
        <v>20</v>
      </c>
      <c r="C528">
        <v>20</v>
      </c>
      <c r="D528" t="s">
        <v>19</v>
      </c>
      <c r="E528">
        <v>254</v>
      </c>
      <c r="F528">
        <v>2.25</v>
      </c>
      <c r="H528">
        <v>34</v>
      </c>
      <c r="I528">
        <v>2.5</v>
      </c>
    </row>
    <row r="529" spans="1:12">
      <c r="A529" s="9">
        <v>41886</v>
      </c>
      <c r="B529" s="7" t="s">
        <v>20</v>
      </c>
      <c r="C529">
        <v>20</v>
      </c>
      <c r="D529" t="s">
        <v>61</v>
      </c>
      <c r="E529">
        <v>277</v>
      </c>
      <c r="F529">
        <v>1.0900000000000001</v>
      </c>
    </row>
    <row r="530" spans="1:12">
      <c r="A530" s="9">
        <v>41886</v>
      </c>
      <c r="B530" s="7" t="s">
        <v>20</v>
      </c>
      <c r="C530">
        <v>20</v>
      </c>
      <c r="D530" t="s">
        <v>19</v>
      </c>
      <c r="F530">
        <v>0.56000000000000005</v>
      </c>
      <c r="J530">
        <f>25+45</f>
        <v>70</v>
      </c>
      <c r="K530">
        <v>2</v>
      </c>
      <c r="L530">
        <v>45</v>
      </c>
    </row>
    <row r="531" spans="1:12">
      <c r="A531" s="9">
        <v>41886</v>
      </c>
      <c r="B531" s="7" t="s">
        <v>20</v>
      </c>
      <c r="C531">
        <v>20</v>
      </c>
      <c r="D531" t="s">
        <v>61</v>
      </c>
      <c r="E531">
        <v>298</v>
      </c>
      <c r="F531">
        <v>1.45</v>
      </c>
    </row>
    <row r="532" spans="1:12">
      <c r="A532" s="9">
        <v>41886</v>
      </c>
      <c r="B532" s="7" t="s">
        <v>20</v>
      </c>
      <c r="C532">
        <v>20</v>
      </c>
      <c r="D532" t="s">
        <v>19</v>
      </c>
      <c r="F532">
        <v>2.36</v>
      </c>
      <c r="J532">
        <f>136+200+213+241+264+292</f>
        <v>1346</v>
      </c>
      <c r="K532">
        <v>6</v>
      </c>
      <c r="L532">
        <v>292</v>
      </c>
    </row>
    <row r="533" spans="1:12">
      <c r="A533" s="9">
        <v>41886</v>
      </c>
      <c r="B533" s="7" t="s">
        <v>20</v>
      </c>
      <c r="C533">
        <v>20</v>
      </c>
      <c r="D533" t="s">
        <v>19</v>
      </c>
      <c r="F533">
        <v>4.4000000000000004</v>
      </c>
      <c r="J533">
        <f>267+290+310+326</f>
        <v>1193</v>
      </c>
      <c r="K533">
        <v>4</v>
      </c>
      <c r="L533">
        <v>326</v>
      </c>
    </row>
    <row r="534" spans="1:12">
      <c r="A534" s="9">
        <v>41886</v>
      </c>
      <c r="B534" s="7" t="s">
        <v>20</v>
      </c>
      <c r="C534">
        <v>20</v>
      </c>
      <c r="D534" t="s">
        <v>19</v>
      </c>
      <c r="F534">
        <v>1.0900000000000001</v>
      </c>
      <c r="J534">
        <f>117+192+206+235+269+272</f>
        <v>1291</v>
      </c>
      <c r="K534">
        <v>6</v>
      </c>
      <c r="L534">
        <v>272</v>
      </c>
    </row>
    <row r="535" spans="1:12">
      <c r="A535" s="9">
        <v>41886</v>
      </c>
      <c r="B535" s="7" t="s">
        <v>20</v>
      </c>
      <c r="C535">
        <v>20</v>
      </c>
      <c r="D535" t="s">
        <v>61</v>
      </c>
      <c r="E535">
        <v>165</v>
      </c>
      <c r="F535">
        <v>0.81</v>
      </c>
    </row>
    <row r="536" spans="1:12">
      <c r="A536" s="9">
        <v>41886</v>
      </c>
      <c r="B536" s="7" t="s">
        <v>20</v>
      </c>
      <c r="C536">
        <v>20</v>
      </c>
      <c r="D536" t="s">
        <v>61</v>
      </c>
      <c r="E536">
        <v>266</v>
      </c>
      <c r="F536">
        <v>1.06</v>
      </c>
    </row>
    <row r="537" spans="1:12">
      <c r="A537" s="9">
        <v>41886</v>
      </c>
      <c r="B537" s="7" t="s">
        <v>20</v>
      </c>
      <c r="C537">
        <v>20</v>
      </c>
      <c r="D537" t="s">
        <v>19</v>
      </c>
      <c r="F537">
        <v>3.89</v>
      </c>
      <c r="J537">
        <f>215+304+306+348+326+340</f>
        <v>1839</v>
      </c>
      <c r="K537">
        <v>6</v>
      </c>
      <c r="L537">
        <v>348</v>
      </c>
    </row>
    <row r="538" spans="1:12">
      <c r="A538" s="9">
        <v>41886</v>
      </c>
      <c r="B538" s="7" t="s">
        <v>20</v>
      </c>
      <c r="C538">
        <v>20</v>
      </c>
      <c r="D538" t="s">
        <v>61</v>
      </c>
      <c r="E538">
        <v>298</v>
      </c>
      <c r="F538">
        <v>1.26</v>
      </c>
    </row>
    <row r="539" spans="1:12">
      <c r="A539" s="9">
        <v>41886</v>
      </c>
      <c r="B539" s="7" t="s">
        <v>20</v>
      </c>
      <c r="C539">
        <v>20</v>
      </c>
      <c r="D539" t="s">
        <v>61</v>
      </c>
      <c r="E539">
        <v>322</v>
      </c>
      <c r="F539">
        <v>0.66</v>
      </c>
    </row>
    <row r="540" spans="1:12">
      <c r="A540" s="9">
        <v>41886</v>
      </c>
      <c r="B540" s="7" t="s">
        <v>20</v>
      </c>
      <c r="C540">
        <v>20</v>
      </c>
      <c r="D540" t="s">
        <v>61</v>
      </c>
      <c r="E540">
        <v>268</v>
      </c>
      <c r="F540">
        <v>1.32</v>
      </c>
    </row>
    <row r="541" spans="1:12">
      <c r="A541" s="9">
        <v>41886</v>
      </c>
      <c r="B541" s="7" t="s">
        <v>20</v>
      </c>
      <c r="C541">
        <v>20</v>
      </c>
      <c r="D541" t="s">
        <v>19</v>
      </c>
      <c r="F541">
        <v>0.49</v>
      </c>
      <c r="J541">
        <f>19+33+37</f>
        <v>89</v>
      </c>
      <c r="K541">
        <v>3</v>
      </c>
      <c r="L541">
        <v>37</v>
      </c>
    </row>
    <row r="542" spans="1:12">
      <c r="A542" s="9">
        <v>41886</v>
      </c>
      <c r="B542" s="7" t="s">
        <v>20</v>
      </c>
      <c r="C542">
        <v>20</v>
      </c>
      <c r="D542" t="s">
        <v>61</v>
      </c>
      <c r="E542">
        <v>273</v>
      </c>
      <c r="F542">
        <v>1.26</v>
      </c>
    </row>
    <row r="543" spans="1:12">
      <c r="A543" s="9">
        <v>41886</v>
      </c>
      <c r="B543" s="7" t="s">
        <v>20</v>
      </c>
      <c r="C543">
        <v>20</v>
      </c>
      <c r="D543" t="s">
        <v>61</v>
      </c>
      <c r="E543">
        <v>343</v>
      </c>
      <c r="F543">
        <v>1.1100000000000001</v>
      </c>
    </row>
    <row r="544" spans="1:12">
      <c r="A544" s="9">
        <v>41886</v>
      </c>
      <c r="B544" s="7" t="s">
        <v>20</v>
      </c>
      <c r="C544">
        <v>20</v>
      </c>
      <c r="D544" t="s">
        <v>19</v>
      </c>
      <c r="F544">
        <v>0.73</v>
      </c>
      <c r="J544">
        <f>27+15+23</f>
        <v>65</v>
      </c>
      <c r="K544">
        <v>3</v>
      </c>
      <c r="L544">
        <v>27</v>
      </c>
    </row>
    <row r="545" spans="1:12">
      <c r="A545" s="9">
        <v>41886</v>
      </c>
      <c r="B545" s="7" t="s">
        <v>20</v>
      </c>
      <c r="C545">
        <v>20</v>
      </c>
      <c r="D545" t="s">
        <v>61</v>
      </c>
      <c r="E545">
        <v>247</v>
      </c>
      <c r="F545">
        <v>0.93</v>
      </c>
    </row>
    <row r="546" spans="1:12">
      <c r="A546" s="9">
        <v>41886</v>
      </c>
      <c r="B546" s="7" t="s">
        <v>20</v>
      </c>
      <c r="C546">
        <v>20</v>
      </c>
      <c r="D546" t="s">
        <v>61</v>
      </c>
      <c r="E546">
        <v>156</v>
      </c>
      <c r="F546">
        <v>0.76</v>
      </c>
    </row>
    <row r="547" spans="1:12">
      <c r="A547" s="9">
        <v>41886</v>
      </c>
      <c r="B547" s="7" t="s">
        <v>20</v>
      </c>
      <c r="C547">
        <v>20</v>
      </c>
      <c r="D547" t="s">
        <v>61</v>
      </c>
      <c r="E547">
        <v>216</v>
      </c>
      <c r="F547">
        <v>1.2</v>
      </c>
    </row>
    <row r="548" spans="1:12">
      <c r="A548" s="9">
        <v>41886</v>
      </c>
      <c r="B548" s="7" t="s">
        <v>20</v>
      </c>
      <c r="C548">
        <v>19</v>
      </c>
      <c r="D548" t="s">
        <v>19</v>
      </c>
      <c r="F548">
        <v>2.0099999999999998</v>
      </c>
      <c r="J548">
        <f>67+111+138+152+205</f>
        <v>673</v>
      </c>
      <c r="K548">
        <v>5</v>
      </c>
      <c r="L548">
        <v>205</v>
      </c>
    </row>
    <row r="549" spans="1:12">
      <c r="A549" s="9">
        <v>41886</v>
      </c>
      <c r="B549" s="7" t="s">
        <v>20</v>
      </c>
      <c r="C549">
        <v>19</v>
      </c>
      <c r="D549" t="s">
        <v>19</v>
      </c>
      <c r="F549">
        <v>3.54</v>
      </c>
      <c r="J549">
        <f>123+225+256+271+274+310+315</f>
        <v>1774</v>
      </c>
      <c r="K549">
        <v>7</v>
      </c>
      <c r="L549">
        <v>315</v>
      </c>
    </row>
    <row r="550" spans="1:12">
      <c r="A550" s="9">
        <v>41886</v>
      </c>
      <c r="B550" s="7" t="s">
        <v>20</v>
      </c>
      <c r="C550">
        <v>19</v>
      </c>
      <c r="D550" t="s">
        <v>19</v>
      </c>
      <c r="F550">
        <v>3.16</v>
      </c>
      <c r="J550">
        <f>260+282+290+316+332</f>
        <v>1480</v>
      </c>
      <c r="K550">
        <v>5</v>
      </c>
      <c r="L550">
        <v>332</v>
      </c>
    </row>
    <row r="551" spans="1:12">
      <c r="A551" s="9">
        <v>41886</v>
      </c>
      <c r="B551" s="7" t="s">
        <v>20</v>
      </c>
      <c r="C551">
        <v>19</v>
      </c>
      <c r="D551" t="s">
        <v>61</v>
      </c>
      <c r="E551">
        <v>233</v>
      </c>
      <c r="F551">
        <v>8.6999999999999993</v>
      </c>
    </row>
    <row r="552" spans="1:12">
      <c r="A552" s="9">
        <v>41886</v>
      </c>
      <c r="B552" s="7" t="s">
        <v>20</v>
      </c>
      <c r="C552">
        <v>19</v>
      </c>
      <c r="D552" t="s">
        <v>61</v>
      </c>
      <c r="E552">
        <v>331</v>
      </c>
      <c r="F552">
        <v>1.63</v>
      </c>
    </row>
    <row r="553" spans="1:12">
      <c r="A553" s="9">
        <v>41886</v>
      </c>
      <c r="B553" s="7" t="s">
        <v>20</v>
      </c>
      <c r="C553">
        <v>19</v>
      </c>
      <c r="D553" t="s">
        <v>61</v>
      </c>
      <c r="E553">
        <v>235</v>
      </c>
      <c r="F553">
        <v>0.88</v>
      </c>
    </row>
    <row r="554" spans="1:12">
      <c r="A554" s="9">
        <v>41886</v>
      </c>
      <c r="B554" s="7" t="s">
        <v>20</v>
      </c>
      <c r="C554">
        <v>19</v>
      </c>
      <c r="D554" t="s">
        <v>61</v>
      </c>
      <c r="E554">
        <v>300</v>
      </c>
      <c r="F554">
        <v>1.29</v>
      </c>
    </row>
    <row r="555" spans="1:12">
      <c r="A555" s="9">
        <v>41886</v>
      </c>
      <c r="B555" s="7" t="s">
        <v>20</v>
      </c>
      <c r="C555">
        <v>19</v>
      </c>
      <c r="D555" t="s">
        <v>19</v>
      </c>
      <c r="F555">
        <v>2.6</v>
      </c>
      <c r="J555">
        <f>136+160+230+249+251+278+305</f>
        <v>1609</v>
      </c>
      <c r="K555">
        <v>7</v>
      </c>
      <c r="L555">
        <v>305</v>
      </c>
    </row>
    <row r="556" spans="1:12">
      <c r="A556" s="9">
        <v>41886</v>
      </c>
      <c r="B556" s="7" t="s">
        <v>20</v>
      </c>
      <c r="C556">
        <v>19</v>
      </c>
      <c r="D556" t="s">
        <v>61</v>
      </c>
      <c r="E556">
        <v>17</v>
      </c>
      <c r="F556">
        <v>0.24</v>
      </c>
    </row>
    <row r="557" spans="1:12">
      <c r="A557" s="9">
        <v>41886</v>
      </c>
      <c r="B557" s="7" t="s">
        <v>20</v>
      </c>
      <c r="C557">
        <v>19</v>
      </c>
      <c r="D557" t="s">
        <v>19</v>
      </c>
      <c r="F557">
        <v>5.45</v>
      </c>
      <c r="J557">
        <f>237+289+341+350+354+364+367+369+380+391</f>
        <v>3442</v>
      </c>
      <c r="K557">
        <v>1</v>
      </c>
      <c r="L557">
        <v>391</v>
      </c>
    </row>
    <row r="558" spans="1:12">
      <c r="A558" s="9">
        <v>41886</v>
      </c>
      <c r="B558" s="7" t="s">
        <v>20</v>
      </c>
      <c r="C558">
        <v>19</v>
      </c>
      <c r="D558" t="s">
        <v>19</v>
      </c>
      <c r="F558">
        <v>0.8</v>
      </c>
      <c r="J558">
        <f>37+55</f>
        <v>92</v>
      </c>
      <c r="K558">
        <v>2</v>
      </c>
      <c r="L558">
        <v>55</v>
      </c>
    </row>
    <row r="559" spans="1:12">
      <c r="A559" s="9">
        <v>41886</v>
      </c>
      <c r="B559" s="7" t="s">
        <v>20</v>
      </c>
      <c r="C559">
        <v>19</v>
      </c>
      <c r="D559" t="s">
        <v>19</v>
      </c>
      <c r="F559">
        <v>1.51</v>
      </c>
      <c r="J559">
        <f>211</f>
        <v>211</v>
      </c>
      <c r="K559">
        <v>1</v>
      </c>
      <c r="L559">
        <v>211</v>
      </c>
    </row>
    <row r="560" spans="1:12">
      <c r="A560" s="9">
        <v>41886</v>
      </c>
      <c r="B560" s="7" t="s">
        <v>20</v>
      </c>
      <c r="C560">
        <v>19</v>
      </c>
      <c r="D560" t="s">
        <v>61</v>
      </c>
      <c r="E560">
        <v>122</v>
      </c>
      <c r="F560">
        <v>0.91</v>
      </c>
    </row>
    <row r="561" spans="1:13">
      <c r="A561" s="9">
        <v>41886</v>
      </c>
      <c r="B561" s="7" t="s">
        <v>20</v>
      </c>
      <c r="C561">
        <v>19</v>
      </c>
      <c r="D561" t="s">
        <v>19</v>
      </c>
      <c r="F561">
        <v>0.88</v>
      </c>
      <c r="J561">
        <f>31+63</f>
        <v>94</v>
      </c>
      <c r="K561">
        <v>2</v>
      </c>
      <c r="L561">
        <v>63</v>
      </c>
    </row>
    <row r="562" spans="1:13">
      <c r="A562" s="9">
        <v>41886</v>
      </c>
      <c r="B562" s="7" t="s">
        <v>20</v>
      </c>
      <c r="C562">
        <v>19</v>
      </c>
      <c r="D562" t="s">
        <v>19</v>
      </c>
      <c r="F562">
        <v>3.05</v>
      </c>
      <c r="J562">
        <f>248+308+313+365+387+349</f>
        <v>1970</v>
      </c>
      <c r="K562">
        <v>6</v>
      </c>
      <c r="L562">
        <v>387</v>
      </c>
    </row>
    <row r="563" spans="1:13">
      <c r="A563" s="9">
        <v>41886</v>
      </c>
      <c r="B563" s="7" t="s">
        <v>20</v>
      </c>
      <c r="C563">
        <v>7</v>
      </c>
      <c r="M563" t="s">
        <v>63</v>
      </c>
    </row>
    <row r="564" spans="1:13">
      <c r="A564" s="6"/>
    </row>
    <row r="565" spans="1:13">
      <c r="A565" s="9"/>
    </row>
    <row r="566" spans="1:13">
      <c r="A566" s="6"/>
    </row>
    <row r="567" spans="1:13">
      <c r="A567" s="10"/>
    </row>
    <row r="568" spans="1:13">
      <c r="A568" s="6"/>
    </row>
    <row r="569" spans="1:13">
      <c r="A569" s="10"/>
    </row>
    <row r="570" spans="1:13">
      <c r="A570" s="6"/>
    </row>
    <row r="571" spans="1:13">
      <c r="A571" s="6"/>
    </row>
    <row r="572" spans="1:13">
      <c r="A572" s="10"/>
    </row>
    <row r="573" spans="1:13">
      <c r="A573" s="10"/>
    </row>
    <row r="574" spans="1:13">
      <c r="A574" s="10"/>
    </row>
    <row r="575" spans="1:13">
      <c r="A575" s="6"/>
    </row>
    <row r="576" spans="1:13">
      <c r="A576" s="10"/>
    </row>
    <row r="577" spans="1:1">
      <c r="A577" s="6"/>
    </row>
    <row r="578" spans="1:1">
      <c r="A578" s="10"/>
    </row>
    <row r="579" spans="1:1">
      <c r="A579" s="6"/>
    </row>
    <row r="580" spans="1:1">
      <c r="A580" s="10"/>
    </row>
    <row r="581" spans="1:1">
      <c r="A581" s="6"/>
    </row>
    <row r="582" spans="1:1">
      <c r="A582" s="10"/>
    </row>
    <row r="583" spans="1:1">
      <c r="A583" s="10"/>
    </row>
    <row r="584" spans="1:1">
      <c r="A584" s="6"/>
    </row>
    <row r="585" spans="1:1">
      <c r="A585" s="10"/>
    </row>
    <row r="586" spans="1:1">
      <c r="A586" s="6"/>
    </row>
    <row r="587" spans="1:1">
      <c r="A587" s="6"/>
    </row>
    <row r="588" spans="1:1">
      <c r="A588" s="10"/>
    </row>
    <row r="589" spans="1:1">
      <c r="A589" s="6"/>
    </row>
    <row r="590" spans="1:1">
      <c r="A590" s="10"/>
    </row>
    <row r="591" spans="1:1">
      <c r="A591" s="6"/>
    </row>
    <row r="592" spans="1:1">
      <c r="A592" s="10"/>
    </row>
    <row r="593" spans="1:1">
      <c r="A593" s="6"/>
    </row>
    <row r="594" spans="1:1">
      <c r="A594" s="10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4">
      <c r="A609" s="9"/>
    </row>
    <row r="610" spans="1:4">
      <c r="A610" s="9"/>
    </row>
    <row r="611" spans="1:4">
      <c r="A611" s="9"/>
    </row>
    <row r="612" spans="1:4">
      <c r="A612" s="9"/>
    </row>
    <row r="613" spans="1:4">
      <c r="A613" s="9"/>
    </row>
    <row r="614" spans="1:4">
      <c r="A614" s="9"/>
    </row>
    <row r="615" spans="1:4">
      <c r="A615" s="9"/>
      <c r="D615" s="8"/>
    </row>
    <row r="616" spans="1:4">
      <c r="A616" s="9"/>
    </row>
    <row r="617" spans="1:4">
      <c r="A617" s="9"/>
    </row>
    <row r="618" spans="1:4">
      <c r="A618" s="9"/>
      <c r="D618" s="8"/>
    </row>
    <row r="619" spans="1:4">
      <c r="A619" s="9"/>
    </row>
    <row r="620" spans="1:4">
      <c r="A620" s="9"/>
    </row>
    <row r="621" spans="1:4">
      <c r="A621" s="9"/>
    </row>
    <row r="622" spans="1:4">
      <c r="A622" s="9"/>
    </row>
    <row r="623" spans="1:4">
      <c r="A623" s="6"/>
    </row>
    <row r="624" spans="1:4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</sheetData>
  <sortState ref="A4:O625">
    <sortCondition ref="B4:B625"/>
    <sortCondition ref="C4:C625"/>
    <sortCondition ref="D4:D625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S52" sqref="S52"/>
    </sheetView>
  </sheetViews>
  <sheetFormatPr baseColWidth="10" defaultRowHeight="15" x14ac:dyDescent="0"/>
  <sheetData>
    <row r="1" spans="1:34" ht="20" thickBot="1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11"/>
      <c r="AA1" s="11"/>
    </row>
    <row r="2" spans="1:34" ht="99" thickTop="1">
      <c r="A2" s="12" t="s">
        <v>31</v>
      </c>
      <c r="B2" s="12" t="s">
        <v>4</v>
      </c>
      <c r="C2" s="4" t="s">
        <v>32</v>
      </c>
      <c r="D2" s="13" t="s">
        <v>33</v>
      </c>
      <c r="E2" s="12" t="s">
        <v>34</v>
      </c>
      <c r="F2" s="4" t="s">
        <v>35</v>
      </c>
      <c r="G2" s="4" t="s">
        <v>33</v>
      </c>
      <c r="H2" s="12" t="s">
        <v>36</v>
      </c>
      <c r="I2" s="4" t="s">
        <v>37</v>
      </c>
      <c r="J2" s="4" t="s">
        <v>33</v>
      </c>
      <c r="K2" s="12" t="s">
        <v>38</v>
      </c>
      <c r="L2" s="4" t="s">
        <v>39</v>
      </c>
      <c r="M2" s="14" t="s">
        <v>33</v>
      </c>
      <c r="N2" s="12" t="s">
        <v>40</v>
      </c>
      <c r="O2" s="4" t="s">
        <v>41</v>
      </c>
      <c r="P2" s="4" t="s">
        <v>33</v>
      </c>
      <c r="Q2" s="12" t="s">
        <v>42</v>
      </c>
      <c r="R2" s="4" t="s">
        <v>43</v>
      </c>
      <c r="S2" s="14" t="s">
        <v>33</v>
      </c>
      <c r="T2" s="12" t="s">
        <v>44</v>
      </c>
      <c r="U2" s="4" t="s">
        <v>45</v>
      </c>
      <c r="V2" s="4" t="s">
        <v>33</v>
      </c>
      <c r="W2" s="12" t="s">
        <v>46</v>
      </c>
      <c r="X2" s="12" t="s">
        <v>47</v>
      </c>
      <c r="Y2" s="12" t="s">
        <v>48</v>
      </c>
      <c r="Z2" s="12" t="s">
        <v>49</v>
      </c>
      <c r="AA2" s="12" t="s">
        <v>50</v>
      </c>
      <c r="AB2" s="12" t="s">
        <v>51</v>
      </c>
      <c r="AC2" s="12" t="s">
        <v>52</v>
      </c>
      <c r="AD2" s="12" t="s">
        <v>53</v>
      </c>
      <c r="AE2" s="12" t="s">
        <v>54</v>
      </c>
      <c r="AF2" s="15" t="s">
        <v>55</v>
      </c>
      <c r="AG2" s="15" t="s">
        <v>56</v>
      </c>
      <c r="AH2" s="15" t="s">
        <v>57</v>
      </c>
    </row>
    <row r="3" spans="1:34">
      <c r="A3" s="16" t="s">
        <v>25</v>
      </c>
      <c r="B3" s="17">
        <f>'Plant Measurments'!C4</f>
        <v>45</v>
      </c>
      <c r="C3" s="18">
        <f>('Plant Measurments'!O4)</f>
        <v>0</v>
      </c>
      <c r="D3" s="19"/>
      <c r="E3" s="17">
        <f>C3*4</f>
        <v>0</v>
      </c>
      <c r="F3" s="18"/>
      <c r="G3" s="20"/>
      <c r="H3" s="17">
        <f>F3*4</f>
        <v>0</v>
      </c>
      <c r="I3" s="18"/>
      <c r="J3" s="20"/>
      <c r="K3" s="17">
        <f>I3*4</f>
        <v>0</v>
      </c>
      <c r="L3" s="18"/>
      <c r="M3" s="20"/>
      <c r="N3" s="17">
        <f>L3*4</f>
        <v>0</v>
      </c>
      <c r="O3" s="18"/>
      <c r="P3" s="20"/>
      <c r="Q3" s="17">
        <f>O3*4</f>
        <v>0</v>
      </c>
      <c r="R3" s="18">
        <f>SUM('Plant Measurments'!O6:O40)</f>
        <v>0</v>
      </c>
      <c r="S3" s="20"/>
      <c r="T3" s="17">
        <f>R3*4</f>
        <v>0</v>
      </c>
      <c r="U3" s="18">
        <f>SUM('Plant Measurments'!O5)</f>
        <v>0</v>
      </c>
      <c r="V3" s="20"/>
      <c r="W3" s="17">
        <f>U3*4</f>
        <v>0</v>
      </c>
      <c r="X3" s="17">
        <f>SUM(W3,T3,Q3,N3,K3,H3,E3)</f>
        <v>0</v>
      </c>
      <c r="Y3" s="21">
        <f>AVERAGE(X3:X7)</f>
        <v>0</v>
      </c>
      <c r="Z3" s="22">
        <f>E3+Q3</f>
        <v>0</v>
      </c>
      <c r="AA3" s="22">
        <f>W3+T3</f>
        <v>0</v>
      </c>
      <c r="AB3" t="str">
        <f>IF(X3&gt;0,(Q3+E3)/X3," ")</f>
        <v xml:space="preserve"> </v>
      </c>
      <c r="AC3" t="str">
        <f>IF(X3&gt;0,H3/X3," ")</f>
        <v xml:space="preserve"> </v>
      </c>
      <c r="AD3" t="str">
        <f>IF(X3&gt;0,K3/X3," ")</f>
        <v xml:space="preserve"> </v>
      </c>
      <c r="AE3" t="str">
        <f>IF(X3&gt;0,(W3+T3)/X3," ")</f>
        <v xml:space="preserve"> </v>
      </c>
      <c r="AF3">
        <f>210336.2801/10</f>
        <v>21033.62801</v>
      </c>
      <c r="AG3">
        <f>AF3/5</f>
        <v>4206.7256020000004</v>
      </c>
      <c r="AH3">
        <f>(AG3*X3)/1000</f>
        <v>0</v>
      </c>
    </row>
    <row r="4" spans="1:34">
      <c r="A4" s="23" t="s">
        <v>25</v>
      </c>
      <c r="B4" s="24">
        <f>'Plant Measurments'!C41</f>
        <v>29</v>
      </c>
      <c r="C4" s="25">
        <f>SUM('Plant Measurments'!O41:O49)</f>
        <v>0</v>
      </c>
      <c r="D4" s="26"/>
      <c r="E4" s="17">
        <f t="shared" ref="E4:E52" si="0">C4*4</f>
        <v>0</v>
      </c>
      <c r="F4" s="25"/>
      <c r="G4" s="27"/>
      <c r="H4" s="17">
        <f t="shared" ref="H4:H7" si="1">F4*4</f>
        <v>0</v>
      </c>
      <c r="I4" s="25"/>
      <c r="J4" s="27"/>
      <c r="K4" s="17">
        <f t="shared" ref="K4:K52" si="2">I4*4</f>
        <v>0</v>
      </c>
      <c r="L4" s="25"/>
      <c r="M4" s="27"/>
      <c r="N4" s="17">
        <f t="shared" ref="N4:N52" si="3">L4*4</f>
        <v>0</v>
      </c>
      <c r="O4" s="25"/>
      <c r="P4" s="27"/>
      <c r="Q4" s="17">
        <f t="shared" ref="Q4:Q52" si="4">O4*4</f>
        <v>0</v>
      </c>
      <c r="R4" s="25">
        <f>SUM('Plant Measurments'!O50:O58)</f>
        <v>0</v>
      </c>
      <c r="S4" s="27"/>
      <c r="T4" s="17">
        <f t="shared" ref="T4:T52" si="5">R4*4</f>
        <v>0</v>
      </c>
      <c r="U4" s="25"/>
      <c r="V4" s="27"/>
      <c r="W4" s="17">
        <f t="shared" ref="W4:W52" si="6">U4*4</f>
        <v>0</v>
      </c>
      <c r="X4" s="24">
        <f t="shared" ref="X4:X52" si="7">SUM(W4,T4,Q4,N4,K4,H4,E4)</f>
        <v>0</v>
      </c>
      <c r="Y4" s="28"/>
      <c r="Z4" s="22">
        <f t="shared" ref="Z4:Z52" si="8">E4+Q4</f>
        <v>0</v>
      </c>
      <c r="AA4" s="22">
        <f t="shared" ref="AA4:AA52" si="9">W4+T4</f>
        <v>0</v>
      </c>
      <c r="AB4" t="str">
        <f t="shared" ref="AB4:AB52" si="10">IF(X4&gt;0,(Q4+E4)/X4," ")</f>
        <v xml:space="preserve"> </v>
      </c>
      <c r="AC4" t="str">
        <f t="shared" ref="AC4:AC52" si="11">IF(X4&gt;0,H4/X4," ")</f>
        <v xml:space="preserve"> </v>
      </c>
      <c r="AD4" t="str">
        <f t="shared" ref="AD4:AD52" si="12">IF(X4&gt;0,K4/X4," ")</f>
        <v xml:space="preserve"> </v>
      </c>
      <c r="AE4" t="str">
        <f t="shared" ref="AE4:AE52" si="13">IF(X4&gt;0,(W4+T4)/X4," ")</f>
        <v xml:space="preserve"> 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0</v>
      </c>
    </row>
    <row r="5" spans="1:34">
      <c r="A5" s="23" t="s">
        <v>25</v>
      </c>
      <c r="B5" s="24">
        <f>'Plant Measurments'!C59</f>
        <v>16</v>
      </c>
      <c r="C5" s="25"/>
      <c r="D5" s="26"/>
      <c r="E5" s="17">
        <f t="shared" si="0"/>
        <v>0</v>
      </c>
      <c r="F5" s="25"/>
      <c r="G5" s="27"/>
      <c r="H5" s="17">
        <f t="shared" si="1"/>
        <v>0</v>
      </c>
      <c r="I5" s="25"/>
      <c r="J5" s="27"/>
      <c r="K5" s="17">
        <f t="shared" si="2"/>
        <v>0</v>
      </c>
      <c r="L5" s="25"/>
      <c r="M5" s="27"/>
      <c r="N5" s="17">
        <f t="shared" si="3"/>
        <v>0</v>
      </c>
      <c r="O5" s="25"/>
      <c r="P5" s="27"/>
      <c r="Q5" s="17">
        <f t="shared" si="4"/>
        <v>0</v>
      </c>
      <c r="R5" s="25">
        <f>SUM('Plant Measurments'!O63:O77)</f>
        <v>0</v>
      </c>
      <c r="S5" s="27"/>
      <c r="T5" s="17">
        <f t="shared" si="5"/>
        <v>0</v>
      </c>
      <c r="U5" s="25">
        <f>SUM('Plant Measurments'!O59:O62)</f>
        <v>0</v>
      </c>
      <c r="V5" s="27"/>
      <c r="W5" s="17">
        <f t="shared" si="6"/>
        <v>0</v>
      </c>
      <c r="X5" s="24">
        <f t="shared" si="7"/>
        <v>0</v>
      </c>
      <c r="Y5" s="28"/>
      <c r="Z5" s="22">
        <f t="shared" si="8"/>
        <v>0</v>
      </c>
      <c r="AA5" s="22">
        <f t="shared" si="9"/>
        <v>0</v>
      </c>
      <c r="AB5" t="str">
        <f t="shared" si="10"/>
        <v xml:space="preserve"> </v>
      </c>
      <c r="AC5" t="str">
        <f t="shared" si="11"/>
        <v xml:space="preserve"> </v>
      </c>
      <c r="AD5" t="str">
        <f t="shared" si="12"/>
        <v xml:space="preserve"> </v>
      </c>
      <c r="AE5" t="str">
        <f t="shared" si="13"/>
        <v xml:space="preserve"> </v>
      </c>
      <c r="AF5">
        <f t="shared" si="14"/>
        <v>21033.62801</v>
      </c>
      <c r="AG5">
        <f t="shared" si="15"/>
        <v>4206.7256020000004</v>
      </c>
      <c r="AH5">
        <f t="shared" si="16"/>
        <v>0</v>
      </c>
    </row>
    <row r="6" spans="1:34">
      <c r="A6" s="23" t="s">
        <v>25</v>
      </c>
      <c r="B6" s="24">
        <f>'Plant Measurments'!C78</f>
        <v>12</v>
      </c>
      <c r="C6" s="25"/>
      <c r="D6" s="26"/>
      <c r="E6" s="17">
        <f t="shared" si="0"/>
        <v>0</v>
      </c>
      <c r="F6" s="25"/>
      <c r="G6" s="27"/>
      <c r="H6" s="17">
        <f t="shared" si="1"/>
        <v>0</v>
      </c>
      <c r="I6" s="25"/>
      <c r="J6" s="27"/>
      <c r="K6" s="17">
        <f t="shared" si="2"/>
        <v>0</v>
      </c>
      <c r="L6" s="25"/>
      <c r="M6" s="27"/>
      <c r="N6" s="17">
        <f t="shared" si="3"/>
        <v>0</v>
      </c>
      <c r="O6" s="25"/>
      <c r="P6" s="27"/>
      <c r="Q6" s="17">
        <f t="shared" si="4"/>
        <v>0</v>
      </c>
      <c r="R6" s="25">
        <f>SUM('Plant Measurments'!O80:O92)</f>
        <v>0</v>
      </c>
      <c r="S6" s="27"/>
      <c r="T6" s="17">
        <f t="shared" si="5"/>
        <v>0</v>
      </c>
      <c r="U6" s="25">
        <f>SUM('Plant Measurments'!O78:O79)</f>
        <v>0</v>
      </c>
      <c r="V6" s="27"/>
      <c r="W6" s="17">
        <f t="shared" si="6"/>
        <v>0</v>
      </c>
      <c r="X6" s="24">
        <f t="shared" si="7"/>
        <v>0</v>
      </c>
      <c r="Y6" s="28"/>
      <c r="Z6" s="22">
        <f t="shared" si="8"/>
        <v>0</v>
      </c>
      <c r="AA6" s="22">
        <f t="shared" si="9"/>
        <v>0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>
        <f t="shared" si="14"/>
        <v>21033.62801</v>
      </c>
      <c r="AG6">
        <f>AF6/5</f>
        <v>4206.7256020000004</v>
      </c>
      <c r="AH6">
        <f t="shared" si="16"/>
        <v>0</v>
      </c>
    </row>
    <row r="7" spans="1:34">
      <c r="A7" s="29" t="s">
        <v>25</v>
      </c>
      <c r="B7" s="30" t="e">
        <f>'Plant Measurments'!#REF!</f>
        <v>#REF!</v>
      </c>
      <c r="C7" s="31"/>
      <c r="D7" s="32"/>
      <c r="E7" s="17">
        <f t="shared" si="0"/>
        <v>0</v>
      </c>
      <c r="F7" s="31"/>
      <c r="G7" s="33"/>
      <c r="H7" s="17">
        <f t="shared" si="1"/>
        <v>0</v>
      </c>
      <c r="I7" s="31"/>
      <c r="J7" s="33"/>
      <c r="K7" s="17">
        <f t="shared" si="2"/>
        <v>0</v>
      </c>
      <c r="L7" s="31"/>
      <c r="M7" s="33"/>
      <c r="N7" s="17">
        <f t="shared" si="3"/>
        <v>0</v>
      </c>
      <c r="O7" s="31"/>
      <c r="P7" s="33"/>
      <c r="Q7" s="17">
        <f t="shared" si="4"/>
        <v>0</v>
      </c>
      <c r="R7" s="31">
        <f>SUM('Plant Measurments'!O102:O104)</f>
        <v>0</v>
      </c>
      <c r="S7" s="33"/>
      <c r="T7" s="17">
        <f t="shared" si="5"/>
        <v>0</v>
      </c>
      <c r="U7" s="31">
        <f>SUM('Plant Measurments'!O93:O101)</f>
        <v>0</v>
      </c>
      <c r="V7" s="33"/>
      <c r="W7" s="17">
        <f t="shared" si="6"/>
        <v>0</v>
      </c>
      <c r="X7" s="30">
        <f t="shared" si="7"/>
        <v>0</v>
      </c>
      <c r="Y7" s="34"/>
      <c r="Z7" s="22">
        <f t="shared" si="8"/>
        <v>0</v>
      </c>
      <c r="AA7" s="22">
        <f t="shared" si="9"/>
        <v>0</v>
      </c>
      <c r="AB7" t="str">
        <f t="shared" si="10"/>
        <v xml:space="preserve"> </v>
      </c>
      <c r="AC7" t="str">
        <f t="shared" si="11"/>
        <v xml:space="preserve"> </v>
      </c>
      <c r="AD7" t="str">
        <f t="shared" si="12"/>
        <v xml:space="preserve"> </v>
      </c>
      <c r="AE7" t="str">
        <f t="shared" si="13"/>
        <v xml:space="preserve"> </v>
      </c>
      <c r="AF7">
        <f t="shared" si="14"/>
        <v>21033.62801</v>
      </c>
      <c r="AG7">
        <f t="shared" si="15"/>
        <v>4206.7256020000004</v>
      </c>
      <c r="AH7">
        <f t="shared" si="16"/>
        <v>0</v>
      </c>
    </row>
    <row r="8" spans="1:34">
      <c r="A8" s="16" t="s">
        <v>28</v>
      </c>
      <c r="B8" s="17">
        <f>'Plant Measurments'!C105</f>
        <v>21</v>
      </c>
      <c r="C8" s="18">
        <f>SUM('Plant Measurments'!O105:O111)</f>
        <v>0</v>
      </c>
      <c r="D8" s="19"/>
      <c r="E8" s="17">
        <f t="shared" si="0"/>
        <v>0</v>
      </c>
      <c r="F8" s="18"/>
      <c r="G8" s="20"/>
      <c r="H8" s="17"/>
      <c r="I8" s="18"/>
      <c r="J8" s="20"/>
      <c r="K8" s="17">
        <f t="shared" si="2"/>
        <v>0</v>
      </c>
      <c r="L8" s="18"/>
      <c r="M8" s="20"/>
      <c r="N8" s="17">
        <f t="shared" si="3"/>
        <v>0</v>
      </c>
      <c r="O8" s="18"/>
      <c r="P8" s="20"/>
      <c r="Q8" s="17">
        <f t="shared" si="4"/>
        <v>0</v>
      </c>
      <c r="R8" s="18">
        <f>SUM('Plant Measurments'!O112:O128)</f>
        <v>0</v>
      </c>
      <c r="S8" s="20"/>
      <c r="T8" s="17">
        <f t="shared" si="5"/>
        <v>0</v>
      </c>
      <c r="U8" s="18"/>
      <c r="V8" s="20"/>
      <c r="W8" s="17">
        <f t="shared" si="6"/>
        <v>0</v>
      </c>
      <c r="X8" s="17">
        <f t="shared" si="7"/>
        <v>0</v>
      </c>
      <c r="Y8" s="21">
        <f>AVERAGE(X8:X12)</f>
        <v>0</v>
      </c>
      <c r="Z8" s="22">
        <f t="shared" si="8"/>
        <v>0</v>
      </c>
      <c r="AA8" s="22">
        <f t="shared" si="9"/>
        <v>0</v>
      </c>
      <c r="AB8" t="str">
        <f t="shared" si="10"/>
        <v xml:space="preserve"> </v>
      </c>
      <c r="AC8" t="str">
        <f t="shared" si="11"/>
        <v xml:space="preserve"> </v>
      </c>
      <c r="AD8" t="str">
        <f t="shared" si="12"/>
        <v xml:space="preserve"> </v>
      </c>
      <c r="AE8" t="str">
        <f t="shared" si="13"/>
        <v xml:space="preserve"> </v>
      </c>
      <c r="AF8">
        <f t="shared" si="14"/>
        <v>21033.62801</v>
      </c>
      <c r="AG8">
        <f t="shared" si="15"/>
        <v>4206.7256020000004</v>
      </c>
      <c r="AH8">
        <f t="shared" si="16"/>
        <v>0</v>
      </c>
    </row>
    <row r="9" spans="1:34">
      <c r="A9" s="23" t="s">
        <v>28</v>
      </c>
      <c r="B9" s="24">
        <f>'Plant Measurments'!C129</f>
        <v>13</v>
      </c>
      <c r="C9" s="25"/>
      <c r="D9" s="26"/>
      <c r="E9" s="17">
        <f t="shared" si="0"/>
        <v>0</v>
      </c>
      <c r="F9" s="25"/>
      <c r="G9" s="27"/>
      <c r="H9" s="24">
        <f>F9*4</f>
        <v>0</v>
      </c>
      <c r="I9" s="25"/>
      <c r="J9" s="27"/>
      <c r="K9" s="17">
        <f t="shared" si="2"/>
        <v>0</v>
      </c>
      <c r="L9" s="25"/>
      <c r="M9" s="27"/>
      <c r="N9" s="17">
        <f t="shared" si="3"/>
        <v>0</v>
      </c>
      <c r="O9" s="25"/>
      <c r="P9" s="27"/>
      <c r="Q9" s="17">
        <f t="shared" si="4"/>
        <v>0</v>
      </c>
      <c r="R9" s="25">
        <f>SUM('Plant Measurments'!O129:O131)</f>
        <v>0</v>
      </c>
      <c r="S9" s="27"/>
      <c r="T9" s="17">
        <f t="shared" si="5"/>
        <v>0</v>
      </c>
      <c r="U9" s="25"/>
      <c r="V9" s="27"/>
      <c r="W9" s="17">
        <f t="shared" si="6"/>
        <v>0</v>
      </c>
      <c r="X9" s="24">
        <f>SUM(W9,T9,Q9,N9,K9,H9,E9)</f>
        <v>0</v>
      </c>
      <c r="Y9" s="28"/>
      <c r="Z9" s="22">
        <f t="shared" si="8"/>
        <v>0</v>
      </c>
      <c r="AA9" s="22">
        <f t="shared" si="9"/>
        <v>0</v>
      </c>
      <c r="AB9" t="str">
        <f t="shared" si="10"/>
        <v xml:space="preserve"> </v>
      </c>
      <c r="AC9" t="str">
        <f t="shared" si="11"/>
        <v xml:space="preserve"> </v>
      </c>
      <c r="AD9" t="str">
        <f t="shared" si="12"/>
        <v xml:space="preserve"> </v>
      </c>
      <c r="AE9" t="str">
        <f t="shared" si="13"/>
        <v xml:space="preserve"> </v>
      </c>
      <c r="AF9">
        <f t="shared" si="14"/>
        <v>21033.62801</v>
      </c>
      <c r="AG9">
        <f t="shared" si="15"/>
        <v>4206.7256020000004</v>
      </c>
      <c r="AH9">
        <f t="shared" si="16"/>
        <v>0</v>
      </c>
    </row>
    <row r="10" spans="1:34">
      <c r="A10" s="23" t="s">
        <v>28</v>
      </c>
      <c r="B10" s="24">
        <f>'Plant Measurments'!C132</f>
        <v>13</v>
      </c>
      <c r="C10" s="25"/>
      <c r="D10" s="26"/>
      <c r="E10" s="17">
        <f t="shared" si="0"/>
        <v>0</v>
      </c>
      <c r="F10" s="25"/>
      <c r="G10" s="27"/>
      <c r="H10" s="24">
        <f t="shared" ref="H10:H42" si="17">F10*4</f>
        <v>0</v>
      </c>
      <c r="I10" s="25"/>
      <c r="J10" s="27"/>
      <c r="K10" s="17">
        <f t="shared" si="2"/>
        <v>0</v>
      </c>
      <c r="L10" s="25"/>
      <c r="M10" s="27"/>
      <c r="N10" s="17">
        <f t="shared" si="3"/>
        <v>0</v>
      </c>
      <c r="O10" s="25"/>
      <c r="P10" s="27"/>
      <c r="Q10" s="17">
        <f t="shared" si="4"/>
        <v>0</v>
      </c>
      <c r="R10" s="25">
        <f>SUM('Plant Measurments'!O132:O139)</f>
        <v>0</v>
      </c>
      <c r="S10" s="27"/>
      <c r="T10" s="17">
        <f t="shared" si="5"/>
        <v>0</v>
      </c>
      <c r="U10" s="25"/>
      <c r="V10" s="27"/>
      <c r="W10" s="17">
        <f t="shared" si="6"/>
        <v>0</v>
      </c>
      <c r="X10" s="24">
        <f t="shared" si="7"/>
        <v>0</v>
      </c>
      <c r="Y10" s="28"/>
      <c r="Z10" s="22">
        <f t="shared" si="8"/>
        <v>0</v>
      </c>
      <c r="AA10" s="22">
        <f t="shared" si="9"/>
        <v>0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>
        <f t="shared" si="14"/>
        <v>21033.62801</v>
      </c>
      <c r="AG10">
        <f t="shared" si="15"/>
        <v>4206.7256020000004</v>
      </c>
      <c r="AH10">
        <f t="shared" si="16"/>
        <v>0</v>
      </c>
    </row>
    <row r="11" spans="1:34">
      <c r="A11" s="23" t="s">
        <v>28</v>
      </c>
      <c r="B11" s="24">
        <f>'Plant Measurments'!C140</f>
        <v>45</v>
      </c>
      <c r="C11" s="25"/>
      <c r="D11" s="26"/>
      <c r="E11" s="17">
        <f t="shared" si="0"/>
        <v>0</v>
      </c>
      <c r="F11" s="25"/>
      <c r="G11" s="27"/>
      <c r="H11" s="24">
        <f t="shared" si="17"/>
        <v>0</v>
      </c>
      <c r="I11" s="25"/>
      <c r="J11" s="27"/>
      <c r="K11" s="17">
        <f t="shared" si="2"/>
        <v>0</v>
      </c>
      <c r="L11" s="25"/>
      <c r="M11" s="27"/>
      <c r="N11" s="17">
        <f t="shared" si="3"/>
        <v>0</v>
      </c>
      <c r="O11" s="25"/>
      <c r="P11" s="27"/>
      <c r="Q11" s="17">
        <f t="shared" si="4"/>
        <v>0</v>
      </c>
      <c r="R11" s="25">
        <f>SUM('Plant Measurments'!O140:O149)</f>
        <v>0</v>
      </c>
      <c r="S11" s="27"/>
      <c r="T11" s="17">
        <f t="shared" si="5"/>
        <v>0</v>
      </c>
      <c r="U11" s="25"/>
      <c r="V11" s="27"/>
      <c r="W11" s="17">
        <f t="shared" si="6"/>
        <v>0</v>
      </c>
      <c r="X11" s="24">
        <f t="shared" si="7"/>
        <v>0</v>
      </c>
      <c r="Y11" s="28"/>
      <c r="Z11" s="22">
        <f t="shared" si="8"/>
        <v>0</v>
      </c>
      <c r="AA11" s="22">
        <f t="shared" si="9"/>
        <v>0</v>
      </c>
      <c r="AB11" t="str">
        <f t="shared" si="10"/>
        <v xml:space="preserve"> </v>
      </c>
      <c r="AC11" t="str">
        <f t="shared" si="11"/>
        <v xml:space="preserve"> </v>
      </c>
      <c r="AD11" t="str">
        <f t="shared" si="12"/>
        <v xml:space="preserve"> </v>
      </c>
      <c r="AE11" t="str">
        <f t="shared" si="13"/>
        <v xml:space="preserve"> </v>
      </c>
      <c r="AF11">
        <f t="shared" si="14"/>
        <v>21033.62801</v>
      </c>
      <c r="AG11">
        <f t="shared" si="15"/>
        <v>4206.7256020000004</v>
      </c>
      <c r="AH11">
        <f t="shared" si="16"/>
        <v>0</v>
      </c>
    </row>
    <row r="12" spans="1:34">
      <c r="A12" s="29" t="s">
        <v>28</v>
      </c>
      <c r="B12" s="30">
        <f>'Plant Measurments'!C150</f>
        <v>42</v>
      </c>
      <c r="C12" s="31"/>
      <c r="D12" s="32"/>
      <c r="E12" s="17">
        <f t="shared" si="0"/>
        <v>0</v>
      </c>
      <c r="F12" s="31"/>
      <c r="G12" s="33"/>
      <c r="H12" s="24">
        <f t="shared" si="17"/>
        <v>0</v>
      </c>
      <c r="I12" s="31"/>
      <c r="J12" s="33"/>
      <c r="K12" s="17">
        <f t="shared" si="2"/>
        <v>0</v>
      </c>
      <c r="L12" s="31"/>
      <c r="M12" s="33"/>
      <c r="N12" s="17">
        <f t="shared" si="3"/>
        <v>0</v>
      </c>
      <c r="O12" s="31"/>
      <c r="P12" s="33"/>
      <c r="Q12" s="17">
        <f t="shared" si="4"/>
        <v>0</v>
      </c>
      <c r="R12" s="31">
        <f>SUM('Plant Measurments'!O150:O156)</f>
        <v>0</v>
      </c>
      <c r="S12" s="33"/>
      <c r="T12" s="17">
        <f t="shared" si="5"/>
        <v>0</v>
      </c>
      <c r="U12" s="31"/>
      <c r="V12" s="33"/>
      <c r="W12" s="17">
        <f t="shared" si="6"/>
        <v>0</v>
      </c>
      <c r="X12" s="30">
        <f t="shared" si="7"/>
        <v>0</v>
      </c>
      <c r="Y12" s="34"/>
      <c r="Z12" s="22">
        <f t="shared" si="8"/>
        <v>0</v>
      </c>
      <c r="AA12" s="22">
        <f t="shared" si="9"/>
        <v>0</v>
      </c>
      <c r="AB12" t="str">
        <f t="shared" si="10"/>
        <v xml:space="preserve"> </v>
      </c>
      <c r="AC12" t="str">
        <f t="shared" si="11"/>
        <v xml:space="preserve"> </v>
      </c>
      <c r="AD12" t="str">
        <f t="shared" si="12"/>
        <v xml:space="preserve"> </v>
      </c>
      <c r="AE12" t="str">
        <f t="shared" si="13"/>
        <v xml:space="preserve"> </v>
      </c>
      <c r="AF12">
        <f t="shared" si="14"/>
        <v>21033.62801</v>
      </c>
      <c r="AG12">
        <f t="shared" si="15"/>
        <v>4206.7256020000004</v>
      </c>
      <c r="AH12">
        <f t="shared" si="16"/>
        <v>0</v>
      </c>
    </row>
    <row r="13" spans="1:34">
      <c r="A13" s="35" t="s">
        <v>20</v>
      </c>
      <c r="B13" s="36">
        <f>'Plant Measurments'!C157</f>
        <v>33</v>
      </c>
      <c r="C13" s="18"/>
      <c r="D13" s="19"/>
      <c r="E13" s="17">
        <f t="shared" si="0"/>
        <v>0</v>
      </c>
      <c r="F13" s="18"/>
      <c r="G13" s="20"/>
      <c r="H13" s="24">
        <f t="shared" si="17"/>
        <v>0</v>
      </c>
      <c r="I13" s="18"/>
      <c r="J13" s="20"/>
      <c r="K13" s="17">
        <f t="shared" si="2"/>
        <v>0</v>
      </c>
      <c r="L13" s="18"/>
      <c r="M13" s="20"/>
      <c r="N13" s="17">
        <f t="shared" si="3"/>
        <v>0</v>
      </c>
      <c r="O13" s="18"/>
      <c r="P13" s="20"/>
      <c r="Q13" s="17">
        <f t="shared" si="4"/>
        <v>0</v>
      </c>
      <c r="R13" s="18">
        <f>SUM('Plant Measurments'!O157)</f>
        <v>0</v>
      </c>
      <c r="S13" s="20"/>
      <c r="T13" s="17">
        <f t="shared" si="5"/>
        <v>0</v>
      </c>
      <c r="U13" s="18"/>
      <c r="V13" s="20"/>
      <c r="W13" s="17">
        <f t="shared" si="6"/>
        <v>0</v>
      </c>
      <c r="X13" s="17">
        <f t="shared" si="7"/>
        <v>0</v>
      </c>
      <c r="Y13" s="21">
        <f>AVERAGE(X13:X17)</f>
        <v>0</v>
      </c>
      <c r="Z13" s="22">
        <f t="shared" si="8"/>
        <v>0</v>
      </c>
      <c r="AA13" s="22">
        <f t="shared" si="9"/>
        <v>0</v>
      </c>
      <c r="AB13" t="str">
        <f t="shared" si="10"/>
        <v xml:space="preserve"> </v>
      </c>
      <c r="AC13" t="str">
        <f t="shared" si="11"/>
        <v xml:space="preserve"> </v>
      </c>
      <c r="AD13" t="str">
        <f t="shared" si="12"/>
        <v xml:space="preserve"> </v>
      </c>
      <c r="AE13" t="str">
        <f t="shared" si="13"/>
        <v xml:space="preserve"> </v>
      </c>
      <c r="AF13">
        <f t="shared" si="14"/>
        <v>21033.62801</v>
      </c>
      <c r="AG13">
        <f t="shared" si="15"/>
        <v>4206.7256020000004</v>
      </c>
      <c r="AH13">
        <f t="shared" si="16"/>
        <v>0</v>
      </c>
    </row>
    <row r="14" spans="1:34">
      <c r="A14" s="23" t="s">
        <v>20</v>
      </c>
      <c r="B14" s="24">
        <f>'Plant Measurments'!C158</f>
        <v>33</v>
      </c>
      <c r="C14" s="25"/>
      <c r="D14" s="26"/>
      <c r="E14" s="17">
        <f t="shared" si="0"/>
        <v>0</v>
      </c>
      <c r="F14" s="25"/>
      <c r="G14" s="27"/>
      <c r="H14" s="24">
        <f t="shared" si="17"/>
        <v>0</v>
      </c>
      <c r="I14" s="25">
        <f>SUM('Plant Measurments'!O158:O162)</f>
        <v>0</v>
      </c>
      <c r="J14" s="27"/>
      <c r="K14" s="17">
        <f t="shared" si="2"/>
        <v>0</v>
      </c>
      <c r="L14" s="25"/>
      <c r="M14" s="27"/>
      <c r="N14" s="17">
        <f t="shared" si="3"/>
        <v>0</v>
      </c>
      <c r="O14" s="25"/>
      <c r="P14" s="27"/>
      <c r="Q14" s="17">
        <f t="shared" si="4"/>
        <v>0</v>
      </c>
      <c r="R14" s="25"/>
      <c r="S14" s="27"/>
      <c r="T14" s="17">
        <f t="shared" si="5"/>
        <v>0</v>
      </c>
      <c r="U14" s="25"/>
      <c r="V14" s="27"/>
      <c r="W14" s="17">
        <f t="shared" si="6"/>
        <v>0</v>
      </c>
      <c r="X14" s="24">
        <f t="shared" si="7"/>
        <v>0</v>
      </c>
      <c r="Y14" s="28"/>
      <c r="Z14" s="22">
        <f t="shared" si="8"/>
        <v>0</v>
      </c>
      <c r="AA14" s="22">
        <f t="shared" si="9"/>
        <v>0</v>
      </c>
      <c r="AB14" t="str">
        <f t="shared" si="10"/>
        <v xml:space="preserve"> </v>
      </c>
      <c r="AC14" t="str">
        <f t="shared" si="11"/>
        <v xml:space="preserve"> </v>
      </c>
      <c r="AD14" t="str">
        <f t="shared" si="12"/>
        <v xml:space="preserve"> </v>
      </c>
      <c r="AE14" t="str">
        <f t="shared" si="13"/>
        <v xml:space="preserve"> </v>
      </c>
      <c r="AF14">
        <f t="shared" si="14"/>
        <v>21033.62801</v>
      </c>
      <c r="AG14">
        <f t="shared" si="15"/>
        <v>4206.7256020000004</v>
      </c>
      <c r="AH14">
        <f t="shared" si="16"/>
        <v>0</v>
      </c>
    </row>
    <row r="15" spans="1:34">
      <c r="A15" s="23" t="s">
        <v>20</v>
      </c>
      <c r="B15" s="24">
        <f>'Plant Measurments'!C163</f>
        <v>33</v>
      </c>
      <c r="C15" s="25"/>
      <c r="D15" s="26"/>
      <c r="E15" s="17">
        <f t="shared" si="0"/>
        <v>0</v>
      </c>
      <c r="F15" s="25"/>
      <c r="G15" s="27"/>
      <c r="H15" s="24">
        <f t="shared" si="17"/>
        <v>0</v>
      </c>
      <c r="I15" s="25"/>
      <c r="J15" s="27"/>
      <c r="K15" s="17">
        <f t="shared" si="2"/>
        <v>0</v>
      </c>
      <c r="L15" s="25"/>
      <c r="M15" s="27"/>
      <c r="N15" s="17">
        <f t="shared" si="3"/>
        <v>0</v>
      </c>
      <c r="O15" s="25"/>
      <c r="P15" s="27"/>
      <c r="Q15" s="17">
        <f t="shared" si="4"/>
        <v>0</v>
      </c>
      <c r="R15" s="25">
        <f>SUM('Plant Measurments'!O169:O171)</f>
        <v>0</v>
      </c>
      <c r="S15" s="27"/>
      <c r="T15" s="17">
        <f t="shared" si="5"/>
        <v>0</v>
      </c>
      <c r="U15" s="25">
        <f>SUM('Plant Measurments'!O163:O168)</f>
        <v>0</v>
      </c>
      <c r="V15" s="27"/>
      <c r="W15" s="17">
        <f t="shared" si="6"/>
        <v>0</v>
      </c>
      <c r="X15" s="24">
        <f t="shared" si="7"/>
        <v>0</v>
      </c>
      <c r="Y15" s="28"/>
      <c r="Z15" s="22">
        <f t="shared" si="8"/>
        <v>0</v>
      </c>
      <c r="AA15" s="22">
        <f t="shared" si="9"/>
        <v>0</v>
      </c>
      <c r="AB15" t="str">
        <f t="shared" si="10"/>
        <v xml:space="preserve"> </v>
      </c>
      <c r="AC15" t="str">
        <f t="shared" si="11"/>
        <v xml:space="preserve"> </v>
      </c>
      <c r="AD15" t="str">
        <f t="shared" si="12"/>
        <v xml:space="preserve"> </v>
      </c>
      <c r="AE15" t="str">
        <f t="shared" si="13"/>
        <v xml:space="preserve"> </v>
      </c>
      <c r="AF15">
        <f t="shared" si="14"/>
        <v>21033.62801</v>
      </c>
      <c r="AG15">
        <f t="shared" si="15"/>
        <v>4206.7256020000004</v>
      </c>
      <c r="AH15">
        <f t="shared" si="16"/>
        <v>0</v>
      </c>
    </row>
    <row r="16" spans="1:34">
      <c r="A16" s="23" t="s">
        <v>20</v>
      </c>
      <c r="B16" s="24">
        <f>'Plant Measurments'!C172</f>
        <v>4</v>
      </c>
      <c r="C16" s="25">
        <f>SUM('Plant Measurments'!O172)</f>
        <v>0</v>
      </c>
      <c r="D16" s="26"/>
      <c r="E16" s="17">
        <f t="shared" si="0"/>
        <v>0</v>
      </c>
      <c r="F16" s="25"/>
      <c r="G16" s="27"/>
      <c r="H16" s="24">
        <f t="shared" si="17"/>
        <v>0</v>
      </c>
      <c r="I16" s="25"/>
      <c r="J16" s="27"/>
      <c r="K16" s="17">
        <f t="shared" si="2"/>
        <v>0</v>
      </c>
      <c r="L16" s="25"/>
      <c r="M16" s="27"/>
      <c r="N16" s="17">
        <f t="shared" si="3"/>
        <v>0</v>
      </c>
      <c r="O16" s="25"/>
      <c r="P16" s="27"/>
      <c r="Q16" s="17">
        <f t="shared" si="4"/>
        <v>0</v>
      </c>
      <c r="R16" s="25">
        <f>SUM('Plant Measurments'!O176)</f>
        <v>0</v>
      </c>
      <c r="S16" s="27"/>
      <c r="T16" s="17">
        <f t="shared" si="5"/>
        <v>0</v>
      </c>
      <c r="U16" s="25">
        <f>SUM('Plant Measurments'!O173:O175)</f>
        <v>0</v>
      </c>
      <c r="V16" s="27"/>
      <c r="W16" s="17">
        <f t="shared" si="6"/>
        <v>0</v>
      </c>
      <c r="X16" s="24">
        <f t="shared" si="7"/>
        <v>0</v>
      </c>
      <c r="Y16" s="28"/>
      <c r="Z16" s="22">
        <f t="shared" si="8"/>
        <v>0</v>
      </c>
      <c r="AA16" s="22">
        <f t="shared" si="9"/>
        <v>0</v>
      </c>
      <c r="AB16" t="str">
        <f t="shared" si="10"/>
        <v xml:space="preserve"> </v>
      </c>
      <c r="AC16" t="str">
        <f t="shared" si="11"/>
        <v xml:space="preserve"> </v>
      </c>
      <c r="AD16" t="str">
        <f t="shared" si="12"/>
        <v xml:space="preserve"> </v>
      </c>
      <c r="AE16" t="str">
        <f t="shared" si="13"/>
        <v xml:space="preserve"> </v>
      </c>
      <c r="AF16">
        <f t="shared" si="14"/>
        <v>21033.62801</v>
      </c>
      <c r="AG16">
        <f t="shared" si="15"/>
        <v>4206.7256020000004</v>
      </c>
      <c r="AH16">
        <f t="shared" si="16"/>
        <v>0</v>
      </c>
    </row>
    <row r="17" spans="1:34">
      <c r="A17" s="29" t="s">
        <v>20</v>
      </c>
      <c r="B17" s="30">
        <f>'Plant Measurments'!C177</f>
        <v>4</v>
      </c>
      <c r="C17" s="31"/>
      <c r="D17" s="32"/>
      <c r="E17" s="17">
        <f t="shared" si="0"/>
        <v>0</v>
      </c>
      <c r="F17" s="31"/>
      <c r="G17" s="33"/>
      <c r="H17" s="24">
        <f t="shared" si="17"/>
        <v>0</v>
      </c>
      <c r="I17" s="31"/>
      <c r="J17" s="33"/>
      <c r="K17" s="17">
        <f t="shared" si="2"/>
        <v>0</v>
      </c>
      <c r="L17" s="31"/>
      <c r="M17" s="33"/>
      <c r="N17" s="17">
        <f t="shared" si="3"/>
        <v>0</v>
      </c>
      <c r="O17" s="31"/>
      <c r="P17" s="33"/>
      <c r="Q17" s="17">
        <f t="shared" si="4"/>
        <v>0</v>
      </c>
      <c r="R17" s="31">
        <f>SUM('Plant Measurments'!O177)</f>
        <v>0</v>
      </c>
      <c r="S17" s="33"/>
      <c r="T17" s="17">
        <f t="shared" si="5"/>
        <v>0</v>
      </c>
      <c r="U17" s="31"/>
      <c r="V17" s="33"/>
      <c r="W17" s="17">
        <f t="shared" si="6"/>
        <v>0</v>
      </c>
      <c r="X17" s="30">
        <f t="shared" si="7"/>
        <v>0</v>
      </c>
      <c r="Y17" s="34"/>
      <c r="Z17" s="22">
        <f t="shared" si="8"/>
        <v>0</v>
      </c>
      <c r="AA17" s="22">
        <f t="shared" si="9"/>
        <v>0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>
        <f t="shared" si="14"/>
        <v>21033.62801</v>
      </c>
      <c r="AG17">
        <f t="shared" si="15"/>
        <v>4206.7256020000004</v>
      </c>
      <c r="AH17">
        <f t="shared" si="16"/>
        <v>0</v>
      </c>
    </row>
    <row r="18" spans="1:34">
      <c r="A18" s="16" t="s">
        <v>22</v>
      </c>
      <c r="B18" s="17">
        <f>'Plant Measurments'!C178</f>
        <v>4</v>
      </c>
      <c r="C18" s="18"/>
      <c r="D18" s="19"/>
      <c r="E18" s="17">
        <f t="shared" si="0"/>
        <v>0</v>
      </c>
      <c r="F18" s="18"/>
      <c r="G18" s="20"/>
      <c r="H18" s="24">
        <f t="shared" si="17"/>
        <v>0</v>
      </c>
      <c r="I18" s="18">
        <f>SUM('Plant Measurments'!O178:O195)</f>
        <v>0</v>
      </c>
      <c r="J18" s="20"/>
      <c r="K18" s="17">
        <f t="shared" si="2"/>
        <v>0</v>
      </c>
      <c r="L18" s="18"/>
      <c r="M18" s="20"/>
      <c r="N18" s="17">
        <f t="shared" si="3"/>
        <v>0</v>
      </c>
      <c r="O18" s="18"/>
      <c r="P18" s="20"/>
      <c r="Q18" s="17">
        <f t="shared" si="4"/>
        <v>0</v>
      </c>
      <c r="R18" s="18"/>
      <c r="S18" s="20"/>
      <c r="T18" s="17">
        <f t="shared" si="5"/>
        <v>0</v>
      </c>
      <c r="U18" s="18"/>
      <c r="V18" s="20"/>
      <c r="W18" s="17">
        <f t="shared" si="6"/>
        <v>0</v>
      </c>
      <c r="X18" s="17">
        <f t="shared" si="7"/>
        <v>0</v>
      </c>
      <c r="Y18" s="21">
        <f>AVERAGE(X18:X22)</f>
        <v>0</v>
      </c>
      <c r="Z18" s="22">
        <f t="shared" si="8"/>
        <v>0</v>
      </c>
      <c r="AA18" s="22">
        <f t="shared" si="9"/>
        <v>0</v>
      </c>
      <c r="AB18" t="str">
        <f t="shared" si="10"/>
        <v xml:space="preserve"> </v>
      </c>
      <c r="AC18" t="str">
        <f t="shared" si="11"/>
        <v xml:space="preserve"> </v>
      </c>
      <c r="AD18" t="str">
        <f t="shared" si="12"/>
        <v xml:space="preserve"> </v>
      </c>
      <c r="AE18" t="str">
        <f t="shared" si="13"/>
        <v xml:space="preserve"> </v>
      </c>
      <c r="AF18">
        <f t="shared" si="14"/>
        <v>21033.62801</v>
      </c>
      <c r="AG18">
        <f t="shared" si="15"/>
        <v>4206.7256020000004</v>
      </c>
      <c r="AH18">
        <f t="shared" si="16"/>
        <v>0</v>
      </c>
    </row>
    <row r="19" spans="1:34">
      <c r="A19" s="23" t="s">
        <v>22</v>
      </c>
      <c r="B19" s="24">
        <f>'Plant Measurments'!C196</f>
        <v>45</v>
      </c>
      <c r="C19" s="25"/>
      <c r="D19" s="26"/>
      <c r="E19" s="17">
        <f t="shared" si="0"/>
        <v>0</v>
      </c>
      <c r="F19" s="25"/>
      <c r="G19" s="27"/>
      <c r="H19" s="24">
        <f t="shared" si="17"/>
        <v>0</v>
      </c>
      <c r="I19" s="25"/>
      <c r="J19" s="27"/>
      <c r="K19" s="17">
        <f t="shared" si="2"/>
        <v>0</v>
      </c>
      <c r="L19" s="25"/>
      <c r="M19" s="27"/>
      <c r="N19" s="17">
        <f t="shared" si="3"/>
        <v>0</v>
      </c>
      <c r="O19" s="25"/>
      <c r="P19" s="27"/>
      <c r="Q19" s="17">
        <f t="shared" si="4"/>
        <v>0</v>
      </c>
      <c r="R19" s="25">
        <f>SUM('Plant Measurments'!O196:O198)</f>
        <v>0</v>
      </c>
      <c r="S19" s="27"/>
      <c r="T19" s="17">
        <f t="shared" si="5"/>
        <v>0</v>
      </c>
      <c r="U19" s="25"/>
      <c r="V19" s="27"/>
      <c r="W19" s="17">
        <f t="shared" si="6"/>
        <v>0</v>
      </c>
      <c r="X19" s="24">
        <f t="shared" si="7"/>
        <v>0</v>
      </c>
      <c r="Y19" s="28"/>
      <c r="Z19" s="22">
        <f t="shared" si="8"/>
        <v>0</v>
      </c>
      <c r="AA19" s="22">
        <f t="shared" si="9"/>
        <v>0</v>
      </c>
      <c r="AB19" t="str">
        <f t="shared" si="10"/>
        <v xml:space="preserve"> </v>
      </c>
      <c r="AC19" t="str">
        <f t="shared" si="11"/>
        <v xml:space="preserve"> </v>
      </c>
      <c r="AD19" t="str">
        <f t="shared" si="12"/>
        <v xml:space="preserve"> </v>
      </c>
      <c r="AE19" t="str">
        <f t="shared" si="13"/>
        <v xml:space="preserve"> </v>
      </c>
      <c r="AF19">
        <f t="shared" si="14"/>
        <v>21033.62801</v>
      </c>
      <c r="AG19">
        <f t="shared" si="15"/>
        <v>4206.7256020000004</v>
      </c>
      <c r="AH19">
        <f t="shared" si="16"/>
        <v>0</v>
      </c>
    </row>
    <row r="20" spans="1:34">
      <c r="A20" s="23" t="s">
        <v>22</v>
      </c>
      <c r="B20" s="24">
        <f>'Plant Measurments'!C199</f>
        <v>27</v>
      </c>
      <c r="C20" s="25"/>
      <c r="D20" s="26"/>
      <c r="E20" s="17">
        <f t="shared" si="0"/>
        <v>0</v>
      </c>
      <c r="F20" s="25"/>
      <c r="G20" s="27"/>
      <c r="H20" s="24">
        <f t="shared" si="17"/>
        <v>0</v>
      </c>
      <c r="I20" s="25">
        <f>SUM('Plant Measurments'!O199:O207)</f>
        <v>0</v>
      </c>
      <c r="J20" s="27"/>
      <c r="K20" s="17">
        <f t="shared" si="2"/>
        <v>0</v>
      </c>
      <c r="L20" s="25"/>
      <c r="M20" s="27"/>
      <c r="N20" s="17">
        <f t="shared" si="3"/>
        <v>0</v>
      </c>
      <c r="O20" s="25"/>
      <c r="P20" s="27"/>
      <c r="Q20" s="17">
        <f t="shared" si="4"/>
        <v>0</v>
      </c>
      <c r="R20" s="25"/>
      <c r="S20" s="27"/>
      <c r="T20" s="17">
        <f t="shared" si="5"/>
        <v>0</v>
      </c>
      <c r="U20" s="25"/>
      <c r="V20" s="27"/>
      <c r="W20" s="17">
        <f t="shared" si="6"/>
        <v>0</v>
      </c>
      <c r="X20" s="24">
        <f t="shared" si="7"/>
        <v>0</v>
      </c>
      <c r="Y20" s="28"/>
      <c r="Z20" s="22">
        <f t="shared" si="8"/>
        <v>0</v>
      </c>
      <c r="AA20" s="22">
        <f t="shared" si="9"/>
        <v>0</v>
      </c>
      <c r="AB20" t="str">
        <f t="shared" si="10"/>
        <v xml:space="preserve"> </v>
      </c>
      <c r="AC20" t="str">
        <f t="shared" si="11"/>
        <v xml:space="preserve"> </v>
      </c>
      <c r="AD20" t="str">
        <f t="shared" si="12"/>
        <v xml:space="preserve"> </v>
      </c>
      <c r="AE20" t="str">
        <f t="shared" si="13"/>
        <v xml:space="preserve"> </v>
      </c>
      <c r="AF20">
        <f t="shared" si="14"/>
        <v>21033.62801</v>
      </c>
      <c r="AG20">
        <f t="shared" si="15"/>
        <v>4206.7256020000004</v>
      </c>
      <c r="AH20">
        <f t="shared" si="16"/>
        <v>0</v>
      </c>
    </row>
    <row r="21" spans="1:34">
      <c r="A21" s="23" t="s">
        <v>22</v>
      </c>
      <c r="B21" s="24">
        <f>'Plant Measurments'!C208</f>
        <v>27</v>
      </c>
      <c r="C21" s="25"/>
      <c r="D21" s="26"/>
      <c r="E21" s="17">
        <f t="shared" si="0"/>
        <v>0</v>
      </c>
      <c r="F21" s="25"/>
      <c r="G21" s="27"/>
      <c r="H21" s="24">
        <f t="shared" si="17"/>
        <v>0</v>
      </c>
      <c r="I21" s="25"/>
      <c r="J21" s="27"/>
      <c r="K21" s="17">
        <f t="shared" si="2"/>
        <v>0</v>
      </c>
      <c r="L21" s="25"/>
      <c r="M21" s="27"/>
      <c r="N21" s="17">
        <f t="shared" si="3"/>
        <v>0</v>
      </c>
      <c r="O21" s="25"/>
      <c r="P21" s="27"/>
      <c r="Q21" s="17">
        <f t="shared" si="4"/>
        <v>0</v>
      </c>
      <c r="R21" s="25">
        <f>SUM('Plant Measurments'!O211:O224)</f>
        <v>0</v>
      </c>
      <c r="S21" s="27"/>
      <c r="T21" s="17">
        <f t="shared" si="5"/>
        <v>0</v>
      </c>
      <c r="U21" s="25">
        <f>SUM('Plant Measurments'!O208:O210)</f>
        <v>0</v>
      </c>
      <c r="V21" s="27"/>
      <c r="W21" s="17">
        <f t="shared" si="6"/>
        <v>0</v>
      </c>
      <c r="X21" s="24">
        <f t="shared" si="7"/>
        <v>0</v>
      </c>
      <c r="Y21" s="28"/>
      <c r="Z21" s="22">
        <f t="shared" si="8"/>
        <v>0</v>
      </c>
      <c r="AA21" s="22">
        <f t="shared" si="9"/>
        <v>0</v>
      </c>
      <c r="AB21" t="str">
        <f t="shared" si="10"/>
        <v xml:space="preserve"> </v>
      </c>
      <c r="AC21" t="str">
        <f t="shared" si="11"/>
        <v xml:space="preserve"> </v>
      </c>
      <c r="AD21" t="str">
        <f t="shared" si="12"/>
        <v xml:space="preserve"> </v>
      </c>
      <c r="AE21" t="str">
        <f t="shared" si="13"/>
        <v xml:space="preserve"> </v>
      </c>
      <c r="AF21">
        <f t="shared" si="14"/>
        <v>21033.62801</v>
      </c>
      <c r="AG21">
        <f t="shared" si="15"/>
        <v>4206.7256020000004</v>
      </c>
      <c r="AH21">
        <f t="shared" si="16"/>
        <v>0</v>
      </c>
    </row>
    <row r="22" spans="1:34">
      <c r="A22" s="29" t="s">
        <v>22</v>
      </c>
      <c r="B22" s="30">
        <f>'Plant Measurments'!C225</f>
        <v>22</v>
      </c>
      <c r="C22" s="31"/>
      <c r="D22" s="32"/>
      <c r="E22" s="17">
        <f t="shared" si="0"/>
        <v>0</v>
      </c>
      <c r="F22" s="31"/>
      <c r="G22" s="33"/>
      <c r="H22" s="24">
        <f t="shared" si="17"/>
        <v>0</v>
      </c>
      <c r="I22" s="31"/>
      <c r="J22" s="33"/>
      <c r="K22" s="17">
        <f t="shared" si="2"/>
        <v>0</v>
      </c>
      <c r="L22" s="31"/>
      <c r="M22" s="33"/>
      <c r="N22" s="17">
        <f t="shared" si="3"/>
        <v>0</v>
      </c>
      <c r="O22" s="31"/>
      <c r="P22" s="33"/>
      <c r="Q22" s="17">
        <f t="shared" si="4"/>
        <v>0</v>
      </c>
      <c r="R22" s="31">
        <f>SUM('Plant Measurments'!O230:O233)</f>
        <v>0</v>
      </c>
      <c r="S22" s="33"/>
      <c r="T22" s="17">
        <f t="shared" si="5"/>
        <v>0</v>
      </c>
      <c r="U22" s="31">
        <f>SUM('Plant Measurments'!O225:O229)</f>
        <v>0</v>
      </c>
      <c r="V22" s="33"/>
      <c r="W22" s="17">
        <f t="shared" si="6"/>
        <v>0</v>
      </c>
      <c r="X22" s="30">
        <f t="shared" si="7"/>
        <v>0</v>
      </c>
      <c r="Y22" s="34"/>
      <c r="Z22" s="22">
        <f t="shared" si="8"/>
        <v>0</v>
      </c>
      <c r="AA22" s="22">
        <f t="shared" si="9"/>
        <v>0</v>
      </c>
      <c r="AB22" t="str">
        <f t="shared" si="10"/>
        <v xml:space="preserve"> </v>
      </c>
      <c r="AC22" t="str">
        <f t="shared" si="11"/>
        <v xml:space="preserve"> </v>
      </c>
      <c r="AD22" t="str">
        <f t="shared" si="12"/>
        <v xml:space="preserve"> </v>
      </c>
      <c r="AE22" t="str">
        <f t="shared" si="13"/>
        <v xml:space="preserve"> </v>
      </c>
      <c r="AF22">
        <f t="shared" si="14"/>
        <v>21033.62801</v>
      </c>
      <c r="AG22">
        <f t="shared" si="15"/>
        <v>4206.7256020000004</v>
      </c>
      <c r="AH22">
        <f t="shared" si="16"/>
        <v>0</v>
      </c>
    </row>
    <row r="23" spans="1:34">
      <c r="A23" s="16" t="s">
        <v>23</v>
      </c>
      <c r="B23" s="17">
        <f>'Plant Measurments'!C234</f>
        <v>2</v>
      </c>
      <c r="C23" s="18"/>
      <c r="D23" s="19"/>
      <c r="E23" s="17">
        <f t="shared" si="0"/>
        <v>0</v>
      </c>
      <c r="F23" s="18"/>
      <c r="G23" s="20"/>
      <c r="H23" s="24">
        <f t="shared" si="17"/>
        <v>0</v>
      </c>
      <c r="I23" s="18">
        <f>SUM('Plant Measurments'!O234:O246)</f>
        <v>0</v>
      </c>
      <c r="J23" s="20"/>
      <c r="K23" s="17">
        <f t="shared" si="2"/>
        <v>0</v>
      </c>
      <c r="L23" s="18"/>
      <c r="M23" s="20"/>
      <c r="N23" s="17">
        <f t="shared" si="3"/>
        <v>0</v>
      </c>
      <c r="O23" s="18"/>
      <c r="P23" s="20"/>
      <c r="Q23" s="17">
        <f t="shared" si="4"/>
        <v>0</v>
      </c>
      <c r="R23" s="18"/>
      <c r="S23" s="20"/>
      <c r="T23" s="17">
        <f t="shared" si="5"/>
        <v>0</v>
      </c>
      <c r="U23" s="18"/>
      <c r="V23" s="20"/>
      <c r="W23" s="17">
        <f t="shared" si="6"/>
        <v>0</v>
      </c>
      <c r="X23" s="17">
        <f t="shared" si="7"/>
        <v>0</v>
      </c>
      <c r="Y23" s="21">
        <f>AVERAGE(X23:X27)</f>
        <v>0</v>
      </c>
      <c r="Z23" s="22">
        <f t="shared" si="8"/>
        <v>0</v>
      </c>
      <c r="AA23" s="22">
        <f t="shared" si="9"/>
        <v>0</v>
      </c>
      <c r="AB23" t="str">
        <f t="shared" si="10"/>
        <v xml:space="preserve"> </v>
      </c>
      <c r="AC23" t="str">
        <f t="shared" si="11"/>
        <v xml:space="preserve"> </v>
      </c>
      <c r="AD23" t="str">
        <f t="shared" si="12"/>
        <v xml:space="preserve"> </v>
      </c>
      <c r="AE23" t="str">
        <f t="shared" si="13"/>
        <v xml:space="preserve"> </v>
      </c>
      <c r="AF23">
        <f t="shared" si="14"/>
        <v>21033.62801</v>
      </c>
      <c r="AG23">
        <f t="shared" si="15"/>
        <v>4206.7256020000004</v>
      </c>
      <c r="AH23">
        <f t="shared" si="16"/>
        <v>0</v>
      </c>
    </row>
    <row r="24" spans="1:34">
      <c r="A24" s="23" t="s">
        <v>23</v>
      </c>
      <c r="B24" s="24">
        <f>'Plant Measurments'!C247</f>
        <v>2</v>
      </c>
      <c r="C24" s="25"/>
      <c r="D24" s="26"/>
      <c r="E24" s="17">
        <f t="shared" si="0"/>
        <v>0</v>
      </c>
      <c r="F24" s="25"/>
      <c r="G24" s="27"/>
      <c r="H24" s="24">
        <f t="shared" si="17"/>
        <v>0</v>
      </c>
      <c r="I24" s="25">
        <f>SUM('Plant Measurments'!O247:O258)</f>
        <v>0</v>
      </c>
      <c r="J24" s="27"/>
      <c r="K24" s="17">
        <f t="shared" si="2"/>
        <v>0</v>
      </c>
      <c r="L24" s="25"/>
      <c r="M24" s="27"/>
      <c r="N24" s="17">
        <f t="shared" si="3"/>
        <v>0</v>
      </c>
      <c r="O24" s="25"/>
      <c r="P24" s="27"/>
      <c r="Q24" s="17">
        <f t="shared" si="4"/>
        <v>0</v>
      </c>
      <c r="R24" s="25">
        <f>SUM('Plant Measurments'!O260:O261)</f>
        <v>0</v>
      </c>
      <c r="S24" s="27"/>
      <c r="T24" s="17">
        <f t="shared" si="5"/>
        <v>0</v>
      </c>
      <c r="U24" s="25">
        <f>SUM('Plant Measurments'!O259)</f>
        <v>0</v>
      </c>
      <c r="V24" s="27"/>
      <c r="W24" s="17">
        <f t="shared" si="6"/>
        <v>0</v>
      </c>
      <c r="X24" s="24">
        <f t="shared" si="7"/>
        <v>0</v>
      </c>
      <c r="Y24" s="28"/>
      <c r="Z24" s="22">
        <f t="shared" si="8"/>
        <v>0</v>
      </c>
      <c r="AA24" s="22">
        <f t="shared" si="9"/>
        <v>0</v>
      </c>
      <c r="AB24" t="str">
        <f t="shared" si="10"/>
        <v xml:space="preserve"> </v>
      </c>
      <c r="AC24" t="str">
        <f t="shared" si="11"/>
        <v xml:space="preserve"> </v>
      </c>
      <c r="AD24" t="str">
        <f t="shared" si="12"/>
        <v xml:space="preserve"> </v>
      </c>
      <c r="AE24" t="str">
        <f t="shared" si="13"/>
        <v xml:space="preserve"> </v>
      </c>
      <c r="AF24">
        <f t="shared" si="14"/>
        <v>21033.62801</v>
      </c>
      <c r="AG24">
        <f t="shared" si="15"/>
        <v>4206.7256020000004</v>
      </c>
      <c r="AH24">
        <f t="shared" si="16"/>
        <v>0</v>
      </c>
    </row>
    <row r="25" spans="1:34">
      <c r="A25" s="23" t="s">
        <v>23</v>
      </c>
      <c r="B25" s="24">
        <f>'Plant Measurments'!C262</f>
        <v>38</v>
      </c>
      <c r="C25" s="25">
        <f>SUM('Plant Measurments'!O262:O277)</f>
        <v>0</v>
      </c>
      <c r="D25" s="26"/>
      <c r="E25" s="17">
        <f t="shared" si="0"/>
        <v>0</v>
      </c>
      <c r="F25" s="25"/>
      <c r="G25" s="27"/>
      <c r="H25" s="24">
        <f t="shared" si="17"/>
        <v>0</v>
      </c>
      <c r="I25" s="25"/>
      <c r="J25" s="27"/>
      <c r="K25" s="17">
        <f t="shared" si="2"/>
        <v>0</v>
      </c>
      <c r="L25" s="25"/>
      <c r="M25" s="27"/>
      <c r="N25" s="17">
        <f t="shared" si="3"/>
        <v>0</v>
      </c>
      <c r="O25" s="25"/>
      <c r="P25" s="27"/>
      <c r="Q25" s="17">
        <f t="shared" si="4"/>
        <v>0</v>
      </c>
      <c r="R25" s="25">
        <f>SUM('Plant Measurments'!O278:O282)</f>
        <v>0</v>
      </c>
      <c r="S25" s="27"/>
      <c r="T25" s="17">
        <f t="shared" si="5"/>
        <v>0</v>
      </c>
      <c r="U25" s="25"/>
      <c r="V25" s="27"/>
      <c r="W25" s="17">
        <f t="shared" si="6"/>
        <v>0</v>
      </c>
      <c r="X25" s="24">
        <f t="shared" si="7"/>
        <v>0</v>
      </c>
      <c r="Y25" s="28"/>
      <c r="Z25" s="22">
        <f t="shared" si="8"/>
        <v>0</v>
      </c>
      <c r="AA25" s="22">
        <f t="shared" si="9"/>
        <v>0</v>
      </c>
      <c r="AB25" t="str">
        <f t="shared" si="10"/>
        <v xml:space="preserve"> </v>
      </c>
      <c r="AC25" t="str">
        <f t="shared" si="11"/>
        <v xml:space="preserve"> </v>
      </c>
      <c r="AD25" t="str">
        <f t="shared" si="12"/>
        <v xml:space="preserve"> </v>
      </c>
      <c r="AE25" t="str">
        <f t="shared" si="13"/>
        <v xml:space="preserve"> </v>
      </c>
      <c r="AF25">
        <f t="shared" si="14"/>
        <v>21033.62801</v>
      </c>
      <c r="AG25">
        <f t="shared" si="15"/>
        <v>4206.7256020000004</v>
      </c>
      <c r="AH25">
        <f t="shared" si="16"/>
        <v>0</v>
      </c>
    </row>
    <row r="26" spans="1:34">
      <c r="A26" s="23" t="s">
        <v>23</v>
      </c>
      <c r="B26" s="24">
        <f>'Plant Measurments'!C283</f>
        <v>16</v>
      </c>
      <c r="C26" s="25">
        <f>SUM('Plant Measurments'!O283:O284)</f>
        <v>0</v>
      </c>
      <c r="D26" s="26"/>
      <c r="E26" s="17">
        <f t="shared" si="0"/>
        <v>0</v>
      </c>
      <c r="F26" s="25"/>
      <c r="G26" s="27"/>
      <c r="H26" s="24">
        <f t="shared" si="17"/>
        <v>0</v>
      </c>
      <c r="I26" s="25"/>
      <c r="J26" s="27"/>
      <c r="K26" s="17">
        <f t="shared" si="2"/>
        <v>0</v>
      </c>
      <c r="L26" s="25"/>
      <c r="M26" s="27"/>
      <c r="N26" s="17">
        <f t="shared" si="3"/>
        <v>0</v>
      </c>
      <c r="O26" s="25"/>
      <c r="P26" s="27"/>
      <c r="Q26" s="17">
        <f t="shared" si="4"/>
        <v>0</v>
      </c>
      <c r="R26" s="25">
        <f>SUM('Plant Measurments'!O285:O286)</f>
        <v>0</v>
      </c>
      <c r="S26" s="27"/>
      <c r="T26" s="17">
        <f t="shared" si="5"/>
        <v>0</v>
      </c>
      <c r="U26" s="25"/>
      <c r="V26" s="27"/>
      <c r="W26" s="17">
        <f t="shared" si="6"/>
        <v>0</v>
      </c>
      <c r="X26" s="24">
        <f t="shared" si="7"/>
        <v>0</v>
      </c>
      <c r="Y26" s="28"/>
      <c r="Z26" s="22">
        <f t="shared" si="8"/>
        <v>0</v>
      </c>
      <c r="AA26" s="22">
        <f t="shared" si="9"/>
        <v>0</v>
      </c>
      <c r="AB26" t="str">
        <f t="shared" si="10"/>
        <v xml:space="preserve"> </v>
      </c>
      <c r="AC26" t="str">
        <f t="shared" si="11"/>
        <v xml:space="preserve"> </v>
      </c>
      <c r="AD26" t="str">
        <f t="shared" si="12"/>
        <v xml:space="preserve"> </v>
      </c>
      <c r="AE26" t="str">
        <f t="shared" si="13"/>
        <v xml:space="preserve"> </v>
      </c>
      <c r="AF26">
        <f t="shared" si="14"/>
        <v>21033.62801</v>
      </c>
      <c r="AG26">
        <f t="shared" si="15"/>
        <v>4206.7256020000004</v>
      </c>
      <c r="AH26">
        <f t="shared" si="16"/>
        <v>0</v>
      </c>
    </row>
    <row r="27" spans="1:34">
      <c r="A27" s="29" t="s">
        <v>23</v>
      </c>
      <c r="B27" s="30">
        <f>'Plant Measurments'!C287</f>
        <v>16</v>
      </c>
      <c r="C27" s="31"/>
      <c r="D27" s="32"/>
      <c r="E27" s="17">
        <f t="shared" si="0"/>
        <v>0</v>
      </c>
      <c r="F27" s="31"/>
      <c r="G27" s="33"/>
      <c r="H27" s="24">
        <f t="shared" si="17"/>
        <v>0</v>
      </c>
      <c r="I27" s="31"/>
      <c r="J27" s="33"/>
      <c r="K27" s="17">
        <f t="shared" si="2"/>
        <v>0</v>
      </c>
      <c r="L27" s="31"/>
      <c r="M27" s="33"/>
      <c r="N27" s="17">
        <f t="shared" si="3"/>
        <v>0</v>
      </c>
      <c r="O27" s="31"/>
      <c r="P27" s="33"/>
      <c r="Q27" s="17">
        <f t="shared" si="4"/>
        <v>0</v>
      </c>
      <c r="R27" s="31">
        <f>SUM('Plant Measurments'!O288:O299)</f>
        <v>0</v>
      </c>
      <c r="S27" s="33"/>
      <c r="T27" s="17">
        <f t="shared" si="5"/>
        <v>0</v>
      </c>
      <c r="U27" s="31">
        <f>SUM('Plant Measurments'!O287)</f>
        <v>0</v>
      </c>
      <c r="V27" s="33"/>
      <c r="W27" s="17">
        <f t="shared" si="6"/>
        <v>0</v>
      </c>
      <c r="X27" s="30">
        <f t="shared" si="7"/>
        <v>0</v>
      </c>
      <c r="Y27" s="34"/>
      <c r="Z27" s="22">
        <f t="shared" si="8"/>
        <v>0</v>
      </c>
      <c r="AA27" s="22">
        <f t="shared" si="9"/>
        <v>0</v>
      </c>
      <c r="AB27" t="str">
        <f t="shared" si="10"/>
        <v xml:space="preserve"> </v>
      </c>
      <c r="AC27" t="str">
        <f t="shared" si="11"/>
        <v xml:space="preserve"> </v>
      </c>
      <c r="AD27" t="str">
        <f t="shared" si="12"/>
        <v xml:space="preserve"> </v>
      </c>
      <c r="AE27" t="str">
        <f t="shared" si="13"/>
        <v xml:space="preserve"> </v>
      </c>
      <c r="AF27">
        <f t="shared" si="14"/>
        <v>21033.62801</v>
      </c>
      <c r="AG27">
        <f t="shared" si="15"/>
        <v>4206.7256020000004</v>
      </c>
      <c r="AH27">
        <f t="shared" si="16"/>
        <v>0</v>
      </c>
    </row>
    <row r="28" spans="1:34">
      <c r="A28" s="16" t="s">
        <v>24</v>
      </c>
      <c r="B28" s="36">
        <f>'Plant Measurments'!C300</f>
        <v>16</v>
      </c>
      <c r="C28" s="18"/>
      <c r="D28" s="19"/>
      <c r="E28" s="17">
        <f t="shared" si="0"/>
        <v>0</v>
      </c>
      <c r="F28" s="18"/>
      <c r="G28" s="20"/>
      <c r="H28" s="24">
        <f t="shared" si="17"/>
        <v>0</v>
      </c>
      <c r="I28" s="18">
        <f>SUM('Plant Measurments'!O300:O319)</f>
        <v>0</v>
      </c>
      <c r="J28" s="20"/>
      <c r="K28" s="17">
        <f t="shared" si="2"/>
        <v>0</v>
      </c>
      <c r="L28" s="18"/>
      <c r="M28" s="20"/>
      <c r="N28" s="17">
        <f t="shared" si="3"/>
        <v>0</v>
      </c>
      <c r="O28" s="18"/>
      <c r="P28" s="20"/>
      <c r="Q28" s="17">
        <f t="shared" si="4"/>
        <v>0</v>
      </c>
      <c r="R28" s="18">
        <f>SUM('Plant Measurments'!O320:O321)</f>
        <v>0</v>
      </c>
      <c r="S28" s="20"/>
      <c r="T28" s="17">
        <f t="shared" si="5"/>
        <v>0</v>
      </c>
      <c r="U28" s="18"/>
      <c r="V28" s="20"/>
      <c r="W28" s="17">
        <f t="shared" si="6"/>
        <v>0</v>
      </c>
      <c r="X28" s="17">
        <f t="shared" si="7"/>
        <v>0</v>
      </c>
      <c r="Y28" s="21">
        <f>AVERAGE(X28:X32)</f>
        <v>0</v>
      </c>
      <c r="Z28" s="22">
        <f t="shared" si="8"/>
        <v>0</v>
      </c>
      <c r="AA28" s="22">
        <f t="shared" si="9"/>
        <v>0</v>
      </c>
      <c r="AB28" t="str">
        <f t="shared" si="10"/>
        <v xml:space="preserve"> </v>
      </c>
      <c r="AC28" t="str">
        <f t="shared" si="11"/>
        <v xml:space="preserve"> </v>
      </c>
      <c r="AD28" t="str">
        <f t="shared" si="12"/>
        <v xml:space="preserve"> </v>
      </c>
      <c r="AE28" t="str">
        <f t="shared" si="13"/>
        <v xml:space="preserve"> </v>
      </c>
      <c r="AF28">
        <f t="shared" si="14"/>
        <v>21033.62801</v>
      </c>
      <c r="AG28">
        <f t="shared" si="15"/>
        <v>4206.7256020000004</v>
      </c>
      <c r="AH28">
        <f t="shared" si="16"/>
        <v>0</v>
      </c>
    </row>
    <row r="29" spans="1:34">
      <c r="A29" s="23" t="s">
        <v>24</v>
      </c>
      <c r="B29" s="24">
        <f>'Plant Measurments'!C322</f>
        <v>34</v>
      </c>
      <c r="C29" s="25"/>
      <c r="D29" s="26"/>
      <c r="E29" s="17">
        <f t="shared" si="0"/>
        <v>0</v>
      </c>
      <c r="F29" s="25"/>
      <c r="G29" s="27"/>
      <c r="H29" s="24">
        <f t="shared" si="17"/>
        <v>0</v>
      </c>
      <c r="I29" s="25">
        <f>SUM('Plant Measurments'!O322:O323)</f>
        <v>0</v>
      </c>
      <c r="J29" s="27"/>
      <c r="K29" s="17">
        <f t="shared" si="2"/>
        <v>0</v>
      </c>
      <c r="L29" s="25"/>
      <c r="M29" s="27"/>
      <c r="N29" s="17">
        <f t="shared" si="3"/>
        <v>0</v>
      </c>
      <c r="O29" s="25"/>
      <c r="P29" s="27"/>
      <c r="Q29" s="17">
        <f t="shared" si="4"/>
        <v>0</v>
      </c>
      <c r="R29" s="25">
        <f>SUM('Plant Measurments'!O324:O330)</f>
        <v>0</v>
      </c>
      <c r="S29" s="27"/>
      <c r="T29" s="17">
        <f t="shared" si="5"/>
        <v>0</v>
      </c>
      <c r="U29" s="25"/>
      <c r="V29" s="27"/>
      <c r="W29" s="17">
        <f t="shared" si="6"/>
        <v>0</v>
      </c>
      <c r="X29" s="24">
        <f t="shared" si="7"/>
        <v>0</v>
      </c>
      <c r="Y29" s="28"/>
      <c r="Z29" s="22">
        <f t="shared" si="8"/>
        <v>0</v>
      </c>
      <c r="AA29" s="22">
        <f t="shared" si="9"/>
        <v>0</v>
      </c>
      <c r="AB29" t="str">
        <f t="shared" si="10"/>
        <v xml:space="preserve"> </v>
      </c>
      <c r="AC29" t="str">
        <f t="shared" si="11"/>
        <v xml:space="preserve"> </v>
      </c>
      <c r="AD29" t="str">
        <f t="shared" si="12"/>
        <v xml:space="preserve"> </v>
      </c>
      <c r="AE29" t="str">
        <f t="shared" si="13"/>
        <v xml:space="preserve"> </v>
      </c>
      <c r="AF29">
        <f t="shared" si="14"/>
        <v>21033.62801</v>
      </c>
      <c r="AG29">
        <f t="shared" si="15"/>
        <v>4206.7256020000004</v>
      </c>
      <c r="AH29">
        <f t="shared" si="16"/>
        <v>0</v>
      </c>
    </row>
    <row r="30" spans="1:34">
      <c r="A30" s="23" t="s">
        <v>24</v>
      </c>
      <c r="B30">
        <f>'Plant Measurments'!C331</f>
        <v>34</v>
      </c>
      <c r="C30" s="25"/>
      <c r="D30" s="26"/>
      <c r="E30" s="17">
        <f t="shared" si="0"/>
        <v>0</v>
      </c>
      <c r="F30" s="25"/>
      <c r="G30" s="27"/>
      <c r="H30" s="24">
        <f t="shared" si="17"/>
        <v>0</v>
      </c>
      <c r="I30" s="25">
        <f>SUM('Plant Measurments'!O331:O337)</f>
        <v>0</v>
      </c>
      <c r="J30" s="27"/>
      <c r="K30" s="17">
        <f t="shared" si="2"/>
        <v>0</v>
      </c>
      <c r="L30" s="25"/>
      <c r="M30" s="27"/>
      <c r="N30" s="17">
        <f t="shared" si="3"/>
        <v>0</v>
      </c>
      <c r="O30" s="25"/>
      <c r="P30" s="27"/>
      <c r="Q30" s="17">
        <f t="shared" si="4"/>
        <v>0</v>
      </c>
      <c r="R30" s="25"/>
      <c r="S30" s="27"/>
      <c r="T30" s="17">
        <f t="shared" si="5"/>
        <v>0</v>
      </c>
      <c r="U30" s="25"/>
      <c r="V30" s="27"/>
      <c r="W30" s="17">
        <f t="shared" si="6"/>
        <v>0</v>
      </c>
      <c r="X30" s="24">
        <f t="shared" si="7"/>
        <v>0</v>
      </c>
      <c r="Y30" s="28"/>
      <c r="Z30" s="22">
        <f t="shared" si="8"/>
        <v>0</v>
      </c>
      <c r="AA30" s="22">
        <f t="shared" si="9"/>
        <v>0</v>
      </c>
      <c r="AB30" t="str">
        <f t="shared" si="10"/>
        <v xml:space="preserve"> </v>
      </c>
      <c r="AC30" t="str">
        <f t="shared" si="11"/>
        <v xml:space="preserve"> </v>
      </c>
      <c r="AD30" t="str">
        <f t="shared" si="12"/>
        <v xml:space="preserve"> </v>
      </c>
      <c r="AE30" t="str">
        <f t="shared" si="13"/>
        <v xml:space="preserve"> </v>
      </c>
      <c r="AF30">
        <f t="shared" si="14"/>
        <v>21033.62801</v>
      </c>
      <c r="AG30">
        <f t="shared" si="15"/>
        <v>4206.7256020000004</v>
      </c>
      <c r="AH30">
        <f t="shared" si="16"/>
        <v>0</v>
      </c>
    </row>
    <row r="31" spans="1:34">
      <c r="A31" s="23" t="s">
        <v>24</v>
      </c>
      <c r="B31" s="24">
        <f>'Plant Measurments'!C338</f>
        <v>34</v>
      </c>
      <c r="C31" s="25">
        <f>SUM('Plant Measurments'!O338:O362)</f>
        <v>0</v>
      </c>
      <c r="D31" s="26"/>
      <c r="E31" s="17">
        <f t="shared" si="0"/>
        <v>0</v>
      </c>
      <c r="F31" s="25"/>
      <c r="G31" s="27"/>
      <c r="H31" s="24">
        <f t="shared" si="17"/>
        <v>0</v>
      </c>
      <c r="I31" s="25"/>
      <c r="J31" s="27"/>
      <c r="K31" s="17">
        <f t="shared" si="2"/>
        <v>0</v>
      </c>
      <c r="L31" s="25"/>
      <c r="M31" s="27"/>
      <c r="N31" s="17">
        <f t="shared" si="3"/>
        <v>0</v>
      </c>
      <c r="O31" s="25"/>
      <c r="P31" s="27"/>
      <c r="Q31" s="17">
        <f t="shared" si="4"/>
        <v>0</v>
      </c>
      <c r="R31" s="25">
        <f>SUM('Plant Measurments'!O369:O381)</f>
        <v>0</v>
      </c>
      <c r="S31" s="27"/>
      <c r="T31" s="17">
        <f t="shared" si="5"/>
        <v>0</v>
      </c>
      <c r="U31" s="25">
        <f>SUM('Plant Measurments'!O363:O368)</f>
        <v>0</v>
      </c>
      <c r="V31" s="27"/>
      <c r="W31" s="17">
        <f t="shared" si="6"/>
        <v>0</v>
      </c>
      <c r="X31" s="24">
        <f t="shared" si="7"/>
        <v>0</v>
      </c>
      <c r="Y31" s="28"/>
      <c r="Z31" s="22">
        <f t="shared" si="8"/>
        <v>0</v>
      </c>
      <c r="AA31" s="22">
        <f t="shared" si="9"/>
        <v>0</v>
      </c>
      <c r="AB31" t="str">
        <f t="shared" si="10"/>
        <v xml:space="preserve"> </v>
      </c>
      <c r="AC31" t="str">
        <f t="shared" si="11"/>
        <v xml:space="preserve"> </v>
      </c>
      <c r="AD31" t="str">
        <f t="shared" si="12"/>
        <v xml:space="preserve"> </v>
      </c>
      <c r="AE31" t="str">
        <f t="shared" si="13"/>
        <v xml:space="preserve"> </v>
      </c>
      <c r="AF31">
        <f t="shared" si="14"/>
        <v>21033.62801</v>
      </c>
      <c r="AG31">
        <f t="shared" si="15"/>
        <v>4206.7256020000004</v>
      </c>
      <c r="AH31">
        <f t="shared" si="16"/>
        <v>0</v>
      </c>
    </row>
    <row r="32" spans="1:34">
      <c r="A32" s="29" t="s">
        <v>24</v>
      </c>
      <c r="B32" s="24">
        <f>'Plant Measurments'!C380</f>
        <v>26</v>
      </c>
      <c r="C32" s="31"/>
      <c r="D32" s="32"/>
      <c r="E32" s="17">
        <f t="shared" si="0"/>
        <v>0</v>
      </c>
      <c r="F32" s="31"/>
      <c r="G32" s="33"/>
      <c r="H32" s="24">
        <f t="shared" si="17"/>
        <v>0</v>
      </c>
      <c r="I32" s="31"/>
      <c r="J32" s="33"/>
      <c r="K32" s="17">
        <f t="shared" si="2"/>
        <v>0</v>
      </c>
      <c r="L32" s="31"/>
      <c r="M32" s="33"/>
      <c r="N32" s="17">
        <f t="shared" si="3"/>
        <v>0</v>
      </c>
      <c r="O32" s="31"/>
      <c r="P32" s="33"/>
      <c r="Q32" s="17">
        <f t="shared" si="4"/>
        <v>0</v>
      </c>
      <c r="R32" s="31">
        <f>SUM('Plant Measurments'!O382:O387)</f>
        <v>0</v>
      </c>
      <c r="S32" s="33"/>
      <c r="T32" s="17">
        <f t="shared" si="5"/>
        <v>0</v>
      </c>
      <c r="U32" s="31"/>
      <c r="V32" s="33"/>
      <c r="W32" s="17">
        <f t="shared" si="6"/>
        <v>0</v>
      </c>
      <c r="X32" s="30">
        <f t="shared" si="7"/>
        <v>0</v>
      </c>
      <c r="Y32" s="34"/>
      <c r="Z32" s="22">
        <f t="shared" si="8"/>
        <v>0</v>
      </c>
      <c r="AA32" s="22">
        <f t="shared" si="9"/>
        <v>0</v>
      </c>
      <c r="AB32" t="str">
        <f t="shared" si="10"/>
        <v xml:space="preserve"> </v>
      </c>
      <c r="AC32" t="str">
        <f t="shared" si="11"/>
        <v xml:space="preserve"> </v>
      </c>
      <c r="AD32" t="str">
        <f t="shared" si="12"/>
        <v xml:space="preserve"> </v>
      </c>
      <c r="AE32" t="str">
        <f t="shared" si="13"/>
        <v xml:space="preserve"> </v>
      </c>
      <c r="AF32">
        <f t="shared" si="14"/>
        <v>21033.62801</v>
      </c>
      <c r="AG32">
        <f t="shared" si="15"/>
        <v>4206.7256020000004</v>
      </c>
      <c r="AH32">
        <f t="shared" si="16"/>
        <v>0</v>
      </c>
    </row>
    <row r="33" spans="1:34">
      <c r="A33" s="16" t="s">
        <v>29</v>
      </c>
      <c r="B33" s="17">
        <f>'Plant Measurments'!C386</f>
        <v>24</v>
      </c>
      <c r="C33" s="18">
        <f>SUM('Plant Measurments'!O388:O399)</f>
        <v>0</v>
      </c>
      <c r="D33" s="37"/>
      <c r="E33" s="17">
        <f t="shared" si="0"/>
        <v>0</v>
      </c>
      <c r="F33" s="18"/>
      <c r="G33" s="20"/>
      <c r="H33" s="24">
        <f t="shared" si="17"/>
        <v>0</v>
      </c>
      <c r="I33" s="18">
        <f>SUM('Plant Measurments'!O400:O403)</f>
        <v>0</v>
      </c>
      <c r="J33" s="20"/>
      <c r="K33" s="17">
        <f t="shared" si="2"/>
        <v>0</v>
      </c>
      <c r="L33" s="18"/>
      <c r="M33" s="20"/>
      <c r="N33" s="17">
        <f t="shared" si="3"/>
        <v>0</v>
      </c>
      <c r="O33" s="18"/>
      <c r="P33" s="20"/>
      <c r="Q33" s="17">
        <f t="shared" si="4"/>
        <v>0</v>
      </c>
      <c r="R33" s="18">
        <f>SUM('Plant Measurments'!O406:O409)</f>
        <v>0</v>
      </c>
      <c r="S33" s="20"/>
      <c r="T33" s="17">
        <f t="shared" si="5"/>
        <v>0</v>
      </c>
      <c r="U33" s="18">
        <f>SUM('Plant Measurments'!O404:O405)</f>
        <v>0</v>
      </c>
      <c r="V33" s="20"/>
      <c r="W33" s="17">
        <f t="shared" si="6"/>
        <v>0</v>
      </c>
      <c r="X33" s="17">
        <f t="shared" si="7"/>
        <v>0</v>
      </c>
      <c r="Y33" s="21">
        <f>AVERAGE(X33:X37)</f>
        <v>0</v>
      </c>
      <c r="Z33" s="22">
        <f t="shared" si="8"/>
        <v>0</v>
      </c>
      <c r="AA33" s="22">
        <f t="shared" si="9"/>
        <v>0</v>
      </c>
      <c r="AB33" t="str">
        <f t="shared" si="10"/>
        <v xml:space="preserve"> </v>
      </c>
      <c r="AC33" t="str">
        <f t="shared" si="11"/>
        <v xml:space="preserve"> </v>
      </c>
      <c r="AD33" t="str">
        <f t="shared" si="12"/>
        <v xml:space="preserve"> </v>
      </c>
      <c r="AE33" t="str">
        <f t="shared" si="13"/>
        <v xml:space="preserve"> </v>
      </c>
      <c r="AF33">
        <f t="shared" si="14"/>
        <v>21033.62801</v>
      </c>
      <c r="AG33">
        <f t="shared" si="15"/>
        <v>4206.7256020000004</v>
      </c>
      <c r="AH33">
        <f t="shared" si="16"/>
        <v>0</v>
      </c>
    </row>
    <row r="34" spans="1:34">
      <c r="A34" s="23" t="s">
        <v>29</v>
      </c>
      <c r="B34" s="24">
        <f>'Plant Measurments'!C408</f>
        <v>20</v>
      </c>
      <c r="C34" s="25">
        <f>SUM('Plant Measurments'!O410:O424)</f>
        <v>0</v>
      </c>
      <c r="D34" s="26"/>
      <c r="E34" s="17">
        <f t="shared" si="0"/>
        <v>0</v>
      </c>
      <c r="F34" s="25"/>
      <c r="G34" s="27"/>
      <c r="H34" s="24">
        <f t="shared" si="17"/>
        <v>0</v>
      </c>
      <c r="I34" s="25"/>
      <c r="J34" s="27"/>
      <c r="K34" s="17">
        <f t="shared" si="2"/>
        <v>0</v>
      </c>
      <c r="L34" s="25"/>
      <c r="M34" s="27"/>
      <c r="N34" s="17">
        <f t="shared" si="3"/>
        <v>0</v>
      </c>
      <c r="O34" s="25"/>
      <c r="P34" s="27"/>
      <c r="Q34" s="17">
        <f t="shared" si="4"/>
        <v>0</v>
      </c>
      <c r="R34" s="25"/>
      <c r="S34" s="27"/>
      <c r="T34" s="17">
        <f t="shared" si="5"/>
        <v>0</v>
      </c>
      <c r="U34" s="25"/>
      <c r="V34" s="27"/>
      <c r="W34" s="17">
        <f t="shared" si="6"/>
        <v>0</v>
      </c>
      <c r="X34" s="24">
        <f t="shared" si="7"/>
        <v>0</v>
      </c>
      <c r="Y34" s="28"/>
      <c r="Z34" s="22">
        <f t="shared" si="8"/>
        <v>0</v>
      </c>
      <c r="AA34" s="22">
        <f t="shared" si="9"/>
        <v>0</v>
      </c>
      <c r="AB34" t="str">
        <f t="shared" si="10"/>
        <v xml:space="preserve"> </v>
      </c>
      <c r="AC34" t="str">
        <f t="shared" si="11"/>
        <v xml:space="preserve"> </v>
      </c>
      <c r="AD34" t="str">
        <f t="shared" si="12"/>
        <v xml:space="preserve"> </v>
      </c>
      <c r="AE34" t="str">
        <f t="shared" si="13"/>
        <v xml:space="preserve"> </v>
      </c>
      <c r="AF34">
        <f t="shared" si="14"/>
        <v>21033.62801</v>
      </c>
      <c r="AG34">
        <f t="shared" si="15"/>
        <v>4206.7256020000004</v>
      </c>
      <c r="AH34">
        <f t="shared" si="16"/>
        <v>0</v>
      </c>
    </row>
    <row r="35" spans="1:34">
      <c r="A35" s="23" t="s">
        <v>29</v>
      </c>
      <c r="B35" s="24">
        <f>'Plant Measurments'!C423</f>
        <v>20</v>
      </c>
      <c r="C35" s="25">
        <f>SUM('Plant Measurments'!O425:O428)</f>
        <v>0</v>
      </c>
      <c r="D35" s="26"/>
      <c r="E35" s="17">
        <f t="shared" si="0"/>
        <v>0</v>
      </c>
      <c r="F35" s="25"/>
      <c r="G35" s="27"/>
      <c r="H35" s="24">
        <f t="shared" si="17"/>
        <v>0</v>
      </c>
      <c r="I35" s="25"/>
      <c r="J35" s="27"/>
      <c r="K35" s="17">
        <f t="shared" si="2"/>
        <v>0</v>
      </c>
      <c r="L35" s="25"/>
      <c r="M35" s="27"/>
      <c r="N35" s="17">
        <f t="shared" si="3"/>
        <v>0</v>
      </c>
      <c r="O35" s="25"/>
      <c r="P35" s="27"/>
      <c r="Q35" s="17">
        <f t="shared" si="4"/>
        <v>0</v>
      </c>
      <c r="R35" s="25"/>
      <c r="S35" s="27"/>
      <c r="T35" s="17">
        <f t="shared" si="5"/>
        <v>0</v>
      </c>
      <c r="U35" s="25"/>
      <c r="V35" s="27"/>
      <c r="W35" s="17">
        <f t="shared" si="6"/>
        <v>0</v>
      </c>
      <c r="X35" s="24">
        <f t="shared" si="7"/>
        <v>0</v>
      </c>
      <c r="Y35" s="28"/>
      <c r="Z35" s="22">
        <f t="shared" si="8"/>
        <v>0</v>
      </c>
      <c r="AA35" s="22">
        <f t="shared" si="9"/>
        <v>0</v>
      </c>
      <c r="AB35" t="str">
        <f t="shared" si="10"/>
        <v xml:space="preserve"> </v>
      </c>
      <c r="AC35" t="str">
        <f t="shared" si="11"/>
        <v xml:space="preserve"> </v>
      </c>
      <c r="AD35" t="str">
        <f t="shared" si="12"/>
        <v xml:space="preserve"> </v>
      </c>
      <c r="AE35" t="str">
        <f t="shared" si="13"/>
        <v xml:space="preserve"> </v>
      </c>
      <c r="AF35">
        <f t="shared" si="14"/>
        <v>21033.62801</v>
      </c>
      <c r="AG35">
        <f t="shared" si="15"/>
        <v>4206.7256020000004</v>
      </c>
      <c r="AH35">
        <f t="shared" si="16"/>
        <v>0</v>
      </c>
    </row>
    <row r="36" spans="1:34">
      <c r="A36" s="23" t="s">
        <v>29</v>
      </c>
      <c r="B36" s="24">
        <f>'Plant Measurments'!C427</f>
        <v>20</v>
      </c>
      <c r="C36" s="25"/>
      <c r="D36" s="26"/>
      <c r="E36" s="17">
        <f t="shared" si="0"/>
        <v>0</v>
      </c>
      <c r="F36" s="25"/>
      <c r="G36" s="27"/>
      <c r="H36" s="24">
        <f t="shared" si="17"/>
        <v>0</v>
      </c>
      <c r="I36" s="25"/>
      <c r="J36" s="27"/>
      <c r="K36" s="17">
        <f t="shared" si="2"/>
        <v>0</v>
      </c>
      <c r="L36" s="25"/>
      <c r="M36" s="27"/>
      <c r="N36" s="17">
        <f t="shared" si="3"/>
        <v>0</v>
      </c>
      <c r="O36" s="25"/>
      <c r="P36" s="27"/>
      <c r="Q36" s="17">
        <f t="shared" si="4"/>
        <v>0</v>
      </c>
      <c r="R36" s="25"/>
      <c r="S36" s="27"/>
      <c r="T36" s="17">
        <f t="shared" si="5"/>
        <v>0</v>
      </c>
      <c r="U36" s="25"/>
      <c r="V36" s="27"/>
      <c r="W36" s="17">
        <f t="shared" si="6"/>
        <v>0</v>
      </c>
      <c r="X36" s="24">
        <f t="shared" si="7"/>
        <v>0</v>
      </c>
      <c r="Y36" s="28"/>
      <c r="Z36" s="22">
        <f t="shared" si="8"/>
        <v>0</v>
      </c>
      <c r="AA36" s="22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>
      <c r="A37" s="29" t="s">
        <v>29</v>
      </c>
      <c r="B37" s="30">
        <f>'Plant Measurments'!C428</f>
        <v>20</v>
      </c>
      <c r="C37" s="31"/>
      <c r="D37" s="32"/>
      <c r="E37" s="17">
        <f t="shared" si="0"/>
        <v>0</v>
      </c>
      <c r="F37" s="31"/>
      <c r="G37" s="33"/>
      <c r="H37" s="24">
        <f t="shared" si="17"/>
        <v>0</v>
      </c>
      <c r="I37" s="31"/>
      <c r="J37" s="33"/>
      <c r="K37" s="17">
        <f t="shared" si="2"/>
        <v>0</v>
      </c>
      <c r="L37" s="31"/>
      <c r="M37" s="33"/>
      <c r="N37" s="17">
        <f t="shared" si="3"/>
        <v>0</v>
      </c>
      <c r="O37" s="31"/>
      <c r="P37" s="33"/>
      <c r="Q37" s="17">
        <f t="shared" si="4"/>
        <v>0</v>
      </c>
      <c r="R37" s="31">
        <f>SUM('Plant Measurments'!O431:O440)</f>
        <v>0</v>
      </c>
      <c r="S37" s="33"/>
      <c r="T37" s="17">
        <f t="shared" si="5"/>
        <v>0</v>
      </c>
      <c r="U37" s="31">
        <f>SUM('Plant Measurments'!O430)</f>
        <v>0</v>
      </c>
      <c r="V37" s="33"/>
      <c r="W37" s="17">
        <f t="shared" si="6"/>
        <v>0</v>
      </c>
      <c r="X37" s="30">
        <f t="shared" si="7"/>
        <v>0</v>
      </c>
      <c r="Y37" s="34"/>
      <c r="Z37" s="22">
        <f t="shared" si="8"/>
        <v>0</v>
      </c>
      <c r="AA37" s="22">
        <f t="shared" si="9"/>
        <v>0</v>
      </c>
      <c r="AB37" t="str">
        <f t="shared" si="10"/>
        <v xml:space="preserve"> </v>
      </c>
      <c r="AC37" t="str">
        <f t="shared" si="11"/>
        <v xml:space="preserve"> </v>
      </c>
      <c r="AD37" t="str">
        <f t="shared" si="12"/>
        <v xml:space="preserve"> </v>
      </c>
      <c r="AE37" t="str">
        <f t="shared" si="13"/>
        <v xml:space="preserve"> </v>
      </c>
      <c r="AF37">
        <f t="shared" si="14"/>
        <v>21033.62801</v>
      </c>
      <c r="AG37">
        <f t="shared" si="15"/>
        <v>4206.7256020000004</v>
      </c>
      <c r="AH37">
        <f t="shared" si="16"/>
        <v>0</v>
      </c>
    </row>
    <row r="38" spans="1:34">
      <c r="A38" s="16" t="s">
        <v>27</v>
      </c>
      <c r="B38" s="17">
        <f>'Plant Measurments'!C439</f>
        <v>12</v>
      </c>
      <c r="C38" s="18"/>
      <c r="D38" s="19"/>
      <c r="E38" s="17">
        <f t="shared" si="0"/>
        <v>0</v>
      </c>
      <c r="F38" s="18"/>
      <c r="G38" s="20"/>
      <c r="H38" s="24">
        <f t="shared" si="17"/>
        <v>0</v>
      </c>
      <c r="I38" s="18"/>
      <c r="J38" s="20"/>
      <c r="K38" s="17">
        <f t="shared" si="2"/>
        <v>0</v>
      </c>
      <c r="L38" s="18"/>
      <c r="M38" s="20"/>
      <c r="N38" s="17">
        <f t="shared" si="3"/>
        <v>0</v>
      </c>
      <c r="O38" s="18"/>
      <c r="P38" s="20"/>
      <c r="Q38" s="17">
        <f t="shared" si="4"/>
        <v>0</v>
      </c>
      <c r="R38" s="18">
        <f>SUM('Plant Measurments'!O441:O455)</f>
        <v>0</v>
      </c>
      <c r="S38" s="20"/>
      <c r="T38" s="17">
        <f t="shared" si="5"/>
        <v>0</v>
      </c>
      <c r="U38" s="18"/>
      <c r="V38" s="20"/>
      <c r="W38" s="17">
        <f t="shared" si="6"/>
        <v>0</v>
      </c>
      <c r="X38" s="17">
        <f t="shared" si="7"/>
        <v>0</v>
      </c>
      <c r="Y38" s="21">
        <f>AVERAGE(X38:X42)</f>
        <v>0</v>
      </c>
      <c r="Z38" s="22">
        <f t="shared" si="8"/>
        <v>0</v>
      </c>
      <c r="AA38" s="22">
        <f t="shared" si="9"/>
        <v>0</v>
      </c>
      <c r="AB38" t="str">
        <f t="shared" si="10"/>
        <v xml:space="preserve"> </v>
      </c>
      <c r="AC38" t="str">
        <f t="shared" si="11"/>
        <v xml:space="preserve"> </v>
      </c>
      <c r="AD38" t="str">
        <f t="shared" si="12"/>
        <v xml:space="preserve"> </v>
      </c>
      <c r="AE38" t="str">
        <f t="shared" si="13"/>
        <v xml:space="preserve"> </v>
      </c>
      <c r="AF38">
        <f t="shared" si="14"/>
        <v>21033.62801</v>
      </c>
      <c r="AG38">
        <f t="shared" si="15"/>
        <v>4206.7256020000004</v>
      </c>
      <c r="AH38">
        <f t="shared" si="16"/>
        <v>0</v>
      </c>
    </row>
    <row r="39" spans="1:34">
      <c r="A39" s="23" t="s">
        <v>27</v>
      </c>
      <c r="B39" s="24">
        <f>'Plant Measurments'!C454</f>
        <v>12</v>
      </c>
      <c r="C39" s="25">
        <f>SUM('Plant Measurments'!O456:O465)</f>
        <v>0</v>
      </c>
      <c r="D39" s="26"/>
      <c r="E39" s="17">
        <f t="shared" si="0"/>
        <v>0</v>
      </c>
      <c r="F39" s="25"/>
      <c r="G39" s="27"/>
      <c r="H39" s="24">
        <f t="shared" si="17"/>
        <v>0</v>
      </c>
      <c r="I39" s="25"/>
      <c r="J39" s="27"/>
      <c r="K39" s="17">
        <f t="shared" si="2"/>
        <v>0</v>
      </c>
      <c r="L39" s="25"/>
      <c r="M39" s="27"/>
      <c r="N39" s="17">
        <f t="shared" si="3"/>
        <v>0</v>
      </c>
      <c r="O39" s="25"/>
      <c r="P39" s="27"/>
      <c r="Q39" s="17">
        <f t="shared" si="4"/>
        <v>0</v>
      </c>
      <c r="R39" s="25">
        <f>SUM('Plant Measurments'!O466:O468)</f>
        <v>0</v>
      </c>
      <c r="S39" s="27"/>
      <c r="T39" s="17">
        <f t="shared" si="5"/>
        <v>0</v>
      </c>
      <c r="U39" s="25"/>
      <c r="V39" s="27"/>
      <c r="W39" s="17">
        <f t="shared" si="6"/>
        <v>0</v>
      </c>
      <c r="X39" s="24">
        <f t="shared" si="7"/>
        <v>0</v>
      </c>
      <c r="Y39" s="28"/>
      <c r="Z39" s="22">
        <f t="shared" si="8"/>
        <v>0</v>
      </c>
      <c r="AA39" s="22">
        <f t="shared" si="9"/>
        <v>0</v>
      </c>
      <c r="AB39" t="str">
        <f t="shared" si="10"/>
        <v xml:space="preserve"> </v>
      </c>
      <c r="AC39" t="str">
        <f t="shared" si="11"/>
        <v xml:space="preserve"> </v>
      </c>
      <c r="AD39" t="str">
        <f t="shared" si="12"/>
        <v xml:space="preserve"> </v>
      </c>
      <c r="AE39" t="str">
        <f t="shared" si="13"/>
        <v xml:space="preserve"> </v>
      </c>
      <c r="AF39">
        <f t="shared" si="14"/>
        <v>21033.62801</v>
      </c>
      <c r="AG39">
        <f t="shared" si="15"/>
        <v>4206.7256020000004</v>
      </c>
      <c r="AH39">
        <f t="shared" si="16"/>
        <v>0</v>
      </c>
    </row>
    <row r="40" spans="1:34">
      <c r="A40" s="23" t="s">
        <v>27</v>
      </c>
      <c r="B40" s="24">
        <f>'Plant Measurments'!C467</f>
        <v>29</v>
      </c>
      <c r="C40" s="25"/>
      <c r="D40" s="26"/>
      <c r="E40" s="17">
        <f t="shared" si="0"/>
        <v>0</v>
      </c>
      <c r="F40" s="25"/>
      <c r="G40" s="27"/>
      <c r="H40" s="24">
        <f t="shared" si="17"/>
        <v>0</v>
      </c>
      <c r="I40" s="25"/>
      <c r="J40" s="27"/>
      <c r="K40" s="17">
        <f t="shared" si="2"/>
        <v>0</v>
      </c>
      <c r="L40" s="25"/>
      <c r="M40" s="27"/>
      <c r="N40" s="17">
        <f t="shared" si="3"/>
        <v>0</v>
      </c>
      <c r="O40" s="25"/>
      <c r="P40" s="27"/>
      <c r="Q40" s="17">
        <f t="shared" si="4"/>
        <v>0</v>
      </c>
      <c r="R40" s="25">
        <f>SUM('Plant Measurments'!O469:O485)</f>
        <v>0</v>
      </c>
      <c r="S40" s="27"/>
      <c r="T40" s="17">
        <f t="shared" si="5"/>
        <v>0</v>
      </c>
      <c r="U40" s="25"/>
      <c r="V40" s="27"/>
      <c r="W40" s="17">
        <f t="shared" si="6"/>
        <v>0</v>
      </c>
      <c r="X40" s="24">
        <f t="shared" si="7"/>
        <v>0</v>
      </c>
      <c r="Y40" s="28"/>
      <c r="Z40" s="22">
        <f t="shared" si="8"/>
        <v>0</v>
      </c>
      <c r="AA40" s="22">
        <f t="shared" si="9"/>
        <v>0</v>
      </c>
      <c r="AB40" t="str">
        <f t="shared" si="10"/>
        <v xml:space="preserve"> </v>
      </c>
      <c r="AC40" t="str">
        <f t="shared" si="11"/>
        <v xml:space="preserve"> </v>
      </c>
      <c r="AD40" t="str">
        <f t="shared" si="12"/>
        <v xml:space="preserve"> </v>
      </c>
      <c r="AE40" t="str">
        <f t="shared" si="13"/>
        <v xml:space="preserve"> </v>
      </c>
      <c r="AF40">
        <f t="shared" si="14"/>
        <v>21033.62801</v>
      </c>
      <c r="AG40">
        <f t="shared" si="15"/>
        <v>4206.7256020000004</v>
      </c>
      <c r="AH40">
        <f t="shared" si="16"/>
        <v>0</v>
      </c>
    </row>
    <row r="41" spans="1:34">
      <c r="A41" s="23" t="s">
        <v>27</v>
      </c>
      <c r="B41" s="24">
        <f>'Plant Measurments'!C484</f>
        <v>22</v>
      </c>
      <c r="C41" s="25"/>
      <c r="D41" s="26"/>
      <c r="E41" s="17">
        <f t="shared" si="0"/>
        <v>0</v>
      </c>
      <c r="F41" s="25"/>
      <c r="G41" s="27"/>
      <c r="H41" s="24">
        <f t="shared" si="17"/>
        <v>0</v>
      </c>
      <c r="I41" s="25"/>
      <c r="J41" s="27"/>
      <c r="K41" s="17">
        <f t="shared" si="2"/>
        <v>0</v>
      </c>
      <c r="L41" s="25"/>
      <c r="M41" s="27"/>
      <c r="N41" s="17">
        <f t="shared" si="3"/>
        <v>0</v>
      </c>
      <c r="O41" s="25"/>
      <c r="P41" s="27"/>
      <c r="Q41" s="17">
        <f t="shared" si="4"/>
        <v>0</v>
      </c>
      <c r="R41" s="25">
        <f>SUM('Plant Measurments'!O486:O492)</f>
        <v>0</v>
      </c>
      <c r="S41" s="27"/>
      <c r="T41" s="17">
        <f t="shared" si="5"/>
        <v>0</v>
      </c>
      <c r="U41" s="25"/>
      <c r="V41" s="27"/>
      <c r="W41" s="17">
        <f t="shared" si="6"/>
        <v>0</v>
      </c>
      <c r="X41" s="24">
        <f t="shared" si="7"/>
        <v>0</v>
      </c>
      <c r="Y41" s="28"/>
      <c r="Z41" s="22">
        <f t="shared" si="8"/>
        <v>0</v>
      </c>
      <c r="AA41" s="22">
        <f t="shared" si="9"/>
        <v>0</v>
      </c>
      <c r="AB41" t="str">
        <f t="shared" si="10"/>
        <v xml:space="preserve"> </v>
      </c>
      <c r="AC41" t="str">
        <f t="shared" si="11"/>
        <v xml:space="preserve"> </v>
      </c>
      <c r="AD41" t="str">
        <f t="shared" si="12"/>
        <v xml:space="preserve"> </v>
      </c>
      <c r="AE41" t="str">
        <f t="shared" si="13"/>
        <v xml:space="preserve"> </v>
      </c>
      <c r="AF41">
        <f t="shared" si="14"/>
        <v>21033.62801</v>
      </c>
      <c r="AG41">
        <f t="shared" si="15"/>
        <v>4206.7256020000004</v>
      </c>
      <c r="AH41">
        <f t="shared" si="16"/>
        <v>0</v>
      </c>
    </row>
    <row r="42" spans="1:34">
      <c r="A42" s="29" t="s">
        <v>27</v>
      </c>
      <c r="B42" s="30">
        <f>'Plant Measurments'!C491</f>
        <v>22</v>
      </c>
      <c r="C42" s="31">
        <f>SUM('Plant Measurments'!O493:O503)</f>
        <v>0</v>
      </c>
      <c r="D42" s="32"/>
      <c r="E42" s="17">
        <f>C42*4</f>
        <v>0</v>
      </c>
      <c r="F42" s="31"/>
      <c r="G42" s="33"/>
      <c r="H42" s="24">
        <f t="shared" si="17"/>
        <v>0</v>
      </c>
      <c r="I42" s="31"/>
      <c r="J42" s="33"/>
      <c r="K42" s="17">
        <f t="shared" si="2"/>
        <v>0</v>
      </c>
      <c r="L42" s="31"/>
      <c r="M42" s="33"/>
      <c r="N42" s="17">
        <f t="shared" si="3"/>
        <v>0</v>
      </c>
      <c r="O42" s="31"/>
      <c r="P42" s="33"/>
      <c r="Q42" s="17">
        <f t="shared" si="4"/>
        <v>0</v>
      </c>
      <c r="R42" s="31">
        <f>SUM('Plant Measurments'!O504:O507)</f>
        <v>0</v>
      </c>
      <c r="S42" s="33"/>
      <c r="T42" s="17">
        <f t="shared" si="5"/>
        <v>0</v>
      </c>
      <c r="U42" s="31"/>
      <c r="V42" s="33"/>
      <c r="W42" s="17">
        <f t="shared" si="6"/>
        <v>0</v>
      </c>
      <c r="X42" s="30">
        <f t="shared" si="7"/>
        <v>0</v>
      </c>
      <c r="Y42" s="34"/>
      <c r="Z42" s="22">
        <f t="shared" si="8"/>
        <v>0</v>
      </c>
      <c r="AA42" s="22">
        <f t="shared" si="9"/>
        <v>0</v>
      </c>
      <c r="AB42" t="str">
        <f t="shared" si="10"/>
        <v xml:space="preserve"> </v>
      </c>
      <c r="AC42" t="str">
        <f t="shared" si="11"/>
        <v xml:space="preserve"> </v>
      </c>
      <c r="AD42" t="str">
        <f t="shared" si="12"/>
        <v xml:space="preserve"> </v>
      </c>
      <c r="AE42" t="str">
        <f t="shared" si="13"/>
        <v xml:space="preserve"> </v>
      </c>
      <c r="AF42">
        <f t="shared" si="14"/>
        <v>21033.62801</v>
      </c>
      <c r="AG42">
        <f t="shared" si="15"/>
        <v>4206.7256020000004</v>
      </c>
      <c r="AH42">
        <f t="shared" si="16"/>
        <v>0</v>
      </c>
    </row>
    <row r="43" spans="1:34">
      <c r="A43" s="16" t="s">
        <v>26</v>
      </c>
      <c r="B43" s="17">
        <f>'Plant Measurments'!C506</f>
        <v>27</v>
      </c>
      <c r="C43" s="18"/>
      <c r="D43" s="38"/>
      <c r="E43" s="17">
        <f t="shared" si="0"/>
        <v>0</v>
      </c>
      <c r="F43" s="18"/>
      <c r="G43" s="20"/>
      <c r="H43" s="17"/>
      <c r="I43" s="18"/>
      <c r="J43" s="20"/>
      <c r="K43" s="17">
        <f t="shared" si="2"/>
        <v>0</v>
      </c>
      <c r="L43" s="18"/>
      <c r="M43" s="20"/>
      <c r="N43" s="17">
        <f t="shared" si="3"/>
        <v>0</v>
      </c>
      <c r="O43" s="18"/>
      <c r="P43" s="20"/>
      <c r="Q43" s="17">
        <f t="shared" si="4"/>
        <v>0</v>
      </c>
      <c r="R43" s="18">
        <f>SUM('Plant Measurments'!O509)</f>
        <v>0</v>
      </c>
      <c r="S43" s="20"/>
      <c r="T43" s="17">
        <f t="shared" si="5"/>
        <v>0</v>
      </c>
      <c r="U43" s="18">
        <f>SUM('Plant Measurments'!O508)</f>
        <v>0</v>
      </c>
      <c r="V43" s="19"/>
      <c r="W43" s="17">
        <f t="shared" si="6"/>
        <v>0</v>
      </c>
      <c r="X43" s="17">
        <f t="shared" si="7"/>
        <v>0</v>
      </c>
      <c r="Y43" s="21">
        <f>AVERAGE(X43:X47)</f>
        <v>0</v>
      </c>
      <c r="Z43" s="22">
        <f t="shared" si="8"/>
        <v>0</v>
      </c>
      <c r="AA43" s="22">
        <f t="shared" si="9"/>
        <v>0</v>
      </c>
      <c r="AB43" t="str">
        <f t="shared" si="10"/>
        <v xml:space="preserve"> </v>
      </c>
      <c r="AC43" t="str">
        <f t="shared" si="11"/>
        <v xml:space="preserve"> </v>
      </c>
      <c r="AD43" t="str">
        <f t="shared" si="12"/>
        <v xml:space="preserve"> </v>
      </c>
      <c r="AE43" t="str">
        <f t="shared" si="13"/>
        <v xml:space="preserve"> </v>
      </c>
      <c r="AF43">
        <f t="shared" si="14"/>
        <v>21033.62801</v>
      </c>
      <c r="AG43">
        <f t="shared" si="15"/>
        <v>4206.7256020000004</v>
      </c>
      <c r="AH43">
        <f t="shared" si="16"/>
        <v>0</v>
      </c>
    </row>
    <row r="44" spans="1:34">
      <c r="A44" s="23" t="s">
        <v>26</v>
      </c>
      <c r="B44" s="24">
        <f>'Plant Measurments'!C508</f>
        <v>27</v>
      </c>
      <c r="C44" s="25">
        <f>SUM('Plant Measurments'!O510:O523)</f>
        <v>0</v>
      </c>
      <c r="D44" s="26"/>
      <c r="E44" s="17">
        <f t="shared" si="0"/>
        <v>0</v>
      </c>
      <c r="F44" s="25"/>
      <c r="G44" s="27"/>
      <c r="H44" s="24"/>
      <c r="I44" s="25"/>
      <c r="J44" s="27"/>
      <c r="K44" s="17">
        <f t="shared" si="2"/>
        <v>0</v>
      </c>
      <c r="L44" s="25"/>
      <c r="M44" s="27"/>
      <c r="N44" s="17">
        <f t="shared" si="3"/>
        <v>0</v>
      </c>
      <c r="O44" s="25"/>
      <c r="P44" s="27"/>
      <c r="Q44" s="17">
        <f t="shared" si="4"/>
        <v>0</v>
      </c>
      <c r="R44" s="25"/>
      <c r="S44" s="27"/>
      <c r="T44" s="17">
        <f t="shared" si="5"/>
        <v>0</v>
      </c>
      <c r="U44" s="25"/>
      <c r="V44" s="27"/>
      <c r="W44" s="17">
        <f t="shared" si="6"/>
        <v>0</v>
      </c>
      <c r="X44" s="24">
        <f t="shared" si="7"/>
        <v>0</v>
      </c>
      <c r="Y44" s="28"/>
      <c r="Z44" s="22">
        <f t="shared" si="8"/>
        <v>0</v>
      </c>
      <c r="AA44" s="22">
        <f t="shared" si="9"/>
        <v>0</v>
      </c>
      <c r="AB44" t="str">
        <f t="shared" si="10"/>
        <v xml:space="preserve"> </v>
      </c>
      <c r="AC44" t="str">
        <f t="shared" si="11"/>
        <v xml:space="preserve"> </v>
      </c>
      <c r="AD44" t="str">
        <f t="shared" si="12"/>
        <v xml:space="preserve"> </v>
      </c>
      <c r="AE44" t="str">
        <f t="shared" si="13"/>
        <v xml:space="preserve"> </v>
      </c>
      <c r="AF44">
        <f t="shared" si="14"/>
        <v>21033.62801</v>
      </c>
      <c r="AG44">
        <f t="shared" si="15"/>
        <v>4206.7256020000004</v>
      </c>
      <c r="AH44">
        <f t="shared" si="16"/>
        <v>0</v>
      </c>
    </row>
    <row r="45" spans="1:34">
      <c r="A45" s="23" t="s">
        <v>26</v>
      </c>
      <c r="B45" s="24">
        <f>'Plant Measurments'!C522</f>
        <v>21</v>
      </c>
      <c r="C45" s="25"/>
      <c r="D45" s="26"/>
      <c r="E45" s="17">
        <f t="shared" si="0"/>
        <v>0</v>
      </c>
      <c r="F45" s="25"/>
      <c r="G45" s="27"/>
      <c r="H45" s="24"/>
      <c r="I45" s="25"/>
      <c r="J45" s="27"/>
      <c r="K45" s="17">
        <f t="shared" si="2"/>
        <v>0</v>
      </c>
      <c r="L45" s="25"/>
      <c r="M45" s="27"/>
      <c r="N45" s="17">
        <f t="shared" si="3"/>
        <v>0</v>
      </c>
      <c r="O45" s="25"/>
      <c r="P45" s="27"/>
      <c r="Q45" s="17">
        <f t="shared" si="4"/>
        <v>0</v>
      </c>
      <c r="R45" s="25">
        <f>SUM('Plant Measurments'!O528:O535)</f>
        <v>0</v>
      </c>
      <c r="S45" s="27"/>
      <c r="T45" s="17">
        <f t="shared" si="5"/>
        <v>0</v>
      </c>
      <c r="U45" s="25">
        <f>SUM('Plant Measurments'!O524:O527)</f>
        <v>0</v>
      </c>
      <c r="V45" s="27"/>
      <c r="W45" s="17">
        <f t="shared" si="6"/>
        <v>0</v>
      </c>
      <c r="X45" s="24">
        <f t="shared" si="7"/>
        <v>0</v>
      </c>
      <c r="Y45" s="28"/>
      <c r="Z45" s="22">
        <f t="shared" si="8"/>
        <v>0</v>
      </c>
      <c r="AA45" s="22">
        <f t="shared" si="9"/>
        <v>0</v>
      </c>
      <c r="AB45" t="str">
        <f t="shared" si="10"/>
        <v xml:space="preserve"> </v>
      </c>
      <c r="AC45" t="str">
        <f t="shared" si="11"/>
        <v xml:space="preserve"> </v>
      </c>
      <c r="AD45" t="str">
        <f t="shared" si="12"/>
        <v xml:space="preserve"> </v>
      </c>
      <c r="AE45" t="str">
        <f t="shared" si="13"/>
        <v xml:space="preserve"> </v>
      </c>
      <c r="AF45">
        <f t="shared" si="14"/>
        <v>21033.62801</v>
      </c>
      <c r="AG45">
        <f t="shared" si="15"/>
        <v>4206.7256020000004</v>
      </c>
      <c r="AH45">
        <f t="shared" si="16"/>
        <v>0</v>
      </c>
    </row>
    <row r="46" spans="1:34">
      <c r="A46" s="23" t="s">
        <v>26</v>
      </c>
      <c r="B46" s="24">
        <f>'Plant Measurments'!C534</f>
        <v>20</v>
      </c>
      <c r="C46" s="25">
        <f>SUM('Plant Measurments'!O536)</f>
        <v>0</v>
      </c>
      <c r="D46" s="26"/>
      <c r="E46" s="17">
        <f t="shared" si="0"/>
        <v>0</v>
      </c>
      <c r="F46" s="25"/>
      <c r="G46" s="27"/>
      <c r="H46" s="24">
        <f>F46*4</f>
        <v>0</v>
      </c>
      <c r="I46" s="25"/>
      <c r="J46" s="27"/>
      <c r="K46" s="17">
        <f t="shared" si="2"/>
        <v>0</v>
      </c>
      <c r="L46" s="25"/>
      <c r="M46" s="27"/>
      <c r="N46" s="17">
        <f t="shared" si="3"/>
        <v>0</v>
      </c>
      <c r="O46" s="25"/>
      <c r="P46" s="27"/>
      <c r="Q46" s="17">
        <f t="shared" si="4"/>
        <v>0</v>
      </c>
      <c r="R46" s="25">
        <f>SUM('Plant Measurments'!O544:O546)</f>
        <v>0</v>
      </c>
      <c r="S46" s="27"/>
      <c r="T46" s="17">
        <f t="shared" si="5"/>
        <v>0</v>
      </c>
      <c r="U46" s="25">
        <f>SUM('Plant Measurments'!O537:O543)</f>
        <v>0</v>
      </c>
      <c r="V46" s="27"/>
      <c r="W46" s="17">
        <f t="shared" si="6"/>
        <v>0</v>
      </c>
      <c r="X46" s="24">
        <f t="shared" si="7"/>
        <v>0</v>
      </c>
      <c r="Y46" s="28"/>
      <c r="Z46" s="22">
        <f t="shared" si="8"/>
        <v>0</v>
      </c>
      <c r="AA46" s="22">
        <f t="shared" si="9"/>
        <v>0</v>
      </c>
      <c r="AB46" t="str">
        <f t="shared" si="10"/>
        <v xml:space="preserve"> </v>
      </c>
      <c r="AC46" t="str">
        <f t="shared" si="11"/>
        <v xml:space="preserve"> </v>
      </c>
      <c r="AD46" t="str">
        <f t="shared" si="12"/>
        <v xml:space="preserve"> </v>
      </c>
      <c r="AE46" t="str">
        <f t="shared" si="13"/>
        <v xml:space="preserve"> </v>
      </c>
      <c r="AF46">
        <f t="shared" si="14"/>
        <v>21033.62801</v>
      </c>
      <c r="AG46">
        <f t="shared" si="15"/>
        <v>4206.7256020000004</v>
      </c>
      <c r="AH46">
        <f t="shared" si="16"/>
        <v>0</v>
      </c>
    </row>
    <row r="47" spans="1:34">
      <c r="A47" s="29" t="s">
        <v>26</v>
      </c>
      <c r="B47" s="30">
        <f>'Plant Measurments'!C545</f>
        <v>20</v>
      </c>
      <c r="C47" s="31"/>
      <c r="D47" s="32"/>
      <c r="E47" s="17">
        <f t="shared" si="0"/>
        <v>0</v>
      </c>
      <c r="F47" s="31"/>
      <c r="G47" s="33"/>
      <c r="H47" s="30"/>
      <c r="I47" s="31">
        <f>SUM('Plant Measurments'!O547:O559)</f>
        <v>0</v>
      </c>
      <c r="J47" s="33"/>
      <c r="K47" s="17">
        <f t="shared" si="2"/>
        <v>0</v>
      </c>
      <c r="L47" s="31"/>
      <c r="M47" s="33"/>
      <c r="N47" s="17">
        <f t="shared" si="3"/>
        <v>0</v>
      </c>
      <c r="O47" s="31"/>
      <c r="P47" s="33"/>
      <c r="Q47" s="17">
        <f t="shared" si="4"/>
        <v>0</v>
      </c>
      <c r="R47" s="31">
        <f>SUM('Plant Measurments'!O562:O568)</f>
        <v>0</v>
      </c>
      <c r="S47" s="33"/>
      <c r="T47" s="17">
        <f t="shared" si="5"/>
        <v>0</v>
      </c>
      <c r="U47" s="31">
        <f>SUM('Plant Measurments'!O560:O561)</f>
        <v>0</v>
      </c>
      <c r="V47" s="33"/>
      <c r="W47" s="17">
        <f t="shared" si="6"/>
        <v>0</v>
      </c>
      <c r="X47" s="30">
        <f t="shared" si="7"/>
        <v>0</v>
      </c>
      <c r="Y47" s="34"/>
      <c r="Z47" s="22">
        <f t="shared" si="8"/>
        <v>0</v>
      </c>
      <c r="AA47" s="22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>
      <c r="A48" s="16" t="s">
        <v>21</v>
      </c>
      <c r="B48" s="17">
        <f>'Plant Measurments'!C567</f>
        <v>0</v>
      </c>
      <c r="C48" s="18"/>
      <c r="D48" s="19"/>
      <c r="E48" s="17">
        <f t="shared" si="0"/>
        <v>0</v>
      </c>
      <c r="F48" s="18"/>
      <c r="G48" s="20"/>
      <c r="H48" s="17"/>
      <c r="I48" s="18">
        <f>SUM('Plant Measurments'!O569:O574)</f>
        <v>0</v>
      </c>
      <c r="J48" s="20"/>
      <c r="K48" s="17">
        <f t="shared" si="2"/>
        <v>0</v>
      </c>
      <c r="L48" s="18"/>
      <c r="M48" s="20"/>
      <c r="N48" s="17">
        <f t="shared" si="3"/>
        <v>0</v>
      </c>
      <c r="O48" s="18"/>
      <c r="P48" s="20"/>
      <c r="Q48" s="17">
        <f t="shared" si="4"/>
        <v>0</v>
      </c>
      <c r="R48" s="18">
        <f>SUM('Plant Measurments'!O577:O583)</f>
        <v>0</v>
      </c>
      <c r="S48" s="20"/>
      <c r="T48" s="17">
        <f t="shared" si="5"/>
        <v>0</v>
      </c>
      <c r="U48" s="18">
        <f>SUM('Plant Measurments'!O575:O576)</f>
        <v>0</v>
      </c>
      <c r="V48" s="20"/>
      <c r="W48" s="17">
        <f t="shared" si="6"/>
        <v>0</v>
      </c>
      <c r="X48" s="17">
        <f t="shared" si="7"/>
        <v>0</v>
      </c>
      <c r="Y48" s="21">
        <f>AVERAGE(X48:X52)</f>
        <v>0</v>
      </c>
      <c r="Z48" s="22">
        <f>E48+Q48</f>
        <v>0</v>
      </c>
      <c r="AA48" s="22">
        <f t="shared" si="9"/>
        <v>0</v>
      </c>
      <c r="AB48" t="str">
        <f t="shared" si="10"/>
        <v xml:space="preserve"> </v>
      </c>
      <c r="AC48" t="str">
        <f t="shared" si="11"/>
        <v xml:space="preserve"> </v>
      </c>
      <c r="AD48" t="str">
        <f t="shared" si="12"/>
        <v xml:space="preserve"> </v>
      </c>
      <c r="AE48" t="str">
        <f t="shared" si="13"/>
        <v xml:space="preserve"> </v>
      </c>
      <c r="AF48">
        <f t="shared" si="14"/>
        <v>21033.62801</v>
      </c>
      <c r="AG48">
        <f t="shared" si="15"/>
        <v>4206.7256020000004</v>
      </c>
      <c r="AH48">
        <f t="shared" si="16"/>
        <v>0</v>
      </c>
    </row>
    <row r="49" spans="1:34">
      <c r="A49" s="23" t="s">
        <v>21</v>
      </c>
      <c r="B49" s="24">
        <f>'Plant Measurments'!C582</f>
        <v>0</v>
      </c>
      <c r="C49" s="25"/>
      <c r="D49" s="26"/>
      <c r="E49" s="17">
        <f t="shared" si="0"/>
        <v>0</v>
      </c>
      <c r="F49" s="25"/>
      <c r="G49" s="27"/>
      <c r="H49" s="24"/>
      <c r="I49" s="25"/>
      <c r="J49" s="27"/>
      <c r="K49" s="17">
        <f t="shared" si="2"/>
        <v>0</v>
      </c>
      <c r="L49" s="25"/>
      <c r="M49" s="27"/>
      <c r="N49" s="17">
        <f t="shared" si="3"/>
        <v>0</v>
      </c>
      <c r="O49" s="25"/>
      <c r="P49" s="27"/>
      <c r="Q49" s="17">
        <f t="shared" si="4"/>
        <v>0</v>
      </c>
      <c r="R49" s="25"/>
      <c r="S49" s="27"/>
      <c r="T49" s="17">
        <f t="shared" si="5"/>
        <v>0</v>
      </c>
      <c r="U49" s="25">
        <f>SUM('Plant Measurments'!O589:O596)</f>
        <v>0</v>
      </c>
      <c r="V49" s="27"/>
      <c r="W49" s="17">
        <f t="shared" si="6"/>
        <v>0</v>
      </c>
      <c r="X49" s="24">
        <f t="shared" si="7"/>
        <v>0</v>
      </c>
      <c r="Y49" s="28"/>
      <c r="Z49" s="22">
        <f t="shared" si="8"/>
        <v>0</v>
      </c>
      <c r="AA49" s="22">
        <f t="shared" si="9"/>
        <v>0</v>
      </c>
      <c r="AB49" t="str">
        <f t="shared" si="10"/>
        <v xml:space="preserve"> </v>
      </c>
      <c r="AC49" t="str">
        <f t="shared" si="11"/>
        <v xml:space="preserve"> </v>
      </c>
      <c r="AD49" t="str">
        <f t="shared" si="12"/>
        <v xml:space="preserve"> </v>
      </c>
      <c r="AE49" t="str">
        <f t="shared" si="13"/>
        <v xml:space="preserve"> </v>
      </c>
      <c r="AF49">
        <f t="shared" si="14"/>
        <v>21033.62801</v>
      </c>
      <c r="AG49">
        <f t="shared" si="15"/>
        <v>4206.7256020000004</v>
      </c>
      <c r="AH49">
        <f t="shared" si="16"/>
        <v>0</v>
      </c>
    </row>
    <row r="50" spans="1:34">
      <c r="A50" s="23" t="s">
        <v>21</v>
      </c>
      <c r="B50" s="24">
        <f>'Plant Measurments'!C595</f>
        <v>0</v>
      </c>
      <c r="C50" s="25"/>
      <c r="D50" s="26"/>
      <c r="E50" s="17">
        <f t="shared" si="0"/>
        <v>0</v>
      </c>
      <c r="F50" s="25"/>
      <c r="G50" s="27"/>
      <c r="H50" s="24">
        <f>F50*4</f>
        <v>0</v>
      </c>
      <c r="I50" s="25"/>
      <c r="J50" s="27"/>
      <c r="K50" s="17">
        <f t="shared" si="2"/>
        <v>0</v>
      </c>
      <c r="L50" s="25"/>
      <c r="M50" s="27"/>
      <c r="N50" s="17">
        <f t="shared" si="3"/>
        <v>0</v>
      </c>
      <c r="O50" s="25"/>
      <c r="P50" s="27"/>
      <c r="Q50" s="17">
        <f t="shared" si="4"/>
        <v>0</v>
      </c>
      <c r="R50" s="25"/>
      <c r="S50" s="27"/>
      <c r="T50" s="17">
        <f t="shared" si="5"/>
        <v>0</v>
      </c>
      <c r="U50" s="25">
        <f>SUM('Plant Measurments'!O597:O602)</f>
        <v>0</v>
      </c>
      <c r="V50" s="27"/>
      <c r="W50" s="17">
        <f t="shared" si="6"/>
        <v>0</v>
      </c>
      <c r="X50" s="24">
        <f t="shared" si="7"/>
        <v>0</v>
      </c>
      <c r="Y50" s="28"/>
      <c r="Z50" s="22">
        <f t="shared" si="8"/>
        <v>0</v>
      </c>
      <c r="AA50" s="22">
        <f t="shared" si="9"/>
        <v>0</v>
      </c>
      <c r="AB50" t="str">
        <f t="shared" si="10"/>
        <v xml:space="preserve"> </v>
      </c>
      <c r="AC50" t="str">
        <f t="shared" si="11"/>
        <v xml:space="preserve"> </v>
      </c>
      <c r="AD50" t="str">
        <f t="shared" si="12"/>
        <v xml:space="preserve"> </v>
      </c>
      <c r="AE50" t="str">
        <f t="shared" si="13"/>
        <v xml:space="preserve"> </v>
      </c>
      <c r="AF50">
        <f t="shared" si="14"/>
        <v>21033.62801</v>
      </c>
      <c r="AG50">
        <f t="shared" si="15"/>
        <v>4206.7256020000004</v>
      </c>
      <c r="AH50">
        <f t="shared" si="16"/>
        <v>0</v>
      </c>
    </row>
    <row r="51" spans="1:34">
      <c r="A51" s="23" t="s">
        <v>21</v>
      </c>
      <c r="B51" s="24">
        <f>'Plant Measurments'!C604</f>
        <v>0</v>
      </c>
      <c r="C51" s="25"/>
      <c r="D51" s="26"/>
      <c r="E51" s="17">
        <f t="shared" si="0"/>
        <v>0</v>
      </c>
      <c r="F51" s="25"/>
      <c r="G51" s="27"/>
      <c r="H51" s="24">
        <f>F51*4</f>
        <v>0</v>
      </c>
      <c r="I51" s="25"/>
      <c r="J51" s="27"/>
      <c r="K51" s="17">
        <f t="shared" si="2"/>
        <v>0</v>
      </c>
      <c r="L51" s="25"/>
      <c r="M51" s="27"/>
      <c r="N51" s="17">
        <f t="shared" si="3"/>
        <v>0</v>
      </c>
      <c r="O51" s="25"/>
      <c r="P51" s="27"/>
      <c r="Q51" s="17">
        <f t="shared" si="4"/>
        <v>0</v>
      </c>
      <c r="R51" s="25">
        <f>SUM('Plant Measurments'!O615:O617)</f>
        <v>0</v>
      </c>
      <c r="S51" s="27"/>
      <c r="T51" s="17">
        <f t="shared" si="5"/>
        <v>0</v>
      </c>
      <c r="U51" s="25"/>
      <c r="V51" s="27"/>
      <c r="W51" s="17">
        <f t="shared" si="6"/>
        <v>0</v>
      </c>
      <c r="X51" s="24">
        <f t="shared" si="7"/>
        <v>0</v>
      </c>
      <c r="Y51" s="28"/>
      <c r="Z51" s="22">
        <f t="shared" si="8"/>
        <v>0</v>
      </c>
      <c r="AA51" s="22">
        <f t="shared" si="9"/>
        <v>0</v>
      </c>
      <c r="AB51" t="str">
        <f t="shared" si="10"/>
        <v xml:space="preserve"> </v>
      </c>
      <c r="AC51" t="str">
        <f t="shared" si="11"/>
        <v xml:space="preserve"> </v>
      </c>
      <c r="AD51" t="str">
        <f t="shared" si="12"/>
        <v xml:space="preserve"> </v>
      </c>
      <c r="AE51" t="str">
        <f t="shared" si="13"/>
        <v xml:space="preserve"> </v>
      </c>
      <c r="AF51">
        <f t="shared" si="14"/>
        <v>21033.62801</v>
      </c>
      <c r="AG51">
        <f t="shared" si="15"/>
        <v>4206.7256020000004</v>
      </c>
      <c r="AH51">
        <f t="shared" si="16"/>
        <v>0</v>
      </c>
    </row>
    <row r="52" spans="1:34">
      <c r="A52" s="29" t="s">
        <v>21</v>
      </c>
      <c r="B52" s="30">
        <f>'Plant Measurments'!C615</f>
        <v>0</v>
      </c>
      <c r="C52" s="31"/>
      <c r="D52" s="32"/>
      <c r="E52" s="17">
        <f t="shared" si="0"/>
        <v>0</v>
      </c>
      <c r="F52" s="31"/>
      <c r="G52" s="33"/>
      <c r="H52" s="30"/>
      <c r="I52" s="31"/>
      <c r="J52" s="33"/>
      <c r="K52" s="17">
        <f t="shared" si="2"/>
        <v>0</v>
      </c>
      <c r="L52" s="31"/>
      <c r="M52" s="33"/>
      <c r="N52" s="17">
        <f t="shared" si="3"/>
        <v>0</v>
      </c>
      <c r="O52" s="31"/>
      <c r="P52" s="33"/>
      <c r="Q52" s="17">
        <f t="shared" si="4"/>
        <v>0</v>
      </c>
      <c r="R52" s="31">
        <f>SUM('Plant Measurments'!O620:O624)</f>
        <v>0</v>
      </c>
      <c r="S52" s="33"/>
      <c r="T52" s="17">
        <f t="shared" si="5"/>
        <v>0</v>
      </c>
      <c r="U52" s="31">
        <f>SUM('Plant Measurments'!O617:O619)</f>
        <v>0</v>
      </c>
      <c r="V52" s="33"/>
      <c r="W52" s="17">
        <f t="shared" si="6"/>
        <v>0</v>
      </c>
      <c r="X52" s="30">
        <f t="shared" si="7"/>
        <v>0</v>
      </c>
      <c r="Y52" s="34"/>
      <c r="Z52" s="22">
        <f t="shared" si="8"/>
        <v>0</v>
      </c>
      <c r="AA52" s="22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58</v>
      </c>
      <c r="AB53" t="e">
        <f>AVERAGE(AB3:AB52)</f>
        <v>#DIV/0!</v>
      </c>
      <c r="AC53" t="e">
        <f t="shared" ref="AC53:AE53" si="18">AVERAGE(AC3:AC52)</f>
        <v>#DIV/0!</v>
      </c>
      <c r="AD53" t="e">
        <f t="shared" si="18"/>
        <v>#DIV/0!</v>
      </c>
      <c r="AE53" t="e">
        <f t="shared" si="18"/>
        <v>#DIV/0!</v>
      </c>
      <c r="AG53" t="s">
        <v>59</v>
      </c>
      <c r="AH53">
        <f>SUM(AH3:AH52)</f>
        <v>0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2015-04-09T18:52:39Z</dcterms:modified>
</cp:coreProperties>
</file>