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420" yWindow="0" windowWidth="25600" windowHeight="16060" tabRatio="500" activeTab="1"/>
  </bookViews>
  <sheets>
    <sheet name="WL data" sheetId="1" r:id="rId1"/>
    <sheet name="Bio Tide Calc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F20" i="2"/>
  <c r="E21" i="2"/>
  <c r="F21" i="2"/>
  <c r="E22" i="2"/>
  <c r="F22" i="2"/>
  <c r="E23" i="2"/>
  <c r="F23" i="2"/>
  <c r="E24" i="2"/>
  <c r="F24" i="2"/>
  <c r="D24" i="2"/>
  <c r="D23" i="2"/>
  <c r="D22" i="2"/>
  <c r="D21" i="2"/>
  <c r="D20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H18" i="2"/>
  <c r="H19" i="2"/>
  <c r="G19" i="2"/>
  <c r="G18" i="2"/>
  <c r="H16" i="2"/>
  <c r="H17" i="2"/>
  <c r="G17" i="2"/>
  <c r="G16" i="2"/>
  <c r="E16" i="2"/>
  <c r="F16" i="2"/>
  <c r="E17" i="2"/>
  <c r="F17" i="2"/>
  <c r="E18" i="2"/>
  <c r="F18" i="2"/>
  <c r="E19" i="2"/>
  <c r="F19" i="2"/>
  <c r="D19" i="2"/>
  <c r="D18" i="2"/>
  <c r="D17" i="2"/>
  <c r="D16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I3" i="2"/>
  <c r="J3" i="2"/>
  <c r="G3" i="2"/>
  <c r="K3" i="2"/>
  <c r="H3" i="2"/>
  <c r="L3" i="2"/>
  <c r="I4" i="2"/>
  <c r="J4" i="2"/>
  <c r="G4" i="2"/>
  <c r="K4" i="2"/>
  <c r="H4" i="2"/>
  <c r="L4" i="2"/>
  <c r="I5" i="2"/>
  <c r="J5" i="2"/>
  <c r="G5" i="2"/>
  <c r="K5" i="2"/>
  <c r="H5" i="2"/>
  <c r="L5" i="2"/>
  <c r="I6" i="2"/>
  <c r="J6" i="2"/>
  <c r="G6" i="2"/>
  <c r="K6" i="2"/>
  <c r="H6" i="2"/>
  <c r="L6" i="2"/>
  <c r="I7" i="2"/>
  <c r="J7" i="2"/>
  <c r="G7" i="2"/>
  <c r="K7" i="2"/>
  <c r="H7" i="2"/>
  <c r="L7" i="2"/>
  <c r="H2" i="2"/>
  <c r="D2" i="2"/>
  <c r="E2" i="2"/>
  <c r="F2" i="2"/>
  <c r="J2" i="2"/>
  <c r="L2" i="2"/>
  <c r="G2" i="2"/>
  <c r="K2" i="2"/>
  <c r="I2" i="2"/>
  <c r="D15" i="2"/>
  <c r="D14" i="2"/>
  <c r="I14" i="2"/>
  <c r="E14" i="2"/>
  <c r="F14" i="2"/>
  <c r="J14" i="2"/>
  <c r="G14" i="2"/>
  <c r="K14" i="2"/>
  <c r="H14" i="2"/>
  <c r="L14" i="2"/>
  <c r="I15" i="2"/>
  <c r="E15" i="2"/>
  <c r="F15" i="2"/>
  <c r="J15" i="2"/>
  <c r="G15" i="2"/>
  <c r="K15" i="2"/>
  <c r="H15" i="2"/>
  <c r="L15" i="2"/>
  <c r="H8" i="2"/>
  <c r="D8" i="2"/>
  <c r="E8" i="2"/>
  <c r="F8" i="2"/>
  <c r="J8" i="2"/>
  <c r="L8" i="2"/>
  <c r="H9" i="2"/>
  <c r="D9" i="2"/>
  <c r="E9" i="2"/>
  <c r="F9" i="2"/>
  <c r="J9" i="2"/>
  <c r="L9" i="2"/>
  <c r="H10" i="2"/>
  <c r="D10" i="2"/>
  <c r="E10" i="2"/>
  <c r="F10" i="2"/>
  <c r="J10" i="2"/>
  <c r="L10" i="2"/>
  <c r="H11" i="2"/>
  <c r="D11" i="2"/>
  <c r="E11" i="2"/>
  <c r="F11" i="2"/>
  <c r="J11" i="2"/>
  <c r="L11" i="2"/>
  <c r="H12" i="2"/>
  <c r="D12" i="2"/>
  <c r="E12" i="2"/>
  <c r="F12" i="2"/>
  <c r="J12" i="2"/>
  <c r="L12" i="2"/>
  <c r="H13" i="2"/>
  <c r="D13" i="2"/>
  <c r="E13" i="2"/>
  <c r="F13" i="2"/>
  <c r="J13" i="2"/>
  <c r="L13" i="2"/>
  <c r="G9" i="2"/>
  <c r="K9" i="2"/>
  <c r="G10" i="2"/>
  <c r="K10" i="2"/>
  <c r="G11" i="2"/>
  <c r="K11" i="2"/>
  <c r="G12" i="2"/>
  <c r="K12" i="2"/>
  <c r="G13" i="2"/>
  <c r="K13" i="2"/>
  <c r="G8" i="2"/>
  <c r="K8" i="2"/>
  <c r="I9" i="2"/>
  <c r="I10" i="2"/>
  <c r="I11" i="2"/>
  <c r="I12" i="2"/>
  <c r="I13" i="2"/>
  <c r="I8" i="2"/>
  <c r="C57" i="1"/>
  <c r="C56" i="1"/>
  <c r="C53" i="1"/>
  <c r="D53" i="1"/>
  <c r="E53" i="1"/>
  <c r="G53" i="1"/>
  <c r="C54" i="1"/>
  <c r="D54" i="1"/>
  <c r="E54" i="1"/>
  <c r="G54" i="1"/>
  <c r="D21" i="1"/>
  <c r="D20" i="1"/>
  <c r="C11" i="1"/>
  <c r="C20" i="1"/>
  <c r="C19" i="1"/>
  <c r="C26" i="1"/>
  <c r="C41" i="1"/>
  <c r="C40" i="1"/>
  <c r="C51" i="1"/>
  <c r="D19" i="1"/>
  <c r="D18" i="1"/>
  <c r="D17" i="1"/>
  <c r="D16" i="1"/>
  <c r="C12" i="1"/>
  <c r="C30" i="1"/>
  <c r="C34" i="1"/>
  <c r="C33" i="1"/>
  <c r="C32" i="1"/>
  <c r="D15" i="1"/>
  <c r="D14" i="1"/>
  <c r="D13" i="1"/>
  <c r="D12" i="1"/>
  <c r="D11" i="1"/>
  <c r="D9" i="1"/>
  <c r="D8" i="1"/>
  <c r="B54" i="1"/>
  <c r="B53" i="1"/>
  <c r="B51" i="1"/>
  <c r="B50" i="1"/>
  <c r="B49" i="1"/>
  <c r="B48" i="1"/>
  <c r="B47" i="1"/>
  <c r="B41" i="1"/>
  <c r="B40" i="1"/>
  <c r="B39" i="1"/>
  <c r="B38" i="1"/>
  <c r="B37" i="1"/>
  <c r="B46" i="1"/>
  <c r="B45" i="1"/>
  <c r="B44" i="1"/>
  <c r="B43" i="1"/>
  <c r="B42" i="1"/>
  <c r="B14" i="1"/>
  <c r="B8" i="1"/>
  <c r="B26" i="1"/>
  <c r="B25" i="1"/>
</calcChain>
</file>

<file path=xl/comments1.xml><?xml version="1.0" encoding="utf-8"?>
<comments xmlns="http://schemas.openxmlformats.org/spreadsheetml/2006/main">
  <authors>
    <author>Dan Childers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Dan Childers:</t>
        </r>
        <r>
          <rPr>
            <sz val="9"/>
            <color indexed="81"/>
            <rFont val="Calibri"/>
            <family val="2"/>
          </rPr>
          <t xml:space="preserve">
Scales up our 50 quads (0.25m2 ea) to the entire wetland area of 210,336 m2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Dan Childers:</t>
        </r>
        <r>
          <rPr>
            <sz val="9"/>
            <color indexed="81"/>
            <rFont val="Calibri"/>
            <family val="2"/>
          </rPr>
          <t xml:space="preserve">
using the almost-nonvarying WL of 0.263m
</t>
        </r>
      </text>
    </comment>
  </commentList>
</comments>
</file>

<file path=xl/sharedStrings.xml><?xml version="1.0" encoding="utf-8"?>
<sst xmlns="http://schemas.openxmlformats.org/spreadsheetml/2006/main" count="96" uniqueCount="39">
  <si>
    <t>M1E</t>
  </si>
  <si>
    <t>M1W</t>
  </si>
  <si>
    <t>C1</t>
  </si>
  <si>
    <t>M2</t>
  </si>
  <si>
    <t>C2</t>
  </si>
  <si>
    <t>M3</t>
  </si>
  <si>
    <t>M4S</t>
  </si>
  <si>
    <t>M4C</t>
  </si>
  <si>
    <t>M4N</t>
  </si>
  <si>
    <t>M5</t>
  </si>
  <si>
    <t>stdev=</t>
  </si>
  <si>
    <t>average(m)=</t>
  </si>
  <si>
    <t>Nov 2012</t>
  </si>
  <si>
    <t>Jan 2013</t>
  </si>
  <si>
    <t>March 2013</t>
  </si>
  <si>
    <t>May 2013</t>
  </si>
  <si>
    <t>July 2013</t>
  </si>
  <si>
    <t>Sept 2013</t>
  </si>
  <si>
    <t>Overall average=</t>
  </si>
  <si>
    <t>Overall SE=</t>
  </si>
  <si>
    <t>Month</t>
  </si>
  <si>
    <t>Avg Mo Transp (m3/d)</t>
  </si>
  <si>
    <t>SE Transp (m3/d)</t>
  </si>
  <si>
    <t>Year</t>
  </si>
  <si>
    <t>July</t>
  </si>
  <si>
    <t>Sept</t>
  </si>
  <si>
    <t>Nov</t>
  </si>
  <si>
    <t>Jan</t>
  </si>
  <si>
    <t>March</t>
  </si>
  <si>
    <t>May</t>
  </si>
  <si>
    <t>Plant Vol (m3)</t>
  </si>
  <si>
    <t>Quad Stem area (m2)</t>
  </si>
  <si>
    <t>Total Stem area (m2)</t>
  </si>
  <si>
    <t>Marsh Vol (m3)</t>
  </si>
  <si>
    <t>Actual H2O Vol (m3)</t>
  </si>
  <si>
    <t>% Transp</t>
  </si>
  <si>
    <t>SE % Transp</t>
  </si>
  <si>
    <t>Mo Count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</si>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</sst>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5.xml"/><Relationship Id="rId28" Type="http://schemas.openxmlformats.org/officeDocument/2006/relationships/externalLink" Target="externalLinks/externalLink26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externalLink" Target="externalLinks/externalLink7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3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6.xml"/><Relationship Id="rId19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uly%20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Sept%20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Nov%20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an%20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r%20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May%20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July%2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IRGA%20data/Chris%20-%20Water%20Budget/Water%20Budget%20Data%20Analysis%20Files/Time-Series%20ET%20NEW%20(3-14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ement%20data%20for%20analysis%20-%20Sept%20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November%2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IRGA%20data/Chris%20-%20Water%20Budget/Water%20Budget%20Data%20Analysis%20Files/Time-Series%20ET%20(Sept%20201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IRGA:ET%20data/Chris%20-%20Water%20Budget/Water%20Budget%20Data%20Analysis%20Files/Time-Series%20ET%20NEW%20(3-14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January%20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rch%20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Plant%20Measurment%20Data%20For%20Analysis-May%20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ment%20Data%20For%20Analysis-July%20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ment%20Data%20For%20Analysis-Sept%20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ment%20Data%20For%20Analysis-November%20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ment%20Data%20For%20Analysis-January%20201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Plant%20Measurment%20Data%20For%20Analysis-March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Sept%20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Nov%20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Jan%20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rch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Macrophyte%20data/Nich's%20data%20files/Plant%20Measurement%20data%20for%20analysis%20-%20May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R%20plant%20biomass%20data/Plant%20Measurement%20data%20for%20analysis%20-%20July%20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IRGA%20data/Chris%20-%20Water%20Budget/Water%20Budget%20Data%20Analysis%20Files/Time-Series%20ET%20NEW%20(July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  <sheetName val="Sheet2"/>
      <sheetName val="Sheet1"/>
    </sheetNames>
    <sheetDataSet>
      <sheetData sheetId="0">
        <row r="1546">
          <cell r="Q1546">
            <v>3440.6252286604995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39">
          <cell r="S1139">
            <v>6438.083095785506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29">
          <cell r="S729">
            <v>4727.5729383152493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03">
          <cell r="S303">
            <v>1877.2826478749998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96">
          <cell r="S596">
            <v>1344.2499970957508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89">
          <cell r="S989">
            <v>3117.7769048794953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773">
          <cell r="S773">
            <v>4584.8101351837558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ime-scaling"/>
      <sheetName val="Daily Bio from Bio Deriv"/>
      <sheetName val="Daily totals"/>
      <sheetName val="Monthly totals"/>
    </sheetNames>
    <sheetDataSet>
      <sheetData sheetId="0"/>
      <sheetData sheetId="1"/>
      <sheetData sheetId="2">
        <row r="712">
          <cell r="H712">
            <v>8892.5267076251166</v>
          </cell>
        </row>
        <row r="713">
          <cell r="H713">
            <v>8623.8157727241487</v>
          </cell>
        </row>
        <row r="714">
          <cell r="H714">
            <v>8429.9713742675194</v>
          </cell>
        </row>
        <row r="715">
          <cell r="H715">
            <v>7591.879564532127</v>
          </cell>
        </row>
        <row r="716">
          <cell r="H716">
            <v>6072.7298680284202</v>
          </cell>
        </row>
        <row r="718">
          <cell r="H718">
            <v>7092.3626159418181</v>
          </cell>
        </row>
        <row r="719">
          <cell r="H719">
            <v>7552.5347496101631</v>
          </cell>
        </row>
        <row r="720">
          <cell r="H720">
            <v>8127.1584366453581</v>
          </cell>
        </row>
        <row r="721">
          <cell r="H721">
            <v>5527.7642273281535</v>
          </cell>
        </row>
        <row r="722">
          <cell r="H722">
            <v>6391.3878813464116</v>
          </cell>
        </row>
        <row r="723">
          <cell r="H723">
            <v>6221.3269534821957</v>
          </cell>
        </row>
        <row r="724">
          <cell r="H724">
            <v>7956.234459517088</v>
          </cell>
        </row>
        <row r="725">
          <cell r="H725">
            <v>8309.9183673158277</v>
          </cell>
        </row>
        <row r="726">
          <cell r="H726">
            <v>8249.1434580975729</v>
          </cell>
        </row>
        <row r="727">
          <cell r="H727">
            <v>6955.3317888769807</v>
          </cell>
        </row>
        <row r="728">
          <cell r="H728">
            <v>5845.6910468531141</v>
          </cell>
        </row>
        <row r="729">
          <cell r="H729">
            <v>5288.2024044417349</v>
          </cell>
        </row>
        <row r="730">
          <cell r="H730">
            <v>6574.7085984192781</v>
          </cell>
        </row>
        <row r="731">
          <cell r="H731">
            <v>7143.3990703509835</v>
          </cell>
        </row>
        <row r="733">
          <cell r="H733">
            <v>6797.3328071378701</v>
          </cell>
        </row>
        <row r="734">
          <cell r="H734">
            <v>7578.2961589368206</v>
          </cell>
        </row>
        <row r="735">
          <cell r="H735">
            <v>7891.4162516559982</v>
          </cell>
        </row>
        <row r="736">
          <cell r="H736">
            <v>7219.0602854057252</v>
          </cell>
        </row>
        <row r="737">
          <cell r="H737">
            <v>7538.421690179106</v>
          </cell>
        </row>
        <row r="738">
          <cell r="H738">
            <v>7645.078085913683</v>
          </cell>
        </row>
        <row r="739">
          <cell r="H739">
            <v>7950.4119733633033</v>
          </cell>
        </row>
        <row r="740">
          <cell r="H740">
            <v>7829.4457634757564</v>
          </cell>
        </row>
        <row r="741">
          <cell r="H741">
            <v>7714.8180579470172</v>
          </cell>
        </row>
        <row r="742">
          <cell r="H742">
            <v>7621.3725807076753</v>
          </cell>
        </row>
        <row r="774">
          <cell r="H774">
            <v>6471.9067034789932</v>
          </cell>
        </row>
        <row r="775">
          <cell r="H775">
            <v>5479.9343281588854</v>
          </cell>
        </row>
        <row r="777">
          <cell r="H777">
            <v>6560.5412317076298</v>
          </cell>
        </row>
        <row r="779">
          <cell r="H779">
            <v>5856.862590727239</v>
          </cell>
        </row>
        <row r="780">
          <cell r="H780">
            <v>5379.5824754269288</v>
          </cell>
        </row>
        <row r="781">
          <cell r="H781">
            <v>5110.0683792211885</v>
          </cell>
        </row>
        <row r="782">
          <cell r="H782">
            <v>4456.0490574189471</v>
          </cell>
        </row>
        <row r="783">
          <cell r="H783">
            <v>4698.246156877226</v>
          </cell>
        </row>
        <row r="784">
          <cell r="H784">
            <v>5307.7578041817715</v>
          </cell>
        </row>
        <row r="785">
          <cell r="H785">
            <v>5060.1595947896421</v>
          </cell>
        </row>
        <row r="786">
          <cell r="H786">
            <v>6005.6431393342618</v>
          </cell>
        </row>
        <row r="787">
          <cell r="H787">
            <v>5938.237373238032</v>
          </cell>
        </row>
        <row r="788">
          <cell r="H788">
            <v>4155.0369872901556</v>
          </cell>
        </row>
        <row r="789">
          <cell r="H789">
            <v>5803.8419825691944</v>
          </cell>
        </row>
        <row r="790">
          <cell r="H790">
            <v>5421.2970253009535</v>
          </cell>
        </row>
        <row r="791">
          <cell r="H791">
            <v>5873.423768169193</v>
          </cell>
        </row>
        <row r="792">
          <cell r="H792">
            <v>5424.3618942906687</v>
          </cell>
        </row>
        <row r="793">
          <cell r="H793">
            <v>5438.9348835332457</v>
          </cell>
        </row>
        <row r="794">
          <cell r="H794">
            <v>4373.8545002042138</v>
          </cell>
        </row>
        <row r="795">
          <cell r="H795">
            <v>3990.1233250192804</v>
          </cell>
        </row>
        <row r="796">
          <cell r="H796">
            <v>4706.9275208426043</v>
          </cell>
        </row>
        <row r="797">
          <cell r="H797">
            <v>4801.4323866561981</v>
          </cell>
        </row>
        <row r="799">
          <cell r="H799">
            <v>4716.8472652952914</v>
          </cell>
        </row>
        <row r="800">
          <cell r="H800">
            <v>4381.8189780692919</v>
          </cell>
        </row>
        <row r="801">
          <cell r="H801">
            <v>4407.9349218544403</v>
          </cell>
        </row>
        <row r="803">
          <cell r="H803">
            <v>4501.8768333126754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577">
          <cell r="S577">
            <v>3813.0944167132488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Data Analysis"/>
    </sheetNames>
    <sheetDataSet>
      <sheetData sheetId="0">
        <row r="502">
          <cell r="S502">
            <v>6190.0082160352385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ET Time-scaling"/>
      <sheetName val="Daily Bio from Bio Deriv"/>
      <sheetName val="Daily ET totals"/>
      <sheetName val="Monthly ET totals"/>
      <sheetName val="Sheet1"/>
    </sheetNames>
    <sheetDataSet>
      <sheetData sheetId="0"/>
      <sheetData sheetId="1"/>
      <sheetData sheetId="2">
        <row r="852">
          <cell r="H852">
            <v>637.76351200030172</v>
          </cell>
        </row>
        <row r="853">
          <cell r="H853">
            <v>640.75469048897423</v>
          </cell>
        </row>
        <row r="854">
          <cell r="H854">
            <v>1684.5814132104047</v>
          </cell>
        </row>
        <row r="855">
          <cell r="H855">
            <v>290.68309430474142</v>
          </cell>
        </row>
        <row r="857">
          <cell r="H857">
            <v>1061.1223602085895</v>
          </cell>
        </row>
        <row r="858">
          <cell r="H858">
            <v>1176.7432427366423</v>
          </cell>
        </row>
        <row r="860">
          <cell r="H860">
            <v>1275.6314719385857</v>
          </cell>
        </row>
        <row r="861">
          <cell r="H861">
            <v>1475.9862286525533</v>
          </cell>
        </row>
        <row r="862">
          <cell r="H862">
            <v>288.15070595105459</v>
          </cell>
        </row>
        <row r="863">
          <cell r="H863">
            <v>1089.8240934032835</v>
          </cell>
        </row>
        <row r="864">
          <cell r="H864">
            <v>866.79579656031024</v>
          </cell>
        </row>
        <row r="899">
          <cell r="H899">
            <v>367.70478085467914</v>
          </cell>
        </row>
        <row r="900">
          <cell r="H900">
            <v>813.36393409448738</v>
          </cell>
        </row>
        <row r="901">
          <cell r="H901">
            <v>561.55384790376206</v>
          </cell>
        </row>
        <row r="903">
          <cell r="H903">
            <v>230.87383661612066</v>
          </cell>
        </row>
        <row r="909">
          <cell r="H909">
            <v>693.03293391946261</v>
          </cell>
        </row>
        <row r="910">
          <cell r="H910">
            <v>163.44714978433697</v>
          </cell>
        </row>
        <row r="911">
          <cell r="H911">
            <v>580.96291453750518</v>
          </cell>
        </row>
        <row r="912">
          <cell r="H912">
            <v>219.71571309664051</v>
          </cell>
        </row>
        <row r="916">
          <cell r="H916">
            <v>722.39786488191203</v>
          </cell>
        </row>
        <row r="917">
          <cell r="H917">
            <v>1008.8368813135708</v>
          </cell>
        </row>
        <row r="918">
          <cell r="H918">
            <v>901.75141309594119</v>
          </cell>
        </row>
        <row r="919">
          <cell r="H919">
            <v>939.34233228890366</v>
          </cell>
        </row>
        <row r="920">
          <cell r="H920">
            <v>1059.4819390083821</v>
          </cell>
        </row>
        <row r="921">
          <cell r="H921">
            <v>928.6450463176941</v>
          </cell>
        </row>
        <row r="922">
          <cell r="H922">
            <v>1003.669161489894</v>
          </cell>
        </row>
        <row r="923">
          <cell r="H923">
            <v>886.82483845993124</v>
          </cell>
        </row>
        <row r="924">
          <cell r="H924">
            <v>894.81823070931216</v>
          </cell>
        </row>
        <row r="925">
          <cell r="H925">
            <v>952.58924255511215</v>
          </cell>
        </row>
        <row r="926">
          <cell r="H926">
            <v>918.63786058542541</v>
          </cell>
        </row>
        <row r="955">
          <cell r="H955">
            <v>910.56078793068536</v>
          </cell>
        </row>
        <row r="956">
          <cell r="H956">
            <v>947.09920698486803</v>
          </cell>
        </row>
        <row r="957">
          <cell r="H957">
            <v>1041.1120453262117</v>
          </cell>
        </row>
        <row r="958">
          <cell r="H958">
            <v>1072.6272612426396</v>
          </cell>
        </row>
        <row r="959">
          <cell r="H959">
            <v>1176.4311703881094</v>
          </cell>
        </row>
        <row r="960">
          <cell r="H960">
            <v>1100.1234792347666</v>
          </cell>
        </row>
        <row r="961">
          <cell r="H961">
            <v>1198.6285628689441</v>
          </cell>
        </row>
        <row r="962">
          <cell r="H962">
            <v>1300.440860998237</v>
          </cell>
        </row>
        <row r="963">
          <cell r="H963">
            <v>1311.9825134839355</v>
          </cell>
        </row>
        <row r="964">
          <cell r="H964">
            <v>1287.5188092757405</v>
          </cell>
        </row>
        <row r="965">
          <cell r="H965">
            <v>1317.0650654810622</v>
          </cell>
        </row>
        <row r="966">
          <cell r="H966">
            <v>1344.111143279752</v>
          </cell>
        </row>
        <row r="967">
          <cell r="H967">
            <v>1380.3859039171969</v>
          </cell>
        </row>
        <row r="968">
          <cell r="H968">
            <v>1440.4085051923721</v>
          </cell>
        </row>
        <row r="969">
          <cell r="H969">
            <v>1472.1178723741766</v>
          </cell>
        </row>
        <row r="970">
          <cell r="H970">
            <v>1495.5278574396202</v>
          </cell>
        </row>
        <row r="971">
          <cell r="H971">
            <v>1540.3396667377692</v>
          </cell>
        </row>
        <row r="972">
          <cell r="H972">
            <v>1558.3121188335326</v>
          </cell>
        </row>
        <row r="973">
          <cell r="H973">
            <v>1477.6704561507117</v>
          </cell>
        </row>
        <row r="974">
          <cell r="H974">
            <v>1484.6251509653475</v>
          </cell>
        </row>
        <row r="975">
          <cell r="H975">
            <v>1566.5978345999529</v>
          </cell>
        </row>
        <row r="976">
          <cell r="H976">
            <v>1643.5805924460838</v>
          </cell>
        </row>
        <row r="977">
          <cell r="H977">
            <v>1658.9985382700615</v>
          </cell>
        </row>
        <row r="978">
          <cell r="H978">
            <v>1774.2022305172675</v>
          </cell>
        </row>
        <row r="979">
          <cell r="H979">
            <v>1833.6115647060219</v>
          </cell>
        </row>
        <row r="980">
          <cell r="H980">
            <v>1781.3538791663966</v>
          </cell>
        </row>
        <row r="981">
          <cell r="H981">
            <v>1642.3353978231789</v>
          </cell>
        </row>
        <row r="982">
          <cell r="H982">
            <v>1712.6540681085648</v>
          </cell>
        </row>
        <row r="983">
          <cell r="H983">
            <v>1852.8423396619557</v>
          </cell>
        </row>
        <row r="984">
          <cell r="H984">
            <v>1734.3571658728688</v>
          </cell>
        </row>
        <row r="985">
          <cell r="H985">
            <v>1818.0758410232925</v>
          </cell>
        </row>
        <row r="1016">
          <cell r="H1016">
            <v>3132.8494676891232</v>
          </cell>
        </row>
        <row r="1017">
          <cell r="H1017">
            <v>3221.0919439027662</v>
          </cell>
        </row>
        <row r="1018">
          <cell r="H1018">
            <v>3410.6067889028704</v>
          </cell>
        </row>
        <row r="1019">
          <cell r="H1019">
            <v>3650.118690565741</v>
          </cell>
        </row>
        <row r="1020">
          <cell r="H1020">
            <v>3533.3971639841193</v>
          </cell>
        </row>
        <row r="1021">
          <cell r="H1021">
            <v>3035.6508028211892</v>
          </cell>
        </row>
        <row r="1022">
          <cell r="H1022">
            <v>2735.7561730853045</v>
          </cell>
        </row>
        <row r="1023">
          <cell r="H1023">
            <v>3120.3111680988027</v>
          </cell>
        </row>
        <row r="1024">
          <cell r="H1024">
            <v>3220.7672880145842</v>
          </cell>
        </row>
        <row r="1025">
          <cell r="H1025">
            <v>3499.45423529245</v>
          </cell>
        </row>
        <row r="1026">
          <cell r="H1026">
            <v>3216.1604895639193</v>
          </cell>
        </row>
        <row r="1027">
          <cell r="H1027">
            <v>3374.4338789687099</v>
          </cell>
        </row>
        <row r="1028">
          <cell r="H1028">
            <v>3585.9721305304392</v>
          </cell>
        </row>
        <row r="1029">
          <cell r="H1029">
            <v>3629.9913696049043</v>
          </cell>
        </row>
        <row r="1030">
          <cell r="H1030">
            <v>3858.0417692451074</v>
          </cell>
        </row>
        <row r="1031">
          <cell r="H1031">
            <v>4047.426527859403</v>
          </cell>
        </row>
        <row r="1032">
          <cell r="H1032">
            <v>4331.6284015947294</v>
          </cell>
        </row>
        <row r="1033">
          <cell r="H1033">
            <v>4088.1304923572002</v>
          </cell>
        </row>
        <row r="1034">
          <cell r="H1034">
            <v>4198.0581356421299</v>
          </cell>
        </row>
        <row r="1035">
          <cell r="H1035">
            <v>4052.1802363386305</v>
          </cell>
        </row>
        <row r="1036">
          <cell r="H1036">
            <v>3751.7077335427866</v>
          </cell>
        </row>
        <row r="1037">
          <cell r="H1037">
            <v>3769.8937018323513</v>
          </cell>
        </row>
        <row r="1038">
          <cell r="H1038">
            <v>3816.5613191071311</v>
          </cell>
        </row>
        <row r="1039">
          <cell r="H1039">
            <v>3967.5575231059056</v>
          </cell>
        </row>
        <row r="1040">
          <cell r="H1040">
            <v>4345.3685481358752</v>
          </cell>
        </row>
        <row r="1041">
          <cell r="H1041">
            <v>4643.9389577325128</v>
          </cell>
        </row>
        <row r="1042">
          <cell r="H1042">
            <v>4843.0173748065408</v>
          </cell>
        </row>
        <row r="1043">
          <cell r="H1043">
            <v>4678.419678267519</v>
          </cell>
        </row>
        <row r="1044">
          <cell r="H1044">
            <v>4658.4986817026765</v>
          </cell>
        </row>
        <row r="1045">
          <cell r="H1045">
            <v>4896.3379486700815</v>
          </cell>
        </row>
        <row r="1046">
          <cell r="H1046">
            <v>5012.5891782392546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me-scaling"/>
      <sheetName val="Daily Bio from Bio Deriv"/>
      <sheetName val="Daily totals"/>
      <sheetName val="Monthly totals"/>
    </sheetNames>
    <sheetDataSet>
      <sheetData sheetId="0"/>
      <sheetData sheetId="1"/>
      <sheetData sheetId="2">
        <row r="3">
          <cell r="H3">
            <v>13775.085731896686</v>
          </cell>
        </row>
        <row r="4">
          <cell r="H4">
            <v>14092.707314898327</v>
          </cell>
        </row>
        <row r="5">
          <cell r="H5">
            <v>13872.898107899582</v>
          </cell>
        </row>
        <row r="6">
          <cell r="H6">
            <v>12575.612445605822</v>
          </cell>
        </row>
        <row r="7">
          <cell r="H7">
            <v>12807.004690607402</v>
          </cell>
        </row>
        <row r="8">
          <cell r="H8">
            <v>11751.161143368734</v>
          </cell>
        </row>
        <row r="9">
          <cell r="H9">
            <v>12729.433195507661</v>
          </cell>
        </row>
        <row r="10">
          <cell r="H10">
            <v>12937.757465288618</v>
          </cell>
        </row>
        <row r="11">
          <cell r="H11">
            <v>12703.998867546634</v>
          </cell>
        </row>
        <row r="12">
          <cell r="H12">
            <v>11622.825572366257</v>
          </cell>
        </row>
        <row r="13">
          <cell r="H13">
            <v>11373.038337856173</v>
          </cell>
        </row>
        <row r="14">
          <cell r="H14">
            <v>11812.93399534249</v>
          </cell>
        </row>
        <row r="15">
          <cell r="H15">
            <v>11627.414476101048</v>
          </cell>
        </row>
        <row r="16">
          <cell r="H16">
            <v>10789.731230656111</v>
          </cell>
        </row>
        <row r="17">
          <cell r="H17">
            <v>10730.802298284003</v>
          </cell>
        </row>
        <row r="18">
          <cell r="H18">
            <v>10977.651997542822</v>
          </cell>
        </row>
        <row r="19">
          <cell r="H19">
            <v>11470.500460506622</v>
          </cell>
        </row>
        <row r="20">
          <cell r="H20">
            <v>11583.227467863224</v>
          </cell>
        </row>
        <row r="21">
          <cell r="H21">
            <v>11099.384022517233</v>
          </cell>
        </row>
        <row r="22">
          <cell r="H22">
            <v>11441.477715885212</v>
          </cell>
        </row>
        <row r="23">
          <cell r="H23">
            <v>10955.201897014364</v>
          </cell>
        </row>
        <row r="24">
          <cell r="H24">
            <v>10654.597519292696</v>
          </cell>
        </row>
        <row r="25">
          <cell r="H25">
            <v>10338.51543346214</v>
          </cell>
        </row>
        <row r="26">
          <cell r="H26">
            <v>9911.7126351631305</v>
          </cell>
        </row>
        <row r="27">
          <cell r="H27">
            <v>8496.7807327699393</v>
          </cell>
        </row>
        <row r="28">
          <cell r="H28">
            <v>9976.7651515088801</v>
          </cell>
        </row>
        <row r="29">
          <cell r="H29">
            <v>9744.2493774958439</v>
          </cell>
        </row>
        <row r="30">
          <cell r="H30">
            <v>9744.3537099603291</v>
          </cell>
        </row>
        <row r="31">
          <cell r="H31">
            <v>9267.7941328736615</v>
          </cell>
        </row>
        <row r="32">
          <cell r="H32">
            <v>9496.5019815220621</v>
          </cell>
        </row>
        <row r="33">
          <cell r="H33">
            <v>9063.2799917744906</v>
          </cell>
        </row>
        <row r="65">
          <cell r="H65">
            <v>5190.3170101372862</v>
          </cell>
        </row>
        <row r="66">
          <cell r="H66">
            <v>4436.497627220806</v>
          </cell>
        </row>
        <row r="67">
          <cell r="H67">
            <v>4724.3398364653967</v>
          </cell>
        </row>
        <row r="68">
          <cell r="H68">
            <v>4856.8048049372119</v>
          </cell>
        </row>
        <row r="69">
          <cell r="H69">
            <v>4962.6963875479451</v>
          </cell>
        </row>
        <row r="70">
          <cell r="H70">
            <v>4769.860390801231</v>
          </cell>
        </row>
        <row r="71">
          <cell r="H71">
            <v>4813.3780392357985</v>
          </cell>
        </row>
        <row r="72">
          <cell r="H72">
            <v>4848.5017893075974</v>
          </cell>
        </row>
        <row r="73">
          <cell r="H73">
            <v>4264.08741149465</v>
          </cell>
        </row>
        <row r="74">
          <cell r="H74">
            <v>4176.7010005452821</v>
          </cell>
        </row>
        <row r="75">
          <cell r="H75">
            <v>3915.1899670425673</v>
          </cell>
        </row>
        <row r="76">
          <cell r="H76">
            <v>3989.6418859996447</v>
          </cell>
        </row>
        <row r="77">
          <cell r="H77">
            <v>3669.6647739005966</v>
          </cell>
        </row>
        <row r="78">
          <cell r="H78">
            <v>3767.6174425422032</v>
          </cell>
        </row>
        <row r="79">
          <cell r="H79">
            <v>3950.0102183791232</v>
          </cell>
        </row>
        <row r="80">
          <cell r="H80">
            <v>3961.0507230254284</v>
          </cell>
        </row>
        <row r="81">
          <cell r="H81">
            <v>4073.4917504857385</v>
          </cell>
        </row>
        <row r="82">
          <cell r="H82">
            <v>4071.0191867252142</v>
          </cell>
        </row>
        <row r="83">
          <cell r="H83">
            <v>4100.0985463522693</v>
          </cell>
        </row>
        <row r="84">
          <cell r="H84">
            <v>4076.3511308224824</v>
          </cell>
        </row>
        <row r="85">
          <cell r="H85">
            <v>4160.6341503833974</v>
          </cell>
        </row>
        <row r="86">
          <cell r="H86">
            <v>4310.2681569816195</v>
          </cell>
        </row>
        <row r="87">
          <cell r="H87">
            <v>4354.1968643736509</v>
          </cell>
        </row>
        <row r="88">
          <cell r="H88">
            <v>4214.6442077266365</v>
          </cell>
        </row>
        <row r="89">
          <cell r="H89">
            <v>4217.4473996765309</v>
          </cell>
        </row>
        <row r="90">
          <cell r="H90">
            <v>3977.1310764227992</v>
          </cell>
        </row>
        <row r="91">
          <cell r="H91">
            <v>4084.2664930527894</v>
          </cell>
        </row>
        <row r="92">
          <cell r="H92">
            <v>3994.782363907013</v>
          </cell>
        </row>
        <row r="93">
          <cell r="H93">
            <v>4167.9693001840506</v>
          </cell>
        </row>
        <row r="94">
          <cell r="H94">
            <v>4207.238229454766</v>
          </cell>
        </row>
        <row r="126">
          <cell r="H126">
            <v>2672.6179408129606</v>
          </cell>
        </row>
        <row r="127">
          <cell r="H127">
            <v>2547.6287329717279</v>
          </cell>
        </row>
        <row r="128">
          <cell r="H128">
            <v>2311.200502490401</v>
          </cell>
        </row>
        <row r="129">
          <cell r="H129">
            <v>2284.9041210675591</v>
          </cell>
        </row>
        <row r="130">
          <cell r="H130">
            <v>1608.8080523397837</v>
          </cell>
        </row>
        <row r="131">
          <cell r="H131">
            <v>1656.2722815872858</v>
          </cell>
        </row>
        <row r="132">
          <cell r="H132">
            <v>1426.4685387449026</v>
          </cell>
        </row>
        <row r="133">
          <cell r="H133">
            <v>1550.0026409987877</v>
          </cell>
        </row>
        <row r="134">
          <cell r="H134">
            <v>1852.6759065563547</v>
          </cell>
        </row>
        <row r="135">
          <cell r="H135">
            <v>1972.311550094154</v>
          </cell>
        </row>
        <row r="136">
          <cell r="H136">
            <v>1896.5868624089753</v>
          </cell>
        </row>
        <row r="137">
          <cell r="H137">
            <v>1901.5528056660742</v>
          </cell>
        </row>
        <row r="138">
          <cell r="H138">
            <v>1735.7322149434506</v>
          </cell>
        </row>
        <row r="139">
          <cell r="H139">
            <v>1775.896949844496</v>
          </cell>
        </row>
        <row r="140">
          <cell r="H140">
            <v>1739.1334763641589</v>
          </cell>
        </row>
        <row r="141">
          <cell r="H141">
            <v>1819.813603074298</v>
          </cell>
        </row>
        <row r="142">
          <cell r="H142">
            <v>1884.1427846733573</v>
          </cell>
        </row>
        <row r="143">
          <cell r="H143">
            <v>1744.3890126203942</v>
          </cell>
        </row>
        <row r="144">
          <cell r="H144">
            <v>1716.7787075978354</v>
          </cell>
        </row>
        <row r="145">
          <cell r="H145">
            <v>1593.9800669816823</v>
          </cell>
        </row>
        <row r="146">
          <cell r="H146">
            <v>1597.7818337191857</v>
          </cell>
        </row>
        <row r="147">
          <cell r="H147">
            <v>1556.51464914433</v>
          </cell>
        </row>
        <row r="148">
          <cell r="H148">
            <v>1750.0530875045868</v>
          </cell>
        </row>
        <row r="149">
          <cell r="H149">
            <v>1186.1726509055547</v>
          </cell>
        </row>
        <row r="150">
          <cell r="H150">
            <v>1549.6252608172758</v>
          </cell>
        </row>
        <row r="151">
          <cell r="H151">
            <v>1618.6776794627358</v>
          </cell>
        </row>
        <row r="152">
          <cell r="H152">
            <v>1522.562605021079</v>
          </cell>
        </row>
        <row r="153">
          <cell r="H153">
            <v>1436.0128116423616</v>
          </cell>
        </row>
        <row r="154">
          <cell r="H154">
            <v>1222.8420302406576</v>
          </cell>
        </row>
        <row r="155">
          <cell r="H155">
            <v>1361.8945252642047</v>
          </cell>
        </row>
        <row r="187">
          <cell r="H187">
            <v>919.52220712843541</v>
          </cell>
        </row>
        <row r="188">
          <cell r="H188">
            <v>1015.6573041444652</v>
          </cell>
        </row>
        <row r="189">
          <cell r="H189">
            <v>858.47842661952291</v>
          </cell>
        </row>
        <row r="190">
          <cell r="H190">
            <v>855.76507651566715</v>
          </cell>
        </row>
        <row r="191">
          <cell r="H191">
            <v>843.8183420880448</v>
          </cell>
        </row>
        <row r="192">
          <cell r="H192">
            <v>742.93017563848161</v>
          </cell>
        </row>
        <row r="193">
          <cell r="H193">
            <v>730.90963449500418</v>
          </cell>
        </row>
        <row r="194">
          <cell r="H194">
            <v>705.66978882421711</v>
          </cell>
        </row>
        <row r="195">
          <cell r="H195">
            <v>710.13217795894911</v>
          </cell>
        </row>
        <row r="196">
          <cell r="H196">
            <v>647.31313080765244</v>
          </cell>
        </row>
        <row r="197">
          <cell r="H197">
            <v>595.60145901265548</v>
          </cell>
        </row>
        <row r="198">
          <cell r="H198">
            <v>530.71066318393571</v>
          </cell>
        </row>
        <row r="199">
          <cell r="H199">
            <v>649.61598243919002</v>
          </cell>
        </row>
        <row r="200">
          <cell r="H200">
            <v>626.94486698933827</v>
          </cell>
        </row>
        <row r="201">
          <cell r="H201">
            <v>564.90126643742838</v>
          </cell>
        </row>
        <row r="202">
          <cell r="H202">
            <v>684.81690443796629</v>
          </cell>
        </row>
        <row r="203">
          <cell r="H203">
            <v>660.55236072698892</v>
          </cell>
        </row>
        <row r="204">
          <cell r="H204">
            <v>640.58653870468572</v>
          </cell>
        </row>
        <row r="205">
          <cell r="H205">
            <v>648.85281089561386</v>
          </cell>
        </row>
        <row r="206">
          <cell r="H206">
            <v>636.36037005678679</v>
          </cell>
        </row>
        <row r="207">
          <cell r="H207">
            <v>609.08900374164125</v>
          </cell>
        </row>
        <row r="208">
          <cell r="H208">
            <v>583.36840483129549</v>
          </cell>
        </row>
        <row r="209">
          <cell r="H209">
            <v>496.98046556463811</v>
          </cell>
        </row>
        <row r="210">
          <cell r="H210">
            <v>634.07253649208837</v>
          </cell>
        </row>
        <row r="211">
          <cell r="H211">
            <v>713.15188202774698</v>
          </cell>
        </row>
        <row r="212">
          <cell r="H212">
            <v>678.02457387286483</v>
          </cell>
        </row>
        <row r="213">
          <cell r="H213">
            <v>591.58834788666934</v>
          </cell>
        </row>
        <row r="214">
          <cell r="H214">
            <v>804.28624884770136</v>
          </cell>
        </row>
        <row r="215">
          <cell r="H215">
            <v>755.06121890521786</v>
          </cell>
        </row>
        <row r="216">
          <cell r="H216">
            <v>692.66060153751539</v>
          </cell>
        </row>
        <row r="217">
          <cell r="H217">
            <v>686.78025636133475</v>
          </cell>
        </row>
        <row r="247">
          <cell r="H247">
            <v>564.8472612381679</v>
          </cell>
        </row>
        <row r="248">
          <cell r="H248">
            <v>603.32183558888073</v>
          </cell>
        </row>
        <row r="249">
          <cell r="H249">
            <v>643.42842174557404</v>
          </cell>
        </row>
        <row r="250">
          <cell r="H250">
            <v>813.30533817746459</v>
          </cell>
        </row>
        <row r="251">
          <cell r="H251">
            <v>843.78825386636629</v>
          </cell>
        </row>
        <row r="252">
          <cell r="H252">
            <v>976.25363485862329</v>
          </cell>
        </row>
        <row r="253">
          <cell r="H253">
            <v>699.63496879360844</v>
          </cell>
        </row>
        <row r="254">
          <cell r="H254">
            <v>822.802846676586</v>
          </cell>
        </row>
        <row r="255">
          <cell r="H255">
            <v>949.10338972445595</v>
          </cell>
        </row>
        <row r="256">
          <cell r="H256">
            <v>1013.3809064958875</v>
          </cell>
        </row>
        <row r="257">
          <cell r="H257">
            <v>1035.8649440184076</v>
          </cell>
        </row>
        <row r="258">
          <cell r="H258">
            <v>1160.412502175453</v>
          </cell>
        </row>
        <row r="259">
          <cell r="H259">
            <v>1254.9797184371491</v>
          </cell>
        </row>
        <row r="260">
          <cell r="H260">
            <v>1280.8493804088268</v>
          </cell>
        </row>
        <row r="261">
          <cell r="H261">
            <v>1361.4453223491055</v>
          </cell>
        </row>
        <row r="262">
          <cell r="H262">
            <v>1450.9059521905135</v>
          </cell>
        </row>
        <row r="263">
          <cell r="H263">
            <v>1348.5905443641009</v>
          </cell>
        </row>
        <row r="265">
          <cell r="H265">
            <v>925.97554092908683</v>
          </cell>
        </row>
        <row r="266">
          <cell r="H266">
            <v>1138.0496988935004</v>
          </cell>
        </row>
        <row r="267">
          <cell r="H267">
            <v>1367.6569180314773</v>
          </cell>
        </row>
        <row r="268">
          <cell r="H268">
            <v>1649.4405365104606</v>
          </cell>
        </row>
        <row r="269">
          <cell r="H269">
            <v>1836.7131795897058</v>
          </cell>
        </row>
        <row r="270">
          <cell r="H270">
            <v>1868.1618101528918</v>
          </cell>
        </row>
        <row r="271">
          <cell r="H271">
            <v>1799.3440178451867</v>
          </cell>
        </row>
        <row r="272">
          <cell r="H272">
            <v>1712.8219345636667</v>
          </cell>
        </row>
        <row r="273">
          <cell r="H273">
            <v>1872.8215133066465</v>
          </cell>
        </row>
        <row r="274">
          <cell r="H274">
            <v>2009.1070207628645</v>
          </cell>
        </row>
        <row r="275">
          <cell r="H275">
            <v>2155.9156944493147</v>
          </cell>
        </row>
        <row r="276">
          <cell r="H276">
            <v>2268.5251921969511</v>
          </cell>
        </row>
        <row r="277">
          <cell r="H277">
            <v>2479.6869193805837</v>
          </cell>
        </row>
        <row r="308">
          <cell r="H308">
            <v>4512.7175730432882</v>
          </cell>
        </row>
        <row r="309">
          <cell r="H309">
            <v>4524.7063926509718</v>
          </cell>
        </row>
        <row r="310">
          <cell r="H310">
            <v>4626.0344591910216</v>
          </cell>
        </row>
        <row r="311">
          <cell r="H311">
            <v>4821.9155604603375</v>
          </cell>
        </row>
        <row r="312">
          <cell r="H312">
            <v>4846.032530704676</v>
          </cell>
        </row>
        <row r="313">
          <cell r="H313">
            <v>4823.9476512931733</v>
          </cell>
        </row>
        <row r="314">
          <cell r="H314">
            <v>4715.2663791182313</v>
          </cell>
        </row>
        <row r="315">
          <cell r="H315">
            <v>4867.2571838210424</v>
          </cell>
        </row>
        <row r="316">
          <cell r="H316">
            <v>4956.2112852438513</v>
          </cell>
        </row>
        <row r="317">
          <cell r="H317">
            <v>4946.505020593615</v>
          </cell>
        </row>
        <row r="318">
          <cell r="H318">
            <v>5633.2941265996042</v>
          </cell>
        </row>
        <row r="319">
          <cell r="H319">
            <v>5683.0687082440818</v>
          </cell>
        </row>
        <row r="320">
          <cell r="H320">
            <v>5888.3844725051822</v>
          </cell>
        </row>
        <row r="321">
          <cell r="H321">
            <v>6275.9214012023031</v>
          </cell>
        </row>
        <row r="322">
          <cell r="H322">
            <v>6522.8829213082099</v>
          </cell>
        </row>
        <row r="323">
          <cell r="H323">
            <v>6505.3874009196643</v>
          </cell>
        </row>
        <row r="324">
          <cell r="H324">
            <v>6504.0179034972116</v>
          </cell>
        </row>
        <row r="325">
          <cell r="H325">
            <v>6305.0096010314028</v>
          </cell>
        </row>
        <row r="326">
          <cell r="H326">
            <v>6245.5814014151583</v>
          </cell>
        </row>
        <row r="327">
          <cell r="H327">
            <v>6489.3807953300047</v>
          </cell>
        </row>
        <row r="328">
          <cell r="H328">
            <v>6821.7103872932285</v>
          </cell>
        </row>
        <row r="329">
          <cell r="H329">
            <v>7314.6425388586822</v>
          </cell>
        </row>
        <row r="330">
          <cell r="H330">
            <v>6937.3297630003908</v>
          </cell>
        </row>
        <row r="331">
          <cell r="H331">
            <v>6803.3986311723074</v>
          </cell>
        </row>
        <row r="332">
          <cell r="H332">
            <v>6351.1987747703379</v>
          </cell>
        </row>
        <row r="333">
          <cell r="H333">
            <v>5547.2355593076545</v>
          </cell>
        </row>
        <row r="334">
          <cell r="H334">
            <v>5772.1271205659805</v>
          </cell>
        </row>
        <row r="335">
          <cell r="H335">
            <v>6267.4277916659885</v>
          </cell>
        </row>
        <row r="336">
          <cell r="H336">
            <v>6784.4265449755812</v>
          </cell>
        </row>
        <row r="337">
          <cell r="H337">
            <v>7277.1831302991313</v>
          </cell>
        </row>
        <row r="338">
          <cell r="H338">
            <v>7902.4684631977689</v>
          </cell>
        </row>
      </sheetData>
      <sheetData sheetId="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356">
          <cell r="S356">
            <v>4170.2242418127535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608">
          <cell r="S608">
            <v>3011.4290568355004</v>
          </cell>
        </row>
      </sheetData>
      <sheetData sheetId="1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S627">
            <v>2828.4813120767508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565">
          <cell r="S565">
            <v>5125.3853328979994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564">
          <cell r="S564">
            <v>4720.8346204639938</v>
          </cell>
        </row>
      </sheetData>
      <sheetData sheetId="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94">
          <cell r="S494">
            <v>6541.004165199487</v>
          </cell>
        </row>
      </sheetData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456">
          <cell r="S456">
            <v>92525.788679213438</v>
          </cell>
        </row>
      </sheetData>
      <sheetData sheetId="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ments"/>
      <sheetName val="Quadrat Totals"/>
    </sheetNames>
    <sheetDataSet>
      <sheetData sheetId="0">
        <row r="767">
          <cell r="S767">
            <v>1636.6217562867498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03">
          <cell r="Q1103">
            <v>2986.8454867674923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906">
          <cell r="Q906">
            <v>4317.2800276792468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627">
          <cell r="Q627">
            <v>3362.232033834001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  <sheetName val="Sheet1"/>
    </sheetNames>
    <sheetDataSet>
      <sheetData sheetId="0">
        <row r="693">
          <cell r="Q693">
            <v>1804.1424091914987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199">
          <cell r="R1199">
            <v>3688.4397383417495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t Measurements"/>
      <sheetName val="Quadrat totals"/>
    </sheetNames>
    <sheetDataSet>
      <sheetData sheetId="0">
        <row r="1400">
          <cell r="S1400">
            <v>4029.0193017500046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ime-scaling"/>
      <sheetName val="Daily Bio from Bio Deriv"/>
      <sheetName val="Daily totals"/>
      <sheetName val="Monthly totals"/>
    </sheetNames>
    <sheetDataSet>
      <sheetData sheetId="0"/>
      <sheetData sheetId="1"/>
      <sheetData sheetId="2">
        <row r="369">
          <cell r="H369">
            <v>8718.4479050784521</v>
          </cell>
        </row>
        <row r="370">
          <cell r="H370">
            <v>8651.8355751850904</v>
          </cell>
        </row>
        <row r="371">
          <cell r="H371">
            <v>7865.740172734113</v>
          </cell>
        </row>
        <row r="372">
          <cell r="H372">
            <v>5133.3504448610292</v>
          </cell>
        </row>
        <row r="373">
          <cell r="H373">
            <v>6933.8104900646713</v>
          </cell>
        </row>
        <row r="374">
          <cell r="H374">
            <v>8220.0672103728157</v>
          </cell>
        </row>
        <row r="375">
          <cell r="H375">
            <v>8642.9838109189222</v>
          </cell>
        </row>
        <row r="376">
          <cell r="H376">
            <v>8381.8412714827246</v>
          </cell>
        </row>
        <row r="377">
          <cell r="H377">
            <v>9151.3774940939511</v>
          </cell>
        </row>
        <row r="378">
          <cell r="H378">
            <v>8916.2329370615571</v>
          </cell>
        </row>
        <row r="379">
          <cell r="H379">
            <v>8735.7281603614665</v>
          </cell>
        </row>
        <row r="380">
          <cell r="H380">
            <v>7285.423699792158</v>
          </cell>
        </row>
        <row r="381">
          <cell r="H381">
            <v>6580.930238805875</v>
          </cell>
        </row>
        <row r="382">
          <cell r="H382">
            <v>5857.3248542122665</v>
          </cell>
        </row>
        <row r="383">
          <cell r="H383">
            <v>6924.8619418790531</v>
          </cell>
        </row>
        <row r="384">
          <cell r="H384">
            <v>7508.4514141460941</v>
          </cell>
        </row>
        <row r="385">
          <cell r="H385">
            <v>7504.3377373770318</v>
          </cell>
        </row>
        <row r="386">
          <cell r="H386">
            <v>7529.0532284259089</v>
          </cell>
        </row>
        <row r="387">
          <cell r="H387">
            <v>7372.5547145719183</v>
          </cell>
        </row>
        <row r="388">
          <cell r="H388">
            <v>7836.8602025338378</v>
          </cell>
        </row>
        <row r="389">
          <cell r="H389">
            <v>7518.8793845441951</v>
          </cell>
        </row>
        <row r="390">
          <cell r="H390">
            <v>7106.8106071546745</v>
          </cell>
        </row>
        <row r="391">
          <cell r="H391">
            <v>7189.6730194487536</v>
          </cell>
        </row>
        <row r="392">
          <cell r="H392">
            <v>7492.7463672097729</v>
          </cell>
        </row>
        <row r="393">
          <cell r="H393">
            <v>7446.8501393751067</v>
          </cell>
        </row>
        <row r="394">
          <cell r="H394">
            <v>7482.2093992025011</v>
          </cell>
        </row>
        <row r="395">
          <cell r="H395">
            <v>7659.2551768664744</v>
          </cell>
        </row>
        <row r="396">
          <cell r="H396">
            <v>5924.7917934742418</v>
          </cell>
        </row>
        <row r="397">
          <cell r="H397">
            <v>6181.2455580335345</v>
          </cell>
        </row>
        <row r="398">
          <cell r="H398">
            <v>6016.6346182652469</v>
          </cell>
        </row>
        <row r="399">
          <cell r="H399">
            <v>6426.2268107316149</v>
          </cell>
        </row>
        <row r="431">
          <cell r="H431">
            <v>4892.2404370829654</v>
          </cell>
        </row>
        <row r="432">
          <cell r="H432">
            <v>5094.5718596808392</v>
          </cell>
        </row>
        <row r="433">
          <cell r="H433">
            <v>4089.9349708398372</v>
          </cell>
        </row>
        <row r="434">
          <cell r="H434">
            <v>4966.6224710999832</v>
          </cell>
        </row>
        <row r="435">
          <cell r="H435">
            <v>4919.2777406477153</v>
          </cell>
        </row>
        <row r="436">
          <cell r="H436">
            <v>4791.6248587216633</v>
          </cell>
        </row>
        <row r="437">
          <cell r="H437">
            <v>3535.6120141502606</v>
          </cell>
        </row>
        <row r="438">
          <cell r="H438">
            <v>4184.6022819483487</v>
          </cell>
        </row>
        <row r="439">
          <cell r="H439">
            <v>4398.1389095803552</v>
          </cell>
        </row>
        <row r="440">
          <cell r="H440">
            <v>4346.8240131040275</v>
          </cell>
        </row>
        <row r="441">
          <cell r="H441">
            <v>3124.6818541368284</v>
          </cell>
        </row>
        <row r="442">
          <cell r="H442">
            <v>3755.8808936602877</v>
          </cell>
        </row>
        <row r="443">
          <cell r="H443">
            <v>4439.5687165166282</v>
          </cell>
        </row>
        <row r="444">
          <cell r="H444">
            <v>3083.7393356222397</v>
          </cell>
        </row>
        <row r="445">
          <cell r="H445">
            <v>3560.9704904572181</v>
          </cell>
        </row>
        <row r="446">
          <cell r="H446">
            <v>3179.3212509067971</v>
          </cell>
        </row>
        <row r="447">
          <cell r="H447">
            <v>4100.4885404204761</v>
          </cell>
        </row>
        <row r="448">
          <cell r="H448">
            <v>3840.6823842472131</v>
          </cell>
        </row>
        <row r="449">
          <cell r="H449">
            <v>3295.3129503648643</v>
          </cell>
        </row>
        <row r="450">
          <cell r="H450">
            <v>4252.3682604256173</v>
          </cell>
        </row>
        <row r="451">
          <cell r="H451">
            <v>2839.430041661632</v>
          </cell>
        </row>
        <row r="452">
          <cell r="H452">
            <v>4005.3292511723553</v>
          </cell>
        </row>
        <row r="453">
          <cell r="H453">
            <v>3841.6259248127944</v>
          </cell>
        </row>
        <row r="454">
          <cell r="H454">
            <v>3796.2726532992019</v>
          </cell>
        </row>
        <row r="455">
          <cell r="H455">
            <v>2431.4114036509231</v>
          </cell>
        </row>
        <row r="456">
          <cell r="H456">
            <v>3543.9663937330906</v>
          </cell>
        </row>
        <row r="457">
          <cell r="H457">
            <v>2054.5330756850644</v>
          </cell>
        </row>
        <row r="458">
          <cell r="H458">
            <v>2862.5381748019008</v>
          </cell>
        </row>
        <row r="459">
          <cell r="H459">
            <v>3612.7677283898188</v>
          </cell>
        </row>
        <row r="460">
          <cell r="H460">
            <v>3623.1407657077352</v>
          </cell>
        </row>
        <row r="492">
          <cell r="H492">
            <v>1685.5696680948076</v>
          </cell>
        </row>
        <row r="493">
          <cell r="H493">
            <v>1659.276935196164</v>
          </cell>
        </row>
        <row r="494">
          <cell r="H494">
            <v>1622.5712675075401</v>
          </cell>
        </row>
        <row r="495">
          <cell r="H495">
            <v>1765.7824084108104</v>
          </cell>
        </row>
        <row r="496">
          <cell r="H496">
            <v>1753.822201222574</v>
          </cell>
        </row>
        <row r="497">
          <cell r="H497">
            <v>1027.586556754876</v>
          </cell>
        </row>
        <row r="498">
          <cell r="H498">
            <v>1464.507315226597</v>
          </cell>
        </row>
        <row r="499">
          <cell r="H499">
            <v>1499.4429432949846</v>
          </cell>
        </row>
        <row r="500">
          <cell r="H500">
            <v>1331.8952427511765</v>
          </cell>
        </row>
        <row r="501">
          <cell r="H501">
            <v>690.40834767478668</v>
          </cell>
        </row>
        <row r="502">
          <cell r="H502">
            <v>648.25288503073602</v>
          </cell>
        </row>
        <row r="503">
          <cell r="H503">
            <v>864.14176003615478</v>
          </cell>
        </row>
        <row r="504">
          <cell r="H504">
            <v>748.12454424866837</v>
          </cell>
        </row>
        <row r="505">
          <cell r="H505">
            <v>1090.5754140691447</v>
          </cell>
        </row>
        <row r="506">
          <cell r="H506">
            <v>804.71837316167841</v>
          </cell>
        </row>
        <row r="507">
          <cell r="H507">
            <v>1101.7546487175127</v>
          </cell>
        </row>
        <row r="508">
          <cell r="H508">
            <v>637.08533908649031</v>
          </cell>
        </row>
        <row r="509">
          <cell r="H509">
            <v>1072.6129114885082</v>
          </cell>
        </row>
        <row r="510">
          <cell r="H510">
            <v>495.29716818338591</v>
          </cell>
        </row>
        <row r="511">
          <cell r="H511">
            <v>680.49560851006584</v>
          </cell>
        </row>
        <row r="512">
          <cell r="H512">
            <v>1080.8151653297991</v>
          </cell>
        </row>
        <row r="513">
          <cell r="H513">
            <v>930.16766219189162</v>
          </cell>
        </row>
        <row r="514">
          <cell r="H514">
            <v>795.68042369094132</v>
          </cell>
        </row>
        <row r="515">
          <cell r="H515">
            <v>1173.6020827125965</v>
          </cell>
        </row>
        <row r="516">
          <cell r="H516">
            <v>508.18243224977306</v>
          </cell>
        </row>
        <row r="517">
          <cell r="H517">
            <v>545.09354606541501</v>
          </cell>
        </row>
        <row r="518">
          <cell r="H518">
            <v>784.35187100462099</v>
          </cell>
        </row>
        <row r="519">
          <cell r="H519">
            <v>829.04104758197343</v>
          </cell>
        </row>
        <row r="520">
          <cell r="H520">
            <v>72.136808132395018</v>
          </cell>
        </row>
        <row r="521">
          <cell r="H521">
            <v>812.31912920881064</v>
          </cell>
        </row>
        <row r="531">
          <cell r="H531">
            <v>136.61613489023657</v>
          </cell>
        </row>
        <row r="532">
          <cell r="H532">
            <v>213.37041557421176</v>
          </cell>
        </row>
        <row r="533">
          <cell r="H533">
            <v>395.41447930418565</v>
          </cell>
        </row>
        <row r="534">
          <cell r="H534">
            <v>234.00479772056741</v>
          </cell>
        </row>
        <row r="535">
          <cell r="H535">
            <v>344.76421673845778</v>
          </cell>
        </row>
        <row r="536">
          <cell r="H536">
            <v>132.78678708302698</v>
          </cell>
        </row>
        <row r="537">
          <cell r="H537">
            <v>153.58083374354334</v>
          </cell>
        </row>
        <row r="538">
          <cell r="H538">
            <v>960.11739271067324</v>
          </cell>
        </row>
        <row r="539">
          <cell r="H539">
            <v>266.69689241748313</v>
          </cell>
        </row>
        <row r="540">
          <cell r="H540">
            <v>186.1887790414624</v>
          </cell>
        </row>
        <row r="541">
          <cell r="H541">
            <v>180.45468585480452</v>
          </cell>
        </row>
        <row r="542">
          <cell r="H542">
            <v>144.73075387878316</v>
          </cell>
        </row>
        <row r="543">
          <cell r="H543">
            <v>43.002869047738713</v>
          </cell>
        </row>
        <row r="544">
          <cell r="H544">
            <v>138.1596983608911</v>
          </cell>
        </row>
        <row r="545">
          <cell r="H545">
            <v>46.495520221651248</v>
          </cell>
        </row>
        <row r="546">
          <cell r="H546">
            <v>236.46249596689563</v>
          </cell>
        </row>
        <row r="547">
          <cell r="H547">
            <v>492.86409611056405</v>
          </cell>
        </row>
        <row r="548">
          <cell r="H548">
            <v>518.25975006248962</v>
          </cell>
        </row>
        <row r="549">
          <cell r="H549">
            <v>398.69130267549542</v>
          </cell>
        </row>
        <row r="550">
          <cell r="H550">
            <v>258.68646972977785</v>
          </cell>
        </row>
        <row r="551">
          <cell r="H551">
            <v>602.29314516570867</v>
          </cell>
        </row>
        <row r="552">
          <cell r="H552">
            <v>353.28177296884803</v>
          </cell>
        </row>
        <row r="553">
          <cell r="H553">
            <v>622.91168805620975</v>
          </cell>
        </row>
        <row r="554">
          <cell r="H554">
            <v>397.50254809315709</v>
          </cell>
        </row>
        <row r="555">
          <cell r="H555">
            <v>476.4340354154026</v>
          </cell>
        </row>
        <row r="556">
          <cell r="H556">
            <v>335.37276930522648</v>
          </cell>
        </row>
        <row r="557">
          <cell r="H557">
            <v>438.33631662947784</v>
          </cell>
        </row>
        <row r="558">
          <cell r="H558">
            <v>295.93649073310206</v>
          </cell>
        </row>
        <row r="559">
          <cell r="H559">
            <v>290.36085555099356</v>
          </cell>
        </row>
        <row r="560">
          <cell r="H560">
            <v>352.5989154426577</v>
          </cell>
        </row>
        <row r="561">
          <cell r="H561">
            <v>57.281063043618204</v>
          </cell>
        </row>
        <row r="590">
          <cell r="H590">
            <v>568.97286467179117</v>
          </cell>
        </row>
        <row r="591">
          <cell r="H591">
            <v>682.63672036080743</v>
          </cell>
        </row>
        <row r="592">
          <cell r="H592">
            <v>88.629467285142027</v>
          </cell>
        </row>
        <row r="593">
          <cell r="H593">
            <v>694.15708623950661</v>
          </cell>
        </row>
        <row r="594">
          <cell r="H594">
            <v>714.56630938718843</v>
          </cell>
        </row>
        <row r="595">
          <cell r="H595">
            <v>854.5126695596972</v>
          </cell>
        </row>
        <row r="596">
          <cell r="H596">
            <v>826.55296850856644</v>
          </cell>
        </row>
        <row r="597">
          <cell r="H597">
            <v>429.33241383065649</v>
          </cell>
        </row>
        <row r="598">
          <cell r="H598">
            <v>310.68410832775299</v>
          </cell>
        </row>
        <row r="599">
          <cell r="H599">
            <v>724.02459132366585</v>
          </cell>
        </row>
        <row r="600">
          <cell r="H600">
            <v>892.57182456182636</v>
          </cell>
        </row>
        <row r="601">
          <cell r="H601">
            <v>1090.3610038293236</v>
          </cell>
        </row>
        <row r="602">
          <cell r="H602">
            <v>509.54598224075289</v>
          </cell>
        </row>
        <row r="603">
          <cell r="H603">
            <v>1458.1054805983545</v>
          </cell>
        </row>
        <row r="604">
          <cell r="H604">
            <v>1478.0239025937228</v>
          </cell>
        </row>
        <row r="605">
          <cell r="H605">
            <v>1463.8639788159257</v>
          </cell>
        </row>
        <row r="606">
          <cell r="H606">
            <v>1148.3946581754867</v>
          </cell>
        </row>
        <row r="607">
          <cell r="H607">
            <v>257.8391430980239</v>
          </cell>
        </row>
        <row r="608">
          <cell r="H608">
            <v>1136.0710265380026</v>
          </cell>
        </row>
        <row r="609">
          <cell r="H609">
            <v>1509.9869910313391</v>
          </cell>
        </row>
        <row r="610">
          <cell r="H610">
            <v>1857.1340081998851</v>
          </cell>
        </row>
        <row r="611">
          <cell r="H611">
            <v>1441.9052919985497</v>
          </cell>
        </row>
        <row r="612">
          <cell r="H612">
            <v>1539.4901123288075</v>
          </cell>
        </row>
        <row r="613">
          <cell r="H613">
            <v>72.126654054973002</v>
          </cell>
        </row>
        <row r="614">
          <cell r="H614">
            <v>1590.0307135334317</v>
          </cell>
        </row>
        <row r="615">
          <cell r="H615">
            <v>1891.3438601502901</v>
          </cell>
        </row>
        <row r="616">
          <cell r="H616">
            <v>1853.9618484997204</v>
          </cell>
        </row>
        <row r="617">
          <cell r="H617">
            <v>2020.2806410819037</v>
          </cell>
        </row>
        <row r="618">
          <cell r="H618">
            <v>2138.2048780029731</v>
          </cell>
        </row>
        <row r="619">
          <cell r="H619">
            <v>2028.0280520717829</v>
          </cell>
        </row>
        <row r="620">
          <cell r="H620">
            <v>470.73989428412438</v>
          </cell>
        </row>
        <row r="651">
          <cell r="H651">
            <v>4680.2193070208659</v>
          </cell>
        </row>
        <row r="652">
          <cell r="H652">
            <v>4768.7626256628073</v>
          </cell>
        </row>
        <row r="653">
          <cell r="H653">
            <v>4524.6353579655688</v>
          </cell>
        </row>
        <row r="654">
          <cell r="H654">
            <v>3500.706012445336</v>
          </cell>
        </row>
        <row r="655">
          <cell r="H655">
            <v>4609.573673671267</v>
          </cell>
        </row>
        <row r="656">
          <cell r="H656">
            <v>4299.8895421629031</v>
          </cell>
        </row>
        <row r="657">
          <cell r="H657">
            <v>4241.4158077633829</v>
          </cell>
        </row>
        <row r="658">
          <cell r="H658">
            <v>3382.8600268106957</v>
          </cell>
        </row>
        <row r="659">
          <cell r="H659">
            <v>4422.5467132783251</v>
          </cell>
        </row>
        <row r="660">
          <cell r="H660">
            <v>5185.4599012967437</v>
          </cell>
        </row>
        <row r="661">
          <cell r="H661">
            <v>134.68046612621183</v>
          </cell>
        </row>
        <row r="662">
          <cell r="H662">
            <v>5774.750094192721</v>
          </cell>
        </row>
        <row r="663">
          <cell r="H663">
            <v>6133.1416211611322</v>
          </cell>
        </row>
        <row r="664">
          <cell r="H664">
            <v>6360.7377970433117</v>
          </cell>
        </row>
        <row r="665">
          <cell r="H665">
            <v>6384.1040701422899</v>
          </cell>
        </row>
        <row r="666">
          <cell r="H666">
            <v>6224.7392256074017</v>
          </cell>
        </row>
        <row r="667">
          <cell r="H667">
            <v>5435.5966909159224</v>
          </cell>
        </row>
        <row r="668">
          <cell r="H668">
            <v>5900.8107801818205</v>
          </cell>
        </row>
        <row r="669">
          <cell r="H669">
            <v>6080.9493618458564</v>
          </cell>
        </row>
        <row r="670">
          <cell r="H670">
            <v>6299.4037296573215</v>
          </cell>
        </row>
        <row r="671">
          <cell r="H671">
            <v>6221.2758588636407</v>
          </cell>
        </row>
        <row r="672">
          <cell r="H672">
            <v>6718.989511150392</v>
          </cell>
        </row>
        <row r="673">
          <cell r="H673">
            <v>6566.3850419752735</v>
          </cell>
        </row>
        <row r="674">
          <cell r="H674">
            <v>6489.8800234505352</v>
          </cell>
        </row>
        <row r="675">
          <cell r="H675">
            <v>6551.0482895666173</v>
          </cell>
        </row>
        <row r="676">
          <cell r="H676">
            <v>3892.0838277362659</v>
          </cell>
        </row>
        <row r="677">
          <cell r="H677">
            <v>6034.9917710521659</v>
          </cell>
        </row>
        <row r="678">
          <cell r="H678">
            <v>6370.3851073653941</v>
          </cell>
        </row>
        <row r="679">
          <cell r="H679">
            <v>6997.3157234212085</v>
          </cell>
        </row>
        <row r="680">
          <cell r="H680">
            <v>7154.4360245433945</v>
          </cell>
        </row>
        <row r="681">
          <cell r="H681">
            <v>3468.2501348450232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pane ySplit="860" topLeftCell="A6" activePane="bottomLeft"/>
      <selection activeCell="B2" sqref="B2"/>
      <selection pane="bottomLeft" activeCell="C58" sqref="C58"/>
    </sheetView>
  </sheetViews>
  <sheetFormatPr baseColWidth="10" defaultRowHeight="15" x14ac:dyDescent="0"/>
  <sheetData>
    <row r="1" spans="1:9" ht="16" thickBot="1"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4"/>
      <c r="I1" s="4"/>
    </row>
    <row r="2" spans="1:9">
      <c r="A2" t="s">
        <v>0</v>
      </c>
      <c r="C2">
        <v>18</v>
      </c>
      <c r="E2">
        <v>40</v>
      </c>
    </row>
    <row r="3" spans="1:9">
      <c r="A3" t="s">
        <v>0</v>
      </c>
      <c r="E3">
        <v>36</v>
      </c>
    </row>
    <row r="4" spans="1:9">
      <c r="A4" t="s">
        <v>0</v>
      </c>
      <c r="E4">
        <v>38</v>
      </c>
    </row>
    <row r="5" spans="1:9">
      <c r="A5" t="s">
        <v>0</v>
      </c>
      <c r="E5">
        <v>41</v>
      </c>
    </row>
    <row r="6" spans="1:9">
      <c r="A6" t="s">
        <v>0</v>
      </c>
      <c r="E6">
        <v>19</v>
      </c>
    </row>
    <row r="7" spans="1:9">
      <c r="A7" t="s">
        <v>1</v>
      </c>
      <c r="B7" s="2">
        <v>40</v>
      </c>
      <c r="C7">
        <v>26</v>
      </c>
      <c r="D7">
        <v>24</v>
      </c>
      <c r="E7">
        <v>27</v>
      </c>
      <c r="G7">
        <v>41</v>
      </c>
    </row>
    <row r="8" spans="1:9">
      <c r="A8" t="s">
        <v>1</v>
      </c>
      <c r="B8" s="2">
        <f>AVERAGE(14,26,11)</f>
        <v>17</v>
      </c>
      <c r="C8">
        <v>23</v>
      </c>
      <c r="D8">
        <f>AVERAGE(28,8,13)</f>
        <v>16.333333333333332</v>
      </c>
      <c r="E8">
        <v>36</v>
      </c>
      <c r="G8">
        <v>23</v>
      </c>
    </row>
    <row r="9" spans="1:9">
      <c r="A9" t="s">
        <v>1</v>
      </c>
      <c r="B9" s="2">
        <v>31</v>
      </c>
      <c r="C9">
        <v>8</v>
      </c>
      <c r="D9">
        <f>AVERAGE(20,30,32)</f>
        <v>27.333333333333332</v>
      </c>
      <c r="E9">
        <v>39</v>
      </c>
      <c r="G9">
        <v>21</v>
      </c>
    </row>
    <row r="10" spans="1:9">
      <c r="A10" t="s">
        <v>1</v>
      </c>
      <c r="B10" s="2">
        <v>33</v>
      </c>
      <c r="C10">
        <v>36</v>
      </c>
      <c r="D10">
        <v>36</v>
      </c>
      <c r="E10">
        <v>25</v>
      </c>
      <c r="G10">
        <v>30</v>
      </c>
    </row>
    <row r="11" spans="1:9">
      <c r="A11" t="s">
        <v>1</v>
      </c>
      <c r="B11" s="2">
        <v>32</v>
      </c>
      <c r="C11">
        <f>AVERAGE(38,38,39)</f>
        <v>38.333333333333336</v>
      </c>
      <c r="D11">
        <f>AVERAGE(55,50,25)</f>
        <v>43.333333333333336</v>
      </c>
    </row>
    <row r="12" spans="1:9">
      <c r="A12" t="s">
        <v>2</v>
      </c>
      <c r="B12" s="2">
        <v>22</v>
      </c>
      <c r="C12">
        <f>AVERAGE(65,71,87)</f>
        <v>74.333333333333329</v>
      </c>
      <c r="D12">
        <f>AVERAGE(90,100)</f>
        <v>95</v>
      </c>
      <c r="E12">
        <v>17</v>
      </c>
      <c r="G12">
        <v>20</v>
      </c>
    </row>
    <row r="13" spans="1:9">
      <c r="A13" t="s">
        <v>2</v>
      </c>
      <c r="B13" s="2">
        <v>17</v>
      </c>
      <c r="C13">
        <v>14</v>
      </c>
      <c r="D13">
        <f>AVERAGE(13,13,16)</f>
        <v>14</v>
      </c>
      <c r="E13">
        <v>18</v>
      </c>
      <c r="G13">
        <v>19</v>
      </c>
    </row>
    <row r="14" spans="1:9">
      <c r="A14" t="s">
        <v>2</v>
      </c>
      <c r="B14" s="2">
        <f>AVERAGE(33,28)</f>
        <v>30.5</v>
      </c>
      <c r="C14">
        <v>10</v>
      </c>
      <c r="D14">
        <f>AVERAGE(22.2,23)</f>
        <v>22.6</v>
      </c>
      <c r="E14">
        <v>10</v>
      </c>
      <c r="G14">
        <v>20</v>
      </c>
    </row>
    <row r="15" spans="1:9">
      <c r="A15" t="s">
        <v>2</v>
      </c>
      <c r="B15" s="2">
        <v>27</v>
      </c>
      <c r="C15">
        <v>23</v>
      </c>
      <c r="D15">
        <f>AVERAGE(30,31)</f>
        <v>30.5</v>
      </c>
      <c r="E15">
        <v>27</v>
      </c>
    </row>
    <row r="16" spans="1:9">
      <c r="A16" t="s">
        <v>2</v>
      </c>
      <c r="B16" s="2"/>
      <c r="C16">
        <v>21</v>
      </c>
      <c r="D16">
        <f>AVERAGE(23,9)</f>
        <v>16</v>
      </c>
    </row>
    <row r="17" spans="1:7">
      <c r="A17" t="s">
        <v>3</v>
      </c>
      <c r="B17" s="2">
        <v>30</v>
      </c>
      <c r="C17">
        <v>16</v>
      </c>
      <c r="D17">
        <f>AVERAGE(10,22,12)</f>
        <v>14.666666666666666</v>
      </c>
      <c r="E17">
        <v>0</v>
      </c>
      <c r="G17">
        <v>23</v>
      </c>
    </row>
    <row r="18" spans="1:7">
      <c r="A18" t="s">
        <v>3</v>
      </c>
      <c r="B18" s="2">
        <v>25</v>
      </c>
      <c r="C18">
        <v>20</v>
      </c>
      <c r="D18">
        <f>AVERAGE(22,19,18)</f>
        <v>19.666666666666668</v>
      </c>
      <c r="E18">
        <v>35</v>
      </c>
      <c r="G18">
        <v>32</v>
      </c>
    </row>
    <row r="19" spans="1:7">
      <c r="A19" t="s">
        <v>3</v>
      </c>
      <c r="B19" s="2">
        <v>34</v>
      </c>
      <c r="C19">
        <f>AVERAGE(36,24,38)</f>
        <v>32.666666666666664</v>
      </c>
      <c r="D19">
        <f>AVERAGE(27,23,23)</f>
        <v>24.333333333333332</v>
      </c>
      <c r="E19">
        <v>25</v>
      </c>
      <c r="G19">
        <v>20</v>
      </c>
    </row>
    <row r="20" spans="1:7">
      <c r="A20" t="s">
        <v>3</v>
      </c>
      <c r="B20" s="2">
        <v>27</v>
      </c>
      <c r="C20">
        <f>AVERAGE(25,23,26)</f>
        <v>24.666666666666668</v>
      </c>
      <c r="D20">
        <f>AVERAGE(29,28,36)</f>
        <v>31</v>
      </c>
      <c r="E20">
        <v>31</v>
      </c>
      <c r="G20">
        <v>15</v>
      </c>
    </row>
    <row r="21" spans="1:7">
      <c r="A21" t="s">
        <v>3</v>
      </c>
      <c r="B21" s="2">
        <v>26</v>
      </c>
      <c r="D21">
        <f>AVERAGE(21,18,22)</f>
        <v>20.333333333333332</v>
      </c>
      <c r="E21">
        <v>22</v>
      </c>
    </row>
    <row r="22" spans="1:7">
      <c r="A22" t="s">
        <v>4</v>
      </c>
      <c r="B22" s="2">
        <v>27</v>
      </c>
      <c r="C22">
        <v>25</v>
      </c>
      <c r="D22">
        <v>24</v>
      </c>
      <c r="E22">
        <v>25</v>
      </c>
      <c r="G22">
        <v>37</v>
      </c>
    </row>
    <row r="23" spans="1:7">
      <c r="A23" t="s">
        <v>4</v>
      </c>
      <c r="B23" s="2">
        <v>28</v>
      </c>
      <c r="C23">
        <v>9</v>
      </c>
      <c r="E23">
        <v>14</v>
      </c>
      <c r="G23">
        <v>13</v>
      </c>
    </row>
    <row r="24" spans="1:7">
      <c r="A24" t="s">
        <v>4</v>
      </c>
      <c r="B24" s="2">
        <v>20</v>
      </c>
      <c r="C24">
        <v>18</v>
      </c>
      <c r="E24">
        <v>25</v>
      </c>
      <c r="G24">
        <v>25</v>
      </c>
    </row>
    <row r="25" spans="1:7">
      <c r="A25" t="s">
        <v>4</v>
      </c>
      <c r="B25" s="2">
        <f>AVERAGE(24,24,19)</f>
        <v>22.333333333333332</v>
      </c>
      <c r="C25">
        <v>20</v>
      </c>
      <c r="E25">
        <v>14</v>
      </c>
      <c r="G25">
        <v>17</v>
      </c>
    </row>
    <row r="26" spans="1:7">
      <c r="A26" t="s">
        <v>4</v>
      </c>
      <c r="B26" s="2">
        <f>AVERAGE(22,24,18)</f>
        <v>21.333333333333332</v>
      </c>
      <c r="C26">
        <f>AVERAGE(22,22,18,23,22,23)</f>
        <v>21.666666666666668</v>
      </c>
      <c r="G26">
        <v>33</v>
      </c>
    </row>
    <row r="27" spans="1:7">
      <c r="A27" t="s">
        <v>5</v>
      </c>
      <c r="B27" s="2">
        <v>16</v>
      </c>
      <c r="C27">
        <v>46</v>
      </c>
      <c r="D27">
        <v>35</v>
      </c>
      <c r="E27">
        <v>43</v>
      </c>
      <c r="G27">
        <v>13</v>
      </c>
    </row>
    <row r="28" spans="1:7">
      <c r="A28" t="s">
        <v>5</v>
      </c>
      <c r="C28">
        <v>31</v>
      </c>
      <c r="D28">
        <v>35</v>
      </c>
      <c r="E28">
        <v>35</v>
      </c>
      <c r="G28">
        <v>22</v>
      </c>
    </row>
    <row r="29" spans="1:7">
      <c r="A29" t="s">
        <v>5</v>
      </c>
      <c r="C29">
        <v>7</v>
      </c>
      <c r="D29">
        <v>18</v>
      </c>
      <c r="E29">
        <v>28</v>
      </c>
      <c r="G29">
        <v>28</v>
      </c>
    </row>
    <row r="30" spans="1:7">
      <c r="A30" t="s">
        <v>5</v>
      </c>
      <c r="C30">
        <f>AVERAGE(20,27)</f>
        <v>23.5</v>
      </c>
      <c r="D30">
        <v>26</v>
      </c>
      <c r="E30">
        <v>25</v>
      </c>
    </row>
    <row r="31" spans="1:7">
      <c r="A31" t="s">
        <v>5</v>
      </c>
      <c r="C31">
        <v>39</v>
      </c>
      <c r="D31">
        <v>29</v>
      </c>
      <c r="E31">
        <v>25</v>
      </c>
    </row>
    <row r="32" spans="1:7">
      <c r="A32" t="s">
        <v>6</v>
      </c>
      <c r="C32">
        <f>AVERAGE(28,23,28)</f>
        <v>26.333333333333332</v>
      </c>
      <c r="E32">
        <v>33</v>
      </c>
      <c r="G32">
        <v>21</v>
      </c>
    </row>
    <row r="33" spans="1:7">
      <c r="A33" t="s">
        <v>6</v>
      </c>
      <c r="C33">
        <f>AVERAGE(26,19)</f>
        <v>22.5</v>
      </c>
      <c r="E33">
        <v>40</v>
      </c>
      <c r="G33">
        <v>22</v>
      </c>
    </row>
    <row r="34" spans="1:7">
      <c r="A34" t="s">
        <v>6</v>
      </c>
      <c r="C34">
        <f>AVERAGE(23,29)</f>
        <v>26</v>
      </c>
      <c r="E34">
        <v>24</v>
      </c>
      <c r="G34">
        <v>20</v>
      </c>
    </row>
    <row r="35" spans="1:7">
      <c r="A35" t="s">
        <v>6</v>
      </c>
      <c r="C35">
        <v>33</v>
      </c>
      <c r="E35">
        <v>20</v>
      </c>
    </row>
    <row r="36" spans="1:7">
      <c r="A36" t="s">
        <v>6</v>
      </c>
      <c r="C36">
        <v>41</v>
      </c>
      <c r="E36">
        <v>34</v>
      </c>
    </row>
    <row r="37" spans="1:7">
      <c r="A37" t="s">
        <v>7</v>
      </c>
      <c r="B37" s="2">
        <f>AVERAGE(22,38,30)</f>
        <v>30</v>
      </c>
      <c r="C37">
        <v>26</v>
      </c>
      <c r="D37">
        <v>27</v>
      </c>
      <c r="E37">
        <v>23</v>
      </c>
      <c r="G37">
        <v>25</v>
      </c>
    </row>
    <row r="38" spans="1:7">
      <c r="A38" t="s">
        <v>7</v>
      </c>
      <c r="B38" s="2">
        <f>AVERAGE(38,35,33)</f>
        <v>35.333333333333336</v>
      </c>
      <c r="C38">
        <v>29</v>
      </c>
      <c r="D38">
        <v>19</v>
      </c>
      <c r="E38">
        <v>23</v>
      </c>
      <c r="G38">
        <v>16</v>
      </c>
    </row>
    <row r="39" spans="1:7">
      <c r="A39" t="s">
        <v>7</v>
      </c>
      <c r="B39" s="2">
        <f>AVERAGE(9,34,22)</f>
        <v>21.666666666666668</v>
      </c>
      <c r="C39">
        <v>23</v>
      </c>
      <c r="D39">
        <v>23</v>
      </c>
      <c r="E39">
        <v>28</v>
      </c>
      <c r="G39">
        <v>32</v>
      </c>
    </row>
    <row r="40" spans="1:7">
      <c r="A40" t="s">
        <v>7</v>
      </c>
      <c r="B40" s="2">
        <f>AVERAGE(23,32,29)</f>
        <v>28</v>
      </c>
      <c r="C40">
        <f>AVERAGE(23,22)</f>
        <v>22.5</v>
      </c>
      <c r="D40">
        <v>35</v>
      </c>
      <c r="E40">
        <v>40</v>
      </c>
      <c r="G40">
        <v>35</v>
      </c>
    </row>
    <row r="41" spans="1:7">
      <c r="A41" t="s">
        <v>7</v>
      </c>
      <c r="B41" s="2">
        <f>AVERAGE(27,34,35)</f>
        <v>32</v>
      </c>
      <c r="C41">
        <f>AVERAGE(29,30)</f>
        <v>29.5</v>
      </c>
      <c r="D41">
        <v>31</v>
      </c>
      <c r="E41">
        <v>30</v>
      </c>
      <c r="G41">
        <v>22</v>
      </c>
    </row>
    <row r="42" spans="1:7">
      <c r="A42" t="s">
        <v>8</v>
      </c>
      <c r="B42" s="2">
        <f>AVERAGE(33,40,34)</f>
        <v>35.666666666666664</v>
      </c>
      <c r="C42">
        <v>25</v>
      </c>
      <c r="D42">
        <v>18</v>
      </c>
      <c r="E42">
        <v>28</v>
      </c>
      <c r="G42">
        <v>24</v>
      </c>
    </row>
    <row r="43" spans="1:7">
      <c r="A43" t="s">
        <v>8</v>
      </c>
      <c r="B43" s="2">
        <f>AVERAGE(25,18,28)</f>
        <v>23.666666666666668</v>
      </c>
      <c r="C43">
        <v>21</v>
      </c>
      <c r="D43">
        <v>15</v>
      </c>
      <c r="E43">
        <v>29</v>
      </c>
      <c r="G43">
        <v>22</v>
      </c>
    </row>
    <row r="44" spans="1:7">
      <c r="A44" t="s">
        <v>8</v>
      </c>
      <c r="B44" s="2">
        <f>AVERAGE(21,18,25)</f>
        <v>21.333333333333332</v>
      </c>
      <c r="C44">
        <v>22</v>
      </c>
      <c r="E44">
        <v>25</v>
      </c>
      <c r="G44">
        <v>28</v>
      </c>
    </row>
    <row r="45" spans="1:7">
      <c r="A45" t="s">
        <v>8</v>
      </c>
      <c r="B45" s="2">
        <f>AVERAGE(22,23,24)</f>
        <v>23</v>
      </c>
      <c r="C45">
        <v>30</v>
      </c>
      <c r="E45">
        <v>34</v>
      </c>
      <c r="G45">
        <v>31</v>
      </c>
    </row>
    <row r="46" spans="1:7">
      <c r="A46" t="s">
        <v>8</v>
      </c>
      <c r="B46" s="2">
        <f>AVERAGE(25,23,20)</f>
        <v>22.666666666666668</v>
      </c>
      <c r="C46">
        <v>33</v>
      </c>
      <c r="E46">
        <v>34</v>
      </c>
      <c r="G46">
        <v>28</v>
      </c>
    </row>
    <row r="47" spans="1:7">
      <c r="A47" t="s">
        <v>9</v>
      </c>
      <c r="B47" s="2">
        <f>AVERAGE(35,35,27)</f>
        <v>32.333333333333336</v>
      </c>
      <c r="C47">
        <v>30</v>
      </c>
      <c r="E47">
        <v>19</v>
      </c>
      <c r="G47">
        <v>24</v>
      </c>
    </row>
    <row r="48" spans="1:7">
      <c r="A48" t="s">
        <v>9</v>
      </c>
      <c r="B48" s="2">
        <f>AVERAGE(25,16,23)</f>
        <v>21.333333333333332</v>
      </c>
      <c r="C48">
        <v>22</v>
      </c>
      <c r="E48">
        <v>14</v>
      </c>
      <c r="G48">
        <v>14</v>
      </c>
    </row>
    <row r="49" spans="1:7">
      <c r="A49" t="s">
        <v>9</v>
      </c>
      <c r="B49" s="2">
        <f>AVERAGE(28,30,32)</f>
        <v>30</v>
      </c>
      <c r="C49">
        <v>34</v>
      </c>
      <c r="E49">
        <v>34</v>
      </c>
      <c r="G49">
        <v>9</v>
      </c>
    </row>
    <row r="50" spans="1:7">
      <c r="A50" t="s">
        <v>9</v>
      </c>
      <c r="B50" s="2">
        <f>AVERAGE(10,8,15)</f>
        <v>11</v>
      </c>
      <c r="C50">
        <v>22</v>
      </c>
      <c r="E50">
        <v>33</v>
      </c>
      <c r="G50">
        <v>33</v>
      </c>
    </row>
    <row r="51" spans="1:7">
      <c r="A51" t="s">
        <v>9</v>
      </c>
      <c r="B51" s="2">
        <f>AVERAGE(31,34,33)</f>
        <v>32.666666666666664</v>
      </c>
      <c r="C51">
        <f>AVERAGE(35,38,28,37)</f>
        <v>34.5</v>
      </c>
      <c r="E51">
        <v>34</v>
      </c>
    </row>
    <row r="53" spans="1:7">
      <c r="A53" s="1" t="s">
        <v>11</v>
      </c>
      <c r="B53">
        <f>AVERAGE(B2:B51)/100</f>
        <v>0.26480952380952377</v>
      </c>
      <c r="C53">
        <f t="shared" ref="C53:G53" si="0">AVERAGE(C2:C51)/100</f>
        <v>0.26166666666666666</v>
      </c>
      <c r="D53">
        <f t="shared" si="0"/>
        <v>0.27503571428571427</v>
      </c>
      <c r="E53">
        <f t="shared" si="0"/>
        <v>0.27638297872340428</v>
      </c>
      <c r="G53">
        <f t="shared" si="0"/>
        <v>0.23833333333333331</v>
      </c>
    </row>
    <row r="54" spans="1:7">
      <c r="A54" s="1" t="s">
        <v>10</v>
      </c>
      <c r="B54">
        <f>STDEV(B2:B51)/100</f>
        <v>6.4291985377288557E-2</v>
      </c>
      <c r="C54">
        <f t="shared" ref="C54:G54" si="1">STDEV(C2:C51)/100</f>
        <v>0.11271780263251691</v>
      </c>
      <c r="D54">
        <f t="shared" si="1"/>
        <v>0.15263877418620608</v>
      </c>
      <c r="E54">
        <f t="shared" si="1"/>
        <v>9.1138345194804626E-2</v>
      </c>
      <c r="G54">
        <f t="shared" si="1"/>
        <v>7.3465249316550046E-2</v>
      </c>
    </row>
    <row r="56" spans="1:7">
      <c r="B56" s="1" t="s">
        <v>18</v>
      </c>
      <c r="C56">
        <f>AVERAGE(B2:G51)/100</f>
        <v>0.26342582897033162</v>
      </c>
    </row>
    <row r="57" spans="1:7">
      <c r="B57" s="1" t="s">
        <v>19</v>
      </c>
      <c r="C57">
        <f>STDEV(B2:G51)/SQRT(COUNT(B2:G51))/100</f>
        <v>7.3004943505106008E-3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19" sqref="E19:F24"/>
    </sheetView>
  </sheetViews>
  <sheetFormatPr baseColWidth="10" defaultRowHeight="15" x14ac:dyDescent="0"/>
  <cols>
    <col min="1" max="3" width="8.1640625" customWidth="1"/>
    <col min="4" max="5" width="21" style="9" customWidth="1"/>
    <col min="6" max="6" width="13.5" style="9" customWidth="1"/>
    <col min="7" max="7" width="19.33203125" customWidth="1"/>
    <col min="8" max="8" width="15.33203125" customWidth="1"/>
    <col min="9" max="9" width="12.33203125" customWidth="1"/>
    <col min="10" max="10" width="18.33203125" customWidth="1"/>
  </cols>
  <sheetData>
    <row r="1" spans="1:12" ht="16" thickBot="1">
      <c r="A1" s="5" t="s">
        <v>20</v>
      </c>
      <c r="B1" s="5" t="s">
        <v>23</v>
      </c>
      <c r="C1" s="5" t="s">
        <v>37</v>
      </c>
      <c r="D1" s="5" t="s">
        <v>32</v>
      </c>
      <c r="E1" s="5" t="s">
        <v>31</v>
      </c>
      <c r="F1" s="5" t="s">
        <v>30</v>
      </c>
      <c r="G1" s="5" t="s">
        <v>21</v>
      </c>
      <c r="H1" s="5" t="s">
        <v>22</v>
      </c>
      <c r="I1" s="5" t="s">
        <v>33</v>
      </c>
      <c r="J1" s="6" t="s">
        <v>34</v>
      </c>
      <c r="K1" s="6" t="s">
        <v>35</v>
      </c>
      <c r="L1" s="6" t="s">
        <v>36</v>
      </c>
    </row>
    <row r="2" spans="1:12">
      <c r="A2" t="s">
        <v>24</v>
      </c>
      <c r="B2" s="7">
        <v>2011</v>
      </c>
      <c r="C2" s="7">
        <v>7</v>
      </c>
      <c r="D2" s="7">
        <f>'[1]Plant Measurements'!$Q$1546/10000</f>
        <v>0.34406252286604994</v>
      </c>
      <c r="E2" s="9">
        <f>(D2/12.5)*210336</f>
        <v>5789.4987847642788</v>
      </c>
      <c r="F2" s="9">
        <f>E2*0.263</f>
        <v>1522.6381803930053</v>
      </c>
      <c r="G2" s="7">
        <f>AVERAGE('[2]Daily totals'!$H$3:$H$33)</f>
        <v>11271.754809689623</v>
      </c>
      <c r="H2" s="7">
        <f>STDEV('[2]Daily totals'!$H$3:$H$33)/SQRT(31)</f>
        <v>260.02178886405363</v>
      </c>
      <c r="I2">
        <f>210336*0.263</f>
        <v>55318.368000000002</v>
      </c>
      <c r="J2">
        <f>I2-F2</f>
        <v>53795.729819606997</v>
      </c>
      <c r="K2">
        <f>(G2/J2)*100</f>
        <v>20.952880177454887</v>
      </c>
      <c r="L2">
        <f>(H2/J2)*100+L23</f>
        <v>0.48335023938885791</v>
      </c>
    </row>
    <row r="3" spans="1:12">
      <c r="A3" t="s">
        <v>25</v>
      </c>
      <c r="B3" s="7">
        <v>2011</v>
      </c>
      <c r="C3" s="7">
        <v>9</v>
      </c>
      <c r="D3" s="7">
        <f>'[3]Plant Measurements'!$Q$1103/10000</f>
        <v>0.29868454867674921</v>
      </c>
      <c r="E3" s="9">
        <f t="shared" ref="E3:E7" si="0">(D3/12.5)*210336</f>
        <v>5025.9290584378177</v>
      </c>
      <c r="F3" s="9">
        <f t="shared" ref="F3:F7" si="1">E3*0.263</f>
        <v>1321.8193423691462</v>
      </c>
      <c r="G3" s="7">
        <f>AVERAGE('[2]Daily totals'!$H$65:$H$94)</f>
        <v>4276.8632721710574</v>
      </c>
      <c r="H3" s="7">
        <f>STDEV('[2]Daily totals'!$H$65:$H$94)/SQRT(30)</f>
        <v>69.389532063542532</v>
      </c>
      <c r="I3">
        <f t="shared" ref="I3:I7" si="2">210336*0.263</f>
        <v>55318.368000000002</v>
      </c>
      <c r="J3">
        <f t="shared" ref="J3:J7" si="3">I3-F3</f>
        <v>53996.548657630854</v>
      </c>
      <c r="K3">
        <f t="shared" ref="K3:K7" si="4">(G3/J3)*100</f>
        <v>7.9206234074122559</v>
      </c>
      <c r="L3">
        <f t="shared" ref="L3:L7" si="5">(H3/J3)*100+L24</f>
        <v>0.12850734683713222</v>
      </c>
    </row>
    <row r="4" spans="1:12">
      <c r="A4" t="s">
        <v>26</v>
      </c>
      <c r="B4" s="7">
        <v>2011</v>
      </c>
      <c r="C4" s="7">
        <v>11</v>
      </c>
      <c r="D4" s="7">
        <f>'[4]Plant Measurements'!$Q$906/10000</f>
        <v>0.43172800276792467</v>
      </c>
      <c r="E4" s="9">
        <f t="shared" si="0"/>
        <v>7264.6352952155357</v>
      </c>
      <c r="F4" s="9">
        <f t="shared" si="1"/>
        <v>1910.599082641686</v>
      </c>
      <c r="G4" s="7">
        <f>AVERAGE('[2]Daily totals'!$H$126:$H$155)</f>
        <v>1749.7677961853535</v>
      </c>
      <c r="H4" s="7">
        <f>STDEV('[2]Daily totals'!$H$126:$H$155)/SQRT(30)</f>
        <v>62.793159907647009</v>
      </c>
      <c r="I4">
        <f t="shared" si="2"/>
        <v>55318.368000000002</v>
      </c>
      <c r="J4">
        <f t="shared" si="3"/>
        <v>53407.768917358313</v>
      </c>
      <c r="K4">
        <f t="shared" si="4"/>
        <v>3.2762420742437217</v>
      </c>
      <c r="L4">
        <f t="shared" si="5"/>
        <v>0.11757308193272664</v>
      </c>
    </row>
    <row r="5" spans="1:12">
      <c r="A5" t="s">
        <v>27</v>
      </c>
      <c r="B5" s="7">
        <v>2012</v>
      </c>
      <c r="C5" s="7">
        <v>13</v>
      </c>
      <c r="D5" s="7">
        <f>'[5]Plant Measurements'!$Q$627/10000</f>
        <v>0.33622320338340012</v>
      </c>
      <c r="E5" s="9">
        <f t="shared" si="0"/>
        <v>5657.587496548068</v>
      </c>
      <c r="F5" s="9">
        <f t="shared" si="1"/>
        <v>1487.9455115921419</v>
      </c>
      <c r="G5" s="7">
        <f>AVERAGE('[2]Daily totals'!$H$187:$H$217)</f>
        <v>694.00654926366917</v>
      </c>
      <c r="H5" s="7">
        <f>STDEV('[2]Daily totals'!$H$187:$H$217)/SQRT(31)</f>
        <v>20.586321878258424</v>
      </c>
      <c r="I5">
        <f t="shared" si="2"/>
        <v>55318.368000000002</v>
      </c>
      <c r="J5">
        <f t="shared" si="3"/>
        <v>53830.422488407858</v>
      </c>
      <c r="K5">
        <f t="shared" si="4"/>
        <v>1.2892459638657312</v>
      </c>
      <c r="L5">
        <f t="shared" si="5"/>
        <v>3.824291344302861E-2</v>
      </c>
    </row>
    <row r="6" spans="1:12">
      <c r="A6" t="s">
        <v>28</v>
      </c>
      <c r="B6" s="7">
        <v>2012</v>
      </c>
      <c r="C6" s="7">
        <v>15</v>
      </c>
      <c r="D6" s="7">
        <f>'[6]Plant Measurements'!$Q$693/10000</f>
        <v>0.18041424091914987</v>
      </c>
      <c r="E6" s="9">
        <f t="shared" si="0"/>
        <v>3035.8087822376247</v>
      </c>
      <c r="F6" s="9">
        <f t="shared" si="1"/>
        <v>798.41770972849531</v>
      </c>
      <c r="G6" s="7">
        <f>AVERAGE('[2]Daily totals'!$H$247:$H$277)</f>
        <v>1330.2378399240504</v>
      </c>
      <c r="H6" s="7">
        <f>STDEV('[2]Daily totals'!$H$247:$H$277)/SQRT(31)</f>
        <v>94.979435758065932</v>
      </c>
      <c r="I6">
        <f t="shared" si="2"/>
        <v>55318.368000000002</v>
      </c>
      <c r="J6">
        <f t="shared" si="3"/>
        <v>54519.95029027151</v>
      </c>
      <c r="K6">
        <f t="shared" si="4"/>
        <v>2.4399102215641908</v>
      </c>
      <c r="L6">
        <f t="shared" si="5"/>
        <v>0.17421042251943133</v>
      </c>
    </row>
    <row r="7" spans="1:12">
      <c r="A7" t="s">
        <v>29</v>
      </c>
      <c r="B7" s="7">
        <v>2012</v>
      </c>
      <c r="C7" s="7">
        <v>17</v>
      </c>
      <c r="D7" s="7">
        <f>'[7]Plant Measurements'!$R$1199/10000</f>
        <v>0.36884397383417494</v>
      </c>
      <c r="E7" s="9">
        <f t="shared" si="0"/>
        <v>6206.4932864308012</v>
      </c>
      <c r="F7" s="9">
        <f t="shared" si="1"/>
        <v>1632.3077343313007</v>
      </c>
      <c r="G7" s="7">
        <f>AVERAGE('[2]Daily totals'!$H$308:$H$338)</f>
        <v>5918.4732733316132</v>
      </c>
      <c r="H7" s="7">
        <f>STDEV('[2]Daily totals'!$H$308:$H$338)/SQRT(31)</f>
        <v>170.54709973528583</v>
      </c>
      <c r="I7">
        <f t="shared" si="2"/>
        <v>55318.368000000002</v>
      </c>
      <c r="J7">
        <f t="shared" si="3"/>
        <v>53686.060265668704</v>
      </c>
      <c r="K7">
        <f t="shared" si="4"/>
        <v>11.024227227782578</v>
      </c>
      <c r="L7">
        <f t="shared" si="5"/>
        <v>0.31767482823534304</v>
      </c>
    </row>
    <row r="8" spans="1:12">
      <c r="A8" t="s">
        <v>24</v>
      </c>
      <c r="B8">
        <v>2102</v>
      </c>
      <c r="C8" s="7">
        <v>19</v>
      </c>
      <c r="D8" s="9">
        <f>'[8]Plant Measurements'!$S$1400/10000</f>
        <v>0.40290193017500048</v>
      </c>
      <c r="E8" s="9">
        <f>(D8/12.5)*210336</f>
        <v>6779.5824308231131</v>
      </c>
      <c r="F8" s="9">
        <f>E8*0.263</f>
        <v>1783.0301793064789</v>
      </c>
      <c r="G8">
        <f>AVERAGE('[9]Daily totals'!$H$369:$H$399)</f>
        <v>7425.6947218795158</v>
      </c>
      <c r="H8">
        <f>STDEV('[9]Daily totals'!$H$369:$H$399)/SQRT(31)</f>
        <v>177.98757401647592</v>
      </c>
      <c r="I8">
        <f>210336*0.263</f>
        <v>55318.368000000002</v>
      </c>
      <c r="J8">
        <f>I8-F8</f>
        <v>53535.337820693523</v>
      </c>
      <c r="K8">
        <f>(G8/J8)*100</f>
        <v>13.87064138224078</v>
      </c>
      <c r="L8">
        <f>(H8/J8)*100+L29</f>
        <v>0.33246745283015045</v>
      </c>
    </row>
    <row r="9" spans="1:12">
      <c r="A9" t="s">
        <v>25</v>
      </c>
      <c r="B9">
        <v>2102</v>
      </c>
      <c r="C9" s="7">
        <v>21</v>
      </c>
      <c r="D9" s="9">
        <f>'[10]Plant Measurements'!$S$1139/10000</f>
        <v>0.64380830957855062</v>
      </c>
      <c r="E9" s="9">
        <f t="shared" ref="E9:E13" si="6">(D9/12.5)*210336</f>
        <v>10833.285168281122</v>
      </c>
      <c r="F9" s="9">
        <f t="shared" ref="F9:F13" si="7">E9*0.263</f>
        <v>2849.1539992579351</v>
      </c>
      <c r="G9">
        <f>AVERAGE('[9]Daily totals'!$H$431:$H$460)</f>
        <v>3815.449321550956</v>
      </c>
      <c r="H9">
        <f>STDEV('[9]Daily totals'!$H$431:$H$460)/SQRT(30)</f>
        <v>138.49888400128512</v>
      </c>
      <c r="I9">
        <f t="shared" ref="I9:I19" si="8">210336*0.263</f>
        <v>55318.368000000002</v>
      </c>
      <c r="J9">
        <f t="shared" ref="J9:J13" si="9">I9-F9</f>
        <v>52469.214000742068</v>
      </c>
      <c r="K9">
        <f t="shared" ref="K9:K13" si="10">(G9/J9)*100</f>
        <v>7.2717866928538228</v>
      </c>
      <c r="L9">
        <f t="shared" ref="L9:L13" si="11">(H9/J9)*100</f>
        <v>0.26396218551954359</v>
      </c>
    </row>
    <row r="10" spans="1:12">
      <c r="A10" t="s">
        <v>26</v>
      </c>
      <c r="B10">
        <v>2102</v>
      </c>
      <c r="C10" s="7">
        <v>23</v>
      </c>
      <c r="D10" s="9">
        <f>'[11]Plant Measurements'!$S$729/10000</f>
        <v>0.47275729383152493</v>
      </c>
      <c r="E10" s="9">
        <f t="shared" si="6"/>
        <v>7955.0302524278104</v>
      </c>
      <c r="F10" s="9">
        <f t="shared" si="7"/>
        <v>2092.1729563885142</v>
      </c>
      <c r="G10">
        <f>AVERAGE('[9]Daily totals'!$H$492:$H$521)</f>
        <v>1005.8437235611628</v>
      </c>
      <c r="H10">
        <f>STDEV('[9]Daily totals'!$H$492:$H$521)/SQRT(30)</f>
        <v>78.623009235885135</v>
      </c>
      <c r="I10">
        <f t="shared" si="8"/>
        <v>55318.368000000002</v>
      </c>
      <c r="J10">
        <f t="shared" si="9"/>
        <v>53226.195043611486</v>
      </c>
      <c r="K10">
        <f t="shared" si="10"/>
        <v>1.8897531990348235</v>
      </c>
      <c r="L10">
        <f t="shared" si="11"/>
        <v>0.14771487830656405</v>
      </c>
    </row>
    <row r="11" spans="1:12">
      <c r="A11" t="s">
        <v>27</v>
      </c>
      <c r="B11">
        <v>2013</v>
      </c>
      <c r="C11" s="7">
        <v>25</v>
      </c>
      <c r="D11" s="9">
        <f>'[12]Plant Measurements'!$S$303/10000</f>
        <v>0.18772826478749999</v>
      </c>
      <c r="E11" s="9">
        <f t="shared" si="6"/>
        <v>3158.8809841874877</v>
      </c>
      <c r="F11" s="9">
        <f t="shared" si="7"/>
        <v>830.78569884130934</v>
      </c>
      <c r="G11">
        <f>AVERAGE('[9]Daily totals'!$H$531:$H$561)</f>
        <v>313.02122488830133</v>
      </c>
      <c r="H11">
        <f>STDEV('[9]Daily totals'!$H$531:$H$561)/SQRT(30)</f>
        <v>35.903388631355355</v>
      </c>
      <c r="I11">
        <f t="shared" si="8"/>
        <v>55318.368000000002</v>
      </c>
      <c r="J11">
        <f t="shared" si="9"/>
        <v>54487.582301158691</v>
      </c>
      <c r="K11">
        <f t="shared" si="10"/>
        <v>0.57448176569516252</v>
      </c>
      <c r="L11">
        <f t="shared" si="11"/>
        <v>6.5892790825097525E-2</v>
      </c>
    </row>
    <row r="12" spans="1:12">
      <c r="A12" t="s">
        <v>28</v>
      </c>
      <c r="B12">
        <v>2013</v>
      </c>
      <c r="C12" s="7">
        <v>27</v>
      </c>
      <c r="D12" s="9">
        <f>'[13]Plant Measurements'!$S$596/10000</f>
        <v>0.13442499970957508</v>
      </c>
      <c r="E12" s="9">
        <f t="shared" si="6"/>
        <v>2261.9533391130549</v>
      </c>
      <c r="F12" s="9">
        <f t="shared" si="7"/>
        <v>594.89372818673348</v>
      </c>
      <c r="G12">
        <f>AVERAGE('[9]Daily totals'!$H$590:$H$620)</f>
        <v>1088.4541659736765</v>
      </c>
      <c r="H12">
        <f>STDEV('[9]Daily totals'!$H$590:$H$620)/SQRT(31)</f>
        <v>110.57177038119089</v>
      </c>
      <c r="I12">
        <f t="shared" si="8"/>
        <v>55318.368000000002</v>
      </c>
      <c r="J12">
        <f t="shared" si="9"/>
        <v>54723.474271813269</v>
      </c>
      <c r="K12">
        <f t="shared" si="10"/>
        <v>1.9890077895407179</v>
      </c>
      <c r="L12">
        <f t="shared" si="11"/>
        <v>0.20205546495819568</v>
      </c>
    </row>
    <row r="13" spans="1:12">
      <c r="A13" t="s">
        <v>29</v>
      </c>
      <c r="B13">
        <v>2013</v>
      </c>
      <c r="C13" s="7">
        <v>29</v>
      </c>
      <c r="D13" s="9">
        <f>'[14]Plant Measurements'!$S$989/10000</f>
        <v>0.31177769048794951</v>
      </c>
      <c r="E13" s="9">
        <f t="shared" si="6"/>
        <v>5246.2457845178678</v>
      </c>
      <c r="F13" s="9">
        <f t="shared" si="7"/>
        <v>1379.7626413281994</v>
      </c>
      <c r="G13">
        <f>AVERAGE('[9]Daily totals'!$H$651:$H$681)</f>
        <v>5316.4523909329619</v>
      </c>
      <c r="H13">
        <f>STDEV('[9]Daily totals'!$H$651:$H$681)/SQRT(31)</f>
        <v>264.54767644794288</v>
      </c>
      <c r="I13">
        <f t="shared" si="8"/>
        <v>55318.368000000002</v>
      </c>
      <c r="J13">
        <f t="shared" si="9"/>
        <v>53938.605358671804</v>
      </c>
      <c r="K13">
        <f t="shared" si="10"/>
        <v>9.8564884197144451</v>
      </c>
      <c r="L13">
        <f t="shared" si="11"/>
        <v>0.49046072787532885</v>
      </c>
    </row>
    <row r="14" spans="1:12">
      <c r="A14" t="s">
        <v>24</v>
      </c>
      <c r="B14">
        <v>2013</v>
      </c>
      <c r="C14" s="7">
        <v>31</v>
      </c>
      <c r="D14" s="9">
        <f>'[15]Plant measurements'!$S$773/10000</f>
        <v>0.45848101351837556</v>
      </c>
      <c r="E14" s="9">
        <f t="shared" ref="E14:E15" si="12">(D14/12.5)*210336</f>
        <v>7714.8049967520838</v>
      </c>
      <c r="F14" s="9">
        <f t="shared" ref="F14:F15" si="13">E14*0.263</f>
        <v>2028.9937141457981</v>
      </c>
      <c r="G14">
        <f>AVERAGE('[16]Daily totals'!$H$712:$H$742)</f>
        <v>7332.1290000043773</v>
      </c>
      <c r="H14">
        <f>STDEV('[16]Daily totals'!$H$712:$H$742)/SQRT(31)</f>
        <v>166.53199511953056</v>
      </c>
      <c r="I14">
        <f t="shared" si="8"/>
        <v>55318.368000000002</v>
      </c>
      <c r="J14">
        <f t="shared" ref="J14:J15" si="14">I14-F14</f>
        <v>53289.374285854203</v>
      </c>
      <c r="K14">
        <f t="shared" ref="K14:K15" si="15">(G14/J14)*100</f>
        <v>13.759082553068575</v>
      </c>
      <c r="L14">
        <f t="shared" ref="L14:L15" si="16">(H14/J14)*100</f>
        <v>0.31250506756979674</v>
      </c>
    </row>
    <row r="15" spans="1:12">
      <c r="A15" t="s">
        <v>25</v>
      </c>
      <c r="B15">
        <v>2013</v>
      </c>
      <c r="C15" s="7">
        <v>33</v>
      </c>
      <c r="D15" s="9">
        <f>'[17]Plant Measurements'!$S$577/10000</f>
        <v>0.38130944167132491</v>
      </c>
      <c r="E15" s="9">
        <f t="shared" si="12"/>
        <v>6416.2482178703831</v>
      </c>
      <c r="F15" s="9">
        <f t="shared" si="13"/>
        <v>1687.4732812999109</v>
      </c>
      <c r="G15">
        <f>AVERAGE('[16]Daily totals'!$H$774:$H$803)</f>
        <v>5166.2577348833893</v>
      </c>
      <c r="H15">
        <f>STDEV('[16]Daily totals'!$H$774:$H$803)/SQRT(30)</f>
        <v>129.88300316553608</v>
      </c>
      <c r="I15">
        <f t="shared" si="8"/>
        <v>55318.368000000002</v>
      </c>
      <c r="J15">
        <f t="shared" si="14"/>
        <v>53630.894718700089</v>
      </c>
      <c r="K15">
        <f t="shared" si="15"/>
        <v>9.6329881535278794</v>
      </c>
      <c r="L15">
        <f t="shared" si="16"/>
        <v>0.24217944497623364</v>
      </c>
    </row>
    <row r="16" spans="1:12">
      <c r="A16" t="s">
        <v>26</v>
      </c>
      <c r="B16">
        <v>2013</v>
      </c>
      <c r="C16" s="8">
        <v>35</v>
      </c>
      <c r="D16" s="9">
        <f>'[18]Plant Measurments'!$S$502/10000</f>
        <v>0.61900082160352388</v>
      </c>
      <c r="E16" s="9">
        <f t="shared" ref="E16:E19" si="17">(D16/12.5)*210336</f>
        <v>10415.852545023903</v>
      </c>
      <c r="F16" s="9">
        <f t="shared" ref="F16:F19" si="18">E16*0.263</f>
        <v>2739.3692193412867</v>
      </c>
      <c r="G16" s="2">
        <f>AVERAGE('[19]Daily ET totals'!$H$835:$H$864)</f>
        <v>953.45787358685845</v>
      </c>
      <c r="H16">
        <f>STDEV('[19]Daily ET totals'!$H$835:$H$864)/SQRT(COUNT('[19]Daily ET totals'!$H$835:$H$864))</f>
        <v>137.45338531459913</v>
      </c>
      <c r="I16">
        <f t="shared" si="8"/>
        <v>55318.368000000002</v>
      </c>
      <c r="J16">
        <f t="shared" ref="J16:J19" si="19">I16-F16</f>
        <v>52578.998780658716</v>
      </c>
      <c r="K16">
        <f t="shared" ref="K16:K19" si="20">(G16/J16)*100</f>
        <v>1.8133815700149651</v>
      </c>
      <c r="L16">
        <f t="shared" ref="L16:L19" si="21">(H16/J16)*100</f>
        <v>0.261422599330974</v>
      </c>
    </row>
    <row r="17" spans="1:12">
      <c r="A17" t="s">
        <v>27</v>
      </c>
      <c r="B17">
        <v>2014</v>
      </c>
      <c r="C17" s="8">
        <v>37</v>
      </c>
      <c r="D17" s="9">
        <f>'[20]Plant Measurements'!$S$356/10000</f>
        <v>0.41702242418127533</v>
      </c>
      <c r="E17" s="9">
        <f t="shared" si="17"/>
        <v>7017.1862890074181</v>
      </c>
      <c r="F17" s="9">
        <f t="shared" si="18"/>
        <v>1845.519994008951</v>
      </c>
      <c r="G17" s="2">
        <f>AVERAGE('[19]Daily ET totals'!$H$896:$H$926)</f>
        <v>728.82368007963544</v>
      </c>
      <c r="H17">
        <f>STDEV('[19]Daily ET totals'!$H$896:$H$926)/SQRT(COUNT('[19]Daily ET totals'!$H$896:$H$926))</f>
        <v>66.919821533065374</v>
      </c>
      <c r="I17">
        <f t="shared" si="8"/>
        <v>55318.368000000002</v>
      </c>
      <c r="J17">
        <f t="shared" si="19"/>
        <v>53472.848005991051</v>
      </c>
      <c r="K17">
        <f t="shared" si="20"/>
        <v>1.3629789832738639</v>
      </c>
      <c r="L17">
        <f t="shared" si="21"/>
        <v>0.12514729255783746</v>
      </c>
    </row>
    <row r="18" spans="1:12">
      <c r="A18" t="s">
        <v>28</v>
      </c>
      <c r="B18">
        <v>2014</v>
      </c>
      <c r="C18" s="8">
        <v>39</v>
      </c>
      <c r="D18" s="9">
        <f>'[21]Plant Measurments'!$S$608/10000</f>
        <v>0.30114290568355007</v>
      </c>
      <c r="E18" s="9">
        <f t="shared" si="17"/>
        <v>5067.2955367884151</v>
      </c>
      <c r="F18" s="9">
        <f t="shared" si="18"/>
        <v>1332.6987261753532</v>
      </c>
      <c r="G18" s="2">
        <f>AVERAGE('[19]Daily ET totals'!$H$955:$H$985)</f>
        <v>1447.6031577516558</v>
      </c>
      <c r="H18">
        <f>STDEV('[19]Daily ET totals'!$H$955:$H$985)/SQRT(31)</f>
        <v>48.429473445651894</v>
      </c>
      <c r="I18">
        <f t="shared" si="8"/>
        <v>55318.368000000002</v>
      </c>
      <c r="J18">
        <f t="shared" si="19"/>
        <v>53985.669273824649</v>
      </c>
      <c r="K18">
        <f t="shared" si="20"/>
        <v>2.6814582040451556</v>
      </c>
      <c r="L18">
        <f t="shared" si="21"/>
        <v>8.9708017140640098E-2</v>
      </c>
    </row>
    <row r="19" spans="1:12">
      <c r="A19" t="s">
        <v>29</v>
      </c>
      <c r="B19">
        <v>2014</v>
      </c>
      <c r="C19" s="8">
        <v>41</v>
      </c>
      <c r="D19" s="9">
        <f>'[22]Plant Measurements'!$S$627/10000</f>
        <v>0.2828481312076751</v>
      </c>
      <c r="E19" s="9">
        <f t="shared" si="17"/>
        <v>4759.4515620558041</v>
      </c>
      <c r="F19" s="9">
        <f t="shared" si="18"/>
        <v>1251.7357608206764</v>
      </c>
      <c r="G19" s="2">
        <f>AVERAGE('[19]Daily ET totals'!$H$1016:$H$1046)</f>
        <v>3849.2231548130571</v>
      </c>
      <c r="H19">
        <f>STDEV('[19]Daily ET totals'!$H$1016:$H$1046)/SQRT(31)</f>
        <v>109.31858325911681</v>
      </c>
      <c r="I19">
        <f t="shared" si="8"/>
        <v>55318.368000000002</v>
      </c>
      <c r="J19">
        <f t="shared" si="19"/>
        <v>54066.632239179329</v>
      </c>
      <c r="K19">
        <f t="shared" si="20"/>
        <v>7.1194061760401679</v>
      </c>
      <c r="L19">
        <f t="shared" si="21"/>
        <v>0.20219232959714328</v>
      </c>
    </row>
    <row r="20" spans="1:12">
      <c r="A20" t="s">
        <v>24</v>
      </c>
      <c r="B20">
        <v>2014</v>
      </c>
      <c r="C20" s="8">
        <v>43</v>
      </c>
      <c r="D20" s="9">
        <f>'[23]Plant Measurments'!$S$565/10000</f>
        <v>0.51253853328979992</v>
      </c>
      <c r="E20" s="9">
        <f t="shared" ref="E20:E24" si="22">(D20/12.5)*210336</f>
        <v>8624.4243950434684</v>
      </c>
      <c r="F20" s="9">
        <f t="shared" ref="F20:F24" si="23">E20*0.263</f>
        <v>2268.2236158964324</v>
      </c>
    </row>
    <row r="21" spans="1:12">
      <c r="A21" t="s">
        <v>25</v>
      </c>
      <c r="B21">
        <v>2014</v>
      </c>
      <c r="C21" s="8">
        <v>45</v>
      </c>
      <c r="D21" s="9">
        <f>'[24]Plant Measurments'!$S$564/10000</f>
        <v>0.47208346204639939</v>
      </c>
      <c r="E21" s="9">
        <f t="shared" si="22"/>
        <v>7943.6917658393168</v>
      </c>
      <c r="F21" s="9">
        <f t="shared" si="23"/>
        <v>2089.1909344157402</v>
      </c>
    </row>
    <row r="22" spans="1:12">
      <c r="A22" t="s">
        <v>26</v>
      </c>
      <c r="B22">
        <v>2014</v>
      </c>
      <c r="C22" s="8">
        <v>47</v>
      </c>
      <c r="D22" s="9">
        <f>'[25]Plant Measurments'!$S$494</f>
        <v>6541.004165199487</v>
      </c>
      <c r="E22" s="9">
        <f t="shared" si="22"/>
        <v>110064692.16731195</v>
      </c>
      <c r="F22" s="9">
        <f t="shared" si="23"/>
        <v>28947014.040003043</v>
      </c>
    </row>
    <row r="23" spans="1:12">
      <c r="A23" t="s">
        <v>27</v>
      </c>
      <c r="B23">
        <v>2015</v>
      </c>
      <c r="C23" s="8">
        <v>49</v>
      </c>
      <c r="D23" s="9">
        <f>'[26]Plant Measurments'!$S$456</f>
        <v>92525.788679213438</v>
      </c>
      <c r="E23" s="9">
        <f t="shared" si="22"/>
        <v>1556920343.010483</v>
      </c>
      <c r="F23" s="9">
        <f t="shared" si="23"/>
        <v>409470050.21175706</v>
      </c>
    </row>
    <row r="24" spans="1:12">
      <c r="A24" t="s">
        <v>38</v>
      </c>
      <c r="B24">
        <v>2015</v>
      </c>
      <c r="C24" s="8">
        <v>51</v>
      </c>
      <c r="D24" s="9">
        <f>'[27]Plant Measurments'!$S$767</f>
        <v>1636.6217562867498</v>
      </c>
      <c r="E24" s="9">
        <f t="shared" si="22"/>
        <v>27539237.898426384</v>
      </c>
      <c r="F24" s="9">
        <f t="shared" si="23"/>
        <v>7242819.5672861394</v>
      </c>
    </row>
    <row r="25" spans="1:12">
      <c r="A25" t="s">
        <v>29</v>
      </c>
      <c r="B25">
        <v>2015</v>
      </c>
      <c r="C25" s="8">
        <v>53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 data</vt:lpstr>
      <vt:lpstr>Bio Tide Calcs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Chris Sanchez</cp:lastModifiedBy>
  <dcterms:created xsi:type="dcterms:W3CDTF">2013-10-15T22:35:36Z</dcterms:created>
  <dcterms:modified xsi:type="dcterms:W3CDTF">2015-07-29T22:45:03Z</dcterms:modified>
</cp:coreProperties>
</file>