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usti\OneDrive\CAP\"/>
    </mc:Choice>
  </mc:AlternateContent>
  <xr:revisionPtr revIDLastSave="149" documentId="11_C4B4BCF2F49868B440B5AF6F5D25536E65918A6A" xr6:coauthVersionLast="40" xr6:coauthVersionMax="40" xr10:uidLastSave="{AE184194-1691-4055-8EE5-B1E5D1FFD980}"/>
  <bookViews>
    <workbookView xWindow="3260" yWindow="2860" windowWidth="25600" windowHeight="18380" tabRatio="500" activeTab="5" xr2:uid="{00000000-000D-0000-FFFF-FFFF00000000}"/>
  </bookViews>
  <sheets>
    <sheet name="2011" sheetId="5" r:id="rId1"/>
    <sheet name="2012" sheetId="1" r:id="rId2"/>
    <sheet name="2013" sheetId="3" r:id="rId3"/>
    <sheet name="2015" sheetId="6" r:id="rId4"/>
    <sheet name="2016" sheetId="7" r:id="rId5"/>
    <sheet name="2017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7" l="1"/>
  <c r="J2" i="7"/>
  <c r="K2" i="7"/>
  <c r="G3" i="7"/>
  <c r="J3" i="7"/>
  <c r="K3" i="7"/>
  <c r="G4" i="7"/>
  <c r="J4" i="7"/>
  <c r="K4" i="7"/>
  <c r="G5" i="7"/>
  <c r="J5" i="7"/>
  <c r="K5" i="7"/>
  <c r="G6" i="7"/>
  <c r="J6" i="7"/>
  <c r="K6" i="7"/>
  <c r="G9" i="7"/>
  <c r="J9" i="7"/>
  <c r="K9" i="7"/>
  <c r="K13" i="7"/>
  <c r="K12" i="7"/>
  <c r="G10" i="7"/>
  <c r="K14" i="8"/>
  <c r="K13" i="8"/>
  <c r="K3" i="8"/>
  <c r="K4" i="8"/>
  <c r="K6" i="8"/>
  <c r="K9" i="8"/>
  <c r="K10" i="8"/>
  <c r="H10" i="8"/>
  <c r="I10" i="8"/>
  <c r="J10" i="8"/>
  <c r="G10" i="8"/>
  <c r="J9" i="8"/>
  <c r="G9" i="8"/>
  <c r="H8" i="8"/>
  <c r="I8" i="8"/>
  <c r="J8" i="8"/>
  <c r="J7" i="8"/>
  <c r="H6" i="8"/>
  <c r="I6" i="8"/>
  <c r="J6" i="8"/>
  <c r="G6" i="8"/>
  <c r="H5" i="8"/>
  <c r="I5" i="8"/>
  <c r="J5" i="8"/>
  <c r="J4" i="8"/>
  <c r="G4" i="8"/>
  <c r="J3" i="8"/>
  <c r="G3" i="8"/>
  <c r="H2" i="8"/>
  <c r="I2" i="8"/>
  <c r="J2" i="8"/>
  <c r="G7" i="7"/>
  <c r="K14" i="6"/>
  <c r="K13" i="6"/>
  <c r="K3" i="6"/>
  <c r="K4" i="6"/>
  <c r="K5" i="6"/>
  <c r="K6" i="6"/>
  <c r="K7" i="6"/>
  <c r="K8" i="6"/>
  <c r="K9" i="6"/>
  <c r="K10" i="6"/>
  <c r="K2" i="6"/>
  <c r="H10" i="6"/>
  <c r="J10" i="6"/>
  <c r="G10" i="6"/>
  <c r="H9" i="6"/>
  <c r="J9" i="6"/>
  <c r="E9" i="6"/>
  <c r="G9" i="6"/>
  <c r="J8" i="6"/>
  <c r="G8" i="6"/>
  <c r="H7" i="6"/>
  <c r="J7" i="6"/>
  <c r="G7" i="6"/>
  <c r="H6" i="6"/>
  <c r="I6" i="6"/>
  <c r="J6" i="6"/>
  <c r="E6" i="6"/>
  <c r="F6" i="6"/>
  <c r="G6" i="6"/>
  <c r="H5" i="6"/>
  <c r="I5" i="6"/>
  <c r="J5" i="6"/>
  <c r="E5" i="6"/>
  <c r="F5" i="6"/>
  <c r="G5" i="6"/>
  <c r="H4" i="6"/>
  <c r="I4" i="6"/>
  <c r="J4" i="6"/>
  <c r="G4" i="6"/>
  <c r="J3" i="6"/>
  <c r="G3" i="6"/>
  <c r="J2" i="6"/>
  <c r="E2" i="6"/>
  <c r="G2" i="6"/>
  <c r="G13" i="5"/>
  <c r="H13" i="5"/>
  <c r="I13" i="5"/>
  <c r="G9" i="5"/>
  <c r="F8" i="5"/>
  <c r="E8" i="5"/>
  <c r="F4" i="5"/>
  <c r="E4" i="5"/>
  <c r="I3" i="5"/>
  <c r="H3" i="5"/>
  <c r="F3" i="5"/>
  <c r="E3" i="5"/>
  <c r="F2" i="5"/>
  <c r="E2" i="5"/>
  <c r="G2" i="5"/>
  <c r="J2" i="5"/>
  <c r="K2" i="5"/>
  <c r="G3" i="5"/>
  <c r="J3" i="5"/>
  <c r="K3" i="5"/>
  <c r="G4" i="5"/>
  <c r="J4" i="5"/>
  <c r="K4" i="5"/>
  <c r="G5" i="5"/>
  <c r="J5" i="5"/>
  <c r="K5" i="5"/>
  <c r="G6" i="5"/>
  <c r="J6" i="5"/>
  <c r="K6" i="5"/>
  <c r="G7" i="5"/>
  <c r="J7" i="5"/>
  <c r="K7" i="5"/>
  <c r="G8" i="5"/>
  <c r="J8" i="5"/>
  <c r="K8" i="5"/>
  <c r="J9" i="5"/>
  <c r="K9" i="5"/>
  <c r="G10" i="5"/>
  <c r="J10" i="5"/>
  <c r="K10" i="5"/>
  <c r="G11" i="5"/>
  <c r="J11" i="5"/>
  <c r="K11" i="5"/>
  <c r="G12" i="5"/>
  <c r="J12" i="5"/>
  <c r="K12" i="5"/>
  <c r="J13" i="5"/>
  <c r="K13" i="5"/>
  <c r="G14" i="5"/>
  <c r="J14" i="5"/>
  <c r="K14" i="5"/>
  <c r="K19" i="5"/>
  <c r="K18" i="5"/>
  <c r="F10" i="3"/>
  <c r="E10" i="3"/>
  <c r="F9" i="3"/>
  <c r="E9" i="3"/>
  <c r="I8" i="3"/>
  <c r="H8" i="3"/>
  <c r="F8" i="3"/>
  <c r="E8" i="3"/>
  <c r="H7" i="3"/>
  <c r="F7" i="3"/>
  <c r="E7" i="3"/>
  <c r="I5" i="3"/>
  <c r="H5" i="3"/>
  <c r="F5" i="3"/>
  <c r="E5" i="3"/>
  <c r="J4" i="3"/>
  <c r="G4" i="3"/>
  <c r="I3" i="3"/>
  <c r="H3" i="3"/>
  <c r="G12" i="3"/>
  <c r="J12" i="3"/>
  <c r="K12" i="3"/>
  <c r="G11" i="3"/>
  <c r="J11" i="3"/>
  <c r="K11" i="3"/>
  <c r="G10" i="3"/>
  <c r="J10" i="3"/>
  <c r="K10" i="3"/>
  <c r="G9" i="3"/>
  <c r="J9" i="3"/>
  <c r="K9" i="3"/>
  <c r="G8" i="3"/>
  <c r="J8" i="3"/>
  <c r="K8" i="3"/>
  <c r="G7" i="3"/>
  <c r="J7" i="3"/>
  <c r="K7" i="3"/>
  <c r="G6" i="3"/>
  <c r="J6" i="3"/>
  <c r="K6" i="3"/>
  <c r="G5" i="3"/>
  <c r="J5" i="3"/>
  <c r="K5" i="3"/>
  <c r="K4" i="3"/>
  <c r="J3" i="3"/>
  <c r="E3" i="3"/>
  <c r="F3" i="3"/>
  <c r="G3" i="3"/>
  <c r="K3" i="3"/>
  <c r="J2" i="3"/>
  <c r="G2" i="3"/>
  <c r="K2" i="3"/>
  <c r="K19" i="3"/>
  <c r="K18" i="3"/>
  <c r="G2" i="1"/>
  <c r="J2" i="1"/>
  <c r="K2" i="1"/>
  <c r="G3" i="1"/>
  <c r="J3" i="1"/>
  <c r="K3" i="1"/>
  <c r="E4" i="1"/>
  <c r="F4" i="1"/>
  <c r="G4" i="1"/>
  <c r="H4" i="1"/>
  <c r="I4" i="1"/>
  <c r="J4" i="1"/>
  <c r="K4" i="1"/>
  <c r="E5" i="1"/>
  <c r="F5" i="1"/>
  <c r="G5" i="1"/>
  <c r="H5" i="1"/>
  <c r="I5" i="1"/>
  <c r="J5" i="1"/>
  <c r="K5" i="1"/>
  <c r="E6" i="1"/>
  <c r="F6" i="1"/>
  <c r="G6" i="1"/>
  <c r="H6" i="1"/>
  <c r="I6" i="1"/>
  <c r="J6" i="1"/>
  <c r="K6" i="1"/>
  <c r="E7" i="1"/>
  <c r="F7" i="1"/>
  <c r="G7" i="1"/>
  <c r="H7" i="1"/>
  <c r="I7" i="1"/>
  <c r="J7" i="1"/>
  <c r="K7" i="1"/>
  <c r="E8" i="1"/>
  <c r="F8" i="1"/>
  <c r="G8" i="1"/>
  <c r="H8" i="1"/>
  <c r="I8" i="1"/>
  <c r="J8" i="1"/>
  <c r="K8" i="1"/>
  <c r="E9" i="1"/>
  <c r="F9" i="1"/>
  <c r="G9" i="1"/>
  <c r="H9" i="1"/>
  <c r="I9" i="1"/>
  <c r="J9" i="1"/>
  <c r="K9" i="1"/>
  <c r="E10" i="1"/>
  <c r="F10" i="1"/>
  <c r="G10" i="1"/>
  <c r="H10" i="1"/>
  <c r="I10" i="1"/>
  <c r="J10" i="1"/>
  <c r="K10" i="1"/>
  <c r="E11" i="1"/>
  <c r="F11" i="1"/>
  <c r="G11" i="1"/>
  <c r="H11" i="1"/>
  <c r="I11" i="1"/>
  <c r="J11" i="1"/>
  <c r="K11" i="1"/>
  <c r="E12" i="1"/>
  <c r="F12" i="1"/>
  <c r="G12" i="1"/>
  <c r="H12" i="1"/>
  <c r="I12" i="1"/>
  <c r="J12" i="1"/>
  <c r="K12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G15" i="1"/>
  <c r="H15" i="1"/>
  <c r="I15" i="1"/>
  <c r="J15" i="1"/>
  <c r="K15" i="1"/>
  <c r="E16" i="1"/>
  <c r="F16" i="1"/>
  <c r="G16" i="1"/>
  <c r="H16" i="1"/>
  <c r="I16" i="1"/>
  <c r="J16" i="1"/>
  <c r="K16" i="1"/>
  <c r="K19" i="1"/>
  <c r="K18" i="1"/>
</calcChain>
</file>

<file path=xl/sharedStrings.xml><?xml version="1.0" encoding="utf-8"?>
<sst xmlns="http://schemas.openxmlformats.org/spreadsheetml/2006/main" count="228" uniqueCount="51">
  <si>
    <t>Date</t>
  </si>
  <si>
    <t>Species</t>
  </si>
  <si>
    <t>Transect</t>
  </si>
  <si>
    <t>Below ground + pan (g)</t>
  </si>
  <si>
    <t>Pan (g)</t>
  </si>
  <si>
    <t>Above ground + bag(s) [g]</t>
  </si>
  <si>
    <t>Bag(s) [g]</t>
  </si>
  <si>
    <t>T. latifolia</t>
  </si>
  <si>
    <t>S. americanus</t>
  </si>
  <si>
    <t>M-1-W</t>
  </si>
  <si>
    <t>S. californicus</t>
  </si>
  <si>
    <t>Sample (A or B if two were taken from same transect)</t>
  </si>
  <si>
    <t>B</t>
  </si>
  <si>
    <t>A</t>
  </si>
  <si>
    <t>Above ground (g)</t>
  </si>
  <si>
    <t>Below Ground (g)</t>
  </si>
  <si>
    <t>Above:below ratio</t>
  </si>
  <si>
    <t xml:space="preserve">Average </t>
  </si>
  <si>
    <t>Std dev</t>
  </si>
  <si>
    <t>S. acutus and S. tabernaemontani</t>
  </si>
  <si>
    <t>M-3</t>
  </si>
  <si>
    <t>T. domingensis</t>
  </si>
  <si>
    <t>Typha spp.</t>
  </si>
  <si>
    <t>?</t>
  </si>
  <si>
    <t>M-4-S</t>
  </si>
  <si>
    <t>Plant #</t>
  </si>
  <si>
    <t>M-4-S?</t>
  </si>
  <si>
    <t>M-5</t>
  </si>
  <si>
    <t>C-2 Shore</t>
  </si>
  <si>
    <t>S. tabernaemontani and S. californicus</t>
  </si>
  <si>
    <t>M-4-N</t>
  </si>
  <si>
    <t>C-2</t>
  </si>
  <si>
    <t>C-1</t>
  </si>
  <si>
    <t>notes</t>
  </si>
  <si>
    <t>floating root mass</t>
  </si>
  <si>
    <t>missing belowground</t>
  </si>
  <si>
    <t>M4C</t>
  </si>
  <si>
    <t>…</t>
  </si>
  <si>
    <t>M3</t>
  </si>
  <si>
    <t>M1E</t>
  </si>
  <si>
    <t>M1W</t>
  </si>
  <si>
    <t>M4S</t>
  </si>
  <si>
    <t>missing BG</t>
  </si>
  <si>
    <t>Average</t>
  </si>
  <si>
    <t>Std Dev</t>
  </si>
  <si>
    <t>M2</t>
  </si>
  <si>
    <t>M4N</t>
  </si>
  <si>
    <t>M5</t>
  </si>
  <si>
    <t>missing AG</t>
  </si>
  <si>
    <t>missing AG and BG</t>
  </si>
  <si>
    <t>31-Nov-17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</si>
</sst>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14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zoomScale="60" zoomScaleNormal="60" workbookViewId="0">
      <selection activeCell="K19" sqref="K19"/>
    </sheetView>
  </sheetViews>
  <sheetFormatPr defaultColWidth="10.6640625" defaultRowHeight="15.7" x14ac:dyDescent="0.55000000000000004"/>
  <cols>
    <col min="1" max="1" width="11.83203125" bestFit="1" customWidth="1"/>
    <col min="2" max="2" width="30.83203125" bestFit="1" customWidth="1"/>
    <col min="3" max="3" width="8" customWidth="1"/>
    <col min="4" max="4" width="9.1640625" bestFit="1" customWidth="1"/>
    <col min="11" max="11" width="12.1640625" customWidth="1"/>
  </cols>
  <sheetData>
    <row r="1" spans="1:12" ht="47" x14ac:dyDescent="0.55000000000000004">
      <c r="A1" t="s">
        <v>0</v>
      </c>
      <c r="B1" t="s">
        <v>1</v>
      </c>
      <c r="C1" t="s">
        <v>25</v>
      </c>
      <c r="D1" t="s">
        <v>2</v>
      </c>
      <c r="E1" s="1" t="s">
        <v>5</v>
      </c>
      <c r="F1" t="s">
        <v>6</v>
      </c>
      <c r="G1" s="1" t="s">
        <v>14</v>
      </c>
      <c r="H1" s="1" t="s">
        <v>3</v>
      </c>
      <c r="I1" t="s">
        <v>4</v>
      </c>
      <c r="J1" s="1" t="s">
        <v>15</v>
      </c>
      <c r="K1" s="1" t="s">
        <v>16</v>
      </c>
      <c r="L1" s="1" t="s">
        <v>33</v>
      </c>
    </row>
    <row r="2" spans="1:12" x14ac:dyDescent="0.55000000000000004">
      <c r="A2" s="3">
        <v>40865</v>
      </c>
      <c r="B2" t="s">
        <v>7</v>
      </c>
      <c r="D2" t="s">
        <v>27</v>
      </c>
      <c r="E2">
        <f>74.2+52.9+45</f>
        <v>172.1</v>
      </c>
      <c r="F2">
        <f>10.1*3</f>
        <v>30.299999999999997</v>
      </c>
      <c r="G2">
        <f>E2-F2</f>
        <v>141.80000000000001</v>
      </c>
      <c r="H2">
        <v>86</v>
      </c>
      <c r="I2">
        <v>10.3</v>
      </c>
      <c r="J2">
        <f>H2-I2</f>
        <v>75.7</v>
      </c>
      <c r="K2" s="5">
        <f>G2/J2</f>
        <v>1.8731836195508587</v>
      </c>
    </row>
    <row r="3" spans="1:12" x14ac:dyDescent="0.55000000000000004">
      <c r="A3" s="3">
        <v>40861</v>
      </c>
      <c r="B3" t="s">
        <v>8</v>
      </c>
      <c r="D3" t="s">
        <v>28</v>
      </c>
      <c r="E3">
        <f>25+44.3</f>
        <v>69.3</v>
      </c>
      <c r="F3">
        <f>10.2*2</f>
        <v>20.399999999999999</v>
      </c>
      <c r="G3">
        <f t="shared" ref="G3:G14" si="0">E3-F3</f>
        <v>48.9</v>
      </c>
      <c r="H3">
        <f>60.1+78.2</f>
        <v>138.30000000000001</v>
      </c>
      <c r="I3">
        <f>9.4+10.7</f>
        <v>20.100000000000001</v>
      </c>
      <c r="J3">
        <f t="shared" ref="J3:J14" si="1">H3-I3</f>
        <v>118.20000000000002</v>
      </c>
      <c r="K3" s="5">
        <f t="shared" ref="K3:K14" si="2">G3/J3</f>
        <v>0.41370558375634509</v>
      </c>
    </row>
    <row r="4" spans="1:12" x14ac:dyDescent="0.55000000000000004">
      <c r="A4" s="3">
        <v>40865</v>
      </c>
      <c r="B4" t="s">
        <v>29</v>
      </c>
      <c r="D4" t="s">
        <v>30</v>
      </c>
      <c r="E4">
        <f>47.2+38.3</f>
        <v>85.5</v>
      </c>
      <c r="F4">
        <f>10.2+10.1</f>
        <v>20.299999999999997</v>
      </c>
      <c r="G4">
        <f t="shared" si="0"/>
        <v>65.2</v>
      </c>
      <c r="H4">
        <v>86.3</v>
      </c>
      <c r="I4">
        <v>10.6</v>
      </c>
      <c r="J4">
        <f>H4-I4</f>
        <v>75.7</v>
      </c>
      <c r="K4" s="5">
        <f t="shared" si="2"/>
        <v>0.86129458388375169</v>
      </c>
    </row>
    <row r="5" spans="1:12" x14ac:dyDescent="0.55000000000000004">
      <c r="A5" s="3">
        <v>40868</v>
      </c>
      <c r="B5" t="s">
        <v>7</v>
      </c>
      <c r="D5" t="s">
        <v>9</v>
      </c>
      <c r="E5">
        <v>59</v>
      </c>
      <c r="F5">
        <v>10.199999999999999</v>
      </c>
      <c r="G5">
        <f t="shared" si="0"/>
        <v>48.8</v>
      </c>
      <c r="H5">
        <v>57.8</v>
      </c>
      <c r="I5">
        <v>9.6</v>
      </c>
      <c r="J5">
        <f t="shared" si="1"/>
        <v>48.199999999999996</v>
      </c>
      <c r="K5" s="5">
        <f t="shared" si="2"/>
        <v>1.0124481327800829</v>
      </c>
    </row>
    <row r="6" spans="1:12" x14ac:dyDescent="0.55000000000000004">
      <c r="A6" s="3">
        <v>40868</v>
      </c>
      <c r="B6" t="s">
        <v>7</v>
      </c>
      <c r="D6" t="s">
        <v>31</v>
      </c>
      <c r="E6">
        <v>48.8</v>
      </c>
      <c r="F6">
        <v>10.1</v>
      </c>
      <c r="G6">
        <f t="shared" si="0"/>
        <v>38.699999999999996</v>
      </c>
      <c r="H6">
        <v>85</v>
      </c>
      <c r="I6">
        <v>9.1</v>
      </c>
      <c r="J6">
        <f t="shared" si="1"/>
        <v>75.900000000000006</v>
      </c>
      <c r="K6" s="5">
        <f t="shared" si="2"/>
        <v>0.50988142292490113</v>
      </c>
    </row>
    <row r="7" spans="1:12" x14ac:dyDescent="0.55000000000000004">
      <c r="A7" s="3">
        <v>40868</v>
      </c>
      <c r="B7" t="s">
        <v>7</v>
      </c>
      <c r="D7" t="s">
        <v>32</v>
      </c>
      <c r="E7">
        <v>97.4</v>
      </c>
      <c r="F7">
        <v>10.199999999999999</v>
      </c>
      <c r="G7">
        <f t="shared" si="0"/>
        <v>87.2</v>
      </c>
      <c r="H7">
        <v>155.9</v>
      </c>
      <c r="I7">
        <v>13.8</v>
      </c>
      <c r="J7">
        <f t="shared" si="1"/>
        <v>142.1</v>
      </c>
      <c r="K7" s="5">
        <f t="shared" si="2"/>
        <v>0.61365235749472202</v>
      </c>
    </row>
    <row r="8" spans="1:12" x14ac:dyDescent="0.55000000000000004">
      <c r="A8" s="3">
        <v>40875</v>
      </c>
      <c r="B8" t="s">
        <v>10</v>
      </c>
      <c r="D8" t="s">
        <v>24</v>
      </c>
      <c r="E8">
        <f>65+69.5</f>
        <v>134.5</v>
      </c>
      <c r="F8">
        <f>10.1+10.2</f>
        <v>20.299999999999997</v>
      </c>
      <c r="G8">
        <f t="shared" si="0"/>
        <v>114.2</v>
      </c>
      <c r="H8">
        <v>171.1</v>
      </c>
      <c r="I8">
        <v>15.4</v>
      </c>
      <c r="J8">
        <f t="shared" si="1"/>
        <v>155.69999999999999</v>
      </c>
      <c r="K8" s="5">
        <f t="shared" si="2"/>
        <v>0.73346178548490693</v>
      </c>
    </row>
    <row r="9" spans="1:12" x14ac:dyDescent="0.55000000000000004">
      <c r="A9" s="3">
        <v>40875</v>
      </c>
      <c r="B9" t="s">
        <v>19</v>
      </c>
      <c r="D9" t="s">
        <v>24</v>
      </c>
      <c r="E9">
        <v>35.4</v>
      </c>
      <c r="F9">
        <v>10.199999999999999</v>
      </c>
      <c r="G9">
        <f>E9-F9</f>
        <v>25.2</v>
      </c>
      <c r="H9">
        <v>37.299999999999997</v>
      </c>
      <c r="I9">
        <v>7.5</v>
      </c>
      <c r="J9">
        <f t="shared" si="1"/>
        <v>29.799999999999997</v>
      </c>
      <c r="K9" s="5">
        <f t="shared" si="2"/>
        <v>0.84563758389261756</v>
      </c>
    </row>
    <row r="10" spans="1:12" x14ac:dyDescent="0.55000000000000004">
      <c r="A10" s="3">
        <v>40875</v>
      </c>
      <c r="B10" t="s">
        <v>19</v>
      </c>
      <c r="D10" t="s">
        <v>27</v>
      </c>
      <c r="E10">
        <v>72.900000000000006</v>
      </c>
      <c r="F10">
        <v>10.3</v>
      </c>
      <c r="G10">
        <f t="shared" si="0"/>
        <v>62.600000000000009</v>
      </c>
      <c r="H10">
        <v>63.1</v>
      </c>
      <c r="I10">
        <v>11.9</v>
      </c>
      <c r="J10">
        <f t="shared" si="1"/>
        <v>51.2</v>
      </c>
      <c r="K10" s="5">
        <f t="shared" si="2"/>
        <v>1.22265625</v>
      </c>
    </row>
    <row r="11" spans="1:12" x14ac:dyDescent="0.55000000000000004">
      <c r="A11" s="3">
        <v>40875</v>
      </c>
      <c r="B11" t="s">
        <v>8</v>
      </c>
      <c r="D11" t="s">
        <v>27</v>
      </c>
      <c r="E11">
        <v>26.5</v>
      </c>
      <c r="F11">
        <v>10.199999999999999</v>
      </c>
      <c r="G11">
        <f t="shared" si="0"/>
        <v>16.3</v>
      </c>
      <c r="H11">
        <v>32.6</v>
      </c>
      <c r="I11">
        <v>7.3</v>
      </c>
      <c r="J11">
        <f t="shared" si="1"/>
        <v>25.3</v>
      </c>
      <c r="K11" s="5">
        <f t="shared" si="2"/>
        <v>0.64426877470355737</v>
      </c>
      <c r="L11" t="s">
        <v>34</v>
      </c>
    </row>
    <row r="12" spans="1:12" x14ac:dyDescent="0.55000000000000004">
      <c r="A12" s="3">
        <v>40875</v>
      </c>
      <c r="B12" t="s">
        <v>19</v>
      </c>
      <c r="D12" t="s">
        <v>27</v>
      </c>
      <c r="E12">
        <v>52.5</v>
      </c>
      <c r="F12">
        <v>10.199999999999999</v>
      </c>
      <c r="G12">
        <f t="shared" si="0"/>
        <v>42.3</v>
      </c>
      <c r="H12">
        <v>91.1</v>
      </c>
      <c r="I12">
        <v>11</v>
      </c>
      <c r="J12">
        <f t="shared" si="1"/>
        <v>80.099999999999994</v>
      </c>
      <c r="K12" s="5">
        <f t="shared" si="2"/>
        <v>0.5280898876404494</v>
      </c>
    </row>
    <row r="13" spans="1:12" x14ac:dyDescent="0.55000000000000004">
      <c r="A13" s="3">
        <v>40875</v>
      </c>
      <c r="B13" t="s">
        <v>8</v>
      </c>
      <c r="D13" t="s">
        <v>27</v>
      </c>
      <c r="E13">
        <v>84.8</v>
      </c>
      <c r="F13">
        <v>10.199999999999999</v>
      </c>
      <c r="G13">
        <f t="shared" si="0"/>
        <v>74.599999999999994</v>
      </c>
      <c r="H13">
        <f>40.9+86.2</f>
        <v>127.1</v>
      </c>
      <c r="I13">
        <f>11.5+12</f>
        <v>23.5</v>
      </c>
      <c r="J13">
        <f t="shared" si="1"/>
        <v>103.6</v>
      </c>
      <c r="K13" s="5">
        <f t="shared" si="2"/>
        <v>0.72007722007722008</v>
      </c>
    </row>
    <row r="14" spans="1:12" x14ac:dyDescent="0.55000000000000004">
      <c r="A14" s="3">
        <v>40875</v>
      </c>
      <c r="B14" t="s">
        <v>19</v>
      </c>
      <c r="D14" t="s">
        <v>24</v>
      </c>
      <c r="E14">
        <v>47.6</v>
      </c>
      <c r="F14">
        <v>10.199999999999999</v>
      </c>
      <c r="G14">
        <f t="shared" si="0"/>
        <v>37.400000000000006</v>
      </c>
      <c r="H14">
        <v>63.4</v>
      </c>
      <c r="I14">
        <v>11.2</v>
      </c>
      <c r="J14">
        <f t="shared" si="1"/>
        <v>52.2</v>
      </c>
      <c r="K14" s="5">
        <f t="shared" si="2"/>
        <v>0.71647509578544066</v>
      </c>
    </row>
    <row r="15" spans="1:12" x14ac:dyDescent="0.55000000000000004">
      <c r="A15" s="3"/>
      <c r="K15" s="5"/>
    </row>
    <row r="16" spans="1:12" x14ac:dyDescent="0.55000000000000004">
      <c r="A16" s="3"/>
      <c r="K16" s="5"/>
    </row>
    <row r="18" spans="10:11" x14ac:dyDescent="0.55000000000000004">
      <c r="J18" t="s">
        <v>17</v>
      </c>
      <c r="K18" s="5">
        <f>AVERAGE(K2:K16)</f>
        <v>0.82267940753652724</v>
      </c>
    </row>
    <row r="19" spans="10:11" x14ac:dyDescent="0.55000000000000004">
      <c r="J19" t="s">
        <v>18</v>
      </c>
      <c r="K19" s="5">
        <f>_xlfn.STDEV.P(K2:K16)</f>
        <v>0.36781528767826804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zoomScale="60" zoomScaleNormal="60" workbookViewId="0">
      <selection activeCell="F12" sqref="F12"/>
    </sheetView>
  </sheetViews>
  <sheetFormatPr defaultColWidth="10.6640625" defaultRowHeight="15.7" x14ac:dyDescent="0.55000000000000004"/>
  <cols>
    <col min="1" max="1" width="11.83203125" bestFit="1" customWidth="1"/>
    <col min="2" max="2" width="30.83203125" bestFit="1" customWidth="1"/>
    <col min="3" max="3" width="8.1640625" bestFit="1" customWidth="1"/>
    <col min="4" max="4" width="17.83203125" customWidth="1"/>
    <col min="11" max="11" width="12.1640625" customWidth="1"/>
  </cols>
  <sheetData>
    <row r="1" spans="1:11" ht="47" x14ac:dyDescent="0.55000000000000004">
      <c r="A1" t="s">
        <v>0</v>
      </c>
      <c r="B1" t="s">
        <v>1</v>
      </c>
      <c r="C1" t="s">
        <v>2</v>
      </c>
      <c r="D1" s="1" t="s">
        <v>11</v>
      </c>
      <c r="E1" s="1" t="s">
        <v>5</v>
      </c>
      <c r="F1" t="s">
        <v>6</v>
      </c>
      <c r="G1" s="1" t="s">
        <v>14</v>
      </c>
      <c r="H1" s="1" t="s">
        <v>3</v>
      </c>
      <c r="I1" t="s">
        <v>4</v>
      </c>
      <c r="J1" s="1" t="s">
        <v>15</v>
      </c>
      <c r="K1" s="1" t="s">
        <v>16</v>
      </c>
    </row>
    <row r="2" spans="1:11" x14ac:dyDescent="0.55000000000000004">
      <c r="A2" s="3">
        <v>41233</v>
      </c>
      <c r="B2" t="s">
        <v>19</v>
      </c>
      <c r="C2" t="s">
        <v>9</v>
      </c>
      <c r="E2">
        <v>43.7</v>
      </c>
      <c r="F2">
        <v>10.1</v>
      </c>
      <c r="G2">
        <f>E2-F2</f>
        <v>33.6</v>
      </c>
      <c r="H2">
        <v>116</v>
      </c>
      <c r="I2">
        <v>11.8</v>
      </c>
      <c r="J2">
        <f>H2-I2</f>
        <v>104.2</v>
      </c>
      <c r="K2" s="5">
        <f>G2/J2</f>
        <v>0.32245681381957775</v>
      </c>
    </row>
    <row r="3" spans="1:11" x14ac:dyDescent="0.55000000000000004">
      <c r="A3" s="3">
        <v>41243</v>
      </c>
      <c r="B3" t="s">
        <v>19</v>
      </c>
      <c r="C3" t="s">
        <v>20</v>
      </c>
      <c r="D3" t="s">
        <v>13</v>
      </c>
      <c r="E3">
        <v>57.8</v>
      </c>
      <c r="F3">
        <v>10.1</v>
      </c>
      <c r="G3">
        <f t="shared" ref="G3:G16" si="0">E3-F3</f>
        <v>47.699999999999996</v>
      </c>
      <c r="H3">
        <v>127.5</v>
      </c>
      <c r="I3">
        <v>7</v>
      </c>
      <c r="J3">
        <f t="shared" ref="J3:J14" si="1">H3-I3</f>
        <v>120.5</v>
      </c>
      <c r="K3" s="5">
        <f t="shared" ref="K3:K14" si="2">G3/J3</f>
        <v>0.39585062240663899</v>
      </c>
    </row>
    <row r="4" spans="1:11" x14ac:dyDescent="0.55000000000000004">
      <c r="A4" s="3">
        <v>41243</v>
      </c>
      <c r="B4" t="s">
        <v>7</v>
      </c>
      <c r="C4" t="s">
        <v>20</v>
      </c>
      <c r="E4">
        <f>85.6+60.5</f>
        <v>146.1</v>
      </c>
      <c r="F4">
        <f>10.4+10</f>
        <v>20.399999999999999</v>
      </c>
      <c r="G4">
        <f t="shared" si="0"/>
        <v>125.69999999999999</v>
      </c>
      <c r="H4">
        <f>29.6+171.5</f>
        <v>201.1</v>
      </c>
      <c r="I4">
        <f>4+12.3</f>
        <v>16.3</v>
      </c>
      <c r="J4">
        <f t="shared" si="1"/>
        <v>184.79999999999998</v>
      </c>
      <c r="K4" s="5">
        <f t="shared" si="2"/>
        <v>0.68019480519480524</v>
      </c>
    </row>
    <row r="5" spans="1:11" x14ac:dyDescent="0.55000000000000004">
      <c r="A5" s="3">
        <v>41243</v>
      </c>
      <c r="B5" t="s">
        <v>8</v>
      </c>
      <c r="C5" t="s">
        <v>20</v>
      </c>
      <c r="D5" t="s">
        <v>13</v>
      </c>
      <c r="E5">
        <f>65.3+76.4+29.7</f>
        <v>171.39999999999998</v>
      </c>
      <c r="F5">
        <f>10.2+10+10.1</f>
        <v>30.299999999999997</v>
      </c>
      <c r="G5">
        <f t="shared" si="0"/>
        <v>141.09999999999997</v>
      </c>
      <c r="H5">
        <f>108.3+103.7</f>
        <v>212</v>
      </c>
      <c r="I5">
        <f>13.5+13</f>
        <v>26.5</v>
      </c>
      <c r="J5">
        <f t="shared" si="1"/>
        <v>185.5</v>
      </c>
      <c r="K5" s="5">
        <f t="shared" si="2"/>
        <v>0.76064690026954163</v>
      </c>
    </row>
    <row r="6" spans="1:11" x14ac:dyDescent="0.55000000000000004">
      <c r="A6" s="3">
        <v>41242</v>
      </c>
      <c r="B6" t="s">
        <v>8</v>
      </c>
      <c r="C6" t="s">
        <v>20</v>
      </c>
      <c r="D6" t="s">
        <v>12</v>
      </c>
      <c r="E6">
        <f>58.7</f>
        <v>58.7</v>
      </c>
      <c r="F6">
        <f>10</f>
        <v>10</v>
      </c>
      <c r="G6">
        <f t="shared" si="0"/>
        <v>48.7</v>
      </c>
      <c r="H6">
        <f>93.7</f>
        <v>93.7</v>
      </c>
      <c r="I6">
        <f>6.5</f>
        <v>6.5</v>
      </c>
      <c r="J6">
        <f t="shared" si="1"/>
        <v>87.2</v>
      </c>
      <c r="K6" s="5">
        <f t="shared" si="2"/>
        <v>0.5584862385321101</v>
      </c>
    </row>
    <row r="7" spans="1:11" x14ac:dyDescent="0.55000000000000004">
      <c r="A7" s="3">
        <v>41233</v>
      </c>
      <c r="B7" t="s">
        <v>8</v>
      </c>
      <c r="C7" t="s">
        <v>9</v>
      </c>
      <c r="E7">
        <f>81+84.1</f>
        <v>165.1</v>
      </c>
      <c r="F7">
        <f>9.9+10.1</f>
        <v>20</v>
      </c>
      <c r="G7">
        <f t="shared" si="0"/>
        <v>145.1</v>
      </c>
      <c r="H7">
        <f>185.2+127.3</f>
        <v>312.5</v>
      </c>
      <c r="I7">
        <f>12.8+14.8</f>
        <v>27.6</v>
      </c>
      <c r="J7">
        <f t="shared" si="1"/>
        <v>284.89999999999998</v>
      </c>
      <c r="K7" s="5">
        <f t="shared" si="2"/>
        <v>0.5093015093015093</v>
      </c>
    </row>
    <row r="8" spans="1:11" x14ac:dyDescent="0.55000000000000004">
      <c r="A8" s="2">
        <v>41242</v>
      </c>
      <c r="B8" t="s">
        <v>19</v>
      </c>
      <c r="C8" t="s">
        <v>20</v>
      </c>
      <c r="D8" t="s">
        <v>12</v>
      </c>
      <c r="E8">
        <f>37</f>
        <v>37</v>
      </c>
      <c r="F8">
        <f>10.1</f>
        <v>10.1</v>
      </c>
      <c r="G8">
        <f t="shared" si="0"/>
        <v>26.9</v>
      </c>
      <c r="H8">
        <f>82.4</f>
        <v>82.4</v>
      </c>
      <c r="I8">
        <f>5.3</f>
        <v>5.3</v>
      </c>
      <c r="J8">
        <f t="shared" si="1"/>
        <v>77.100000000000009</v>
      </c>
      <c r="K8" s="5">
        <f t="shared" si="2"/>
        <v>0.34889753566796361</v>
      </c>
    </row>
    <row r="9" spans="1:11" x14ac:dyDescent="0.55000000000000004">
      <c r="A9" s="2">
        <v>41233</v>
      </c>
      <c r="B9" t="s">
        <v>10</v>
      </c>
      <c r="C9" t="s">
        <v>9</v>
      </c>
      <c r="E9">
        <f>144.3</f>
        <v>144.30000000000001</v>
      </c>
      <c r="F9">
        <f>10</f>
        <v>10</v>
      </c>
      <c r="G9">
        <f t="shared" si="0"/>
        <v>134.30000000000001</v>
      </c>
      <c r="H9">
        <f>185.4</f>
        <v>185.4</v>
      </c>
      <c r="I9">
        <f>5.3</f>
        <v>5.3</v>
      </c>
      <c r="J9">
        <f t="shared" si="1"/>
        <v>180.1</v>
      </c>
      <c r="K9" s="5">
        <f t="shared" si="2"/>
        <v>0.74569683509161588</v>
      </c>
    </row>
    <row r="10" spans="1:11" x14ac:dyDescent="0.55000000000000004">
      <c r="A10" s="2">
        <v>41242</v>
      </c>
      <c r="B10" t="s">
        <v>21</v>
      </c>
      <c r="C10" t="s">
        <v>20</v>
      </c>
      <c r="D10" t="s">
        <v>13</v>
      </c>
      <c r="E10">
        <f>165.1+101.4</f>
        <v>266.5</v>
      </c>
      <c r="F10">
        <f>10.1+10</f>
        <v>20.100000000000001</v>
      </c>
      <c r="G10">
        <f t="shared" si="0"/>
        <v>246.4</v>
      </c>
      <c r="H10">
        <f>127.8</f>
        <v>127.8</v>
      </c>
      <c r="I10">
        <f>8.1</f>
        <v>8.1</v>
      </c>
      <c r="J10">
        <f t="shared" si="1"/>
        <v>119.7</v>
      </c>
      <c r="K10" s="5">
        <f t="shared" si="2"/>
        <v>2.0584795321637426</v>
      </c>
    </row>
    <row r="11" spans="1:11" x14ac:dyDescent="0.55000000000000004">
      <c r="A11" s="2">
        <v>41242</v>
      </c>
      <c r="B11" t="s">
        <v>10</v>
      </c>
      <c r="C11" t="s">
        <v>20</v>
      </c>
      <c r="D11" s="4" t="s">
        <v>13</v>
      </c>
      <c r="E11">
        <f>69.9</f>
        <v>69.900000000000006</v>
      </c>
      <c r="F11">
        <f>10</f>
        <v>10</v>
      </c>
      <c r="G11">
        <f t="shared" si="0"/>
        <v>59.900000000000006</v>
      </c>
      <c r="H11">
        <f>55.8</f>
        <v>55.8</v>
      </c>
      <c r="I11">
        <f>4.8</f>
        <v>4.8</v>
      </c>
      <c r="J11">
        <f t="shared" si="1"/>
        <v>51</v>
      </c>
      <c r="K11" s="5">
        <f t="shared" si="2"/>
        <v>1.1745098039215687</v>
      </c>
    </row>
    <row r="12" spans="1:11" x14ac:dyDescent="0.55000000000000004">
      <c r="A12" s="2">
        <v>41243</v>
      </c>
      <c r="B12" t="s">
        <v>10</v>
      </c>
      <c r="C12" t="s">
        <v>20</v>
      </c>
      <c r="D12" t="s">
        <v>12</v>
      </c>
      <c r="E12">
        <f>66.8</f>
        <v>66.8</v>
      </c>
      <c r="F12">
        <f>10.2</f>
        <v>10.199999999999999</v>
      </c>
      <c r="G12">
        <f t="shared" si="0"/>
        <v>56.599999999999994</v>
      </c>
      <c r="H12">
        <f>125</f>
        <v>125</v>
      </c>
      <c r="I12">
        <f>6.8</f>
        <v>6.8</v>
      </c>
      <c r="J12">
        <f t="shared" si="1"/>
        <v>118.2</v>
      </c>
      <c r="K12" s="5">
        <f t="shared" si="2"/>
        <v>0.47884940778341789</v>
      </c>
    </row>
    <row r="13" spans="1:11" x14ac:dyDescent="0.55000000000000004">
      <c r="A13" s="2">
        <v>41242</v>
      </c>
      <c r="B13" t="s">
        <v>21</v>
      </c>
      <c r="C13" t="s">
        <v>20</v>
      </c>
      <c r="D13" t="s">
        <v>12</v>
      </c>
      <c r="E13">
        <f>153.6</f>
        <v>153.6</v>
      </c>
      <c r="F13">
        <f>10.1</f>
        <v>10.1</v>
      </c>
      <c r="G13">
        <f t="shared" si="0"/>
        <v>143.5</v>
      </c>
      <c r="H13">
        <f>50.6</f>
        <v>50.6</v>
      </c>
      <c r="I13">
        <f>8.1</f>
        <v>8.1</v>
      </c>
      <c r="J13">
        <f t="shared" si="1"/>
        <v>42.5</v>
      </c>
      <c r="K13" s="5">
        <f t="shared" si="2"/>
        <v>3.3764705882352941</v>
      </c>
    </row>
    <row r="14" spans="1:11" x14ac:dyDescent="0.55000000000000004">
      <c r="A14" s="2">
        <v>41233</v>
      </c>
      <c r="B14" t="s">
        <v>7</v>
      </c>
      <c r="C14" t="s">
        <v>9</v>
      </c>
      <c r="D14" t="s">
        <v>13</v>
      </c>
      <c r="E14">
        <f>69.9+70.1</f>
        <v>140</v>
      </c>
      <c r="F14">
        <f>10.1+10.2</f>
        <v>20.299999999999997</v>
      </c>
      <c r="G14">
        <f t="shared" si="0"/>
        <v>119.7</v>
      </c>
      <c r="H14">
        <f>90.5</f>
        <v>90.5</v>
      </c>
      <c r="I14">
        <f>7</f>
        <v>7</v>
      </c>
      <c r="J14">
        <f t="shared" si="1"/>
        <v>83.5</v>
      </c>
      <c r="K14" s="5">
        <f t="shared" si="2"/>
        <v>1.4335329341317367</v>
      </c>
    </row>
    <row r="15" spans="1:11" x14ac:dyDescent="0.55000000000000004">
      <c r="A15" s="6">
        <v>41233</v>
      </c>
      <c r="B15" t="s">
        <v>7</v>
      </c>
      <c r="C15" t="s">
        <v>9</v>
      </c>
      <c r="D15" t="s">
        <v>12</v>
      </c>
      <c r="E15">
        <f>39.9+28.8</f>
        <v>68.7</v>
      </c>
      <c r="F15">
        <f>10+10</f>
        <v>20</v>
      </c>
      <c r="G15">
        <f t="shared" si="0"/>
        <v>48.7</v>
      </c>
      <c r="H15">
        <f>92.4</f>
        <v>92.4</v>
      </c>
      <c r="I15">
        <f>15</f>
        <v>15</v>
      </c>
      <c r="J15">
        <f t="shared" ref="J15:J16" si="3">H15-I15</f>
        <v>77.400000000000006</v>
      </c>
      <c r="K15" s="5">
        <f t="shared" ref="K15:K16" si="4">G15/J15</f>
        <v>0.62919896640826878</v>
      </c>
    </row>
    <row r="16" spans="1:11" x14ac:dyDescent="0.55000000000000004">
      <c r="A16" s="6">
        <v>41243</v>
      </c>
      <c r="B16" t="s">
        <v>21</v>
      </c>
      <c r="C16" t="s">
        <v>20</v>
      </c>
      <c r="E16">
        <f>72.8+64.3</f>
        <v>137.1</v>
      </c>
      <c r="F16">
        <f>10.2+10.1</f>
        <v>20.299999999999997</v>
      </c>
      <c r="G16">
        <f t="shared" si="0"/>
        <v>116.8</v>
      </c>
      <c r="H16">
        <f>61.6</f>
        <v>61.6</v>
      </c>
      <c r="I16">
        <f>5.7</f>
        <v>5.7</v>
      </c>
      <c r="J16">
        <f t="shared" si="3"/>
        <v>55.9</v>
      </c>
      <c r="K16" s="5">
        <f t="shared" si="4"/>
        <v>2.0894454382826475</v>
      </c>
    </row>
    <row r="18" spans="10:11" x14ac:dyDescent="0.55000000000000004">
      <c r="J18" t="s">
        <v>17</v>
      </c>
      <c r="K18" s="5">
        <f>AVERAGE(K2:K16)</f>
        <v>1.0374678620806959</v>
      </c>
    </row>
    <row r="19" spans="10:11" x14ac:dyDescent="0.55000000000000004">
      <c r="J19" t="s">
        <v>18</v>
      </c>
      <c r="K19" s="5">
        <f>_xlfn.STDEV.P(K2:K16)</f>
        <v>0.83543487238612391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zoomScale="60" zoomScaleNormal="60" workbookViewId="0">
      <selection activeCell="K2" sqref="K2"/>
    </sheetView>
  </sheetViews>
  <sheetFormatPr defaultColWidth="10.6640625" defaultRowHeight="15.7" x14ac:dyDescent="0.55000000000000004"/>
  <cols>
    <col min="1" max="1" width="11.83203125" bestFit="1" customWidth="1"/>
    <col min="2" max="2" width="30.83203125" bestFit="1" customWidth="1"/>
    <col min="3" max="3" width="8" customWidth="1"/>
    <col min="4" max="4" width="8.1640625" bestFit="1" customWidth="1"/>
    <col min="11" max="11" width="12.1640625" customWidth="1"/>
  </cols>
  <sheetData>
    <row r="1" spans="1:12" ht="47" x14ac:dyDescent="0.55000000000000004">
      <c r="A1" t="s">
        <v>0</v>
      </c>
      <c r="B1" t="s">
        <v>1</v>
      </c>
      <c r="C1" t="s">
        <v>25</v>
      </c>
      <c r="D1" t="s">
        <v>2</v>
      </c>
      <c r="E1" s="1" t="s">
        <v>5</v>
      </c>
      <c r="F1" t="s">
        <v>6</v>
      </c>
      <c r="G1" s="1" t="s">
        <v>14</v>
      </c>
      <c r="H1" s="1" t="s">
        <v>3</v>
      </c>
      <c r="I1" t="s">
        <v>4</v>
      </c>
      <c r="J1" s="1" t="s">
        <v>15</v>
      </c>
      <c r="K1" s="1" t="s">
        <v>16</v>
      </c>
      <c r="L1" s="1" t="s">
        <v>33</v>
      </c>
    </row>
    <row r="2" spans="1:12" x14ac:dyDescent="0.55000000000000004">
      <c r="A2" s="3">
        <v>41579</v>
      </c>
      <c r="B2" t="s">
        <v>10</v>
      </c>
      <c r="C2">
        <v>1</v>
      </c>
      <c r="D2" t="s">
        <v>20</v>
      </c>
      <c r="E2">
        <v>57.7</v>
      </c>
      <c r="F2">
        <v>4.97</v>
      </c>
      <c r="G2">
        <f>E2-F2</f>
        <v>52.730000000000004</v>
      </c>
      <c r="H2">
        <v>235.35</v>
      </c>
      <c r="I2">
        <v>11.76</v>
      </c>
      <c r="J2">
        <f>H2-I2</f>
        <v>223.59</v>
      </c>
      <c r="K2" s="5">
        <f>G2/J2</f>
        <v>0.23583344514513171</v>
      </c>
    </row>
    <row r="3" spans="1:12" x14ac:dyDescent="0.55000000000000004">
      <c r="A3" s="3">
        <v>41579</v>
      </c>
      <c r="B3" t="s">
        <v>22</v>
      </c>
      <c r="C3">
        <v>1</v>
      </c>
      <c r="D3" t="s">
        <v>20</v>
      </c>
      <c r="E3">
        <f>74.05+73.85</f>
        <v>147.89999999999998</v>
      </c>
      <c r="F3">
        <f>5.96+5.55</f>
        <v>11.51</v>
      </c>
      <c r="G3">
        <f t="shared" ref="G3:G12" si="0">E3-F3</f>
        <v>136.38999999999999</v>
      </c>
      <c r="H3">
        <f>198.46+92.31</f>
        <v>290.77</v>
      </c>
      <c r="I3">
        <f>13.67+6.92</f>
        <v>20.59</v>
      </c>
      <c r="J3">
        <f t="shared" ref="J3:J12" si="1">H3-I3</f>
        <v>270.18</v>
      </c>
      <c r="K3" s="5">
        <f t="shared" ref="K3:K12" si="2">G3/J3</f>
        <v>0.50481160707676354</v>
      </c>
    </row>
    <row r="4" spans="1:12" x14ac:dyDescent="0.55000000000000004">
      <c r="A4" s="3">
        <v>41579</v>
      </c>
      <c r="B4" t="s">
        <v>10</v>
      </c>
      <c r="C4">
        <v>2</v>
      </c>
      <c r="D4" t="s">
        <v>20</v>
      </c>
      <c r="E4">
        <v>104.22</v>
      </c>
      <c r="F4">
        <v>6.25</v>
      </c>
      <c r="G4">
        <f t="shared" si="0"/>
        <v>97.97</v>
      </c>
      <c r="H4">
        <v>73.31</v>
      </c>
      <c r="I4">
        <v>6.17</v>
      </c>
      <c r="J4">
        <f>H4-I4</f>
        <v>67.14</v>
      </c>
      <c r="K4" s="5">
        <f t="shared" si="2"/>
        <v>1.4591897527554363</v>
      </c>
    </row>
    <row r="5" spans="1:12" x14ac:dyDescent="0.55000000000000004">
      <c r="A5" s="3">
        <v>41579</v>
      </c>
      <c r="B5" t="s">
        <v>19</v>
      </c>
      <c r="C5">
        <v>2</v>
      </c>
      <c r="D5" t="s">
        <v>20</v>
      </c>
      <c r="E5">
        <f>54.21+74.18</f>
        <v>128.39000000000001</v>
      </c>
      <c r="F5">
        <f>7.01+10.8</f>
        <v>17.810000000000002</v>
      </c>
      <c r="G5">
        <f t="shared" si="0"/>
        <v>110.58000000000001</v>
      </c>
      <c r="H5">
        <f>98.31+92.78</f>
        <v>191.09</v>
      </c>
      <c r="I5">
        <f>6.18+5.93</f>
        <v>12.11</v>
      </c>
      <c r="J5">
        <f t="shared" si="1"/>
        <v>178.98000000000002</v>
      </c>
      <c r="K5" s="5">
        <f t="shared" si="2"/>
        <v>0.61783439490445857</v>
      </c>
    </row>
    <row r="6" spans="1:12" x14ac:dyDescent="0.55000000000000004">
      <c r="A6" s="3">
        <v>41579</v>
      </c>
      <c r="B6" t="s">
        <v>19</v>
      </c>
      <c r="C6">
        <v>1</v>
      </c>
      <c r="D6" t="s">
        <v>23</v>
      </c>
      <c r="E6">
        <v>256.37</v>
      </c>
      <c r="F6">
        <v>20.38</v>
      </c>
      <c r="G6">
        <f t="shared" si="0"/>
        <v>235.99</v>
      </c>
      <c r="H6">
        <v>138.38999999999999</v>
      </c>
      <c r="I6">
        <v>6.95</v>
      </c>
      <c r="J6">
        <f t="shared" si="1"/>
        <v>131.44</v>
      </c>
      <c r="K6" s="5">
        <f t="shared" si="2"/>
        <v>1.7954199634814365</v>
      </c>
    </row>
    <row r="7" spans="1:12" x14ac:dyDescent="0.55000000000000004">
      <c r="A7" s="3">
        <v>41579</v>
      </c>
      <c r="B7" t="s">
        <v>10</v>
      </c>
      <c r="C7">
        <v>3</v>
      </c>
      <c r="D7" t="s">
        <v>23</v>
      </c>
      <c r="E7">
        <f>64.04+59.69</f>
        <v>123.73</v>
      </c>
      <c r="F7">
        <f>10.31+10.37</f>
        <v>20.68</v>
      </c>
      <c r="G7">
        <f t="shared" si="0"/>
        <v>103.05000000000001</v>
      </c>
      <c r="H7">
        <f>203.23</f>
        <v>203.23</v>
      </c>
      <c r="I7">
        <v>7.42</v>
      </c>
      <c r="J7">
        <f t="shared" si="1"/>
        <v>195.81</v>
      </c>
      <c r="K7" s="5">
        <f t="shared" si="2"/>
        <v>0.52627547111996331</v>
      </c>
    </row>
    <row r="8" spans="1:12" x14ac:dyDescent="0.55000000000000004">
      <c r="A8" s="3">
        <v>41579</v>
      </c>
      <c r="B8" t="s">
        <v>22</v>
      </c>
      <c r="C8">
        <v>3</v>
      </c>
      <c r="D8" t="s">
        <v>24</v>
      </c>
      <c r="E8">
        <f>79.55+55.69+81.15</f>
        <v>216.39000000000001</v>
      </c>
      <c r="F8">
        <f>10.31+10.42+10.34</f>
        <v>31.07</v>
      </c>
      <c r="G8">
        <f t="shared" si="0"/>
        <v>185.32000000000002</v>
      </c>
      <c r="H8">
        <f>62.88+103.1</f>
        <v>165.98</v>
      </c>
      <c r="I8">
        <f>5.95+6.34</f>
        <v>12.29</v>
      </c>
      <c r="J8">
        <f t="shared" si="1"/>
        <v>153.69</v>
      </c>
      <c r="K8" s="5">
        <f t="shared" si="2"/>
        <v>1.2058038909493136</v>
      </c>
    </row>
    <row r="9" spans="1:12" x14ac:dyDescent="0.55000000000000004">
      <c r="A9" s="3">
        <v>41579</v>
      </c>
      <c r="B9" t="s">
        <v>22</v>
      </c>
      <c r="C9">
        <v>2</v>
      </c>
      <c r="D9" t="s">
        <v>24</v>
      </c>
      <c r="E9">
        <f>68.89+39.23</f>
        <v>108.12</v>
      </c>
      <c r="F9">
        <f>10.33+10.34</f>
        <v>20.67</v>
      </c>
      <c r="G9">
        <f t="shared" si="0"/>
        <v>87.45</v>
      </c>
      <c r="H9">
        <v>106.66</v>
      </c>
      <c r="I9">
        <v>12.87</v>
      </c>
      <c r="J9">
        <f t="shared" si="1"/>
        <v>93.789999999999992</v>
      </c>
      <c r="K9" s="5">
        <f t="shared" si="2"/>
        <v>0.93240217507196943</v>
      </c>
    </row>
    <row r="10" spans="1:12" x14ac:dyDescent="0.55000000000000004">
      <c r="A10" s="3">
        <v>41579</v>
      </c>
      <c r="B10" t="s">
        <v>19</v>
      </c>
      <c r="C10">
        <v>3</v>
      </c>
      <c r="D10" t="s">
        <v>23</v>
      </c>
      <c r="E10">
        <f>118.83+137.54</f>
        <v>256.37</v>
      </c>
      <c r="F10">
        <f>10.43+10.37</f>
        <v>20.799999999999997</v>
      </c>
      <c r="G10">
        <f t="shared" si="0"/>
        <v>235.57</v>
      </c>
      <c r="J10">
        <f t="shared" si="1"/>
        <v>0</v>
      </c>
      <c r="K10" s="5" t="e">
        <f t="shared" si="2"/>
        <v>#DIV/0!</v>
      </c>
      <c r="L10" t="s">
        <v>35</v>
      </c>
    </row>
    <row r="11" spans="1:12" x14ac:dyDescent="0.55000000000000004">
      <c r="A11" s="3">
        <v>41579</v>
      </c>
      <c r="B11" t="s">
        <v>10</v>
      </c>
      <c r="C11">
        <v>3</v>
      </c>
      <c r="E11">
        <v>64.040000000000006</v>
      </c>
      <c r="F11">
        <v>10.37</v>
      </c>
      <c r="G11">
        <f t="shared" si="0"/>
        <v>53.670000000000009</v>
      </c>
      <c r="J11">
        <f t="shared" si="1"/>
        <v>0</v>
      </c>
      <c r="K11" s="5" t="e">
        <f t="shared" si="2"/>
        <v>#DIV/0!</v>
      </c>
      <c r="L11" t="s">
        <v>35</v>
      </c>
    </row>
    <row r="12" spans="1:12" x14ac:dyDescent="0.55000000000000004">
      <c r="A12" s="3">
        <v>41579</v>
      </c>
      <c r="B12" t="s">
        <v>19</v>
      </c>
      <c r="D12" t="s">
        <v>26</v>
      </c>
      <c r="E12">
        <v>14.18</v>
      </c>
      <c r="F12">
        <v>10.18</v>
      </c>
      <c r="G12">
        <f t="shared" si="0"/>
        <v>4</v>
      </c>
      <c r="J12">
        <f t="shared" si="1"/>
        <v>0</v>
      </c>
      <c r="K12" s="5" t="e">
        <f t="shared" si="2"/>
        <v>#DIV/0!</v>
      </c>
      <c r="L12" t="s">
        <v>35</v>
      </c>
    </row>
    <row r="13" spans="1:12" x14ac:dyDescent="0.55000000000000004">
      <c r="A13" s="3"/>
      <c r="K13" s="5"/>
    </row>
    <row r="14" spans="1:12" x14ac:dyDescent="0.55000000000000004">
      <c r="A14" s="3"/>
      <c r="K14" s="5"/>
    </row>
    <row r="15" spans="1:12" x14ac:dyDescent="0.55000000000000004">
      <c r="A15" s="3"/>
      <c r="K15" s="5"/>
    </row>
    <row r="16" spans="1:12" x14ac:dyDescent="0.55000000000000004">
      <c r="A16" s="3"/>
      <c r="K16" s="5"/>
    </row>
    <row r="18" spans="10:11" x14ac:dyDescent="0.55000000000000004">
      <c r="J18" t="s">
        <v>17</v>
      </c>
      <c r="K18" s="5" t="e">
        <f>AVERAGE(K2:K16)</f>
        <v>#DIV/0!</v>
      </c>
    </row>
    <row r="19" spans="10:11" x14ac:dyDescent="0.55000000000000004">
      <c r="J19" t="s">
        <v>18</v>
      </c>
      <c r="K19" s="5" t="e">
        <f>_xlfn.STDEV.P(K2:K16)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3425-C125-416B-8E7C-8A0CFB2F6465}">
  <dimension ref="A1:L14"/>
  <sheetViews>
    <sheetView zoomScale="60" zoomScaleNormal="60" workbookViewId="0">
      <selection activeCell="A2" sqref="A2"/>
    </sheetView>
  </sheetViews>
  <sheetFormatPr defaultRowHeight="15.7" x14ac:dyDescent="0.55000000000000004"/>
  <cols>
    <col min="1" max="1" width="10.6640625" customWidth="1"/>
    <col min="2" max="2" width="30.83203125" customWidth="1"/>
    <col min="3" max="3" width="7.38671875" customWidth="1"/>
  </cols>
  <sheetData>
    <row r="1" spans="1:12" ht="47" x14ac:dyDescent="0.55000000000000004">
      <c r="A1" t="s">
        <v>0</v>
      </c>
      <c r="B1" t="s">
        <v>1</v>
      </c>
      <c r="C1" t="s">
        <v>25</v>
      </c>
      <c r="D1" t="s">
        <v>2</v>
      </c>
      <c r="E1" s="1" t="s">
        <v>5</v>
      </c>
      <c r="F1" t="s">
        <v>6</v>
      </c>
      <c r="G1" s="1" t="s">
        <v>14</v>
      </c>
      <c r="H1" s="1" t="s">
        <v>3</v>
      </c>
      <c r="I1" t="s">
        <v>4</v>
      </c>
      <c r="J1" s="1" t="s">
        <v>15</v>
      </c>
      <c r="K1" s="1" t="s">
        <v>16</v>
      </c>
      <c r="L1" s="1" t="s">
        <v>33</v>
      </c>
    </row>
    <row r="2" spans="1:12" x14ac:dyDescent="0.55000000000000004">
      <c r="A2" s="2">
        <v>42312</v>
      </c>
      <c r="B2" t="s">
        <v>19</v>
      </c>
      <c r="C2">
        <v>1</v>
      </c>
      <c r="D2" t="s">
        <v>36</v>
      </c>
      <c r="E2">
        <f>29.7+27.8</f>
        <v>57.5</v>
      </c>
      <c r="F2">
        <v>20.9</v>
      </c>
      <c r="G2">
        <f t="shared" ref="G2:G10" si="0">E2-F2</f>
        <v>36.6</v>
      </c>
      <c r="H2">
        <v>119.3</v>
      </c>
      <c r="I2">
        <v>11.1</v>
      </c>
      <c r="J2">
        <f t="shared" ref="J2:J10" si="1">H2-I2</f>
        <v>108.2</v>
      </c>
      <c r="K2">
        <f>G2/J2</f>
        <v>0.33826247689463956</v>
      </c>
    </row>
    <row r="3" spans="1:12" x14ac:dyDescent="0.55000000000000004">
      <c r="A3" s="2">
        <v>42312</v>
      </c>
      <c r="B3" t="s">
        <v>19</v>
      </c>
      <c r="C3">
        <v>2</v>
      </c>
      <c r="D3" t="s">
        <v>36</v>
      </c>
      <c r="E3">
        <v>49.6</v>
      </c>
      <c r="F3">
        <v>9.6999999999999993</v>
      </c>
      <c r="G3">
        <f t="shared" si="0"/>
        <v>39.900000000000006</v>
      </c>
      <c r="H3">
        <v>259.60000000000002</v>
      </c>
      <c r="I3">
        <v>12.5</v>
      </c>
      <c r="J3">
        <f t="shared" si="1"/>
        <v>247.10000000000002</v>
      </c>
      <c r="K3">
        <f t="shared" ref="K3:K10" si="2">G3/J3</f>
        <v>0.1614730878186969</v>
      </c>
    </row>
    <row r="4" spans="1:12" x14ac:dyDescent="0.55000000000000004">
      <c r="A4" s="2">
        <v>42312</v>
      </c>
      <c r="B4" t="s">
        <v>19</v>
      </c>
      <c r="C4">
        <v>3</v>
      </c>
      <c r="D4" t="s">
        <v>37</v>
      </c>
      <c r="E4">
        <v>50.4</v>
      </c>
      <c r="F4">
        <v>5.2</v>
      </c>
      <c r="G4">
        <f t="shared" si="0"/>
        <v>45.199999999999996</v>
      </c>
      <c r="H4">
        <f>120.2+192.3</f>
        <v>312.5</v>
      </c>
      <c r="I4">
        <f>11.2+9.6</f>
        <v>20.799999999999997</v>
      </c>
      <c r="J4">
        <f t="shared" si="1"/>
        <v>291.7</v>
      </c>
      <c r="K4">
        <f t="shared" si="2"/>
        <v>0.15495371957490572</v>
      </c>
    </row>
    <row r="5" spans="1:12" x14ac:dyDescent="0.55000000000000004">
      <c r="A5" s="2">
        <v>42312</v>
      </c>
      <c r="B5" t="s">
        <v>10</v>
      </c>
      <c r="C5">
        <v>1</v>
      </c>
      <c r="D5" t="s">
        <v>36</v>
      </c>
      <c r="E5">
        <f>50.8+55.8</f>
        <v>106.6</v>
      </c>
      <c r="F5">
        <f>17+18.6</f>
        <v>35.6</v>
      </c>
      <c r="G5">
        <f t="shared" si="0"/>
        <v>71</v>
      </c>
      <c r="H5">
        <f>102.9+244.3</f>
        <v>347.20000000000005</v>
      </c>
      <c r="I5">
        <f>19.7+24.7</f>
        <v>44.4</v>
      </c>
      <c r="J5">
        <f t="shared" si="1"/>
        <v>302.80000000000007</v>
      </c>
      <c r="K5">
        <f t="shared" si="2"/>
        <v>0.23447820343461026</v>
      </c>
    </row>
    <row r="6" spans="1:12" x14ac:dyDescent="0.55000000000000004">
      <c r="A6" s="2">
        <v>42312</v>
      </c>
      <c r="B6" t="s">
        <v>10</v>
      </c>
      <c r="C6">
        <v>2</v>
      </c>
      <c r="D6" t="s">
        <v>38</v>
      </c>
      <c r="E6">
        <f>58.2+110.2</f>
        <v>168.4</v>
      </c>
      <c r="F6">
        <f>11.2+9.5</f>
        <v>20.7</v>
      </c>
      <c r="G6">
        <f t="shared" si="0"/>
        <v>147.70000000000002</v>
      </c>
      <c r="H6">
        <f>221.1+94.2</f>
        <v>315.3</v>
      </c>
      <c r="I6">
        <f>10.8+10.7</f>
        <v>21.5</v>
      </c>
      <c r="J6">
        <f t="shared" si="1"/>
        <v>293.8</v>
      </c>
      <c r="K6">
        <f t="shared" si="2"/>
        <v>0.50272294077603819</v>
      </c>
    </row>
    <row r="7" spans="1:12" x14ac:dyDescent="0.55000000000000004">
      <c r="A7" s="2">
        <v>42312</v>
      </c>
      <c r="B7" t="s">
        <v>10</v>
      </c>
      <c r="C7">
        <v>3</v>
      </c>
      <c r="D7" t="s">
        <v>38</v>
      </c>
      <c r="E7">
        <v>100.3</v>
      </c>
      <c r="F7">
        <v>9</v>
      </c>
      <c r="G7">
        <f t="shared" si="0"/>
        <v>91.3</v>
      </c>
      <c r="H7">
        <f>78.2+132.2+57.1</f>
        <v>267.5</v>
      </c>
      <c r="I7">
        <v>27.7</v>
      </c>
      <c r="J7">
        <f t="shared" si="1"/>
        <v>239.8</v>
      </c>
      <c r="K7">
        <f t="shared" si="2"/>
        <v>0.38073394495412843</v>
      </c>
    </row>
    <row r="8" spans="1:12" x14ac:dyDescent="0.55000000000000004">
      <c r="A8" s="2">
        <v>42313</v>
      </c>
      <c r="B8" t="s">
        <v>7</v>
      </c>
      <c r="C8">
        <v>1</v>
      </c>
      <c r="D8" t="s">
        <v>39</v>
      </c>
      <c r="E8">
        <v>61.2</v>
      </c>
      <c r="F8">
        <v>10.8</v>
      </c>
      <c r="G8">
        <f t="shared" si="0"/>
        <v>50.400000000000006</v>
      </c>
      <c r="H8">
        <v>194.1</v>
      </c>
      <c r="I8">
        <v>10.5</v>
      </c>
      <c r="J8">
        <f t="shared" si="1"/>
        <v>183.6</v>
      </c>
      <c r="K8">
        <f t="shared" si="2"/>
        <v>0.27450980392156865</v>
      </c>
    </row>
    <row r="9" spans="1:12" x14ac:dyDescent="0.55000000000000004">
      <c r="A9" s="2">
        <v>42313</v>
      </c>
      <c r="B9" t="s">
        <v>7</v>
      </c>
      <c r="C9">
        <v>2</v>
      </c>
      <c r="D9" t="s">
        <v>40</v>
      </c>
      <c r="E9">
        <f>71.2+72.7</f>
        <v>143.9</v>
      </c>
      <c r="F9">
        <v>20.8</v>
      </c>
      <c r="G9">
        <f t="shared" si="0"/>
        <v>123.10000000000001</v>
      </c>
      <c r="H9">
        <f>111.2+162.8</f>
        <v>274</v>
      </c>
      <c r="I9">
        <v>34.700000000000003</v>
      </c>
      <c r="J9">
        <f t="shared" si="1"/>
        <v>239.3</v>
      </c>
      <c r="K9">
        <f t="shared" si="2"/>
        <v>0.51441704972837443</v>
      </c>
    </row>
    <row r="10" spans="1:12" x14ac:dyDescent="0.55000000000000004">
      <c r="A10" s="2">
        <v>42313</v>
      </c>
      <c r="B10" t="s">
        <v>7</v>
      </c>
      <c r="C10">
        <v>3</v>
      </c>
      <c r="D10" t="s">
        <v>40</v>
      </c>
      <c r="E10">
        <v>201.1</v>
      </c>
      <c r="F10">
        <v>20.7</v>
      </c>
      <c r="G10">
        <f t="shared" si="0"/>
        <v>180.4</v>
      </c>
      <c r="H10">
        <f>210.7+297.9</f>
        <v>508.59999999999997</v>
      </c>
      <c r="I10">
        <v>23.9</v>
      </c>
      <c r="J10">
        <f t="shared" si="1"/>
        <v>484.7</v>
      </c>
      <c r="K10">
        <f t="shared" si="2"/>
        <v>0.37218898287600582</v>
      </c>
    </row>
    <row r="13" spans="1:12" x14ac:dyDescent="0.55000000000000004">
      <c r="J13" t="s">
        <v>17</v>
      </c>
      <c r="K13" s="5">
        <f>AVERAGE(K2:K10)</f>
        <v>0.32597113444210751</v>
      </c>
    </row>
    <row r="14" spans="1:12" x14ac:dyDescent="0.55000000000000004">
      <c r="J14" t="s">
        <v>18</v>
      </c>
      <c r="K14" s="5">
        <f>_xlfn.STDEV.P(K2:K10)</f>
        <v>0.12443873305221823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80274-A42F-405F-AEA3-1B57A87CDD4E}">
  <dimension ref="A1:L13"/>
  <sheetViews>
    <sheetView zoomScale="60" zoomScaleNormal="60" workbookViewId="0">
      <selection activeCell="Q13" sqref="Q13"/>
    </sheetView>
  </sheetViews>
  <sheetFormatPr defaultRowHeight="15.7" x14ac:dyDescent="0.55000000000000004"/>
  <cols>
    <col min="2" max="2" width="31.1640625" customWidth="1"/>
  </cols>
  <sheetData>
    <row r="1" spans="1:12" ht="47" x14ac:dyDescent="0.55000000000000004">
      <c r="A1" t="s">
        <v>0</v>
      </c>
      <c r="B1" t="s">
        <v>1</v>
      </c>
      <c r="C1" t="s">
        <v>25</v>
      </c>
      <c r="D1" t="s">
        <v>2</v>
      </c>
      <c r="E1" s="1" t="s">
        <v>5</v>
      </c>
      <c r="F1" t="s">
        <v>6</v>
      </c>
      <c r="G1" s="1" t="s">
        <v>14</v>
      </c>
      <c r="H1" s="1" t="s">
        <v>3</v>
      </c>
      <c r="I1" t="s">
        <v>4</v>
      </c>
      <c r="J1" s="1" t="s">
        <v>15</v>
      </c>
      <c r="K1" s="1" t="s">
        <v>16</v>
      </c>
      <c r="L1" s="1" t="s">
        <v>33</v>
      </c>
    </row>
    <row r="2" spans="1:12" x14ac:dyDescent="0.55000000000000004">
      <c r="A2" s="2">
        <v>42705</v>
      </c>
      <c r="B2" t="s">
        <v>19</v>
      </c>
      <c r="C2">
        <v>1</v>
      </c>
      <c r="E2">
        <v>66.7</v>
      </c>
      <c r="F2">
        <v>10.8</v>
      </c>
      <c r="G2">
        <f>E2-F2</f>
        <v>55.900000000000006</v>
      </c>
      <c r="H2">
        <v>66.3</v>
      </c>
      <c r="I2">
        <v>11.1</v>
      </c>
      <c r="J2">
        <f>H2-I2</f>
        <v>55.199999999999996</v>
      </c>
      <c r="K2">
        <f>G2/J2</f>
        <v>1.01268115942029</v>
      </c>
    </row>
    <row r="3" spans="1:12" x14ac:dyDescent="0.55000000000000004">
      <c r="A3" s="2">
        <v>42705</v>
      </c>
      <c r="B3" t="s">
        <v>19</v>
      </c>
      <c r="C3">
        <v>2</v>
      </c>
      <c r="E3">
        <v>61.5</v>
      </c>
      <c r="F3">
        <v>10.4</v>
      </c>
      <c r="G3">
        <f>E3-F3</f>
        <v>51.1</v>
      </c>
      <c r="H3">
        <v>66.5</v>
      </c>
      <c r="I3">
        <v>10.8</v>
      </c>
      <c r="J3">
        <f>H3-I3</f>
        <v>55.7</v>
      </c>
      <c r="K3">
        <f>G3/J3</f>
        <v>0.91741472172351879</v>
      </c>
    </row>
    <row r="4" spans="1:12" x14ac:dyDescent="0.55000000000000004">
      <c r="A4" s="2">
        <v>42705</v>
      </c>
      <c r="B4" t="s">
        <v>19</v>
      </c>
      <c r="C4">
        <v>3</v>
      </c>
      <c r="D4" t="s">
        <v>38</v>
      </c>
      <c r="E4">
        <v>51.8</v>
      </c>
      <c r="F4">
        <v>11.6</v>
      </c>
      <c r="G4">
        <f>E4-F4</f>
        <v>40.199999999999996</v>
      </c>
      <c r="H4">
        <v>60.6</v>
      </c>
      <c r="I4">
        <v>12.6</v>
      </c>
      <c r="J4">
        <f>H4-I4</f>
        <v>48</v>
      </c>
      <c r="K4">
        <f>G4/J4</f>
        <v>0.83749999999999991</v>
      </c>
    </row>
    <row r="5" spans="1:12" x14ac:dyDescent="0.55000000000000004">
      <c r="A5" s="2">
        <v>42705</v>
      </c>
      <c r="B5" t="s">
        <v>10</v>
      </c>
      <c r="C5">
        <v>1</v>
      </c>
      <c r="E5">
        <v>48.2</v>
      </c>
      <c r="F5">
        <v>10.1</v>
      </c>
      <c r="G5">
        <f>E5-F5</f>
        <v>38.1</v>
      </c>
      <c r="H5">
        <v>147.6</v>
      </c>
      <c r="I5">
        <v>11</v>
      </c>
      <c r="J5">
        <f>H5-I5</f>
        <v>136.6</v>
      </c>
      <c r="K5">
        <f>G5/J5</f>
        <v>0.27891654465592974</v>
      </c>
    </row>
    <row r="6" spans="1:12" x14ac:dyDescent="0.55000000000000004">
      <c r="A6" s="2">
        <v>42705</v>
      </c>
      <c r="B6" t="s">
        <v>10</v>
      </c>
      <c r="C6">
        <v>2</v>
      </c>
      <c r="D6" t="s">
        <v>41</v>
      </c>
      <c r="E6">
        <v>55.1</v>
      </c>
      <c r="F6">
        <v>10.4</v>
      </c>
      <c r="G6">
        <f>E6-F6</f>
        <v>44.7</v>
      </c>
      <c r="H6">
        <v>141.69999999999999</v>
      </c>
      <c r="I6">
        <v>11.4</v>
      </c>
      <c r="J6">
        <f>H6-I6</f>
        <v>130.29999999999998</v>
      </c>
      <c r="K6">
        <f>G6/J6</f>
        <v>0.34305448963929402</v>
      </c>
    </row>
    <row r="7" spans="1:12" x14ac:dyDescent="0.55000000000000004">
      <c r="A7" s="2">
        <v>42705</v>
      </c>
      <c r="B7" t="s">
        <v>10</v>
      </c>
      <c r="C7">
        <v>3</v>
      </c>
      <c r="D7" t="s">
        <v>41</v>
      </c>
      <c r="E7">
        <v>56.9</v>
      </c>
      <c r="F7">
        <v>10.9</v>
      </c>
      <c r="G7">
        <f>E7-F7</f>
        <v>46</v>
      </c>
      <c r="L7" t="s">
        <v>42</v>
      </c>
    </row>
    <row r="8" spans="1:12" x14ac:dyDescent="0.55000000000000004">
      <c r="A8" s="2">
        <v>42705</v>
      </c>
      <c r="B8" t="s">
        <v>7</v>
      </c>
      <c r="C8">
        <v>1</v>
      </c>
      <c r="L8" t="s">
        <v>49</v>
      </c>
    </row>
    <row r="9" spans="1:12" x14ac:dyDescent="0.55000000000000004">
      <c r="A9" s="2">
        <v>42705</v>
      </c>
      <c r="B9" t="s">
        <v>7</v>
      </c>
      <c r="C9">
        <v>2</v>
      </c>
      <c r="E9">
        <v>28.7</v>
      </c>
      <c r="F9">
        <v>10.7</v>
      </c>
      <c r="G9">
        <f>E9-F9</f>
        <v>18</v>
      </c>
      <c r="H9">
        <v>168.8</v>
      </c>
      <c r="I9">
        <v>13.7</v>
      </c>
      <c r="J9">
        <f>H9-I9</f>
        <v>155.10000000000002</v>
      </c>
      <c r="K9">
        <f>G9/J9</f>
        <v>0.11605415860735008</v>
      </c>
    </row>
    <row r="10" spans="1:12" x14ac:dyDescent="0.55000000000000004">
      <c r="A10" s="2">
        <v>42705</v>
      </c>
      <c r="B10" t="s">
        <v>7</v>
      </c>
      <c r="C10">
        <v>3</v>
      </c>
      <c r="E10">
        <v>58.8</v>
      </c>
      <c r="F10">
        <v>11.6</v>
      </c>
      <c r="G10">
        <f>E10-F10</f>
        <v>47.199999999999996</v>
      </c>
      <c r="L10" t="s">
        <v>42</v>
      </c>
    </row>
    <row r="12" spans="1:12" x14ac:dyDescent="0.55000000000000004">
      <c r="J12" t="s">
        <v>43</v>
      </c>
      <c r="K12">
        <f>AVERAGE(K2:K10)</f>
        <v>0.58427017900773037</v>
      </c>
    </row>
    <row r="13" spans="1:12" x14ac:dyDescent="0.55000000000000004">
      <c r="J13" t="s">
        <v>44</v>
      </c>
      <c r="K13">
        <f>_xlfn.STDEV.P(K2:K10)</f>
        <v>0.34863990240362425</v>
      </c>
    </row>
  </sheetData>
  <sortState xmlns:xlrd2="http://schemas.microsoft.com/office/spreadsheetml/2017/richdata2" ref="A2:L10">
    <sortCondition ref="B2:B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3F10-AFE5-4321-896F-E119CA59D1FC}">
  <dimension ref="A1:L14"/>
  <sheetViews>
    <sheetView tabSelected="1" zoomScale="60" zoomScaleNormal="60" workbookViewId="0">
      <selection activeCell="B13" sqref="B13"/>
    </sheetView>
  </sheetViews>
  <sheetFormatPr defaultRowHeight="15.7" x14ac:dyDescent="0.55000000000000004"/>
  <cols>
    <col min="1" max="1" width="9.5" bestFit="1" customWidth="1"/>
    <col min="2" max="2" width="30.609375" customWidth="1"/>
  </cols>
  <sheetData>
    <row r="1" spans="1:12" ht="47" x14ac:dyDescent="0.55000000000000004">
      <c r="A1" t="s">
        <v>0</v>
      </c>
      <c r="B1" t="s">
        <v>1</v>
      </c>
      <c r="C1" t="s">
        <v>25</v>
      </c>
      <c r="D1" t="s">
        <v>2</v>
      </c>
      <c r="E1" s="1" t="s">
        <v>5</v>
      </c>
      <c r="F1" t="s">
        <v>6</v>
      </c>
      <c r="G1" s="1" t="s">
        <v>14</v>
      </c>
      <c r="H1" s="1" t="s">
        <v>3</v>
      </c>
      <c r="I1" t="s">
        <v>4</v>
      </c>
      <c r="J1" s="1" t="s">
        <v>15</v>
      </c>
      <c r="K1" s="1" t="s">
        <v>16</v>
      </c>
      <c r="L1" s="1" t="s">
        <v>33</v>
      </c>
    </row>
    <row r="2" spans="1:12" x14ac:dyDescent="0.55000000000000004">
      <c r="A2" s="2">
        <v>43060</v>
      </c>
      <c r="B2" t="s">
        <v>19</v>
      </c>
      <c r="C2">
        <v>1</v>
      </c>
      <c r="H2">
        <f>58.2+74.2</f>
        <v>132.4</v>
      </c>
      <c r="I2">
        <f>11.1+11</f>
        <v>22.1</v>
      </c>
      <c r="J2">
        <f t="shared" ref="J2:J10" si="0">H2-I2</f>
        <v>110.30000000000001</v>
      </c>
      <c r="L2" t="s">
        <v>48</v>
      </c>
    </row>
    <row r="3" spans="1:12" x14ac:dyDescent="0.55000000000000004">
      <c r="A3" s="2">
        <v>43060</v>
      </c>
      <c r="B3" t="s">
        <v>19</v>
      </c>
      <c r="C3">
        <v>2</v>
      </c>
      <c r="D3" t="s">
        <v>45</v>
      </c>
      <c r="E3">
        <v>76.900000000000006</v>
      </c>
      <c r="F3">
        <v>8.6999999999999993</v>
      </c>
      <c r="G3">
        <f>E3-F3</f>
        <v>68.2</v>
      </c>
      <c r="H3">
        <v>88.2</v>
      </c>
      <c r="I3">
        <v>8.1999999999999993</v>
      </c>
      <c r="J3">
        <f t="shared" si="0"/>
        <v>80</v>
      </c>
      <c r="K3">
        <f t="shared" ref="K3:K10" si="1">G3/J3</f>
        <v>0.85250000000000004</v>
      </c>
    </row>
    <row r="4" spans="1:12" x14ac:dyDescent="0.55000000000000004">
      <c r="A4" s="2">
        <v>43060</v>
      </c>
      <c r="B4" t="s">
        <v>19</v>
      </c>
      <c r="C4">
        <v>3</v>
      </c>
      <c r="D4" t="s">
        <v>45</v>
      </c>
      <c r="E4">
        <v>95.6</v>
      </c>
      <c r="F4">
        <v>20.100000000000001</v>
      </c>
      <c r="G4">
        <f>E4-F4</f>
        <v>75.5</v>
      </c>
      <c r="H4">
        <v>149.4</v>
      </c>
      <c r="I4">
        <v>11.5</v>
      </c>
      <c r="J4">
        <f t="shared" si="0"/>
        <v>137.9</v>
      </c>
      <c r="K4">
        <f t="shared" si="1"/>
        <v>0.54749818709209574</v>
      </c>
    </row>
    <row r="5" spans="1:12" x14ac:dyDescent="0.55000000000000004">
      <c r="A5" s="2">
        <v>43060</v>
      </c>
      <c r="B5" t="s">
        <v>10</v>
      </c>
      <c r="C5">
        <v>1</v>
      </c>
      <c r="D5" t="s">
        <v>46</v>
      </c>
      <c r="H5">
        <f>25.9+28.8</f>
        <v>54.7</v>
      </c>
      <c r="I5">
        <f>13.1+10.8</f>
        <v>23.9</v>
      </c>
      <c r="J5">
        <f t="shared" si="0"/>
        <v>30.800000000000004</v>
      </c>
      <c r="L5" t="s">
        <v>48</v>
      </c>
    </row>
    <row r="6" spans="1:12" x14ac:dyDescent="0.55000000000000004">
      <c r="A6" s="2">
        <v>43060</v>
      </c>
      <c r="B6" t="s">
        <v>10</v>
      </c>
      <c r="C6">
        <v>2</v>
      </c>
      <c r="D6" t="s">
        <v>46</v>
      </c>
      <c r="E6">
        <v>53.2</v>
      </c>
      <c r="F6">
        <v>20.9</v>
      </c>
      <c r="G6">
        <f>E6-F6</f>
        <v>32.300000000000004</v>
      </c>
      <c r="H6">
        <f>41.5+28.3</f>
        <v>69.8</v>
      </c>
      <c r="I6">
        <f>9.8+6.9</f>
        <v>16.700000000000003</v>
      </c>
      <c r="J6">
        <f t="shared" si="0"/>
        <v>53.099999999999994</v>
      </c>
      <c r="K6">
        <f t="shared" si="1"/>
        <v>0.6082862523540491</v>
      </c>
    </row>
    <row r="7" spans="1:12" x14ac:dyDescent="0.55000000000000004">
      <c r="A7" s="2">
        <v>43060</v>
      </c>
      <c r="B7" t="s">
        <v>10</v>
      </c>
      <c r="C7">
        <v>3</v>
      </c>
      <c r="D7" t="s">
        <v>38</v>
      </c>
      <c r="H7">
        <v>36.700000000000003</v>
      </c>
      <c r="I7">
        <v>11.3</v>
      </c>
      <c r="J7">
        <f t="shared" si="0"/>
        <v>25.400000000000002</v>
      </c>
      <c r="L7" t="s">
        <v>48</v>
      </c>
    </row>
    <row r="8" spans="1:12" x14ac:dyDescent="0.55000000000000004">
      <c r="A8" s="2" t="s">
        <v>50</v>
      </c>
      <c r="B8" t="s">
        <v>7</v>
      </c>
      <c r="C8">
        <v>1</v>
      </c>
      <c r="H8">
        <f>9.6+50.8</f>
        <v>60.4</v>
      </c>
      <c r="I8">
        <f>5.3+6.4</f>
        <v>11.7</v>
      </c>
      <c r="J8">
        <f t="shared" si="0"/>
        <v>48.7</v>
      </c>
      <c r="L8" t="s">
        <v>48</v>
      </c>
    </row>
    <row r="9" spans="1:12" x14ac:dyDescent="0.55000000000000004">
      <c r="A9" s="2">
        <v>43042</v>
      </c>
      <c r="B9" t="s">
        <v>7</v>
      </c>
      <c r="C9">
        <v>2</v>
      </c>
      <c r="D9" t="s">
        <v>47</v>
      </c>
      <c r="E9">
        <v>138.6</v>
      </c>
      <c r="F9">
        <v>22.1</v>
      </c>
      <c r="G9">
        <f>E9-F9</f>
        <v>116.5</v>
      </c>
      <c r="H9">
        <v>166.2</v>
      </c>
      <c r="I9">
        <v>11.3</v>
      </c>
      <c r="J9">
        <f t="shared" si="0"/>
        <v>154.89999999999998</v>
      </c>
      <c r="K9">
        <f t="shared" si="1"/>
        <v>0.752098127824403</v>
      </c>
    </row>
    <row r="10" spans="1:12" x14ac:dyDescent="0.55000000000000004">
      <c r="A10" s="2">
        <v>43060</v>
      </c>
      <c r="B10" t="s">
        <v>7</v>
      </c>
      <c r="C10">
        <v>3</v>
      </c>
      <c r="D10" t="s">
        <v>46</v>
      </c>
      <c r="E10">
        <v>89.7</v>
      </c>
      <c r="F10">
        <v>25.7</v>
      </c>
      <c r="G10">
        <f>E10-F10</f>
        <v>64</v>
      </c>
      <c r="H10">
        <f>179.2+95.9</f>
        <v>275.10000000000002</v>
      </c>
      <c r="I10">
        <f>8.8+14.4</f>
        <v>23.200000000000003</v>
      </c>
      <c r="J10">
        <f t="shared" si="0"/>
        <v>251.90000000000003</v>
      </c>
      <c r="K10">
        <f t="shared" si="1"/>
        <v>0.25406907502977366</v>
      </c>
    </row>
    <row r="13" spans="1:12" x14ac:dyDescent="0.55000000000000004">
      <c r="J13" t="s">
        <v>43</v>
      </c>
      <c r="K13">
        <f>AVERAGE(K2:K10)</f>
        <v>0.6028903284600643</v>
      </c>
    </row>
    <row r="14" spans="1:12" x14ac:dyDescent="0.55000000000000004">
      <c r="J14" t="s">
        <v>44</v>
      </c>
      <c r="K14">
        <f>_xlfn.STDEV.P(K2:K10)</f>
        <v>0.20461751033677511</v>
      </c>
    </row>
  </sheetData>
  <pageMargins left="0.7" right="0.7" top="0.75" bottom="0.75" header="0.3" footer="0.3"/>
  <ignoredErrors>
    <ignoredError sqref="A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2011</vt:lpstr>
      <vt:lpstr>2012</vt:lpstr>
      <vt:lpstr>2013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GIOSLSAUser</dc:creator>
  <cp:lastModifiedBy>Austin Crane</cp:lastModifiedBy>
  <dcterms:created xsi:type="dcterms:W3CDTF">2012-06-11T19:28:55Z</dcterms:created>
  <dcterms:modified xsi:type="dcterms:W3CDTF">2019-02-01T02:04:32Z</dcterms:modified>
</cp:coreProperties>
</file>