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240" yWindow="4260" windowWidth="25360" windowHeight="18780" tabRatio="500"/>
  </bookViews>
  <sheets>
    <sheet name="tres rios c1-2_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P10" i="1" l="1"/>
  <c r="J10" i="1"/>
  <c r="AT10" i="1"/>
  <c r="AS10" i="1"/>
  <c r="AR10" i="1"/>
  <c r="AQ10" i="1"/>
  <c r="Q10" i="1"/>
  <c r="AU10" i="1"/>
  <c r="O10" i="1"/>
  <c r="AV10" i="1"/>
  <c r="AW10" i="1"/>
  <c r="AX10" i="1"/>
  <c r="BA10" i="1"/>
  <c r="S10" i="1"/>
  <c r="K10" i="1"/>
  <c r="BD10" i="1"/>
  <c r="L10" i="1"/>
  <c r="M10" i="1"/>
  <c r="BB10" i="1"/>
  <c r="N10" i="1"/>
  <c r="AY10" i="1"/>
  <c r="AZ10" i="1"/>
  <c r="BC10" i="1"/>
  <c r="BE10" i="1"/>
  <c r="BF10" i="1"/>
  <c r="BG10" i="1"/>
  <c r="BH10" i="1"/>
  <c r="BI10" i="1"/>
  <c r="AP11" i="1"/>
  <c r="J11" i="1"/>
  <c r="AT11" i="1"/>
  <c r="AS11" i="1"/>
  <c r="AR11" i="1"/>
  <c r="AQ11" i="1"/>
  <c r="Q11" i="1"/>
  <c r="AU11" i="1"/>
  <c r="O11" i="1"/>
  <c r="AV11" i="1"/>
  <c r="AW11" i="1"/>
  <c r="AX11" i="1"/>
  <c r="BA11" i="1"/>
  <c r="S11" i="1"/>
  <c r="K11" i="1"/>
  <c r="BD11" i="1"/>
  <c r="L11" i="1"/>
  <c r="M11" i="1"/>
  <c r="BB11" i="1"/>
  <c r="N11" i="1"/>
  <c r="AY11" i="1"/>
  <c r="AZ11" i="1"/>
  <c r="BC11" i="1"/>
  <c r="BE11" i="1"/>
  <c r="BF11" i="1"/>
  <c r="BG11" i="1"/>
  <c r="BH11" i="1"/>
  <c r="BI11" i="1"/>
  <c r="AP12" i="1"/>
  <c r="J12" i="1"/>
  <c r="AT12" i="1"/>
  <c r="AS12" i="1"/>
  <c r="AR12" i="1"/>
  <c r="AQ12" i="1"/>
  <c r="Q12" i="1"/>
  <c r="AU12" i="1"/>
  <c r="O12" i="1"/>
  <c r="AV12" i="1"/>
  <c r="AW12" i="1"/>
  <c r="AX12" i="1"/>
  <c r="BA12" i="1"/>
  <c r="S12" i="1"/>
  <c r="K12" i="1"/>
  <c r="BD12" i="1"/>
  <c r="L12" i="1"/>
  <c r="M12" i="1"/>
  <c r="BB12" i="1"/>
  <c r="N12" i="1"/>
  <c r="AY12" i="1"/>
  <c r="AZ12" i="1"/>
  <c r="BC12" i="1"/>
  <c r="BE12" i="1"/>
  <c r="BF12" i="1"/>
  <c r="BG12" i="1"/>
  <c r="BH12" i="1"/>
  <c r="BI12" i="1"/>
  <c r="AP13" i="1"/>
  <c r="J13" i="1"/>
  <c r="AT13" i="1"/>
  <c r="AS13" i="1"/>
  <c r="AR13" i="1"/>
  <c r="AQ13" i="1"/>
  <c r="Q13" i="1"/>
  <c r="AU13" i="1"/>
  <c r="O13" i="1"/>
  <c r="AV13" i="1"/>
  <c r="AW13" i="1"/>
  <c r="AX13" i="1"/>
  <c r="BA13" i="1"/>
  <c r="S13" i="1"/>
  <c r="K13" i="1"/>
  <c r="BD13" i="1"/>
  <c r="L13" i="1"/>
  <c r="M13" i="1"/>
  <c r="BB13" i="1"/>
  <c r="N13" i="1"/>
  <c r="AY13" i="1"/>
  <c r="AZ13" i="1"/>
  <c r="BC13" i="1"/>
  <c r="BE13" i="1"/>
  <c r="BF13" i="1"/>
  <c r="BG13" i="1"/>
  <c r="BH13" i="1"/>
  <c r="BI13" i="1"/>
  <c r="AP14" i="1"/>
  <c r="J14" i="1"/>
  <c r="AT14" i="1"/>
  <c r="AS14" i="1"/>
  <c r="AR14" i="1"/>
  <c r="AQ14" i="1"/>
  <c r="Q14" i="1"/>
  <c r="AU14" i="1"/>
  <c r="O14" i="1"/>
  <c r="AV14" i="1"/>
  <c r="AW14" i="1"/>
  <c r="AX14" i="1"/>
  <c r="BA14" i="1"/>
  <c r="S14" i="1"/>
  <c r="K14" i="1"/>
  <c r="BD14" i="1"/>
  <c r="L14" i="1"/>
  <c r="M14" i="1"/>
  <c r="BB14" i="1"/>
  <c r="N14" i="1"/>
  <c r="AY14" i="1"/>
  <c r="AZ14" i="1"/>
  <c r="BC14" i="1"/>
  <c r="BE14" i="1"/>
  <c r="BF14" i="1"/>
  <c r="BG14" i="1"/>
  <c r="BH14" i="1"/>
  <c r="BI14" i="1"/>
  <c r="AP15" i="1"/>
  <c r="J15" i="1"/>
  <c r="AT15" i="1"/>
  <c r="AS15" i="1"/>
  <c r="AR15" i="1"/>
  <c r="AQ15" i="1"/>
  <c r="Q15" i="1"/>
  <c r="AU15" i="1"/>
  <c r="O15" i="1"/>
  <c r="AV15" i="1"/>
  <c r="AW15" i="1"/>
  <c r="AX15" i="1"/>
  <c r="BA15" i="1"/>
  <c r="S15" i="1"/>
  <c r="K15" i="1"/>
  <c r="BD15" i="1"/>
  <c r="L15" i="1"/>
  <c r="M15" i="1"/>
  <c r="BB15" i="1"/>
  <c r="N15" i="1"/>
  <c r="AY15" i="1"/>
  <c r="AZ15" i="1"/>
  <c r="BC15" i="1"/>
  <c r="BE15" i="1"/>
  <c r="BF15" i="1"/>
  <c r="BG15" i="1"/>
  <c r="BH15" i="1"/>
  <c r="BI15" i="1"/>
  <c r="AP16" i="1"/>
  <c r="J16" i="1"/>
  <c r="AT16" i="1"/>
  <c r="AS16" i="1"/>
  <c r="AR16" i="1"/>
  <c r="AQ16" i="1"/>
  <c r="Q16" i="1"/>
  <c r="AU16" i="1"/>
  <c r="O16" i="1"/>
  <c r="AV16" i="1"/>
  <c r="AW16" i="1"/>
  <c r="AX16" i="1"/>
  <c r="BA16" i="1"/>
  <c r="S16" i="1"/>
  <c r="K16" i="1"/>
  <c r="BD16" i="1"/>
  <c r="L16" i="1"/>
  <c r="M16" i="1"/>
  <c r="BB16" i="1"/>
  <c r="N16" i="1"/>
  <c r="AY16" i="1"/>
  <c r="AZ16" i="1"/>
  <c r="BC16" i="1"/>
  <c r="BE16" i="1"/>
  <c r="BF16" i="1"/>
  <c r="BG16" i="1"/>
  <c r="BH16" i="1"/>
  <c r="BI16" i="1"/>
  <c r="AP17" i="1"/>
  <c r="J17" i="1"/>
  <c r="AT17" i="1"/>
  <c r="AS17" i="1"/>
  <c r="AR17" i="1"/>
  <c r="AQ17" i="1"/>
  <c r="Q17" i="1"/>
  <c r="AU17" i="1"/>
  <c r="O17" i="1"/>
  <c r="AV17" i="1"/>
  <c r="AW17" i="1"/>
  <c r="AX17" i="1"/>
  <c r="BA17" i="1"/>
  <c r="S17" i="1"/>
  <c r="K17" i="1"/>
  <c r="BD17" i="1"/>
  <c r="L17" i="1"/>
  <c r="M17" i="1"/>
  <c r="BB17" i="1"/>
  <c r="N17" i="1"/>
  <c r="AY17" i="1"/>
  <c r="AZ17" i="1"/>
  <c r="BC17" i="1"/>
  <c r="BE17" i="1"/>
  <c r="BF17" i="1"/>
  <c r="BG17" i="1"/>
  <c r="BH17" i="1"/>
  <c r="BI17" i="1"/>
  <c r="AP18" i="1"/>
  <c r="J18" i="1"/>
  <c r="AT18" i="1"/>
  <c r="AS18" i="1"/>
  <c r="AR18" i="1"/>
  <c r="AQ18" i="1"/>
  <c r="Q18" i="1"/>
  <c r="AU18" i="1"/>
  <c r="O18" i="1"/>
  <c r="AV18" i="1"/>
  <c r="AW18" i="1"/>
  <c r="AX18" i="1"/>
  <c r="BA18" i="1"/>
  <c r="S18" i="1"/>
  <c r="K18" i="1"/>
  <c r="BD18" i="1"/>
  <c r="L18" i="1"/>
  <c r="M18" i="1"/>
  <c r="BB18" i="1"/>
  <c r="N18" i="1"/>
  <c r="AY18" i="1"/>
  <c r="AZ18" i="1"/>
  <c r="BC18" i="1"/>
  <c r="BE18" i="1"/>
  <c r="BF18" i="1"/>
  <c r="BG18" i="1"/>
  <c r="BH18" i="1"/>
  <c r="BI18" i="1"/>
  <c r="AP19" i="1"/>
  <c r="J19" i="1"/>
  <c r="AT19" i="1"/>
  <c r="AS19" i="1"/>
  <c r="AR19" i="1"/>
  <c r="AQ19" i="1"/>
  <c r="Q19" i="1"/>
  <c r="AU19" i="1"/>
  <c r="O19" i="1"/>
  <c r="AV19" i="1"/>
  <c r="AW19" i="1"/>
  <c r="AX19" i="1"/>
  <c r="BA19" i="1"/>
  <c r="S19" i="1"/>
  <c r="K19" i="1"/>
  <c r="BD19" i="1"/>
  <c r="L19" i="1"/>
  <c r="M19" i="1"/>
  <c r="BB19" i="1"/>
  <c r="N19" i="1"/>
  <c r="AY19" i="1"/>
  <c r="AZ19" i="1"/>
  <c r="BC19" i="1"/>
  <c r="BE19" i="1"/>
  <c r="BF19" i="1"/>
  <c r="BG19" i="1"/>
  <c r="BH19" i="1"/>
  <c r="BI19" i="1"/>
  <c r="AP20" i="1"/>
  <c r="J20" i="1"/>
  <c r="AT20" i="1"/>
  <c r="AS20" i="1"/>
  <c r="AR20" i="1"/>
  <c r="AQ20" i="1"/>
  <c r="Q20" i="1"/>
  <c r="AU20" i="1"/>
  <c r="O20" i="1"/>
  <c r="AV20" i="1"/>
  <c r="AW20" i="1"/>
  <c r="AX20" i="1"/>
  <c r="BA20" i="1"/>
  <c r="S20" i="1"/>
  <c r="K20" i="1"/>
  <c r="BD20" i="1"/>
  <c r="L20" i="1"/>
  <c r="M20" i="1"/>
  <c r="BB20" i="1"/>
  <c r="N20" i="1"/>
  <c r="AY20" i="1"/>
  <c r="AZ20" i="1"/>
  <c r="BC20" i="1"/>
  <c r="BE20" i="1"/>
  <c r="BF20" i="1"/>
  <c r="BG20" i="1"/>
  <c r="BH20" i="1"/>
  <c r="BI20" i="1"/>
  <c r="AP21" i="1"/>
  <c r="J21" i="1"/>
  <c r="AT21" i="1"/>
  <c r="AS21" i="1"/>
  <c r="AR21" i="1"/>
  <c r="AQ21" i="1"/>
  <c r="Q21" i="1"/>
  <c r="AU21" i="1"/>
  <c r="O21" i="1"/>
  <c r="AV21" i="1"/>
  <c r="AW21" i="1"/>
  <c r="AX21" i="1"/>
  <c r="BA21" i="1"/>
  <c r="S21" i="1"/>
  <c r="K21" i="1"/>
  <c r="BD21" i="1"/>
  <c r="L21" i="1"/>
  <c r="M21" i="1"/>
  <c r="BB21" i="1"/>
  <c r="N21" i="1"/>
  <c r="AY21" i="1"/>
  <c r="AZ21" i="1"/>
  <c r="BC21" i="1"/>
  <c r="BE21" i="1"/>
  <c r="BF21" i="1"/>
  <c r="BG21" i="1"/>
  <c r="BH21" i="1"/>
  <c r="BI21" i="1"/>
  <c r="AP22" i="1"/>
  <c r="J22" i="1"/>
  <c r="AT22" i="1"/>
  <c r="AS22" i="1"/>
  <c r="AR22" i="1"/>
  <c r="AQ22" i="1"/>
  <c r="Q22" i="1"/>
  <c r="AU22" i="1"/>
  <c r="O22" i="1"/>
  <c r="AV22" i="1"/>
  <c r="AW22" i="1"/>
  <c r="AX22" i="1"/>
  <c r="BA22" i="1"/>
  <c r="S22" i="1"/>
  <c r="K22" i="1"/>
  <c r="BD22" i="1"/>
  <c r="L22" i="1"/>
  <c r="M22" i="1"/>
  <c r="BB22" i="1"/>
  <c r="N22" i="1"/>
  <c r="AY22" i="1"/>
  <c r="AZ22" i="1"/>
  <c r="BC22" i="1"/>
  <c r="BE22" i="1"/>
  <c r="BF22" i="1"/>
  <c r="BG22" i="1"/>
  <c r="BH22" i="1"/>
  <c r="BI22" i="1"/>
  <c r="AP23" i="1"/>
  <c r="J23" i="1"/>
  <c r="AT23" i="1"/>
  <c r="AS23" i="1"/>
  <c r="AR23" i="1"/>
  <c r="AQ23" i="1"/>
  <c r="Q23" i="1"/>
  <c r="AU23" i="1"/>
  <c r="O23" i="1"/>
  <c r="AV23" i="1"/>
  <c r="AW23" i="1"/>
  <c r="AX23" i="1"/>
  <c r="BA23" i="1"/>
  <c r="S23" i="1"/>
  <c r="K23" i="1"/>
  <c r="BD23" i="1"/>
  <c r="L23" i="1"/>
  <c r="M23" i="1"/>
  <c r="BB23" i="1"/>
  <c r="N23" i="1"/>
  <c r="AY23" i="1"/>
  <c r="AZ23" i="1"/>
  <c r="BC23" i="1"/>
  <c r="BE23" i="1"/>
  <c r="BF23" i="1"/>
  <c r="BG23" i="1"/>
  <c r="BH23" i="1"/>
  <c r="BI23" i="1"/>
  <c r="AP24" i="1"/>
  <c r="J24" i="1"/>
  <c r="AT24" i="1"/>
  <c r="AS24" i="1"/>
  <c r="AR24" i="1"/>
  <c r="AQ24" i="1"/>
  <c r="Q24" i="1"/>
  <c r="AU24" i="1"/>
  <c r="O24" i="1"/>
  <c r="AV24" i="1"/>
  <c r="AW24" i="1"/>
  <c r="AX24" i="1"/>
  <c r="BA24" i="1"/>
  <c r="S24" i="1"/>
  <c r="K24" i="1"/>
  <c r="BD24" i="1"/>
  <c r="L24" i="1"/>
  <c r="M24" i="1"/>
  <c r="BB24" i="1"/>
  <c r="N24" i="1"/>
  <c r="AY24" i="1"/>
  <c r="AZ24" i="1"/>
  <c r="BC24" i="1"/>
  <c r="BE24" i="1"/>
  <c r="BF24" i="1"/>
  <c r="BG24" i="1"/>
  <c r="BH24" i="1"/>
  <c r="BI24" i="1"/>
  <c r="AP25" i="1"/>
  <c r="J25" i="1"/>
  <c r="AT25" i="1"/>
  <c r="AS25" i="1"/>
  <c r="AR25" i="1"/>
  <c r="AQ25" i="1"/>
  <c r="Q25" i="1"/>
  <c r="AU25" i="1"/>
  <c r="O25" i="1"/>
  <c r="AV25" i="1"/>
  <c r="AW25" i="1"/>
  <c r="AX25" i="1"/>
  <c r="BA25" i="1"/>
  <c r="S25" i="1"/>
  <c r="K25" i="1"/>
  <c r="BD25" i="1"/>
  <c r="L25" i="1"/>
  <c r="M25" i="1"/>
  <c r="BB25" i="1"/>
  <c r="N25" i="1"/>
  <c r="AY25" i="1"/>
  <c r="AZ25" i="1"/>
  <c r="BC25" i="1"/>
  <c r="BE25" i="1"/>
  <c r="BF25" i="1"/>
  <c r="BG25" i="1"/>
  <c r="BH25" i="1"/>
  <c r="BI25" i="1"/>
  <c r="AP26" i="1"/>
  <c r="J26" i="1"/>
  <c r="AT26" i="1"/>
  <c r="AS26" i="1"/>
  <c r="AR26" i="1"/>
  <c r="AQ26" i="1"/>
  <c r="Q26" i="1"/>
  <c r="AU26" i="1"/>
  <c r="O26" i="1"/>
  <c r="AV26" i="1"/>
  <c r="AW26" i="1"/>
  <c r="AX26" i="1"/>
  <c r="BA26" i="1"/>
  <c r="S26" i="1"/>
  <c r="K26" i="1"/>
  <c r="BD26" i="1"/>
  <c r="L26" i="1"/>
  <c r="M26" i="1"/>
  <c r="BB26" i="1"/>
  <c r="N26" i="1"/>
  <c r="AY26" i="1"/>
  <c r="AZ26" i="1"/>
  <c r="BC26" i="1"/>
  <c r="BE26" i="1"/>
  <c r="BF26" i="1"/>
  <c r="BG26" i="1"/>
  <c r="BH26" i="1"/>
  <c r="BI26" i="1"/>
  <c r="AP27" i="1"/>
  <c r="J27" i="1"/>
  <c r="AT27" i="1"/>
  <c r="AS27" i="1"/>
  <c r="AR27" i="1"/>
  <c r="AQ27" i="1"/>
  <c r="Q27" i="1"/>
  <c r="AU27" i="1"/>
  <c r="O27" i="1"/>
  <c r="AV27" i="1"/>
  <c r="AW27" i="1"/>
  <c r="AX27" i="1"/>
  <c r="BA27" i="1"/>
  <c r="S27" i="1"/>
  <c r="K27" i="1"/>
  <c r="BD27" i="1"/>
  <c r="L27" i="1"/>
  <c r="M27" i="1"/>
  <c r="BB27" i="1"/>
  <c r="N27" i="1"/>
  <c r="AY27" i="1"/>
  <c r="AZ27" i="1"/>
  <c r="BC27" i="1"/>
  <c r="BE27" i="1"/>
  <c r="BF27" i="1"/>
  <c r="BG27" i="1"/>
  <c r="BH27" i="1"/>
  <c r="BI27" i="1"/>
  <c r="AP28" i="1"/>
  <c r="J28" i="1"/>
  <c r="AT28" i="1"/>
  <c r="AS28" i="1"/>
  <c r="AR28" i="1"/>
  <c r="AQ28" i="1"/>
  <c r="Q28" i="1"/>
  <c r="AU28" i="1"/>
  <c r="O28" i="1"/>
  <c r="AV28" i="1"/>
  <c r="AW28" i="1"/>
  <c r="AX28" i="1"/>
  <c r="BA28" i="1"/>
  <c r="S28" i="1"/>
  <c r="K28" i="1"/>
  <c r="BD28" i="1"/>
  <c r="L28" i="1"/>
  <c r="M28" i="1"/>
  <c r="BB28" i="1"/>
  <c r="N28" i="1"/>
  <c r="AY28" i="1"/>
  <c r="AZ28" i="1"/>
  <c r="BC28" i="1"/>
  <c r="BE28" i="1"/>
  <c r="BF28" i="1"/>
  <c r="BG28" i="1"/>
  <c r="BH28" i="1"/>
  <c r="BI28" i="1"/>
  <c r="AP29" i="1"/>
  <c r="J29" i="1"/>
  <c r="AT29" i="1"/>
  <c r="AS29" i="1"/>
  <c r="AR29" i="1"/>
  <c r="AQ29" i="1"/>
  <c r="Q29" i="1"/>
  <c r="AU29" i="1"/>
  <c r="O29" i="1"/>
  <c r="AV29" i="1"/>
  <c r="AW29" i="1"/>
  <c r="AX29" i="1"/>
  <c r="BA29" i="1"/>
  <c r="S29" i="1"/>
  <c r="K29" i="1"/>
  <c r="BD29" i="1"/>
  <c r="L29" i="1"/>
  <c r="M29" i="1"/>
  <c r="BB29" i="1"/>
  <c r="N29" i="1"/>
  <c r="AY29" i="1"/>
  <c r="AZ29" i="1"/>
  <c r="BC29" i="1"/>
  <c r="BE29" i="1"/>
  <c r="BF29" i="1"/>
  <c r="BG29" i="1"/>
  <c r="BH29" i="1"/>
  <c r="BI29" i="1"/>
</calcChain>
</file>

<file path=xl/sharedStrings.xml><?xml version="1.0" encoding="utf-8"?>
<sst xmlns="http://schemas.openxmlformats.org/spreadsheetml/2006/main" count="212" uniqueCount="98">
  <si>
    <t>OPEN 6.1.4</t>
  </si>
  <si>
    <t>Fri Jul  8 2011 10:18:42</t>
  </si>
  <si>
    <t>Unit=</t>
  </si>
  <si>
    <t>PSC-3149</t>
  </si>
  <si>
    <t>LightSource=</t>
  </si>
  <si>
    <t>Sun+Sky</t>
  </si>
  <si>
    <t>Config=</t>
  </si>
  <si>
    <t>/User/Configs/UserPrefs/Tres Rios official.xml</t>
  </si>
  <si>
    <t>Remark=</t>
  </si>
  <si>
    <t/>
  </si>
  <si>
    <t>Obs</t>
  </si>
  <si>
    <t>HHMMSS</t>
  </si>
  <si>
    <t>transect</t>
  </si>
  <si>
    <t>quad</t>
  </si>
  <si>
    <t>section</t>
  </si>
  <si>
    <t>plant sp</t>
  </si>
  <si>
    <t>aux2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</si>
  <si>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</si>
  <si>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</si>
  <si>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</si>
  <si>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</si>
  <si>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</si>
  <si>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</si>
  <si>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</si>
  <si>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</si>
  <si>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</si>
  <si>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</si>
  <si>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</si>
  <si>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</si>
  <si>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</si>
  <si>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</si>
  <si>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</si>
  <si>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</si>
  <si>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</si>
  <si>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</si>
  <si>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</si>
  <si>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</si>
  <si>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</si>
  <si>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</si>
  <si>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</si>
  <si>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</si>
  <si>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</si>
  <si>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</si>
  <si>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</si>
  <si>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</si>
  <si>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</si>
  <si>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</si>
  <si>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</si>
  <si>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</si>
  <si>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</si>
  <si>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</si>
  <si>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</si>
  <si>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</si>
  <si>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</si>
  <si>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</si>
  <si>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</si>
  <si>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</si>
  <si>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</si>
  <si>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</si>
  <si>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</si>
  <si>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</si>
  <si>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</si>
  <si>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</si>
  <si>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</si>
  <si>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</si>
  <si>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</si>
  <si>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</si>
  <si>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</si>
  <si>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</si>
  <si>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</si>
  <si>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</si>
  <si>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in</t>
  </si>
  <si>
    <t>out</t>
  </si>
  <si>
    <t>10:26:46</t>
  </si>
  <si>
    <t>c1</t>
  </si>
  <si>
    <t>t</t>
  </si>
  <si>
    <t>tlat</t>
  </si>
  <si>
    <t>10:28:08</t>
  </si>
  <si>
    <t>b</t>
  </si>
  <si>
    <t>10:30:52</t>
  </si>
  <si>
    <t>stab</t>
  </si>
  <si>
    <t>10:33:03</t>
  </si>
  <si>
    <t>10:35:38</t>
  </si>
  <si>
    <t>10:37:33</t>
  </si>
  <si>
    <t>10:42:14</t>
  </si>
  <si>
    <t>10:44:54</t>
  </si>
  <si>
    <t>10:47:19</t>
  </si>
  <si>
    <t>10:48:14</t>
  </si>
  <si>
    <t>10:58:58</t>
  </si>
  <si>
    <t>10:59:56</t>
  </si>
  <si>
    <t>11:07:01</t>
  </si>
  <si>
    <t>11:10:50</t>
  </si>
  <si>
    <t>11:12:28</t>
  </si>
  <si>
    <t>11:13:48</t>
  </si>
  <si>
    <t>11:21:32</t>
  </si>
  <si>
    <t>11:22:17</t>
  </si>
  <si>
    <t>11:24:35</t>
  </si>
  <si>
    <t>11:26:55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</si>
</sst>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9"/>
  <sheetViews>
    <sheetView tabSelected="1" workbookViewId="0">
      <selection activeCell="F20" sqref="F20"/>
    </sheetView>
  </sheetViews>
  <sheetFormatPr baseColWidth="10" defaultRowHeight="15" x14ac:dyDescent="0"/>
  <sheetData>
    <row r="1" spans="1:61">
      <c r="A1" s="1" t="s">
        <v>0</v>
      </c>
    </row>
    <row r="2" spans="1:61">
      <c r="A2" s="1" t="s">
        <v>1</v>
      </c>
    </row>
    <row r="3" spans="1:61">
      <c r="A3" s="1" t="s">
        <v>2</v>
      </c>
      <c r="B3" s="1" t="s">
        <v>3</v>
      </c>
    </row>
    <row r="4" spans="1:61">
      <c r="A4" s="1" t="s">
        <v>4</v>
      </c>
      <c r="B4" s="1" t="s">
        <v>5</v>
      </c>
      <c r="C4" s="1">
        <v>1</v>
      </c>
      <c r="D4" s="1">
        <v>0.18999999761581421</v>
      </c>
    </row>
    <row r="5" spans="1:61">
      <c r="A5" s="1" t="s">
        <v>6</v>
      </c>
      <c r="B5" s="1" t="s">
        <v>7</v>
      </c>
    </row>
    <row r="6" spans="1:61">
      <c r="A6" s="1" t="s">
        <v>8</v>
      </c>
      <c r="B6" s="1" t="s">
        <v>9</v>
      </c>
    </row>
    <row r="8" spans="1:6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27</v>
      </c>
      <c r="S8" s="1" t="s">
        <v>28</v>
      </c>
      <c r="T8" s="1" t="s">
        <v>29</v>
      </c>
      <c r="U8" s="1" t="s">
        <v>30</v>
      </c>
      <c r="V8" s="1" t="s">
        <v>31</v>
      </c>
      <c r="W8" s="1" t="s">
        <v>32</v>
      </c>
      <c r="X8" s="1" t="s">
        <v>33</v>
      </c>
      <c r="Y8" s="1" t="s">
        <v>34</v>
      </c>
      <c r="Z8" s="1" t="s">
        <v>35</v>
      </c>
      <c r="AA8" s="1" t="s">
        <v>36</v>
      </c>
      <c r="AB8" s="1" t="s">
        <v>37</v>
      </c>
      <c r="AC8" s="1" t="s">
        <v>38</v>
      </c>
      <c r="AD8" s="1" t="s">
        <v>39</v>
      </c>
      <c r="AE8" s="1" t="s">
        <v>40</v>
      </c>
      <c r="AF8" s="1" t="s">
        <v>41</v>
      </c>
      <c r="AG8" s="1" t="s">
        <v>42</v>
      </c>
      <c r="AH8" s="1" t="s">
        <v>43</v>
      </c>
      <c r="AI8" s="1" t="s">
        <v>44</v>
      </c>
      <c r="AJ8" s="1" t="s">
        <v>45</v>
      </c>
      <c r="AK8" s="1" t="s">
        <v>46</v>
      </c>
      <c r="AL8" s="1" t="s">
        <v>47</v>
      </c>
      <c r="AM8" s="1" t="s">
        <v>48</v>
      </c>
      <c r="AN8" s="1" t="s">
        <v>49</v>
      </c>
      <c r="AO8" s="1" t="s">
        <v>50</v>
      </c>
      <c r="AP8" s="1" t="s">
        <v>51</v>
      </c>
      <c r="AQ8" s="1" t="s">
        <v>52</v>
      </c>
      <c r="AR8" s="1" t="s">
        <v>53</v>
      </c>
      <c r="AS8" s="1" t="s">
        <v>54</v>
      </c>
      <c r="AT8" s="1" t="s">
        <v>55</v>
      </c>
      <c r="AU8" s="1" t="s">
        <v>56</v>
      </c>
      <c r="AV8" s="1" t="s">
        <v>57</v>
      </c>
      <c r="AW8" s="1" t="s">
        <v>58</v>
      </c>
      <c r="AX8" s="1" t="s">
        <v>59</v>
      </c>
      <c r="AY8" s="1" t="s">
        <v>60</v>
      </c>
      <c r="AZ8" s="1" t="s">
        <v>61</v>
      </c>
      <c r="BA8" s="1" t="s">
        <v>62</v>
      </c>
      <c r="BB8" s="1" t="s">
        <v>63</v>
      </c>
      <c r="BC8" s="1" t="s">
        <v>64</v>
      </c>
      <c r="BD8" s="1" t="s">
        <v>65</v>
      </c>
      <c r="BE8" s="1" t="s">
        <v>66</v>
      </c>
      <c r="BF8" s="1" t="s">
        <v>67</v>
      </c>
      <c r="BG8" s="1" t="s">
        <v>68</v>
      </c>
      <c r="BH8" s="1" t="s">
        <v>69</v>
      </c>
      <c r="BI8" s="1" t="s">
        <v>70</v>
      </c>
    </row>
    <row r="9" spans="1:61">
      <c r="A9" s="1" t="s">
        <v>71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72</v>
      </c>
      <c r="K9" s="1" t="s">
        <v>72</v>
      </c>
      <c r="L9" s="1" t="s">
        <v>72</v>
      </c>
      <c r="M9" s="1" t="s">
        <v>72</v>
      </c>
      <c r="N9" s="1" t="s">
        <v>72</v>
      </c>
      <c r="O9" s="1" t="s">
        <v>72</v>
      </c>
      <c r="P9" s="1" t="s">
        <v>71</v>
      </c>
      <c r="Q9" s="1" t="s">
        <v>72</v>
      </c>
      <c r="R9" s="1" t="s">
        <v>71</v>
      </c>
      <c r="S9" s="1" t="s">
        <v>72</v>
      </c>
      <c r="T9" s="1" t="s">
        <v>71</v>
      </c>
      <c r="U9" s="1" t="s">
        <v>71</v>
      </c>
      <c r="V9" s="1" t="s">
        <v>71</v>
      </c>
      <c r="W9" s="1" t="s">
        <v>71</v>
      </c>
      <c r="X9" s="1" t="s">
        <v>71</v>
      </c>
      <c r="Y9" s="1" t="s">
        <v>71</v>
      </c>
      <c r="Z9" s="1" t="s">
        <v>71</v>
      </c>
      <c r="AA9" s="1" t="s">
        <v>71</v>
      </c>
      <c r="AB9" s="1" t="s">
        <v>71</v>
      </c>
      <c r="AC9" s="1" t="s">
        <v>71</v>
      </c>
      <c r="AD9" s="1" t="s">
        <v>71</v>
      </c>
      <c r="AE9" s="1" t="s">
        <v>71</v>
      </c>
      <c r="AF9" s="1" t="s">
        <v>71</v>
      </c>
      <c r="AG9" s="1" t="s">
        <v>71</v>
      </c>
      <c r="AH9" s="1" t="s">
        <v>71</v>
      </c>
      <c r="AI9" s="1" t="s">
        <v>71</v>
      </c>
      <c r="AJ9" s="1" t="s">
        <v>71</v>
      </c>
      <c r="AK9" s="1" t="s">
        <v>71</v>
      </c>
      <c r="AL9" s="1" t="s">
        <v>71</v>
      </c>
      <c r="AM9" s="1" t="s">
        <v>71</v>
      </c>
      <c r="AN9" s="1" t="s">
        <v>71</v>
      </c>
      <c r="AO9" s="1" t="s">
        <v>71</v>
      </c>
      <c r="AP9" s="1" t="s">
        <v>72</v>
      </c>
      <c r="AQ9" s="1" t="s">
        <v>72</v>
      </c>
      <c r="AR9" s="1" t="s">
        <v>72</v>
      </c>
      <c r="AS9" s="1" t="s">
        <v>72</v>
      </c>
      <c r="AT9" s="1" t="s">
        <v>72</v>
      </c>
      <c r="AU9" s="1" t="s">
        <v>72</v>
      </c>
      <c r="AV9" s="1" t="s">
        <v>72</v>
      </c>
      <c r="AW9" s="1" t="s">
        <v>72</v>
      </c>
      <c r="AX9" s="1" t="s">
        <v>72</v>
      </c>
      <c r="AY9" s="1" t="s">
        <v>72</v>
      </c>
      <c r="AZ9" s="1" t="s">
        <v>72</v>
      </c>
      <c r="BA9" s="1" t="s">
        <v>72</v>
      </c>
      <c r="BB9" s="1" t="s">
        <v>72</v>
      </c>
      <c r="BC9" s="1" t="s">
        <v>72</v>
      </c>
      <c r="BD9" s="1" t="s">
        <v>72</v>
      </c>
      <c r="BE9" s="1" t="s">
        <v>72</v>
      </c>
      <c r="BF9" s="1" t="s">
        <v>72</v>
      </c>
      <c r="BG9" s="1" t="s">
        <v>72</v>
      </c>
      <c r="BH9" s="1" t="s">
        <v>72</v>
      </c>
      <c r="BI9" s="1" t="s">
        <v>72</v>
      </c>
    </row>
    <row r="10" spans="1:61">
      <c r="A10" s="1">
        <v>1</v>
      </c>
      <c r="B10" s="1" t="s">
        <v>73</v>
      </c>
      <c r="C10" s="1" t="s">
        <v>74</v>
      </c>
      <c r="D10" s="1">
        <v>19</v>
      </c>
      <c r="E10" s="1" t="s">
        <v>75</v>
      </c>
      <c r="F10" s="1" t="s">
        <v>76</v>
      </c>
      <c r="G10" s="1">
        <v>0</v>
      </c>
      <c r="H10" s="1">
        <v>454</v>
      </c>
      <c r="I10" s="1">
        <v>0</v>
      </c>
      <c r="J10">
        <f t="shared" ref="J10:J16" si="0">(W10-X10*(1000-Y10)/(1000-Z10))*AP10</f>
        <v>14.514277440492711</v>
      </c>
      <c r="K10">
        <f t="shared" ref="K10:K16" si="1">IF(BA10&lt;&gt;0,1/(1/BA10-1/S10),0)</f>
        <v>0.40836937771338822</v>
      </c>
      <c r="L10">
        <f t="shared" ref="L10:L16" si="2">((BD10-AQ10/2)*X10-J10)/(BD10+AQ10/2)</f>
        <v>308.71740049885119</v>
      </c>
      <c r="M10">
        <f t="shared" ref="M10:M16" si="3">AQ10*1000</f>
        <v>7.3000346532519416</v>
      </c>
      <c r="N10">
        <f t="shared" ref="N10:N16" si="4">(AV10-BB10)</f>
        <v>1.8457881648969616</v>
      </c>
      <c r="O10">
        <f t="shared" ref="O10:O16" si="5">(U10+AU10*I10)</f>
        <v>34.060203552246094</v>
      </c>
      <c r="P10" s="1">
        <v>4</v>
      </c>
      <c r="Q10">
        <f t="shared" ref="Q10:Q16" si="6">(P10*AJ10+AK10)</f>
        <v>1.8591305017471313</v>
      </c>
      <c r="R10" s="1">
        <v>1</v>
      </c>
      <c r="S10">
        <f t="shared" ref="S10:S16" si="7">Q10*(R10+1)*(R10+1)/(R10*R10+1)</f>
        <v>3.7182610034942627</v>
      </c>
      <c r="T10" s="1">
        <v>34.034515380859375</v>
      </c>
      <c r="U10" s="1">
        <v>34.060203552246094</v>
      </c>
      <c r="V10" s="1">
        <v>33.975658416748047</v>
      </c>
      <c r="W10" s="1">
        <v>399.07107543945312</v>
      </c>
      <c r="X10" s="1">
        <v>381.73507690429688</v>
      </c>
      <c r="Y10" s="1">
        <v>29.011528015136719</v>
      </c>
      <c r="Z10" s="1">
        <v>36.062557220458984</v>
      </c>
      <c r="AA10" s="1">
        <v>52.825176239013672</v>
      </c>
      <c r="AB10" s="1">
        <v>65.663932800292969</v>
      </c>
      <c r="AC10" s="1">
        <v>399.19146728515625</v>
      </c>
      <c r="AD10" s="1">
        <v>926.878173828125</v>
      </c>
      <c r="AE10" s="1">
        <v>1033.478515625</v>
      </c>
      <c r="AF10" s="1">
        <v>97.474807739257812</v>
      </c>
      <c r="AG10" s="1">
        <v>22.83404541015625</v>
      </c>
      <c r="AH10" s="1">
        <v>-0.69982552528381348</v>
      </c>
      <c r="AI10" s="1">
        <v>1</v>
      </c>
      <c r="AJ10" s="1">
        <v>-0.21956524252891541</v>
      </c>
      <c r="AK10" s="1">
        <v>2.737391471862793</v>
      </c>
      <c r="AL10" s="1">
        <v>1</v>
      </c>
      <c r="AM10" s="1">
        <v>0</v>
      </c>
      <c r="AN10" s="1">
        <v>0.18999999761581421</v>
      </c>
      <c r="AO10" s="1">
        <v>111115</v>
      </c>
      <c r="AP10">
        <f t="shared" ref="AP10:AP16" si="8">AC10*0.000001/(P10*0.0001)</f>
        <v>0.9979786682128905</v>
      </c>
      <c r="AQ10">
        <f t="shared" ref="AQ10:AQ16" si="9">(Z10-Y10)/(1000-Z10)*AP10</f>
        <v>7.3000346532519416E-3</v>
      </c>
      <c r="AR10">
        <f t="shared" ref="AR10:AR16" si="10">(U10+273.15)</f>
        <v>307.21020355224607</v>
      </c>
      <c r="AS10">
        <f t="shared" ref="AS10:AS16" si="11">(T10+273.15)</f>
        <v>307.18451538085935</v>
      </c>
      <c r="AT10">
        <f t="shared" ref="AT10:AT16" si="12">(AD10*AL10+AE10*AM10)*AN10</f>
        <v>176.10685081749398</v>
      </c>
      <c r="AU10">
        <f t="shared" ref="AU10:AU16" si="13">((AT10+0.00000010773*(AS10^4-AR10^4))-AQ10*44100)/(Q10*51.4+0.00000043092*AR10^3)</f>
        <v>-1.3525315382894987</v>
      </c>
      <c r="AV10">
        <f t="shared" ref="AV10:AV16" si="14">0.61365*EXP(17.502*O10/(240.97+O10))</f>
        <v>5.3609789965471846</v>
      </c>
      <c r="AW10">
        <f t="shared" ref="AW10:AW16" si="15">AV10*1000/AF10</f>
        <v>54.998610624476868</v>
      </c>
      <c r="AX10">
        <f t="shared" ref="AX10:AX16" si="16">(AW10-Z10)</f>
        <v>18.936053404017883</v>
      </c>
      <c r="AY10">
        <f t="shared" ref="AY10:AY16" si="17">IF(I10,U10,(T10+U10)/2)</f>
        <v>34.047359466552734</v>
      </c>
      <c r="AZ10">
        <f t="shared" ref="AZ10:AZ16" si="18">0.61365*EXP(17.502*AY10/(240.97+AY10))</f>
        <v>5.3571410231945764</v>
      </c>
      <c r="BA10">
        <f t="shared" ref="BA10:BA16" si="19">IF(AX10&lt;&gt;0,(1000-(AW10+Z10)/2)/AX10*AQ10,0)</f>
        <v>0.36795733853162454</v>
      </c>
      <c r="BB10">
        <f t="shared" ref="BB10:BB16" si="20">Z10*AF10/1000</f>
        <v>3.5151908316502229</v>
      </c>
      <c r="BC10">
        <f t="shared" ref="BC10:BC16" si="21">(AZ10-BB10)</f>
        <v>1.8419501915443535</v>
      </c>
      <c r="BD10">
        <f t="shared" ref="BD10:BD16" si="22">1/(1.6/K10+1.37/S10)</f>
        <v>0.23329201619124101</v>
      </c>
      <c r="BE10">
        <f t="shared" ref="BE10:BE16" si="23">L10*AF10*0.001</f>
        <v>30.092169259388974</v>
      </c>
      <c r="BF10">
        <f t="shared" ref="BF10:BF16" si="24">L10/X10</f>
        <v>0.80872159562179391</v>
      </c>
      <c r="BG10">
        <f t="shared" ref="BG10:BG16" si="25">(1-AQ10*AF10/AV10/K10)*100</f>
        <v>67.497255425127463</v>
      </c>
      <c r="BH10">
        <f t="shared" ref="BH10:BH16" si="26">(X10-J10/(S10/1.35))</f>
        <v>376.46533534332218</v>
      </c>
      <c r="BI10">
        <f t="shared" ref="BI10:BI16" si="27">J10*BG10/100/BH10</f>
        <v>2.6022950846687546E-2</v>
      </c>
    </row>
    <row r="11" spans="1:61">
      <c r="A11" s="1">
        <v>2</v>
      </c>
      <c r="B11" s="1" t="s">
        <v>77</v>
      </c>
      <c r="C11" s="1" t="s">
        <v>74</v>
      </c>
      <c r="D11" s="1">
        <v>19</v>
      </c>
      <c r="E11" s="1" t="s">
        <v>78</v>
      </c>
      <c r="F11" s="1" t="s">
        <v>76</v>
      </c>
      <c r="G11" s="1">
        <v>0</v>
      </c>
      <c r="H11" s="1">
        <v>567</v>
      </c>
      <c r="I11" s="1">
        <v>0</v>
      </c>
      <c r="J11">
        <f t="shared" si="0"/>
        <v>-0.58772219960411598</v>
      </c>
      <c r="K11">
        <f t="shared" si="1"/>
        <v>0.1007129259819434</v>
      </c>
      <c r="L11">
        <f t="shared" si="2"/>
        <v>395.04636998320001</v>
      </c>
      <c r="M11">
        <f t="shared" si="3"/>
        <v>2.0339317738632836</v>
      </c>
      <c r="N11">
        <f t="shared" si="4"/>
        <v>1.9389497068991521</v>
      </c>
      <c r="O11">
        <f t="shared" si="5"/>
        <v>32.68951416015625</v>
      </c>
      <c r="P11" s="1">
        <v>4</v>
      </c>
      <c r="Q11">
        <f t="shared" si="6"/>
        <v>1.8591305017471313</v>
      </c>
      <c r="R11" s="1">
        <v>1</v>
      </c>
      <c r="S11">
        <f t="shared" si="7"/>
        <v>3.7182610034942627</v>
      </c>
      <c r="T11" s="1">
        <v>34.268634796142578</v>
      </c>
      <c r="U11" s="1">
        <v>32.68951416015625</v>
      </c>
      <c r="V11" s="1">
        <v>34.272830963134766</v>
      </c>
      <c r="W11" s="1">
        <v>398.83627319335938</v>
      </c>
      <c r="X11" s="1">
        <v>398.61279296875</v>
      </c>
      <c r="Y11" s="1">
        <v>29.066499710083008</v>
      </c>
      <c r="Z11" s="1">
        <v>31.041282653808594</v>
      </c>
      <c r="AA11" s="1">
        <v>52.238368988037109</v>
      </c>
      <c r="AB11" s="1">
        <v>55.787452697753906</v>
      </c>
      <c r="AC11" s="1">
        <v>399.19241333007812</v>
      </c>
      <c r="AD11" s="1">
        <v>20.512550354003906</v>
      </c>
      <c r="AE11" s="1">
        <v>26.357555389404297</v>
      </c>
      <c r="AF11" s="1">
        <v>97.472976684570312</v>
      </c>
      <c r="AG11" s="1">
        <v>22.83404541015625</v>
      </c>
      <c r="AH11" s="1">
        <v>-0.69982552528381348</v>
      </c>
      <c r="AI11" s="1">
        <v>1</v>
      </c>
      <c r="AJ11" s="1">
        <v>-0.21956524252891541</v>
      </c>
      <c r="AK11" s="1">
        <v>2.737391471862793</v>
      </c>
      <c r="AL11" s="1">
        <v>1</v>
      </c>
      <c r="AM11" s="1">
        <v>0</v>
      </c>
      <c r="AN11" s="1">
        <v>0.18999999761581421</v>
      </c>
      <c r="AO11" s="1">
        <v>111115</v>
      </c>
      <c r="AP11">
        <f t="shared" si="8"/>
        <v>0.99798103332519517</v>
      </c>
      <c r="AQ11">
        <f t="shared" si="9"/>
        <v>2.0339317738632835E-3</v>
      </c>
      <c r="AR11">
        <f t="shared" si="10"/>
        <v>305.83951416015623</v>
      </c>
      <c r="AS11">
        <f t="shared" si="11"/>
        <v>307.41863479614256</v>
      </c>
      <c r="AT11">
        <f t="shared" si="12"/>
        <v>3.8973845183550111</v>
      </c>
      <c r="AU11">
        <f t="shared" si="13"/>
        <v>-0.61342958467072739</v>
      </c>
      <c r="AV11">
        <f t="shared" si="14"/>
        <v>4.9646359272729939</v>
      </c>
      <c r="AW11">
        <f t="shared" si="15"/>
        <v>50.933459674048116</v>
      </c>
      <c r="AX11">
        <f t="shared" si="16"/>
        <v>19.892177020239522</v>
      </c>
      <c r="AY11">
        <f t="shared" si="17"/>
        <v>33.479074478149414</v>
      </c>
      <c r="AZ11">
        <f t="shared" si="18"/>
        <v>5.1897041716070156</v>
      </c>
      <c r="BA11">
        <f t="shared" si="19"/>
        <v>9.8056952506566569E-2</v>
      </c>
      <c r="BB11">
        <f t="shared" si="20"/>
        <v>3.0256862203738417</v>
      </c>
      <c r="BC11">
        <f t="shared" si="21"/>
        <v>2.1640179512331739</v>
      </c>
      <c r="BD11">
        <f t="shared" si="22"/>
        <v>6.1518809142292914E-2</v>
      </c>
      <c r="BE11">
        <f t="shared" si="23"/>
        <v>38.506345610696592</v>
      </c>
      <c r="BF11">
        <f t="shared" si="24"/>
        <v>0.99105291388420247</v>
      </c>
      <c r="BG11">
        <f t="shared" si="25"/>
        <v>60.349561874471426</v>
      </c>
      <c r="BH11">
        <f t="shared" si="26"/>
        <v>398.82617900289875</v>
      </c>
      <c r="BI11">
        <f t="shared" si="27"/>
        <v>-8.8932921451355493E-4</v>
      </c>
    </row>
    <row r="12" spans="1:61">
      <c r="A12" s="1">
        <v>3</v>
      </c>
      <c r="B12" s="1" t="s">
        <v>79</v>
      </c>
      <c r="C12" s="1" t="s">
        <v>74</v>
      </c>
      <c r="D12" s="1">
        <v>19</v>
      </c>
      <c r="E12" s="1" t="s">
        <v>75</v>
      </c>
      <c r="F12" s="1" t="s">
        <v>80</v>
      </c>
      <c r="G12" s="1">
        <v>0</v>
      </c>
      <c r="H12" s="1">
        <v>722.5</v>
      </c>
      <c r="I12" s="1">
        <v>0</v>
      </c>
      <c r="J12">
        <f t="shared" si="0"/>
        <v>2.8443394363003671</v>
      </c>
      <c r="K12">
        <f t="shared" si="1"/>
        <v>0.35644903031708924</v>
      </c>
      <c r="L12">
        <f t="shared" si="2"/>
        <v>369.31307722024661</v>
      </c>
      <c r="M12">
        <f t="shared" si="3"/>
        <v>8.0746131062922135</v>
      </c>
      <c r="N12">
        <f t="shared" si="4"/>
        <v>2.2678772218495591</v>
      </c>
      <c r="O12">
        <f t="shared" si="5"/>
        <v>34.165245056152344</v>
      </c>
      <c r="P12" s="1">
        <v>1.5</v>
      </c>
      <c r="Q12">
        <f t="shared" si="6"/>
        <v>2.4080436080694199</v>
      </c>
      <c r="R12" s="1">
        <v>1</v>
      </c>
      <c r="S12">
        <f t="shared" si="7"/>
        <v>4.8160872161388397</v>
      </c>
      <c r="T12" s="1">
        <v>34.272754669189453</v>
      </c>
      <c r="U12" s="1">
        <v>34.165245056152344</v>
      </c>
      <c r="V12" s="1">
        <v>34.296539306640625</v>
      </c>
      <c r="W12" s="1">
        <v>399.94522094726562</v>
      </c>
      <c r="X12" s="1">
        <v>397.67001342773438</v>
      </c>
      <c r="Y12" s="1">
        <v>29.11900520324707</v>
      </c>
      <c r="Z12" s="1">
        <v>32.055656433105469</v>
      </c>
      <c r="AA12" s="1">
        <v>52.321052551269531</v>
      </c>
      <c r="AB12" s="1">
        <v>57.597629547119141</v>
      </c>
      <c r="AC12" s="1">
        <v>399.21881103515625</v>
      </c>
      <c r="AD12" s="1">
        <v>1230.2191162109375</v>
      </c>
      <c r="AE12" s="1">
        <v>945.92071533203125</v>
      </c>
      <c r="AF12" s="1">
        <v>97.47357177734375</v>
      </c>
      <c r="AG12" s="1">
        <v>22.83404541015625</v>
      </c>
      <c r="AH12" s="1">
        <v>-0.69982552528381348</v>
      </c>
      <c r="AI12" s="1">
        <v>1</v>
      </c>
      <c r="AJ12" s="1">
        <v>-0.21956524252891541</v>
      </c>
      <c r="AK12" s="1">
        <v>2.737391471862793</v>
      </c>
      <c r="AL12" s="1">
        <v>1</v>
      </c>
      <c r="AM12" s="1">
        <v>0</v>
      </c>
      <c r="AN12" s="1">
        <v>0.18999999761581421</v>
      </c>
      <c r="AO12" s="1">
        <v>111115</v>
      </c>
      <c r="AP12">
        <f t="shared" si="8"/>
        <v>2.6614587402343748</v>
      </c>
      <c r="AQ12">
        <f t="shared" si="9"/>
        <v>8.0746131062922142E-3</v>
      </c>
      <c r="AR12">
        <f t="shared" si="10"/>
        <v>307.31524505615232</v>
      </c>
      <c r="AS12">
        <f t="shared" si="11"/>
        <v>307.42275466918943</v>
      </c>
      <c r="AT12">
        <f t="shared" si="12"/>
        <v>233.74162914700719</v>
      </c>
      <c r="AU12">
        <f t="shared" si="13"/>
        <v>-0.88790144060364817</v>
      </c>
      <c r="AV12">
        <f t="shared" si="14"/>
        <v>5.3924565500517359</v>
      </c>
      <c r="AW12">
        <f t="shared" si="15"/>
        <v>55.322242241923568</v>
      </c>
      <c r="AX12">
        <f t="shared" si="16"/>
        <v>23.2665858088181</v>
      </c>
      <c r="AY12">
        <f t="shared" si="17"/>
        <v>34.218999862670898</v>
      </c>
      <c r="AZ12">
        <f t="shared" si="18"/>
        <v>5.4086272074735957</v>
      </c>
      <c r="BA12">
        <f t="shared" si="19"/>
        <v>0.33188546900786725</v>
      </c>
      <c r="BB12">
        <f t="shared" si="20"/>
        <v>3.1245793282021768</v>
      </c>
      <c r="BC12">
        <f t="shared" si="21"/>
        <v>2.2840478792714189</v>
      </c>
      <c r="BD12">
        <f t="shared" si="22"/>
        <v>0.20950377892929814</v>
      </c>
      <c r="BE12">
        <f t="shared" si="23"/>
        <v>35.998264740739401</v>
      </c>
      <c r="BF12">
        <f t="shared" si="24"/>
        <v>0.92869229449043977</v>
      </c>
      <c r="BG12">
        <f t="shared" si="25"/>
        <v>59.052771617516207</v>
      </c>
      <c r="BH12">
        <f t="shared" si="26"/>
        <v>396.87271510926996</v>
      </c>
      <c r="BI12">
        <f t="shared" si="27"/>
        <v>4.2322417425016143E-3</v>
      </c>
    </row>
    <row r="13" spans="1:61">
      <c r="A13" s="1">
        <v>4</v>
      </c>
      <c r="B13" s="1" t="s">
        <v>81</v>
      </c>
      <c r="C13" s="1" t="s">
        <v>74</v>
      </c>
      <c r="D13" s="1">
        <v>19</v>
      </c>
      <c r="E13" s="1" t="s">
        <v>78</v>
      </c>
      <c r="F13" s="1" t="s">
        <v>80</v>
      </c>
      <c r="G13" s="1">
        <v>0</v>
      </c>
      <c r="H13" s="1">
        <v>866</v>
      </c>
      <c r="I13" s="1">
        <v>0</v>
      </c>
      <c r="J13">
        <f t="shared" si="0"/>
        <v>-4.1619389524407193</v>
      </c>
      <c r="K13">
        <f t="shared" si="1"/>
        <v>2.105521423807389E-2</v>
      </c>
      <c r="L13">
        <f t="shared" si="2"/>
        <v>699.73665461268592</v>
      </c>
      <c r="M13">
        <f t="shared" si="3"/>
        <v>0.5362566763468789</v>
      </c>
      <c r="N13">
        <f t="shared" si="4"/>
        <v>2.3933086634109784</v>
      </c>
      <c r="O13">
        <f t="shared" si="5"/>
        <v>33.855548858642578</v>
      </c>
      <c r="P13" s="1">
        <v>5</v>
      </c>
      <c r="Q13">
        <f t="shared" si="6"/>
        <v>1.6395652592182159</v>
      </c>
      <c r="R13" s="1">
        <v>1</v>
      </c>
      <c r="S13">
        <f t="shared" si="7"/>
        <v>3.2791305184364319</v>
      </c>
      <c r="T13" s="1">
        <v>34.494739532470703</v>
      </c>
      <c r="U13" s="1">
        <v>33.855548858642578</v>
      </c>
      <c r="V13" s="1">
        <v>34.52142333984375</v>
      </c>
      <c r="W13" s="1">
        <v>399.4080810546875</v>
      </c>
      <c r="X13" s="1">
        <v>404.34896850585938</v>
      </c>
      <c r="Y13" s="1">
        <v>29.169963836669922</v>
      </c>
      <c r="Z13" s="1">
        <v>29.821548461914062</v>
      </c>
      <c r="AA13" s="1">
        <v>51.769191741943359</v>
      </c>
      <c r="AB13" s="1">
        <v>52.925586700439453</v>
      </c>
      <c r="AC13" s="1">
        <v>399.23031616210938</v>
      </c>
      <c r="AD13" s="1">
        <v>4.0424652099609375</v>
      </c>
      <c r="AE13" s="1">
        <v>5.1792182922363281</v>
      </c>
      <c r="AF13" s="1">
        <v>97.473159790039062</v>
      </c>
      <c r="AG13" s="1">
        <v>22.83404541015625</v>
      </c>
      <c r="AH13" s="1">
        <v>-0.69982552528381348</v>
      </c>
      <c r="AI13" s="1">
        <v>1</v>
      </c>
      <c r="AJ13" s="1">
        <v>-0.21956524252891541</v>
      </c>
      <c r="AK13" s="1">
        <v>2.737391471862793</v>
      </c>
      <c r="AL13" s="1">
        <v>1</v>
      </c>
      <c r="AM13" s="1">
        <v>0</v>
      </c>
      <c r="AN13" s="1">
        <v>0.18999999761581421</v>
      </c>
      <c r="AO13" s="1">
        <v>111115</v>
      </c>
      <c r="AP13">
        <f t="shared" si="8"/>
        <v>0.7984606323242186</v>
      </c>
      <c r="AQ13">
        <f t="shared" si="9"/>
        <v>5.3625667634687893E-4</v>
      </c>
      <c r="AR13">
        <f t="shared" si="10"/>
        <v>307.00554885864256</v>
      </c>
      <c r="AS13">
        <f t="shared" si="11"/>
        <v>307.64473953247068</v>
      </c>
      <c r="AT13">
        <f t="shared" si="12"/>
        <v>0.76806838025459001</v>
      </c>
      <c r="AU13">
        <f t="shared" si="13"/>
        <v>-0.15386979877366155</v>
      </c>
      <c r="AV13">
        <f t="shared" si="14"/>
        <v>5.3001092218255215</v>
      </c>
      <c r="AW13">
        <f t="shared" si="15"/>
        <v>54.375063178850063</v>
      </c>
      <c r="AX13">
        <f t="shared" si="16"/>
        <v>24.553514716936</v>
      </c>
      <c r="AY13">
        <f t="shared" si="17"/>
        <v>34.175144195556641</v>
      </c>
      <c r="AZ13">
        <f t="shared" si="18"/>
        <v>5.3954312723737434</v>
      </c>
      <c r="BA13">
        <f t="shared" si="19"/>
        <v>2.0920881784532882E-2</v>
      </c>
      <c r="BB13">
        <f t="shared" si="20"/>
        <v>2.9068005584145431</v>
      </c>
      <c r="BC13">
        <f t="shared" si="21"/>
        <v>2.4886307139592003</v>
      </c>
      <c r="BD13">
        <f t="shared" si="22"/>
        <v>1.3087554055028067E-2</v>
      </c>
      <c r="BE13">
        <f t="shared" si="23"/>
        <v>68.205542746009712</v>
      </c>
      <c r="BF13">
        <f t="shared" si="24"/>
        <v>1.7305266220866991</v>
      </c>
      <c r="BG13">
        <f t="shared" si="25"/>
        <v>53.160389733248707</v>
      </c>
      <c r="BH13">
        <f t="shared" si="26"/>
        <v>406.06241588290192</v>
      </c>
      <c r="BI13">
        <f t="shared" si="27"/>
        <v>-5.4486770531735314E-3</v>
      </c>
    </row>
    <row r="14" spans="1:61">
      <c r="A14" s="1">
        <v>5</v>
      </c>
      <c r="B14" s="1" t="s">
        <v>82</v>
      </c>
      <c r="C14" s="1" t="s">
        <v>74</v>
      </c>
      <c r="D14" s="1">
        <v>19</v>
      </c>
      <c r="E14" s="1" t="s">
        <v>75</v>
      </c>
      <c r="F14" s="1" t="s">
        <v>76</v>
      </c>
      <c r="G14" s="1">
        <v>0</v>
      </c>
      <c r="H14" s="1">
        <v>1010</v>
      </c>
      <c r="I14" s="1">
        <v>0</v>
      </c>
      <c r="J14">
        <f t="shared" si="0"/>
        <v>17.372932677262547</v>
      </c>
      <c r="K14">
        <f t="shared" si="1"/>
        <v>0.48857174195875547</v>
      </c>
      <c r="L14">
        <f t="shared" si="2"/>
        <v>304.98450097270853</v>
      </c>
      <c r="M14">
        <f t="shared" si="3"/>
        <v>8.4549631463640029</v>
      </c>
      <c r="N14">
        <f t="shared" si="4"/>
        <v>1.8192746314279646</v>
      </c>
      <c r="O14">
        <f t="shared" si="5"/>
        <v>34.399707794189453</v>
      </c>
      <c r="P14" s="1">
        <v>4</v>
      </c>
      <c r="Q14">
        <f t="shared" si="6"/>
        <v>1.8591305017471313</v>
      </c>
      <c r="R14" s="1">
        <v>1</v>
      </c>
      <c r="S14">
        <f t="shared" si="7"/>
        <v>3.7182610034942627</v>
      </c>
      <c r="T14" s="1">
        <v>34.614547729492188</v>
      </c>
      <c r="U14" s="1">
        <v>34.399707794189453</v>
      </c>
      <c r="V14" s="1">
        <v>34.611400604248047</v>
      </c>
      <c r="W14" s="1">
        <v>399.42782592773438</v>
      </c>
      <c r="X14" s="1">
        <v>378.81118774414062</v>
      </c>
      <c r="Y14" s="1">
        <v>29.230453491210938</v>
      </c>
      <c r="Z14" s="1">
        <v>37.385490417480469</v>
      </c>
      <c r="AA14" s="1">
        <v>51.531566619873047</v>
      </c>
      <c r="AB14" s="1">
        <v>65.908416748046875</v>
      </c>
      <c r="AC14" s="1">
        <v>399.20703125</v>
      </c>
      <c r="AD14" s="1">
        <v>1312.7003173828125</v>
      </c>
      <c r="AE14" s="1">
        <v>1226.498291015625</v>
      </c>
      <c r="AF14" s="1">
        <v>97.471588134765625</v>
      </c>
      <c r="AG14" s="1">
        <v>22.83404541015625</v>
      </c>
      <c r="AH14" s="1">
        <v>-0.69982552528381348</v>
      </c>
      <c r="AI14" s="1">
        <v>0</v>
      </c>
      <c r="AJ14" s="1">
        <v>-0.21956524252891541</v>
      </c>
      <c r="AK14" s="1">
        <v>2.737391471862793</v>
      </c>
      <c r="AL14" s="1">
        <v>1</v>
      </c>
      <c r="AM14" s="1">
        <v>0</v>
      </c>
      <c r="AN14" s="1">
        <v>0.18999999761581421</v>
      </c>
      <c r="AO14" s="1">
        <v>111115</v>
      </c>
      <c r="AP14">
        <f t="shared" si="8"/>
        <v>0.99801757812499992</v>
      </c>
      <c r="AQ14">
        <f t="shared" si="9"/>
        <v>8.4549631463640036E-3</v>
      </c>
      <c r="AR14">
        <f t="shared" si="10"/>
        <v>307.54970779418943</v>
      </c>
      <c r="AS14">
        <f t="shared" si="11"/>
        <v>307.76454772949216</v>
      </c>
      <c r="AT14">
        <f t="shared" si="12"/>
        <v>249.41305717301293</v>
      </c>
      <c r="AU14">
        <f t="shared" si="13"/>
        <v>-1.1171196323546666</v>
      </c>
      <c r="AV14">
        <f t="shared" si="14"/>
        <v>5.4632977556168481</v>
      </c>
      <c r="AW14">
        <f t="shared" si="15"/>
        <v>56.050156360058622</v>
      </c>
      <c r="AX14">
        <f t="shared" si="16"/>
        <v>18.664665942578154</v>
      </c>
      <c r="AY14">
        <f t="shared" si="17"/>
        <v>34.50712776184082</v>
      </c>
      <c r="AZ14">
        <f t="shared" si="18"/>
        <v>5.4960232582928041</v>
      </c>
      <c r="BA14">
        <f t="shared" si="19"/>
        <v>0.43183015951799508</v>
      </c>
      <c r="BB14">
        <f t="shared" si="20"/>
        <v>3.6440231241888834</v>
      </c>
      <c r="BC14">
        <f t="shared" si="21"/>
        <v>1.8520001341039207</v>
      </c>
      <c r="BD14">
        <f t="shared" si="22"/>
        <v>0.27447617165687987</v>
      </c>
      <c r="BE14">
        <f t="shared" si="23"/>
        <v>29.727323666298872</v>
      </c>
      <c r="BF14">
        <f t="shared" si="24"/>
        <v>0.80510953963351095</v>
      </c>
      <c r="BG14">
        <f t="shared" si="25"/>
        <v>69.125029888200174</v>
      </c>
      <c r="BH14">
        <f t="shared" si="26"/>
        <v>372.5035457867138</v>
      </c>
      <c r="BI14">
        <f t="shared" si="27"/>
        <v>3.2238739849447522E-2</v>
      </c>
    </row>
    <row r="15" spans="1:61">
      <c r="A15" s="1">
        <v>6</v>
      </c>
      <c r="B15" s="1" t="s">
        <v>83</v>
      </c>
      <c r="C15" s="1" t="s">
        <v>74</v>
      </c>
      <c r="D15" s="1">
        <v>19</v>
      </c>
      <c r="E15" s="1" t="s">
        <v>78</v>
      </c>
      <c r="F15" s="1" t="s">
        <v>76</v>
      </c>
      <c r="G15" s="1">
        <v>0</v>
      </c>
      <c r="H15" s="1">
        <v>1136.5</v>
      </c>
      <c r="I15" s="1">
        <v>0</v>
      </c>
      <c r="J15">
        <f t="shared" si="0"/>
        <v>-0.71655088459977589</v>
      </c>
      <c r="K15">
        <f t="shared" si="1"/>
        <v>4.209958630227921E-2</v>
      </c>
      <c r="L15">
        <f t="shared" si="2"/>
        <v>410.15317255273931</v>
      </c>
      <c r="M15">
        <f t="shared" si="3"/>
        <v>1.1001345557309428</v>
      </c>
      <c r="N15">
        <f t="shared" si="4"/>
        <v>2.4630460490450412</v>
      </c>
      <c r="O15">
        <f t="shared" si="5"/>
        <v>34.166622161865234</v>
      </c>
      <c r="P15" s="1">
        <v>3</v>
      </c>
      <c r="Q15">
        <f t="shared" si="6"/>
        <v>2.0786957442760468</v>
      </c>
      <c r="R15" s="1">
        <v>1</v>
      </c>
      <c r="S15">
        <f t="shared" si="7"/>
        <v>4.1573914885520935</v>
      </c>
      <c r="T15" s="1">
        <v>34.624942779541016</v>
      </c>
      <c r="U15" s="1">
        <v>34.166622161865234</v>
      </c>
      <c r="V15" s="1">
        <v>34.660942077636719</v>
      </c>
      <c r="W15" s="1">
        <v>399.55487060546875</v>
      </c>
      <c r="X15" s="1">
        <v>399.76284790039062</v>
      </c>
      <c r="Y15" s="1">
        <v>29.25639533996582</v>
      </c>
      <c r="Z15" s="1">
        <v>30.058271408081055</v>
      </c>
      <c r="AA15" s="1">
        <v>51.547481536865234</v>
      </c>
      <c r="AB15" s="1">
        <v>52.9603271484375</v>
      </c>
      <c r="AC15" s="1">
        <v>399.21371459960938</v>
      </c>
      <c r="AD15" s="1">
        <v>26.476093292236328</v>
      </c>
      <c r="AE15" s="1">
        <v>34.534679412841797</v>
      </c>
      <c r="AF15" s="1">
        <v>97.471481323242188</v>
      </c>
      <c r="AG15" s="1">
        <v>22.83404541015625</v>
      </c>
      <c r="AH15" s="1">
        <v>-0.69982552528381348</v>
      </c>
      <c r="AI15" s="1">
        <v>1</v>
      </c>
      <c r="AJ15" s="1">
        <v>-0.21956524252891541</v>
      </c>
      <c r="AK15" s="1">
        <v>2.737391471862793</v>
      </c>
      <c r="AL15" s="1">
        <v>1</v>
      </c>
      <c r="AM15" s="1">
        <v>0</v>
      </c>
      <c r="AN15" s="1">
        <v>0.18999999761581421</v>
      </c>
      <c r="AO15" s="1">
        <v>111115</v>
      </c>
      <c r="AP15">
        <f t="shared" si="8"/>
        <v>1.3307123819986977</v>
      </c>
      <c r="AQ15">
        <f t="shared" si="9"/>
        <v>1.1001345557309428E-3</v>
      </c>
      <c r="AR15">
        <f t="shared" si="10"/>
        <v>307.31662216186521</v>
      </c>
      <c r="AS15">
        <f t="shared" si="11"/>
        <v>307.77494277954099</v>
      </c>
      <c r="AT15">
        <f t="shared" si="12"/>
        <v>5.0304576624009769</v>
      </c>
      <c r="AU15">
        <f t="shared" si="13"/>
        <v>-0.3162108687222755</v>
      </c>
      <c r="AV15">
        <f t="shared" si="14"/>
        <v>5.3928702892067584</v>
      </c>
      <c r="AW15">
        <f t="shared" si="15"/>
        <v>55.327673448631813</v>
      </c>
      <c r="AX15">
        <f t="shared" si="16"/>
        <v>25.269402040550759</v>
      </c>
      <c r="AY15">
        <f t="shared" si="17"/>
        <v>34.395782470703125</v>
      </c>
      <c r="AZ15">
        <f t="shared" si="18"/>
        <v>5.4621051209293086</v>
      </c>
      <c r="BA15">
        <f t="shared" si="19"/>
        <v>4.1677541074600165E-2</v>
      </c>
      <c r="BB15">
        <f t="shared" si="20"/>
        <v>2.9298242401617172</v>
      </c>
      <c r="BC15">
        <f t="shared" si="21"/>
        <v>2.5322808807675914</v>
      </c>
      <c r="BD15">
        <f t="shared" si="22"/>
        <v>2.6086055344596008E-2</v>
      </c>
      <c r="BE15">
        <f t="shared" si="23"/>
        <v>39.978237298142858</v>
      </c>
      <c r="BF15">
        <f t="shared" si="24"/>
        <v>1.0259912213126359</v>
      </c>
      <c r="BG15">
        <f t="shared" si="25"/>
        <v>52.769170855775791</v>
      </c>
      <c r="BH15">
        <f t="shared" si="26"/>
        <v>399.99552834361407</v>
      </c>
      <c r="BI15">
        <f t="shared" si="27"/>
        <v>-9.4530546911066537E-4</v>
      </c>
    </row>
    <row r="16" spans="1:61">
      <c r="A16" s="1">
        <v>7</v>
      </c>
      <c r="B16" s="1" t="s">
        <v>84</v>
      </c>
      <c r="C16" s="1" t="s">
        <v>74</v>
      </c>
      <c r="D16" s="1">
        <v>40</v>
      </c>
      <c r="E16" s="1" t="s">
        <v>75</v>
      </c>
      <c r="F16" s="1" t="s">
        <v>76</v>
      </c>
      <c r="G16" s="1">
        <v>0</v>
      </c>
      <c r="H16" s="1">
        <v>1402.5</v>
      </c>
      <c r="I16" s="1">
        <v>0</v>
      </c>
      <c r="J16">
        <f t="shared" si="0"/>
        <v>12.765784882018053</v>
      </c>
      <c r="K16">
        <f t="shared" si="1"/>
        <v>0.86906154883055498</v>
      </c>
      <c r="L16">
        <f t="shared" si="2"/>
        <v>342.85161989324308</v>
      </c>
      <c r="M16">
        <f t="shared" si="3"/>
        <v>11.330272261535667</v>
      </c>
      <c r="N16">
        <f t="shared" si="4"/>
        <v>1.5079757779887659</v>
      </c>
      <c r="O16">
        <f t="shared" si="5"/>
        <v>34.755210876464844</v>
      </c>
      <c r="P16" s="1">
        <v>4.5</v>
      </c>
      <c r="Q16">
        <f t="shared" si="6"/>
        <v>1.7493478804826736</v>
      </c>
      <c r="R16" s="1">
        <v>1</v>
      </c>
      <c r="S16">
        <f t="shared" si="7"/>
        <v>3.4986957609653473</v>
      </c>
      <c r="T16" s="1">
        <v>34.959438323974609</v>
      </c>
      <c r="U16" s="1">
        <v>34.755210876464844</v>
      </c>
      <c r="V16" s="1">
        <v>34.913997650146484</v>
      </c>
      <c r="W16" s="1">
        <v>399.7518310546875</v>
      </c>
      <c r="X16" s="1">
        <v>380.50216674804688</v>
      </c>
      <c r="Y16" s="1">
        <v>29.458599090576172</v>
      </c>
      <c r="Z16" s="1">
        <v>41.697853088378906</v>
      </c>
      <c r="AA16" s="1">
        <v>50.948829650878906</v>
      </c>
      <c r="AB16" s="1">
        <v>72.11669921875</v>
      </c>
      <c r="AC16" s="1">
        <v>399.20904541015625</v>
      </c>
      <c r="AD16" s="1">
        <v>1344.910400390625</v>
      </c>
      <c r="AE16" s="1">
        <v>668.3385009765625</v>
      </c>
      <c r="AF16" s="1">
        <v>97.469718933105469</v>
      </c>
      <c r="AG16" s="1">
        <v>22.83404541015625</v>
      </c>
      <c r="AH16" s="1">
        <v>-0.69982552528381348</v>
      </c>
      <c r="AI16" s="1">
        <v>0</v>
      </c>
      <c r="AJ16" s="1">
        <v>-0.21956524252891541</v>
      </c>
      <c r="AK16" s="1">
        <v>2.737391471862793</v>
      </c>
      <c r="AL16" s="1">
        <v>1</v>
      </c>
      <c r="AM16" s="1">
        <v>0</v>
      </c>
      <c r="AN16" s="1">
        <v>0.18999999761581421</v>
      </c>
      <c r="AO16" s="1">
        <v>111115</v>
      </c>
      <c r="AP16">
        <f t="shared" si="8"/>
        <v>0.88713121202256939</v>
      </c>
      <c r="AQ16">
        <f t="shared" si="9"/>
        <v>1.1330272261535667E-2</v>
      </c>
      <c r="AR16">
        <f t="shared" si="10"/>
        <v>307.90521087646482</v>
      </c>
      <c r="AS16">
        <f t="shared" si="11"/>
        <v>308.10943832397459</v>
      </c>
      <c r="AT16">
        <f t="shared" si="12"/>
        <v>255.53297286770248</v>
      </c>
      <c r="AU16">
        <f t="shared" si="13"/>
        <v>-2.3567905122878554</v>
      </c>
      <c r="AV16">
        <f t="shared" si="14"/>
        <v>5.5722537986269813</v>
      </c>
      <c r="AW16">
        <f t="shared" si="15"/>
        <v>57.16907630000739</v>
      </c>
      <c r="AX16">
        <f t="shared" si="16"/>
        <v>15.471223211628484</v>
      </c>
      <c r="AY16">
        <f t="shared" si="17"/>
        <v>34.857324600219727</v>
      </c>
      <c r="AZ16">
        <f t="shared" si="18"/>
        <v>5.6038971233575285</v>
      </c>
      <c r="BA16">
        <f t="shared" si="19"/>
        <v>0.69614260620481283</v>
      </c>
      <c r="BB16">
        <f t="shared" si="20"/>
        <v>4.0642780206382154</v>
      </c>
      <c r="BC16">
        <f t="shared" si="21"/>
        <v>1.5396191027193131</v>
      </c>
      <c r="BD16">
        <f t="shared" si="22"/>
        <v>0.44790006952835959</v>
      </c>
      <c r="BE16">
        <f t="shared" si="23"/>
        <v>33.417651026754314</v>
      </c>
      <c r="BF16">
        <f t="shared" si="24"/>
        <v>0.90105037462313731</v>
      </c>
      <c r="BG16">
        <f t="shared" si="25"/>
        <v>77.195075674117462</v>
      </c>
      <c r="BH16">
        <f t="shared" si="26"/>
        <v>375.57638560897198</v>
      </c>
      <c r="BI16">
        <f t="shared" si="27"/>
        <v>2.623849016516408E-2</v>
      </c>
    </row>
    <row r="17" spans="1:61">
      <c r="A17" s="1">
        <v>9</v>
      </c>
      <c r="B17" s="1" t="s">
        <v>85</v>
      </c>
      <c r="C17" s="1" t="s">
        <v>74</v>
      </c>
      <c r="D17" s="1">
        <v>40</v>
      </c>
      <c r="E17" s="1" t="s">
        <v>78</v>
      </c>
      <c r="F17" s="1" t="s">
        <v>76</v>
      </c>
      <c r="G17" s="1">
        <v>0</v>
      </c>
      <c r="H17" s="1">
        <v>1576</v>
      </c>
      <c r="I17" s="1">
        <v>0</v>
      </c>
      <c r="J17">
        <f t="shared" ref="J17:J24" si="28">(W17-X17*(1000-Y17)/(1000-Z17))*AP17</f>
        <v>-0.29197324051656803</v>
      </c>
      <c r="K17">
        <f t="shared" ref="K17:K24" si="29">IF(BA17&lt;&gt;0,1/(1/BA17-1/S17),0)</f>
        <v>9.2621076717289336E-2</v>
      </c>
      <c r="L17">
        <f t="shared" ref="L17:L24" si="30">((BD17-AQ17/2)*X17-J17)/(BD17+AQ17/2)</f>
        <v>387.86032558438762</v>
      </c>
      <c r="M17">
        <f t="shared" ref="M17:M24" si="31">AQ17*1000</f>
        <v>2.2913535252450368</v>
      </c>
      <c r="N17">
        <f t="shared" ref="N17:N24" si="32">(AV17-BB17)</f>
        <v>2.3654098207522369</v>
      </c>
      <c r="O17">
        <f t="shared" ref="O17:O24" si="33">(U17+AU17*I17)</f>
        <v>34.534698486328125</v>
      </c>
      <c r="P17" s="1">
        <v>4.5</v>
      </c>
      <c r="Q17">
        <f t="shared" ref="Q17:Q24" si="34">(P17*AJ17+AK17)</f>
        <v>1.7493478804826736</v>
      </c>
      <c r="R17" s="1">
        <v>1</v>
      </c>
      <c r="S17">
        <f t="shared" ref="S17:S24" si="35">Q17*(R17+1)*(R17+1)/(R17*R17+1)</f>
        <v>3.4986957609653473</v>
      </c>
      <c r="T17" s="1">
        <v>35.001392364501953</v>
      </c>
      <c r="U17" s="1">
        <v>34.534698486328125</v>
      </c>
      <c r="V17" s="1">
        <v>35.045726776123047</v>
      </c>
      <c r="W17" s="1">
        <v>399.3209228515625</v>
      </c>
      <c r="X17" s="1">
        <v>398.6204833984375</v>
      </c>
      <c r="Y17" s="1">
        <v>29.705467224121094</v>
      </c>
      <c r="Z17" s="1">
        <v>32.205062866210938</v>
      </c>
      <c r="AA17" s="1">
        <v>51.256904602050781</v>
      </c>
      <c r="AB17" s="1">
        <v>55.569969177246094</v>
      </c>
      <c r="AC17" s="1">
        <v>399.22543334960938</v>
      </c>
      <c r="AD17" s="1">
        <v>11.205886840820312</v>
      </c>
      <c r="AE17" s="1">
        <v>6.9758720397949219</v>
      </c>
      <c r="AF17" s="1">
        <v>97.47039794921875</v>
      </c>
      <c r="AG17" s="1">
        <v>22.83404541015625</v>
      </c>
      <c r="AH17" s="1">
        <v>-0.69982552528381348</v>
      </c>
      <c r="AI17" s="1">
        <v>1</v>
      </c>
      <c r="AJ17" s="1">
        <v>-0.21956524252891541</v>
      </c>
      <c r="AK17" s="1">
        <v>2.737391471862793</v>
      </c>
      <c r="AL17" s="1">
        <v>1</v>
      </c>
      <c r="AM17" s="1">
        <v>0</v>
      </c>
      <c r="AN17" s="1">
        <v>0.18999999761581421</v>
      </c>
      <c r="AO17" s="1">
        <v>111115</v>
      </c>
      <c r="AP17">
        <f t="shared" ref="AP17:AP24" si="36">AC17*0.000001/(P17*0.0001)</f>
        <v>0.88716762966579854</v>
      </c>
      <c r="AQ17">
        <f t="shared" ref="AQ17:AQ24" si="37">(Z17-Y17)/(1000-Z17)*AP17</f>
        <v>2.2913535252450366E-3</v>
      </c>
      <c r="AR17">
        <f t="shared" ref="AR17:AR24" si="38">(U17+273.15)</f>
        <v>307.6846984863281</v>
      </c>
      <c r="AS17">
        <f t="shared" ref="AS17:AS24" si="39">(T17+273.15)</f>
        <v>308.15139236450193</v>
      </c>
      <c r="AT17">
        <f t="shared" ref="AT17:AT24" si="40">(AD17*AL17+AE17*AM17)*AN17</f>
        <v>2.1291184730389432</v>
      </c>
      <c r="AU17">
        <f t="shared" ref="AU17:AU24" si="41">((AT17+0.00000010773*(AS17^4-AR17^4))-AQ17*44100)/(Q17*51.4+0.00000043092*AR17^3)</f>
        <v>-0.90806686814983906</v>
      </c>
      <c r="AV17">
        <f t="shared" ref="AV17:AV24" si="42">0.61365*EXP(17.502*O17/(240.97+O17))</f>
        <v>5.5044501143014246</v>
      </c>
      <c r="AW17">
        <f t="shared" ref="AW17:AW24" si="43">AV17*1000/AF17</f>
        <v>56.473044433133396</v>
      </c>
      <c r="AX17">
        <f t="shared" ref="AX17:AX24" si="44">(AW17-Z17)</f>
        <v>24.267981566922458</v>
      </c>
      <c r="AY17">
        <f t="shared" ref="AY17:AY24" si="45">IF(I17,U17,(T17+U17)/2)</f>
        <v>34.768045425415039</v>
      </c>
      <c r="AZ17">
        <f t="shared" ref="AZ17:AZ24" si="46">0.61365*EXP(17.502*AY17/(240.97+AY17))</f>
        <v>5.5762224559106564</v>
      </c>
      <c r="BA17">
        <f t="shared" ref="BA17:BA24" si="47">IF(AX17&lt;&gt;0,(1000-(AW17+Z17)/2)/AX17*AQ17,0)</f>
        <v>9.0232352959402934E-2</v>
      </c>
      <c r="BB17">
        <f t="shared" ref="BB17:BB24" si="48">Z17*AF17/1000</f>
        <v>3.1390402935491877</v>
      </c>
      <c r="BC17">
        <f t="shared" ref="BC17:BC24" si="49">(AZ17-BB17)</f>
        <v>2.4371821623614687</v>
      </c>
      <c r="BD17">
        <f t="shared" ref="BD17:BD24" si="50">1/(1.6/K17+1.37/S17)</f>
        <v>5.6605075604775679E-2</v>
      </c>
      <c r="BE17">
        <f t="shared" ref="BE17:BE24" si="51">L17*AF17*0.001</f>
        <v>37.804900283423812</v>
      </c>
      <c r="BF17">
        <f t="shared" ref="BF17:BF24" si="52">L17/X17</f>
        <v>0.97300651054779175</v>
      </c>
      <c r="BG17">
        <f t="shared" ref="BG17:BG24" si="53">(1-AQ17*AF17/AV17/K17)*100</f>
        <v>56.193246006121697</v>
      </c>
      <c r="BH17">
        <f t="shared" ref="BH17:BH24" si="54">(X17-J17/(S17/1.35))</f>
        <v>398.73314363002868</v>
      </c>
      <c r="BI17">
        <f t="shared" ref="BI17:BI24" si="55">J17*BG17/100/BH17</f>
        <v>-4.1147630673951419E-4</v>
      </c>
    </row>
    <row r="18" spans="1:61">
      <c r="A18" s="1">
        <v>10</v>
      </c>
      <c r="B18" s="1" t="s">
        <v>86</v>
      </c>
      <c r="C18" s="1" t="s">
        <v>74</v>
      </c>
      <c r="D18" s="1">
        <v>40</v>
      </c>
      <c r="E18" s="1" t="s">
        <v>75</v>
      </c>
      <c r="F18" s="1" t="s">
        <v>76</v>
      </c>
      <c r="G18" s="1">
        <v>0</v>
      </c>
      <c r="H18" s="1">
        <v>1721</v>
      </c>
      <c r="I18" s="1">
        <v>0</v>
      </c>
      <c r="J18">
        <f t="shared" si="28"/>
        <v>17.091298450318298</v>
      </c>
      <c r="K18">
        <f t="shared" si="29"/>
        <v>0.59290140710570249</v>
      </c>
      <c r="L18">
        <f t="shared" si="30"/>
        <v>310.61145640384348</v>
      </c>
      <c r="M18">
        <f t="shared" si="31"/>
        <v>9.2007629513717681</v>
      </c>
      <c r="N18">
        <f t="shared" si="32"/>
        <v>1.6973714278078127</v>
      </c>
      <c r="O18">
        <f t="shared" si="33"/>
        <v>35.132961273193359</v>
      </c>
      <c r="P18" s="1">
        <v>5</v>
      </c>
      <c r="Q18">
        <f t="shared" si="34"/>
        <v>1.6395652592182159</v>
      </c>
      <c r="R18" s="1">
        <v>1</v>
      </c>
      <c r="S18">
        <f t="shared" si="35"/>
        <v>3.2791305184364319</v>
      </c>
      <c r="T18" s="1">
        <v>35.352073669433594</v>
      </c>
      <c r="U18" s="1">
        <v>35.132961273193359</v>
      </c>
      <c r="V18" s="1">
        <v>35.320640563964844</v>
      </c>
      <c r="W18" s="1">
        <v>399.39691162109375</v>
      </c>
      <c r="X18" s="1">
        <v>373.68502807617188</v>
      </c>
      <c r="Y18" s="1">
        <v>29.911334991455078</v>
      </c>
      <c r="Z18" s="1">
        <v>40.962680816650391</v>
      </c>
      <c r="AA18" s="1">
        <v>50.621700286865234</v>
      </c>
      <c r="AB18" s="1">
        <v>69.324913024902344</v>
      </c>
      <c r="AC18" s="1">
        <v>399.22174072265625</v>
      </c>
      <c r="AD18" s="1">
        <v>1369.63330078125</v>
      </c>
      <c r="AE18" s="1">
        <v>1456.1929931640625</v>
      </c>
      <c r="AF18" s="1">
        <v>97.472183227539062</v>
      </c>
      <c r="AG18" s="1">
        <v>22.83404541015625</v>
      </c>
      <c r="AH18" s="1">
        <v>-0.69982552528381348</v>
      </c>
      <c r="AI18" s="1">
        <v>1</v>
      </c>
      <c r="AJ18" s="1">
        <v>-0.21956524252891541</v>
      </c>
      <c r="AK18" s="1">
        <v>2.737391471862793</v>
      </c>
      <c r="AL18" s="1">
        <v>1</v>
      </c>
      <c r="AM18" s="1">
        <v>0</v>
      </c>
      <c r="AN18" s="1">
        <v>0.18999999761581421</v>
      </c>
      <c r="AO18" s="1">
        <v>111115</v>
      </c>
      <c r="AP18">
        <f t="shared" si="36"/>
        <v>0.79844348144531241</v>
      </c>
      <c r="AQ18">
        <f t="shared" si="37"/>
        <v>9.2007629513717673E-3</v>
      </c>
      <c r="AR18">
        <f t="shared" si="38"/>
        <v>308.28296127319334</v>
      </c>
      <c r="AS18">
        <f t="shared" si="39"/>
        <v>308.50207366943357</v>
      </c>
      <c r="AT18">
        <f t="shared" si="40"/>
        <v>260.23032388297725</v>
      </c>
      <c r="AU18">
        <f t="shared" si="41"/>
        <v>-1.4732237318850474</v>
      </c>
      <c r="AV18">
        <f t="shared" si="42"/>
        <v>5.6900933578595589</v>
      </c>
      <c r="AW18">
        <f t="shared" si="43"/>
        <v>58.376586729124604</v>
      </c>
      <c r="AX18">
        <f t="shared" si="44"/>
        <v>17.413905912474213</v>
      </c>
      <c r="AY18">
        <f t="shared" si="45"/>
        <v>35.242517471313477</v>
      </c>
      <c r="AZ18">
        <f t="shared" si="46"/>
        <v>5.7246720733524468</v>
      </c>
      <c r="BA18">
        <f t="shared" si="47"/>
        <v>0.50211391224311741</v>
      </c>
      <c r="BB18">
        <f t="shared" si="48"/>
        <v>3.9927219300517462</v>
      </c>
      <c r="BC18">
        <f t="shared" si="49"/>
        <v>1.7319501433007005</v>
      </c>
      <c r="BD18">
        <f t="shared" si="50"/>
        <v>0.32088437018505633</v>
      </c>
      <c r="BE18">
        <f t="shared" si="51"/>
        <v>30.275976791168194</v>
      </c>
      <c r="BF18">
        <f t="shared" si="52"/>
        <v>0.83121193804031268</v>
      </c>
      <c r="BG18">
        <f t="shared" si="53"/>
        <v>73.417081341056843</v>
      </c>
      <c r="BH18">
        <f t="shared" si="54"/>
        <v>366.64863450226449</v>
      </c>
      <c r="BI18">
        <f t="shared" si="55"/>
        <v>3.4223317107254826E-2</v>
      </c>
    </row>
    <row r="19" spans="1:61">
      <c r="A19" s="1">
        <v>11</v>
      </c>
      <c r="B19" s="1" t="s">
        <v>87</v>
      </c>
      <c r="C19" s="1" t="s">
        <v>74</v>
      </c>
      <c r="D19" s="1">
        <v>40</v>
      </c>
      <c r="E19" s="1" t="s">
        <v>78</v>
      </c>
      <c r="F19" s="1" t="s">
        <v>76</v>
      </c>
      <c r="G19" s="1">
        <v>0</v>
      </c>
      <c r="H19" s="1">
        <v>1778</v>
      </c>
      <c r="I19" s="1">
        <v>0</v>
      </c>
      <c r="J19">
        <f t="shared" si="28"/>
        <v>3.3370253958223879</v>
      </c>
      <c r="K19">
        <f t="shared" si="29"/>
        <v>3.9094206548741559E-2</v>
      </c>
      <c r="L19">
        <f t="shared" si="30"/>
        <v>244.07331212031835</v>
      </c>
      <c r="M19">
        <f t="shared" si="31"/>
        <v>0.92849916593083792</v>
      </c>
      <c r="N19">
        <f t="shared" si="32"/>
        <v>2.2427654405047814</v>
      </c>
      <c r="O19">
        <f t="shared" si="33"/>
        <v>33.769870758056641</v>
      </c>
      <c r="P19" s="1">
        <v>5</v>
      </c>
      <c r="Q19">
        <f t="shared" si="34"/>
        <v>1.6395652592182159</v>
      </c>
      <c r="R19" s="1">
        <v>1</v>
      </c>
      <c r="S19">
        <f t="shared" si="35"/>
        <v>3.2791305184364319</v>
      </c>
      <c r="T19" s="1">
        <v>35.390491485595703</v>
      </c>
      <c r="U19" s="1">
        <v>33.769870758056641</v>
      </c>
      <c r="V19" s="1">
        <v>35.421714782714844</v>
      </c>
      <c r="W19" s="1">
        <v>398.93179321289062</v>
      </c>
      <c r="X19" s="1">
        <v>394.29415893554688</v>
      </c>
      <c r="Y19" s="1">
        <v>29.980169296264648</v>
      </c>
      <c r="Z19" s="1">
        <v>31.106809616088867</v>
      </c>
      <c r="AA19" s="1">
        <v>50.630512237548828</v>
      </c>
      <c r="AB19" s="1">
        <v>52.533184051513672</v>
      </c>
      <c r="AC19" s="1">
        <v>399.2474365234375</v>
      </c>
      <c r="AD19" s="1">
        <v>36.829669952392578</v>
      </c>
      <c r="AE19" s="1">
        <v>53.037612915039062</v>
      </c>
      <c r="AF19" s="1">
        <v>97.471900939941406</v>
      </c>
      <c r="AG19" s="1">
        <v>22.83404541015625</v>
      </c>
      <c r="AH19" s="1">
        <v>-0.69982552528381348</v>
      </c>
      <c r="AI19" s="1">
        <v>1</v>
      </c>
      <c r="AJ19" s="1">
        <v>-0.21956524252891541</v>
      </c>
      <c r="AK19" s="1">
        <v>2.737391471862793</v>
      </c>
      <c r="AL19" s="1">
        <v>1</v>
      </c>
      <c r="AM19" s="1">
        <v>0</v>
      </c>
      <c r="AN19" s="1">
        <v>0.18999999761581421</v>
      </c>
      <c r="AO19" s="1">
        <v>111115</v>
      </c>
      <c r="AP19">
        <f t="shared" si="36"/>
        <v>0.79849487304687494</v>
      </c>
      <c r="AQ19">
        <f t="shared" si="37"/>
        <v>9.2849916593083792E-4</v>
      </c>
      <c r="AR19">
        <f t="shared" si="38"/>
        <v>306.91987075805662</v>
      </c>
      <c r="AS19">
        <f t="shared" si="39"/>
        <v>308.54049148559568</v>
      </c>
      <c r="AT19">
        <f t="shared" si="40"/>
        <v>6.9976372031458141</v>
      </c>
      <c r="AU19">
        <f t="shared" si="41"/>
        <v>-0.14057260513474895</v>
      </c>
      <c r="AV19">
        <f t="shared" si="42"/>
        <v>5.2748053059618121</v>
      </c>
      <c r="AW19">
        <f t="shared" si="43"/>
        <v>54.116163274705734</v>
      </c>
      <c r="AX19">
        <f t="shared" si="44"/>
        <v>23.009353658616867</v>
      </c>
      <c r="AY19">
        <f t="shared" si="45"/>
        <v>34.580181121826172</v>
      </c>
      <c r="AZ19">
        <f t="shared" si="46"/>
        <v>5.5183762077942893</v>
      </c>
      <c r="BA19">
        <f t="shared" si="47"/>
        <v>3.8633611769199466E-2</v>
      </c>
      <c r="BB19">
        <f t="shared" si="48"/>
        <v>3.0320398654570306</v>
      </c>
      <c r="BC19">
        <f t="shared" si="49"/>
        <v>2.4863363423372586</v>
      </c>
      <c r="BD19">
        <f t="shared" si="50"/>
        <v>2.4186970750523229E-2</v>
      </c>
      <c r="BE19">
        <f t="shared" si="51"/>
        <v>23.790289701075071</v>
      </c>
      <c r="BF19">
        <f t="shared" si="52"/>
        <v>0.61901325847491362</v>
      </c>
      <c r="BG19">
        <f t="shared" si="53"/>
        <v>56.112371267971774</v>
      </c>
      <c r="BH19">
        <f t="shared" si="54"/>
        <v>392.92032393293516</v>
      </c>
      <c r="BI19">
        <f t="shared" si="55"/>
        <v>4.765556692684505E-3</v>
      </c>
    </row>
    <row r="20" spans="1:61">
      <c r="A20" s="1">
        <v>12</v>
      </c>
      <c r="B20" s="1" t="s">
        <v>88</v>
      </c>
      <c r="C20" s="1" t="s">
        <v>74</v>
      </c>
      <c r="D20" s="1">
        <v>28</v>
      </c>
      <c r="E20" s="1" t="s">
        <v>75</v>
      </c>
      <c r="F20" s="1" t="s">
        <v>76</v>
      </c>
      <c r="G20" s="1">
        <v>0</v>
      </c>
      <c r="H20" s="1">
        <v>2390.5</v>
      </c>
      <c r="I20" s="1">
        <v>0</v>
      </c>
      <c r="J20">
        <f t="shared" si="28"/>
        <v>13.521308262632799</v>
      </c>
      <c r="K20">
        <f t="shared" si="29"/>
        <v>0.36412703560421661</v>
      </c>
      <c r="L20">
        <f t="shared" si="30"/>
        <v>303.32527111630407</v>
      </c>
      <c r="M20">
        <f t="shared" si="31"/>
        <v>7.4807394498451476</v>
      </c>
      <c r="N20">
        <f t="shared" si="32"/>
        <v>2.1002911083766813</v>
      </c>
      <c r="O20">
        <f t="shared" si="33"/>
        <v>35.846172332763672</v>
      </c>
      <c r="P20" s="1">
        <v>4.5</v>
      </c>
      <c r="Q20">
        <f t="shared" si="34"/>
        <v>1.7493478804826736</v>
      </c>
      <c r="R20" s="1">
        <v>1</v>
      </c>
      <c r="S20">
        <f t="shared" si="35"/>
        <v>3.4986957609653473</v>
      </c>
      <c r="T20" s="1">
        <v>35.8233642578125</v>
      </c>
      <c r="U20" s="1">
        <v>35.846172332763672</v>
      </c>
      <c r="V20" s="1">
        <v>35.761234283447266</v>
      </c>
      <c r="W20" s="1">
        <v>398.71612548828125</v>
      </c>
      <c r="X20" s="1">
        <v>380.26986694335938</v>
      </c>
      <c r="Y20" s="1">
        <v>31.074356079101562</v>
      </c>
      <c r="Z20" s="1">
        <v>39.175643920898438</v>
      </c>
      <c r="AA20" s="1">
        <v>51.236454010009766</v>
      </c>
      <c r="AB20" s="1">
        <v>64.594131469726562</v>
      </c>
      <c r="AC20" s="1">
        <v>399.25189208984375</v>
      </c>
      <c r="AD20" s="1">
        <v>1537.709716796875</v>
      </c>
      <c r="AE20" s="1">
        <v>1633.119873046875</v>
      </c>
      <c r="AF20" s="1">
        <v>97.463722229003906</v>
      </c>
      <c r="AG20" s="1">
        <v>22.83404541015625</v>
      </c>
      <c r="AH20" s="1">
        <v>-0.69982552528381348</v>
      </c>
      <c r="AI20" s="1">
        <v>0</v>
      </c>
      <c r="AJ20" s="1">
        <v>-0.21956524252891541</v>
      </c>
      <c r="AK20" s="1">
        <v>2.737391471862793</v>
      </c>
      <c r="AL20" s="1">
        <v>1</v>
      </c>
      <c r="AM20" s="1">
        <v>0</v>
      </c>
      <c r="AN20" s="1">
        <v>0.18999999761581421</v>
      </c>
      <c r="AO20" s="1">
        <v>111115</v>
      </c>
      <c r="AP20">
        <f t="shared" si="36"/>
        <v>0.88722642686631925</v>
      </c>
      <c r="AQ20">
        <f t="shared" si="37"/>
        <v>7.4807394498451474E-3</v>
      </c>
      <c r="AR20">
        <f t="shared" si="38"/>
        <v>308.99617233276365</v>
      </c>
      <c r="AS20">
        <f t="shared" si="39"/>
        <v>308.97336425781248</v>
      </c>
      <c r="AT20">
        <f t="shared" si="40"/>
        <v>292.16484252522059</v>
      </c>
      <c r="AU20">
        <f t="shared" si="41"/>
        <v>-0.37051355354417559</v>
      </c>
      <c r="AV20">
        <f t="shared" si="42"/>
        <v>5.9184951856254919</v>
      </c>
      <c r="AW20">
        <f t="shared" si="43"/>
        <v>60.725109304969955</v>
      </c>
      <c r="AX20">
        <f t="shared" si="44"/>
        <v>21.549465384071517</v>
      </c>
      <c r="AY20">
        <f t="shared" si="45"/>
        <v>35.834768295288086</v>
      </c>
      <c r="AZ20">
        <f t="shared" si="46"/>
        <v>5.9147813791284065</v>
      </c>
      <c r="BA20">
        <f t="shared" si="47"/>
        <v>0.32980278490970855</v>
      </c>
      <c r="BB20">
        <f t="shared" si="48"/>
        <v>3.8182040772488106</v>
      </c>
      <c r="BC20">
        <f t="shared" si="49"/>
        <v>2.0965773018795959</v>
      </c>
      <c r="BD20">
        <f t="shared" si="50"/>
        <v>0.20895823349665302</v>
      </c>
      <c r="BE20">
        <f t="shared" si="51"/>
        <v>29.563209969116762</v>
      </c>
      <c r="BF20">
        <f t="shared" si="52"/>
        <v>0.7976579200304712</v>
      </c>
      <c r="BG20">
        <f t="shared" si="53"/>
        <v>66.168340744648049</v>
      </c>
      <c r="BH20">
        <f t="shared" si="54"/>
        <v>375.05256100947111</v>
      </c>
      <c r="BI20">
        <f t="shared" si="55"/>
        <v>2.3854857303926499E-2</v>
      </c>
    </row>
    <row r="21" spans="1:61">
      <c r="A21" s="1">
        <v>13</v>
      </c>
      <c r="B21" s="1" t="s">
        <v>89</v>
      </c>
      <c r="C21" s="1" t="s">
        <v>74</v>
      </c>
      <c r="D21" s="1">
        <v>28</v>
      </c>
      <c r="E21" s="1" t="s">
        <v>78</v>
      </c>
      <c r="F21" s="1" t="s">
        <v>76</v>
      </c>
      <c r="G21" s="1">
        <v>0</v>
      </c>
      <c r="H21" s="1">
        <v>2478</v>
      </c>
      <c r="I21" s="1">
        <v>0</v>
      </c>
      <c r="J21">
        <f t="shared" si="28"/>
        <v>9.10708252728835</v>
      </c>
      <c r="K21">
        <f t="shared" si="29"/>
        <v>3.7556600583043706E-2</v>
      </c>
      <c r="L21">
        <f t="shared" si="30"/>
        <v>-12.046333760927919</v>
      </c>
      <c r="M21">
        <f t="shared" si="31"/>
        <v>1.0094300613187439</v>
      </c>
      <c r="N21">
        <f t="shared" si="32"/>
        <v>2.5294112898212728</v>
      </c>
      <c r="O21">
        <f t="shared" si="33"/>
        <v>35.117561340332031</v>
      </c>
      <c r="P21" s="1">
        <v>5</v>
      </c>
      <c r="Q21">
        <f t="shared" si="34"/>
        <v>1.6395652592182159</v>
      </c>
      <c r="R21" s="1">
        <v>1</v>
      </c>
      <c r="S21">
        <f t="shared" si="35"/>
        <v>3.2791305184364319</v>
      </c>
      <c r="T21" s="1">
        <v>35.838645935058594</v>
      </c>
      <c r="U21" s="1">
        <v>35.117561340332031</v>
      </c>
      <c r="V21" s="1">
        <v>35.855274200439453</v>
      </c>
      <c r="W21" s="1">
        <v>399.79925537109375</v>
      </c>
      <c r="X21" s="1">
        <v>387.90274047851562</v>
      </c>
      <c r="Y21" s="1">
        <v>31.156339645385742</v>
      </c>
      <c r="Z21" s="1">
        <v>32.379657745361328</v>
      </c>
      <c r="AA21" s="1">
        <v>51.328342437744141</v>
      </c>
      <c r="AB21" s="1">
        <v>53.343692779541016</v>
      </c>
      <c r="AC21" s="1">
        <v>399.21957397460938</v>
      </c>
      <c r="AD21" s="1">
        <v>6.0261092185974121</v>
      </c>
      <c r="AE21" s="1">
        <v>7.5613203048706055</v>
      </c>
      <c r="AF21" s="1">
        <v>97.463539123535156</v>
      </c>
      <c r="AG21" s="1">
        <v>22.83404541015625</v>
      </c>
      <c r="AH21" s="1">
        <v>-0.69982552528381348</v>
      </c>
      <c r="AI21" s="1">
        <v>1</v>
      </c>
      <c r="AJ21" s="1">
        <v>-0.21956524252891541</v>
      </c>
      <c r="AK21" s="1">
        <v>2.737391471862793</v>
      </c>
      <c r="AL21" s="1">
        <v>1</v>
      </c>
      <c r="AM21" s="1">
        <v>0</v>
      </c>
      <c r="AN21" s="1">
        <v>0.18999999761581421</v>
      </c>
      <c r="AO21" s="1">
        <v>111115</v>
      </c>
      <c r="AP21">
        <f t="shared" si="36"/>
        <v>0.79843914794921866</v>
      </c>
      <c r="AQ21">
        <f t="shared" si="37"/>
        <v>1.0094300613187439E-3</v>
      </c>
      <c r="AR21">
        <f t="shared" si="38"/>
        <v>308.26756134033201</v>
      </c>
      <c r="AS21">
        <f t="shared" si="39"/>
        <v>308.98864593505857</v>
      </c>
      <c r="AT21">
        <f t="shared" si="40"/>
        <v>1.1449607371661443</v>
      </c>
      <c r="AU21">
        <f t="shared" si="41"/>
        <v>-0.35332610681644877</v>
      </c>
      <c r="AV21">
        <f t="shared" si="42"/>
        <v>5.6852473292929746</v>
      </c>
      <c r="AW21">
        <f t="shared" si="43"/>
        <v>58.332042735354769</v>
      </c>
      <c r="AX21">
        <f t="shared" si="44"/>
        <v>25.95238498999344</v>
      </c>
      <c r="AY21">
        <f t="shared" si="45"/>
        <v>35.478103637695312</v>
      </c>
      <c r="AZ21">
        <f t="shared" si="46"/>
        <v>5.7996481420541608</v>
      </c>
      <c r="BA21">
        <f t="shared" si="47"/>
        <v>3.7131327352033824E-2</v>
      </c>
      <c r="BB21">
        <f t="shared" si="48"/>
        <v>3.1558360394717018</v>
      </c>
      <c r="BC21">
        <f t="shared" si="49"/>
        <v>2.643812102582459</v>
      </c>
      <c r="BD21">
        <f t="shared" si="50"/>
        <v>2.3244916675472769E-2</v>
      </c>
      <c r="BE21">
        <f t="shared" si="51"/>
        <v>-1.1740783218033606</v>
      </c>
      <c r="BF21">
        <f t="shared" si="52"/>
        <v>-3.1055036492053649E-2</v>
      </c>
      <c r="BG21">
        <f t="shared" si="53"/>
        <v>53.923150841393529</v>
      </c>
      <c r="BH21">
        <f t="shared" si="54"/>
        <v>384.15340468882539</v>
      </c>
      <c r="BI21">
        <f t="shared" si="55"/>
        <v>1.2783502081460899E-2</v>
      </c>
    </row>
    <row r="22" spans="1:61">
      <c r="A22" s="1">
        <v>14</v>
      </c>
      <c r="B22" s="1" t="s">
        <v>90</v>
      </c>
      <c r="C22" s="1" t="s">
        <v>74</v>
      </c>
      <c r="D22" s="1">
        <v>6</v>
      </c>
      <c r="E22" s="1" t="s">
        <v>75</v>
      </c>
      <c r="F22" s="1" t="s">
        <v>80</v>
      </c>
      <c r="G22" s="1">
        <v>0</v>
      </c>
      <c r="H22" s="1">
        <v>2889.5</v>
      </c>
      <c r="I22" s="1">
        <v>0</v>
      </c>
      <c r="J22">
        <f t="shared" si="28"/>
        <v>26.652234263242708</v>
      </c>
      <c r="K22">
        <f t="shared" si="29"/>
        <v>0.90620829764775679</v>
      </c>
      <c r="L22">
        <f t="shared" si="30"/>
        <v>316.40114723586174</v>
      </c>
      <c r="M22">
        <f t="shared" si="31"/>
        <v>17.301917593220072</v>
      </c>
      <c r="N22">
        <f t="shared" si="32"/>
        <v>2.1145215343931838</v>
      </c>
      <c r="O22">
        <f t="shared" si="33"/>
        <v>36.128677368164062</v>
      </c>
      <c r="P22" s="1">
        <v>2</v>
      </c>
      <c r="Q22">
        <f t="shared" si="34"/>
        <v>2.2982609868049622</v>
      </c>
      <c r="R22" s="1">
        <v>1</v>
      </c>
      <c r="S22">
        <f t="shared" si="35"/>
        <v>4.5965219736099243</v>
      </c>
      <c r="T22" s="1">
        <v>36.364383697509766</v>
      </c>
      <c r="U22" s="1">
        <v>36.128677368164062</v>
      </c>
      <c r="V22" s="1">
        <v>36.295433044433594</v>
      </c>
      <c r="W22" s="1">
        <v>400.58547973632812</v>
      </c>
      <c r="X22" s="1">
        <v>383.90426635742188</v>
      </c>
      <c r="Y22" s="1">
        <v>31.657400131225586</v>
      </c>
      <c r="Z22" s="1">
        <v>39.979438781738281</v>
      </c>
      <c r="AA22" s="1">
        <v>50.670116424560547</v>
      </c>
      <c r="AB22" s="1">
        <v>63.990180969238281</v>
      </c>
      <c r="AC22" s="1">
        <v>399.18576049804688</v>
      </c>
      <c r="AD22" s="1">
        <v>1629.532958984375</v>
      </c>
      <c r="AE22" s="1">
        <v>1813.766845703125</v>
      </c>
      <c r="AF22" s="1">
        <v>97.465660095214844</v>
      </c>
      <c r="AG22" s="1">
        <v>22.83404541015625</v>
      </c>
      <c r="AH22" s="1">
        <v>-0.69982552528381348</v>
      </c>
      <c r="AI22" s="1">
        <v>1</v>
      </c>
      <c r="AJ22" s="1">
        <v>-0.21956524252891541</v>
      </c>
      <c r="AK22" s="1">
        <v>2.737391471862793</v>
      </c>
      <c r="AL22" s="1">
        <v>1</v>
      </c>
      <c r="AM22" s="1">
        <v>0</v>
      </c>
      <c r="AN22" s="1">
        <v>0.18999999761581421</v>
      </c>
      <c r="AO22" s="1">
        <v>111115</v>
      </c>
      <c r="AP22">
        <f t="shared" si="36"/>
        <v>1.9959288024902342</v>
      </c>
      <c r="AQ22">
        <f t="shared" si="37"/>
        <v>1.730191759322007E-2</v>
      </c>
      <c r="AR22">
        <f t="shared" si="38"/>
        <v>309.27867736816404</v>
      </c>
      <c r="AS22">
        <f t="shared" si="39"/>
        <v>309.51438369750974</v>
      </c>
      <c r="AT22">
        <f t="shared" si="40"/>
        <v>309.61125832192192</v>
      </c>
      <c r="AU22">
        <f t="shared" si="41"/>
        <v>-3.4413154356446012</v>
      </c>
      <c r="AV22">
        <f t="shared" si="42"/>
        <v>6.0111439254915373</v>
      </c>
      <c r="AW22">
        <f t="shared" si="43"/>
        <v>61.674480218152851</v>
      </c>
      <c r="AX22">
        <f t="shared" si="44"/>
        <v>21.69504143641457</v>
      </c>
      <c r="AY22">
        <f t="shared" si="45"/>
        <v>36.246530532836914</v>
      </c>
      <c r="AZ22">
        <f t="shared" si="46"/>
        <v>6.0501651834810275</v>
      </c>
      <c r="BA22">
        <f t="shared" si="47"/>
        <v>0.75697083946902766</v>
      </c>
      <c r="BB22">
        <f t="shared" si="48"/>
        <v>3.8966223910983535</v>
      </c>
      <c r="BC22">
        <f t="shared" si="49"/>
        <v>2.153542792382674</v>
      </c>
      <c r="BD22">
        <f t="shared" si="50"/>
        <v>0.48457831233510501</v>
      </c>
      <c r="BE22">
        <f t="shared" si="51"/>
        <v>30.838246670226528</v>
      </c>
      <c r="BF22">
        <f t="shared" si="52"/>
        <v>0.82416679095013368</v>
      </c>
      <c r="BG22">
        <f t="shared" si="53"/>
        <v>69.042868874447677</v>
      </c>
      <c r="BH22">
        <f t="shared" si="54"/>
        <v>376.07649647794494</v>
      </c>
      <c r="BI22">
        <f t="shared" si="55"/>
        <v>4.8930117480927009E-2</v>
      </c>
    </row>
    <row r="23" spans="1:61">
      <c r="A23" s="1">
        <v>15</v>
      </c>
      <c r="B23" s="1" t="s">
        <v>91</v>
      </c>
      <c r="C23" s="1" t="s">
        <v>74</v>
      </c>
      <c r="D23" s="1">
        <v>6</v>
      </c>
      <c r="E23" s="1" t="s">
        <v>78</v>
      </c>
      <c r="F23" s="1" t="s">
        <v>80</v>
      </c>
      <c r="G23" s="1">
        <v>0</v>
      </c>
      <c r="H23" s="1">
        <v>3134</v>
      </c>
      <c r="I23" s="1">
        <v>0</v>
      </c>
      <c r="J23">
        <f t="shared" si="28"/>
        <v>0.95780732018924231</v>
      </c>
      <c r="K23">
        <f t="shared" si="29"/>
        <v>0.12107990622590178</v>
      </c>
      <c r="L23">
        <f t="shared" si="30"/>
        <v>366.8048255595611</v>
      </c>
      <c r="M23">
        <f t="shared" si="31"/>
        <v>3.7558086073991128</v>
      </c>
      <c r="N23">
        <f t="shared" si="32"/>
        <v>2.9493933905934138</v>
      </c>
      <c r="O23">
        <f t="shared" si="33"/>
        <v>36.664615631103516</v>
      </c>
      <c r="P23" s="1">
        <v>1.5</v>
      </c>
      <c r="Q23">
        <f t="shared" si="34"/>
        <v>2.4080436080694199</v>
      </c>
      <c r="R23" s="1">
        <v>1</v>
      </c>
      <c r="S23">
        <f t="shared" si="35"/>
        <v>4.8160872161388397</v>
      </c>
      <c r="T23" s="1">
        <v>36.966560363769531</v>
      </c>
      <c r="U23" s="1">
        <v>36.664615631103516</v>
      </c>
      <c r="V23" s="1">
        <v>36.951629638671875</v>
      </c>
      <c r="W23" s="1">
        <v>400.07400512695312</v>
      </c>
      <c r="X23" s="1">
        <v>399.15081787109375</v>
      </c>
      <c r="Y23" s="1">
        <v>31.887937545776367</v>
      </c>
      <c r="Z23" s="1">
        <v>33.252243041992188</v>
      </c>
      <c r="AA23" s="1">
        <v>49.385322570800781</v>
      </c>
      <c r="AB23" s="1">
        <v>51.498245239257812</v>
      </c>
      <c r="AC23" s="1">
        <v>399.20526123046875</v>
      </c>
      <c r="AD23" s="1">
        <v>20.548652648925781</v>
      </c>
      <c r="AE23" s="1">
        <v>80.209587097167969</v>
      </c>
      <c r="AF23" s="1">
        <v>97.466514587402344</v>
      </c>
      <c r="AG23" s="1">
        <v>22.83404541015625</v>
      </c>
      <c r="AH23" s="1">
        <v>-0.69982552528381348</v>
      </c>
      <c r="AI23" s="1">
        <v>0</v>
      </c>
      <c r="AJ23" s="1">
        <v>-0.21956524252891541</v>
      </c>
      <c r="AK23" s="1">
        <v>2.737391471862793</v>
      </c>
      <c r="AL23" s="1">
        <v>1</v>
      </c>
      <c r="AM23" s="1">
        <v>0</v>
      </c>
      <c r="AN23" s="1">
        <v>0.18999999761581421</v>
      </c>
      <c r="AO23" s="1">
        <v>111115</v>
      </c>
      <c r="AP23">
        <f t="shared" si="36"/>
        <v>2.6613684082031246</v>
      </c>
      <c r="AQ23">
        <f t="shared" si="37"/>
        <v>3.755808607399113E-3</v>
      </c>
      <c r="AR23">
        <f t="shared" si="38"/>
        <v>309.81461563110349</v>
      </c>
      <c r="AS23">
        <f t="shared" si="39"/>
        <v>310.11656036376951</v>
      </c>
      <c r="AT23">
        <f t="shared" si="40"/>
        <v>3.9042439543040928</v>
      </c>
      <c r="AU23">
        <f t="shared" si="41"/>
        <v>-1.1556800202901811</v>
      </c>
      <c r="AV23">
        <f t="shared" si="42"/>
        <v>6.1903736221095933</v>
      </c>
      <c r="AW23">
        <f t="shared" si="43"/>
        <v>63.512824361421309</v>
      </c>
      <c r="AX23">
        <f t="shared" si="44"/>
        <v>30.260581319429122</v>
      </c>
      <c r="AY23">
        <f t="shared" si="45"/>
        <v>36.815587997436523</v>
      </c>
      <c r="AZ23">
        <f t="shared" si="46"/>
        <v>6.2416923212140842</v>
      </c>
      <c r="BA23">
        <f t="shared" si="47"/>
        <v>0.11811052250274126</v>
      </c>
      <c r="BB23">
        <f t="shared" si="48"/>
        <v>3.2409802315161795</v>
      </c>
      <c r="BC23">
        <f t="shared" si="49"/>
        <v>3.0007120896979047</v>
      </c>
      <c r="BD23">
        <f t="shared" si="50"/>
        <v>7.4080235237559425E-2</v>
      </c>
      <c r="BE23">
        <f t="shared" si="51"/>
        <v>35.751187881130534</v>
      </c>
      <c r="BF23">
        <f t="shared" si="52"/>
        <v>0.91896298125091447</v>
      </c>
      <c r="BG23">
        <f t="shared" si="53"/>
        <v>51.160641477401334</v>
      </c>
      <c r="BH23">
        <f t="shared" si="54"/>
        <v>398.8823343855949</v>
      </c>
      <c r="BI23">
        <f t="shared" si="55"/>
        <v>1.2284835072506035E-3</v>
      </c>
    </row>
    <row r="24" spans="1:61">
      <c r="A24" s="1">
        <v>16</v>
      </c>
      <c r="B24" s="1" t="s">
        <v>92</v>
      </c>
      <c r="C24" s="1" t="s">
        <v>74</v>
      </c>
      <c r="D24" s="1">
        <v>6</v>
      </c>
      <c r="E24" s="1" t="s">
        <v>75</v>
      </c>
      <c r="F24" s="1" t="s">
        <v>76</v>
      </c>
      <c r="G24" s="1">
        <v>0</v>
      </c>
      <c r="H24" s="1">
        <v>3231.5</v>
      </c>
      <c r="I24" s="1">
        <v>0</v>
      </c>
      <c r="J24">
        <f t="shared" si="28"/>
        <v>12.435099343675445</v>
      </c>
      <c r="K24">
        <f t="shared" si="29"/>
        <v>0.63271780829961066</v>
      </c>
      <c r="L24">
        <f t="shared" si="30"/>
        <v>331.07204424892677</v>
      </c>
      <c r="M24">
        <f t="shared" si="31"/>
        <v>11.096486663838654</v>
      </c>
      <c r="N24">
        <f t="shared" si="32"/>
        <v>1.9265855729058421</v>
      </c>
      <c r="O24">
        <f t="shared" si="33"/>
        <v>37.112541198730469</v>
      </c>
      <c r="P24" s="1">
        <v>5</v>
      </c>
      <c r="Q24">
        <f t="shared" si="34"/>
        <v>1.6395652592182159</v>
      </c>
      <c r="R24" s="1">
        <v>1</v>
      </c>
      <c r="S24">
        <f t="shared" si="35"/>
        <v>3.2791305184364319</v>
      </c>
      <c r="T24" s="1">
        <v>37.269920349121094</v>
      </c>
      <c r="U24" s="1">
        <v>37.112541198730469</v>
      </c>
      <c r="V24" s="1">
        <v>37.223522186279297</v>
      </c>
      <c r="W24" s="1">
        <v>400.17324829101562</v>
      </c>
      <c r="X24" s="1">
        <v>379.32669067382812</v>
      </c>
      <c r="Y24" s="1">
        <v>32.051654815673828</v>
      </c>
      <c r="Z24" s="1">
        <v>45.319866180419922</v>
      </c>
      <c r="AA24" s="1">
        <v>48.823921203613281</v>
      </c>
      <c r="AB24" s="1">
        <v>69.035240173339844</v>
      </c>
      <c r="AC24" s="1">
        <v>399.20962524414062</v>
      </c>
      <c r="AD24" s="1">
        <v>1401.6134033203125</v>
      </c>
      <c r="AE24" s="1">
        <v>1711.872314453125</v>
      </c>
      <c r="AF24" s="1">
        <v>97.465560913085938</v>
      </c>
      <c r="AG24" s="1">
        <v>22.83404541015625</v>
      </c>
      <c r="AH24" s="1">
        <v>-0.69982552528381348</v>
      </c>
      <c r="AI24" s="1">
        <v>0</v>
      </c>
      <c r="AJ24" s="1">
        <v>-0.21956524252891541</v>
      </c>
      <c r="AK24" s="1">
        <v>2.737391471862793</v>
      </c>
      <c r="AL24" s="1">
        <v>1</v>
      </c>
      <c r="AM24" s="1">
        <v>0</v>
      </c>
      <c r="AN24" s="1">
        <v>0.18999999761581421</v>
      </c>
      <c r="AO24" s="1">
        <v>111115</v>
      </c>
      <c r="AP24">
        <f t="shared" si="36"/>
        <v>0.79841925048828122</v>
      </c>
      <c r="AQ24">
        <f t="shared" si="37"/>
        <v>1.1096486663838653E-2</v>
      </c>
      <c r="AR24">
        <f t="shared" si="38"/>
        <v>310.26254119873045</v>
      </c>
      <c r="AS24">
        <f t="shared" si="39"/>
        <v>310.41992034912107</v>
      </c>
      <c r="AT24">
        <f t="shared" si="40"/>
        <v>266.30654328915261</v>
      </c>
      <c r="AU24">
        <f t="shared" si="41"/>
        <v>-2.2751981709873497</v>
      </c>
      <c r="AV24">
        <f t="shared" si="42"/>
        <v>6.3437117506864631</v>
      </c>
      <c r="AW24">
        <f t="shared" si="43"/>
        <v>65.086700279121288</v>
      </c>
      <c r="AX24">
        <f t="shared" si="44"/>
        <v>19.766834098701366</v>
      </c>
      <c r="AY24">
        <f t="shared" si="45"/>
        <v>37.191230773925781</v>
      </c>
      <c r="AZ24">
        <f t="shared" si="46"/>
        <v>6.3709872655509452</v>
      </c>
      <c r="BA24">
        <f t="shared" si="47"/>
        <v>0.53037952943451705</v>
      </c>
      <c r="BB24">
        <f t="shared" si="48"/>
        <v>4.417126177780621</v>
      </c>
      <c r="BC24">
        <f t="shared" si="49"/>
        <v>1.9538610877703242</v>
      </c>
      <c r="BD24">
        <f t="shared" si="50"/>
        <v>0.33937797913826551</v>
      </c>
      <c r="BE24">
        <f t="shared" si="51"/>
        <v>32.268122495363656</v>
      </c>
      <c r="BF24">
        <f t="shared" si="52"/>
        <v>0.87278868687256683</v>
      </c>
      <c r="BG24">
        <f t="shared" si="53"/>
        <v>73.054690098294842</v>
      </c>
      <c r="BH24">
        <f t="shared" si="54"/>
        <v>374.20722866413462</v>
      </c>
      <c r="BI24">
        <f t="shared" si="55"/>
        <v>2.4276450568224622E-2</v>
      </c>
    </row>
    <row r="25" spans="1:61">
      <c r="A25" s="1">
        <v>17</v>
      </c>
      <c r="B25" s="1" t="s">
        <v>93</v>
      </c>
      <c r="C25" s="1" t="s">
        <v>74</v>
      </c>
      <c r="D25" s="1">
        <v>6</v>
      </c>
      <c r="E25" s="1" t="s">
        <v>78</v>
      </c>
      <c r="F25" s="1" t="s">
        <v>76</v>
      </c>
      <c r="G25" s="1">
        <v>0</v>
      </c>
      <c r="H25" s="1">
        <v>3305.5</v>
      </c>
      <c r="I25" s="1">
        <v>0</v>
      </c>
      <c r="J25">
        <f>(W25-X25*(1000-Y25)/(1000-Z25))*AP25</f>
        <v>-1.539589872867632</v>
      </c>
      <c r="K25">
        <f>IF(BA25&lt;&gt;0,1/(1/BA25-1/S25),0)</f>
        <v>0.28323267146408893</v>
      </c>
      <c r="L25">
        <f>((BD25-AQ25/2)*X25-J25)/(BD25+AQ25/2)</f>
        <v>394.28249202662016</v>
      </c>
      <c r="M25">
        <f>AQ25*1000</f>
        <v>5.8725117442664514</v>
      </c>
      <c r="N25">
        <f>(AV25-BB25)</f>
        <v>2.0768799758633318</v>
      </c>
      <c r="O25">
        <f>(U25+AU25*I25)</f>
        <v>35.594497680664062</v>
      </c>
      <c r="P25" s="1">
        <v>4.5</v>
      </c>
      <c r="Q25">
        <f>(P25*AJ25+AK25)</f>
        <v>1.7493478804826736</v>
      </c>
      <c r="R25" s="1">
        <v>1</v>
      </c>
      <c r="S25">
        <f>Q25*(R25+1)*(R25+1)/(R25*R25+1)</f>
        <v>3.4986957609653473</v>
      </c>
      <c r="T25" s="1">
        <v>37.413997650146484</v>
      </c>
      <c r="U25" s="1">
        <v>35.594497680664062</v>
      </c>
      <c r="V25" s="1">
        <v>37.428531646728516</v>
      </c>
      <c r="W25" s="1">
        <v>399.95974731445312</v>
      </c>
      <c r="X25" s="1">
        <v>399.05368041992188</v>
      </c>
      <c r="Y25" s="1">
        <v>32.215293884277344</v>
      </c>
      <c r="Z25" s="1">
        <v>38.579124450683594</v>
      </c>
      <c r="AA25" s="1">
        <v>48.689582824707031</v>
      </c>
      <c r="AB25" s="1">
        <v>58.307754516601562</v>
      </c>
      <c r="AC25" s="1">
        <v>399.23751831054688</v>
      </c>
      <c r="AD25" s="1">
        <v>31.224395751953125</v>
      </c>
      <c r="AE25" s="1">
        <v>67.560531616210938</v>
      </c>
      <c r="AF25" s="1">
        <v>97.46527099609375</v>
      </c>
      <c r="AG25" s="1">
        <v>22.83404541015625</v>
      </c>
      <c r="AH25" s="1">
        <v>-0.69982552528381348</v>
      </c>
      <c r="AI25" s="1">
        <v>1</v>
      </c>
      <c r="AJ25" s="1">
        <v>-0.21956524252891541</v>
      </c>
      <c r="AK25" s="1">
        <v>2.737391471862793</v>
      </c>
      <c r="AL25" s="1">
        <v>1</v>
      </c>
      <c r="AM25" s="1">
        <v>0</v>
      </c>
      <c r="AN25" s="1">
        <v>0.18999999761581421</v>
      </c>
      <c r="AO25" s="1">
        <v>111115</v>
      </c>
      <c r="AP25">
        <f>AC25*0.000001/(P25*0.0001)</f>
        <v>0.88719448513454846</v>
      </c>
      <c r="AQ25">
        <f>(Z25-Y25)/(1000-Z25)*AP25</f>
        <v>5.8725117442664518E-3</v>
      </c>
      <c r="AR25">
        <f>(U25+273.15)</f>
        <v>308.74449768066404</v>
      </c>
      <c r="AS25">
        <f>(T25+273.15)</f>
        <v>310.56399765014646</v>
      </c>
      <c r="AT25">
        <f>(AD25*AL25+AE25*AM25)*AN25</f>
        <v>5.9326351184263331</v>
      </c>
      <c r="AU25">
        <f>((AT25+0.00000010773*(AS25^4-AR25^4))-AQ25*44100)/(Q25*51.4+0.00000043092*AR25^3)</f>
        <v>-2.2394548900633855</v>
      </c>
      <c r="AV25">
        <f>0.61365*EXP(17.502*O25/(240.97+O25))</f>
        <v>5.8370047952412349</v>
      </c>
      <c r="AW25">
        <f>AV25*1000/AF25</f>
        <v>59.888047666488021</v>
      </c>
      <c r="AX25">
        <f>(AW25-Z25)</f>
        <v>21.308923215804427</v>
      </c>
      <c r="AY25">
        <f>IF(I25,U25,(T25+U25)/2)</f>
        <v>36.504247665405273</v>
      </c>
      <c r="AZ25">
        <f>0.61365*EXP(17.502*AY25/(240.97+AY25))</f>
        <v>6.1362628433544506</v>
      </c>
      <c r="BA25">
        <f>IF(AX25&lt;&gt;0,(1000-(AW25+Z25)/2)/AX25*AQ25,0)</f>
        <v>0.26202107330247265</v>
      </c>
      <c r="BB25">
        <f>Z25*AF25/1000</f>
        <v>3.7601248193779031</v>
      </c>
      <c r="BC25">
        <f>(AZ25-BB25)</f>
        <v>2.3761380239765475</v>
      </c>
      <c r="BD25">
        <f>1/(1.6/K25+1.37/S25)</f>
        <v>0.16554536458109476</v>
      </c>
      <c r="BE25">
        <f>L25*AF25*0.001</f>
        <v>38.428849934389703</v>
      </c>
      <c r="BF25">
        <f>L25/X25</f>
        <v>0.98804374291628883</v>
      </c>
      <c r="BG25">
        <f>(1-AQ25*AF25/AV25/K25)*100</f>
        <v>65.378937667185838</v>
      </c>
      <c r="BH25">
        <f>(X25-J25/(S25/1.35))</f>
        <v>399.64774359956738</v>
      </c>
      <c r="BI25">
        <f>J25*BG25/100/BH25</f>
        <v>-2.5186367730903022E-3</v>
      </c>
    </row>
    <row r="26" spans="1:61">
      <c r="A26" s="1">
        <v>18</v>
      </c>
      <c r="B26" s="1" t="s">
        <v>94</v>
      </c>
      <c r="C26" s="1" t="s">
        <v>74</v>
      </c>
      <c r="D26" s="1">
        <v>8</v>
      </c>
      <c r="E26" s="1" t="s">
        <v>75</v>
      </c>
      <c r="F26" s="1" t="s">
        <v>76</v>
      </c>
      <c r="G26" s="1">
        <v>0</v>
      </c>
      <c r="H26" s="1">
        <v>3756.5</v>
      </c>
      <c r="I26" s="1">
        <v>0</v>
      </c>
      <c r="J26">
        <f>(W26-X26*(1000-Y26)/(1000-Z26))*AP26</f>
        <v>11.850454331519465</v>
      </c>
      <c r="K26">
        <f>IF(BA26&lt;&gt;0,1/(1/BA26-1/S26),0)</f>
        <v>0.48191928016455621</v>
      </c>
      <c r="L26">
        <f>((BD26-AQ26/2)*X26-J26)/(BD26+AQ26/2)</f>
        <v>322.77902326260806</v>
      </c>
      <c r="M26">
        <f>AQ26*1000</f>
        <v>12.268362565617085</v>
      </c>
      <c r="N26">
        <f>(AV26-BB26)</f>
        <v>2.6388514478187322</v>
      </c>
      <c r="O26">
        <f>(U26+AU26*I26)</f>
        <v>38.966541290283203</v>
      </c>
      <c r="P26" s="1">
        <v>4</v>
      </c>
      <c r="Q26">
        <f>(P26*AJ26+AK26)</f>
        <v>1.8591305017471313</v>
      </c>
      <c r="R26" s="1">
        <v>1</v>
      </c>
      <c r="S26">
        <f>Q26*(R26+1)*(R26+1)/(R26*R26+1)</f>
        <v>3.7182610034942627</v>
      </c>
      <c r="T26" s="1">
        <v>38.486865997314453</v>
      </c>
      <c r="U26" s="1">
        <v>38.966541290283203</v>
      </c>
      <c r="V26" s="1">
        <v>38.379138946533203</v>
      </c>
      <c r="W26" s="1">
        <v>399.02078247070312</v>
      </c>
      <c r="X26" s="1">
        <v>382.44595336914062</v>
      </c>
      <c r="Y26" s="1">
        <v>33.151664733886719</v>
      </c>
      <c r="Z26" s="1">
        <v>44.892215728759766</v>
      </c>
      <c r="AA26" s="1">
        <v>47.270721435546875</v>
      </c>
      <c r="AB26" s="1">
        <v>64.011489868164062</v>
      </c>
      <c r="AC26" s="1">
        <v>399.21835327148438</v>
      </c>
      <c r="AD26" s="1">
        <v>1589.647216796875</v>
      </c>
      <c r="AE26" s="1">
        <v>1664.1619873046875</v>
      </c>
      <c r="AF26" s="1">
        <v>97.459053039550781</v>
      </c>
      <c r="AG26" s="1">
        <v>22.7674560546875</v>
      </c>
      <c r="AH26" s="1">
        <v>-0.90266799926757812</v>
      </c>
      <c r="AI26" s="1">
        <v>0</v>
      </c>
      <c r="AJ26" s="1">
        <v>-0.21956524252891541</v>
      </c>
      <c r="AK26" s="1">
        <v>2.737391471862793</v>
      </c>
      <c r="AL26" s="1">
        <v>1</v>
      </c>
      <c r="AM26" s="1">
        <v>0</v>
      </c>
      <c r="AN26" s="1">
        <v>0.18999999761581421</v>
      </c>
      <c r="AO26" s="1">
        <v>111115</v>
      </c>
      <c r="AP26">
        <f>AC26*0.000001/(P26*0.0001)</f>
        <v>0.99804588317871079</v>
      </c>
      <c r="AQ26">
        <f>(Z26-Y26)/(1000-Z26)*AP26</f>
        <v>1.2268362565617086E-2</v>
      </c>
      <c r="AR26">
        <f>(U26+273.15)</f>
        <v>312.11654129028318</v>
      </c>
      <c r="AS26">
        <f>(T26+273.15)</f>
        <v>311.63686599731443</v>
      </c>
      <c r="AT26">
        <f>(AD26*AL26+AE26*AM26)*AN26</f>
        <v>302.03296740139194</v>
      </c>
      <c r="AU26">
        <f>((AT26+0.00000010773*(AS26^4-AR26^4))-AQ26*44100)/(Q26*51.4+0.00000043092*AR26^3)</f>
        <v>-2.2572114602307569</v>
      </c>
      <c r="AV26">
        <f>0.61365*EXP(17.502*O26/(240.97+O26))</f>
        <v>7.0140042815908856</v>
      </c>
      <c r="AW26">
        <f>AV26*1000/AF26</f>
        <v>71.968730075229303</v>
      </c>
      <c r="AX26">
        <f>(AW26-Z26)</f>
        <v>27.076514346469537</v>
      </c>
      <c r="AY26">
        <f>IF(I26,U26,(T26+U26)/2)</f>
        <v>38.726703643798828</v>
      </c>
      <c r="AZ26">
        <f>0.61365*EXP(17.502*AY26/(240.97+AY26))</f>
        <v>6.9239747806870122</v>
      </c>
      <c r="BA26">
        <f>IF(AX26&lt;&gt;0,(1000-(AW26+Z26)/2)/AX26*AQ26,0)</f>
        <v>0.42662494113394389</v>
      </c>
      <c r="BB26">
        <f>Z26*AF26/1000</f>
        <v>4.3751528337721535</v>
      </c>
      <c r="BC26">
        <f>(AZ26-BB26)</f>
        <v>2.5488219469148587</v>
      </c>
      <c r="BD26">
        <f>1/(1.6/K26+1.37/S26)</f>
        <v>0.27111219153492117</v>
      </c>
      <c r="BE26">
        <f>L26*AF26*0.001</f>
        <v>31.457737948204915</v>
      </c>
      <c r="BF26">
        <f>L26/X26</f>
        <v>0.84398598133697222</v>
      </c>
      <c r="BG26">
        <f>(1-AQ26*AF26/AV26/K26)*100</f>
        <v>64.62727960001844</v>
      </c>
      <c r="BH26">
        <f>(X26-J26/(S26/1.35))</f>
        <v>378.14337392877405</v>
      </c>
      <c r="BI26">
        <f>J26*BG26/100/BH26</f>
        <v>2.0253234044889379E-2</v>
      </c>
    </row>
    <row r="27" spans="1:61">
      <c r="A27" s="1">
        <v>19</v>
      </c>
      <c r="B27" s="1" t="s">
        <v>95</v>
      </c>
      <c r="C27" s="1" t="s">
        <v>74</v>
      </c>
      <c r="D27" s="1">
        <v>8</v>
      </c>
      <c r="E27" s="1" t="s">
        <v>78</v>
      </c>
      <c r="F27" s="1" t="s">
        <v>76</v>
      </c>
      <c r="G27" s="1">
        <v>0</v>
      </c>
      <c r="H27" s="1">
        <v>3820.5</v>
      </c>
      <c r="I27" s="1">
        <v>0</v>
      </c>
      <c r="J27">
        <f>(W27-X27*(1000-Y27)/(1000-Z27))*AP27</f>
        <v>-5.6992560417799654</v>
      </c>
      <c r="K27">
        <f>IF(BA27&lt;&gt;0,1/(1/BA27-1/S27),0)</f>
        <v>3.4904864994358464E-2</v>
      </c>
      <c r="L27">
        <f>((BD27-AQ27/2)*X27-J27)/(BD27+AQ27/2)</f>
        <v>645.64678139956152</v>
      </c>
      <c r="M27">
        <f>AQ27*1000</f>
        <v>0.91737969100568451</v>
      </c>
      <c r="N27">
        <f>(AV27-BB27)</f>
        <v>2.4634135149042908</v>
      </c>
      <c r="O27">
        <f>(U27+AU27*I27)</f>
        <v>35.428627014160156</v>
      </c>
      <c r="P27" s="1">
        <v>3.5</v>
      </c>
      <c r="Q27">
        <f>(P27*AJ27+AK27)</f>
        <v>1.9689131230115891</v>
      </c>
      <c r="R27" s="1">
        <v>1</v>
      </c>
      <c r="S27">
        <f>Q27*(R27+1)*(R27+1)/(R27*R27+1)</f>
        <v>3.9378262460231781</v>
      </c>
      <c r="T27" s="1">
        <v>38.452484130859375</v>
      </c>
      <c r="U27" s="1">
        <v>35.428627014160156</v>
      </c>
      <c r="V27" s="1">
        <v>38.436412811279297</v>
      </c>
      <c r="W27" s="1">
        <v>399.99603271484375</v>
      </c>
      <c r="X27" s="1">
        <v>404.66778564453125</v>
      </c>
      <c r="Y27" s="1">
        <v>33.293392181396484</v>
      </c>
      <c r="Z27" s="1">
        <v>34.070369720458984</v>
      </c>
      <c r="AA27" s="1">
        <v>47.560359954833984</v>
      </c>
      <c r="AB27" s="1">
        <v>48.670291900634766</v>
      </c>
      <c r="AC27" s="1">
        <v>399.16659545898438</v>
      </c>
      <c r="AD27" s="1">
        <v>39.573261260986328</v>
      </c>
      <c r="AE27" s="1">
        <v>52.459197998046875</v>
      </c>
      <c r="AF27" s="1">
        <v>97.457649230957031</v>
      </c>
      <c r="AG27" s="1">
        <v>22.7674560546875</v>
      </c>
      <c r="AH27" s="1">
        <v>-0.90266799926757812</v>
      </c>
      <c r="AI27" s="1">
        <v>0</v>
      </c>
      <c r="AJ27" s="1">
        <v>-0.21956524252891541</v>
      </c>
      <c r="AK27" s="1">
        <v>2.737391471862793</v>
      </c>
      <c r="AL27" s="1">
        <v>1</v>
      </c>
      <c r="AM27" s="1">
        <v>0</v>
      </c>
      <c r="AN27" s="1">
        <v>0.18999999761581421</v>
      </c>
      <c r="AO27" s="1">
        <v>111115</v>
      </c>
      <c r="AP27">
        <f>AC27*0.000001/(P27*0.0001)</f>
        <v>1.1404759870256695</v>
      </c>
      <c r="AQ27">
        <f>(Z27-Y27)/(1000-Z27)*AP27</f>
        <v>9.1737969100568449E-4</v>
      </c>
      <c r="AR27">
        <f>(U27+273.15)</f>
        <v>308.57862701416013</v>
      </c>
      <c r="AS27">
        <f>(T27+273.15)</f>
        <v>311.60248413085935</v>
      </c>
      <c r="AT27">
        <f>(AD27*AL27+AE27*AM27)*AN27</f>
        <v>7.5189195452373951</v>
      </c>
      <c r="AU27">
        <f>((AT27+0.00000010773*(AS27^4-AR27^4))-AQ27*44100)/(Q27*51.4+0.00000043092*AR27^3)</f>
        <v>5.1959465580040526E-2</v>
      </c>
      <c r="AV27">
        <f>0.61365*EXP(17.502*O27/(240.97+O27))</f>
        <v>5.7838316562898022</v>
      </c>
      <c r="AW27">
        <f>AV27*1000/AF27</f>
        <v>59.347128747002358</v>
      </c>
      <c r="AX27">
        <f>(AW27-Z27)</f>
        <v>25.276759026543374</v>
      </c>
      <c r="AY27">
        <f>IF(I27,U27,(T27+U27)/2)</f>
        <v>36.940555572509766</v>
      </c>
      <c r="AZ27">
        <f>0.61365*EXP(17.502*AY27/(240.97+AY27))</f>
        <v>6.2844504728489969</v>
      </c>
      <c r="BA27">
        <f>IF(AX27&lt;&gt;0,(1000-(AW27+Z27)/2)/AX27*AQ27,0)</f>
        <v>3.4598186901573492E-2</v>
      </c>
      <c r="BB27">
        <f>Z27*AF27/1000</f>
        <v>3.3204181413855114</v>
      </c>
      <c r="BC27">
        <f>(AZ27-BB27)</f>
        <v>2.9640323314634855</v>
      </c>
      <c r="BD27">
        <f>1/(1.6/K27+1.37/S27)</f>
        <v>2.1651212376189902E-2</v>
      </c>
      <c r="BE27">
        <f>L27*AF27*0.001</f>
        <v>62.923217548734861</v>
      </c>
      <c r="BF27">
        <f>L27/X27</f>
        <v>1.595498342847363</v>
      </c>
      <c r="BG27">
        <f>(1-AQ27*AF27/AV27/K27)*100</f>
        <v>55.714306849953324</v>
      </c>
      <c r="BH27">
        <f>(X27-J27/(S27/1.35))</f>
        <v>406.62165439741824</v>
      </c>
      <c r="BI27">
        <f>J27*BG27/100/BH27</f>
        <v>-7.808981555562612E-3</v>
      </c>
    </row>
    <row r="28" spans="1:61">
      <c r="A28" s="1">
        <v>20</v>
      </c>
      <c r="B28" s="1" t="s">
        <v>96</v>
      </c>
      <c r="C28" s="1" t="s">
        <v>74</v>
      </c>
      <c r="D28" s="1">
        <v>8</v>
      </c>
      <c r="E28" s="1" t="s">
        <v>75</v>
      </c>
      <c r="F28" s="1" t="s">
        <v>80</v>
      </c>
      <c r="G28" s="1">
        <v>0</v>
      </c>
      <c r="H28" s="1">
        <v>3950</v>
      </c>
      <c r="I28" s="1">
        <v>0</v>
      </c>
      <c r="J28">
        <f>(W28-X28*(1000-Y28)/(1000-Z28))*AP28</f>
        <v>24.973260768907636</v>
      </c>
      <c r="K28">
        <f>IF(BA28&lt;&gt;0,1/(1/BA28-1/S28),0)</f>
        <v>0.6284378115834669</v>
      </c>
      <c r="L28">
        <f>((BD28-AQ28/2)*X28-J28)/(BD28+AQ28/2)</f>
        <v>299.7762680378288</v>
      </c>
      <c r="M28">
        <f>AQ28*1000</f>
        <v>18.360368713222581</v>
      </c>
      <c r="N28">
        <f>(AV28-BB28)</f>
        <v>3.0391227727173504</v>
      </c>
      <c r="O28">
        <f>(U28+AU28*I28)</f>
        <v>38.816455841064453</v>
      </c>
      <c r="P28" s="1">
        <v>1.5</v>
      </c>
      <c r="Q28">
        <f>(P28*AJ28+AK28)</f>
        <v>2.4080436080694199</v>
      </c>
      <c r="R28" s="1">
        <v>1</v>
      </c>
      <c r="S28">
        <f>Q28*(R28+1)*(R28+1)/(R28*R28+1)</f>
        <v>4.8160872161388397</v>
      </c>
      <c r="T28" s="1">
        <v>38.649982452392578</v>
      </c>
      <c r="U28" s="1">
        <v>38.816455841064453</v>
      </c>
      <c r="V28" s="1">
        <v>38.567245483398438</v>
      </c>
      <c r="W28" s="1">
        <v>400.40533447265625</v>
      </c>
      <c r="X28" s="1">
        <v>388.34222412109375</v>
      </c>
      <c r="Y28" s="1">
        <v>33.586269378662109</v>
      </c>
      <c r="Z28" s="1">
        <v>40.207935333251953</v>
      </c>
      <c r="AA28" s="1">
        <v>47.468204498291016</v>
      </c>
      <c r="AB28" s="1">
        <v>56.826751708984375</v>
      </c>
      <c r="AC28" s="1">
        <v>399.19265747070312</v>
      </c>
      <c r="AD28" s="1">
        <v>1561.7659912109375</v>
      </c>
      <c r="AE28" s="1">
        <v>1248.0062255859375</v>
      </c>
      <c r="AF28" s="1">
        <v>97.454017639160156</v>
      </c>
      <c r="AG28" s="1">
        <v>22.7674560546875</v>
      </c>
      <c r="AH28" s="1">
        <v>-0.90266799926757812</v>
      </c>
      <c r="AI28" s="1">
        <v>0</v>
      </c>
      <c r="AJ28" s="1">
        <v>-0.21956524252891541</v>
      </c>
      <c r="AK28" s="1">
        <v>2.737391471862793</v>
      </c>
      <c r="AL28" s="1">
        <v>1</v>
      </c>
      <c r="AM28" s="1">
        <v>0</v>
      </c>
      <c r="AN28" s="1">
        <v>0.18999999761581421</v>
      </c>
      <c r="AO28" s="1">
        <v>111115</v>
      </c>
      <c r="AP28">
        <f>AC28*0.000001/(P28*0.0001)</f>
        <v>2.6612843831380206</v>
      </c>
      <c r="AQ28">
        <f>(Z28-Y28)/(1000-Z28)*AP28</f>
        <v>1.836036871322258E-2</v>
      </c>
      <c r="AR28">
        <f>(U28+273.15)</f>
        <v>311.96645584106443</v>
      </c>
      <c r="AS28">
        <f>(T28+273.15)</f>
        <v>311.79998245239256</v>
      </c>
      <c r="AT28">
        <f>(AD28*AL28+AE28*AM28)*AN28</f>
        <v>296.73553460653784</v>
      </c>
      <c r="AU28">
        <f>((AT28+0.00000010773*(AS28^4-AR28^4))-AQ28*44100)/(Q28*51.4+0.00000043092*AR28^3)</f>
        <v>-3.7640284892260758</v>
      </c>
      <c r="AV28">
        <f>0.61365*EXP(17.502*O28/(240.97+O28))</f>
        <v>6.9575476119182973</v>
      </c>
      <c r="AW28">
        <f>AV28*1000/AF28</f>
        <v>71.393132684173011</v>
      </c>
      <c r="AX28">
        <f>(AW28-Z28)</f>
        <v>31.185197350921058</v>
      </c>
      <c r="AY28">
        <f>IF(I28,U28,(T28+U28)/2)</f>
        <v>38.733219146728516</v>
      </c>
      <c r="AZ28">
        <f>0.61365*EXP(17.502*AY28/(240.97+AY28))</f>
        <v>6.926407239754659</v>
      </c>
      <c r="BA28">
        <f>IF(AX28&lt;&gt;0,(1000-(AW28+Z28)/2)/AX28*AQ28,0)</f>
        <v>0.5558999720075809</v>
      </c>
      <c r="BB28">
        <f>Z28*AF28/1000</f>
        <v>3.9184248392009469</v>
      </c>
      <c r="BC28">
        <f>(AZ28-BB28)</f>
        <v>3.0079824005537121</v>
      </c>
      <c r="BD28">
        <f>1/(1.6/K28+1.37/S28)</f>
        <v>0.3532995833828344</v>
      </c>
      <c r="BE28">
        <f>L28*AF28*0.001</f>
        <v>29.214401713160171</v>
      </c>
      <c r="BF28">
        <f>L28/X28</f>
        <v>0.77193838171033358</v>
      </c>
      <c r="BG28">
        <f>(1-AQ28*AF28/AV28/K28)*100</f>
        <v>59.077453399693546</v>
      </c>
      <c r="BH28">
        <f>(X28-J28/(S28/1.35))</f>
        <v>381.34195595214345</v>
      </c>
      <c r="BI28">
        <f>J28*BG28/100/BH28</f>
        <v>3.8688547805599605E-2</v>
      </c>
    </row>
    <row r="29" spans="1:61">
      <c r="A29" s="1">
        <v>21</v>
      </c>
      <c r="B29" s="1" t="s">
        <v>97</v>
      </c>
      <c r="C29" s="1" t="s">
        <v>74</v>
      </c>
      <c r="D29" s="1">
        <v>8</v>
      </c>
      <c r="E29" s="1" t="s">
        <v>78</v>
      </c>
      <c r="F29" s="1" t="s">
        <v>80</v>
      </c>
      <c r="G29" s="1">
        <v>0</v>
      </c>
      <c r="H29" s="1">
        <v>4097</v>
      </c>
      <c r="I29" s="1">
        <v>0</v>
      </c>
      <c r="J29">
        <f>(W29-X29*(1000-Y29)/(1000-Z29))*AP29</f>
        <v>4.6557020841893587E-2</v>
      </c>
      <c r="K29">
        <f>IF(BA29&lt;&gt;0,1/(1/BA29-1/S29),0)</f>
        <v>-1.9451446957816567E-4</v>
      </c>
      <c r="L29">
        <f>((BD29-AQ29/2)*X29-J29)/(BD29+AQ29/2)</f>
        <v>751.15277625424494</v>
      </c>
      <c r="M29">
        <f>AQ29*1000</f>
        <v>-6.6556141701474723E-3</v>
      </c>
      <c r="N29">
        <f>(AV29-BB29)</f>
        <v>3.1676224347751671</v>
      </c>
      <c r="O29">
        <f>(U29+AU29*I29)</f>
        <v>37.426776885986328</v>
      </c>
      <c r="P29" s="1">
        <v>3</v>
      </c>
      <c r="Q29">
        <f>(P29*AJ29+AK29)</f>
        <v>2.0786957442760468</v>
      </c>
      <c r="R29" s="1">
        <v>1</v>
      </c>
      <c r="S29">
        <f>Q29*(R29+1)*(R29+1)/(R29*R29+1)</f>
        <v>4.1573914885520935</v>
      </c>
      <c r="T29" s="1">
        <v>38.559379577636719</v>
      </c>
      <c r="U29" s="1">
        <v>37.426776885986328</v>
      </c>
      <c r="V29" s="1">
        <v>38.581836700439453</v>
      </c>
      <c r="W29" s="1">
        <v>399.74282836914062</v>
      </c>
      <c r="X29" s="1">
        <v>399.7098388671875</v>
      </c>
      <c r="Y29" s="1">
        <v>33.720958709716797</v>
      </c>
      <c r="Z29" s="1">
        <v>33.71612548828125</v>
      </c>
      <c r="AA29" s="1">
        <v>47.889907836914062</v>
      </c>
      <c r="AB29" s="1">
        <v>47.883045196533203</v>
      </c>
      <c r="AC29" s="1">
        <v>399.18795776367188</v>
      </c>
      <c r="AD29" s="1">
        <v>27.289726257324219</v>
      </c>
      <c r="AE29" s="1">
        <v>36.545272827148438</v>
      </c>
      <c r="AF29" s="1">
        <v>97.449501037597656</v>
      </c>
      <c r="AG29" s="1">
        <v>22.7674560546875</v>
      </c>
      <c r="AH29" s="1">
        <v>-0.90266799926757812</v>
      </c>
      <c r="AI29" s="1">
        <v>1</v>
      </c>
      <c r="AJ29" s="1">
        <v>-0.21956524252891541</v>
      </c>
      <c r="AK29" s="1">
        <v>2.737391471862793</v>
      </c>
      <c r="AL29" s="1">
        <v>1</v>
      </c>
      <c r="AM29" s="1">
        <v>0</v>
      </c>
      <c r="AN29" s="1">
        <v>0.18999999761581421</v>
      </c>
      <c r="AO29" s="1">
        <v>111115</v>
      </c>
      <c r="AP29">
        <f>AC29*0.000001/(P29*0.0001)</f>
        <v>1.3306265258789061</v>
      </c>
      <c r="AQ29">
        <f>(Z29-Y29)/(1000-Z29)*AP29</f>
        <v>-6.6556141701474725E-6</v>
      </c>
      <c r="AR29">
        <f>(U29+273.15)</f>
        <v>310.57677688598631</v>
      </c>
      <c r="AS29">
        <f>(T29+273.15)</f>
        <v>311.7093795776367</v>
      </c>
      <c r="AT29">
        <f>(AD29*AL29+AE29*AM29)*AN29</f>
        <v>5.185047923827824</v>
      </c>
      <c r="AU29">
        <f>((AT29+0.00000010773*(AS29^4-AR29^4))-AQ29*44100)/(Q29*51.4+0.00000043092*AR29^3)</f>
        <v>0.1685106516220985</v>
      </c>
      <c r="AV29">
        <f>0.61365*EXP(17.502*O29/(240.97+O29))</f>
        <v>6.4532420405292035</v>
      </c>
      <c r="AW29">
        <f>AV29*1000/AF29</f>
        <v>66.221396434235558</v>
      </c>
      <c r="AX29">
        <f>(AW29-Z29)</f>
        <v>32.505270945954308</v>
      </c>
      <c r="AY29">
        <f>IF(I29,U29,(T29+U29)/2)</f>
        <v>37.993078231811523</v>
      </c>
      <c r="AZ29">
        <f>0.61365*EXP(17.502*AY29/(240.97+AY29))</f>
        <v>6.654781605115538</v>
      </c>
      <c r="BA29">
        <f>IF(AX29&lt;&gt;0,(1000-(AW29+Z29)/2)/AX29*AQ29,0)</f>
        <v>-1.9452357087384905E-4</v>
      </c>
      <c r="BB29">
        <f>Z29*AF29/1000</f>
        <v>3.2856196057540363</v>
      </c>
      <c r="BC29">
        <f>(AZ29-BB29)</f>
        <v>3.3691619993615016</v>
      </c>
      <c r="BD29">
        <f>1/(1.6/K29+1.37/S29)</f>
        <v>-1.215764140688619E-4</v>
      </c>
      <c r="BE29">
        <f>L29*AF29*0.001</f>
        <v>73.199463248982397</v>
      </c>
      <c r="BF29">
        <f>L29/X29</f>
        <v>1.879245150389786</v>
      </c>
      <c r="BG29">
        <f>(1-AQ29*AF29/AV29/K29)*100</f>
        <v>48.330068019563875</v>
      </c>
      <c r="BH29">
        <f>(X29-J29/(S29/1.35))</f>
        <v>399.69472073883475</v>
      </c>
      <c r="BI29">
        <f>J29*BG29/100/BH29</f>
        <v>5.629556427259429E-5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 rios c1-2_.xls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Childers</dc:creator>
  <cp:lastModifiedBy>Daniel Childers</cp:lastModifiedBy>
  <dcterms:created xsi:type="dcterms:W3CDTF">2011-07-11T17:45:33Z</dcterms:created>
  <dcterms:modified xsi:type="dcterms:W3CDTF">2011-07-11T17:45:33Z</dcterms:modified>
</cp:coreProperties>
</file>