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0680" yWindow="3220" windowWidth="25120" windowHeight="18540" tabRatio="500"/>
  </bookViews>
  <sheets>
    <sheet name="tres rios m3-2_.xl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29" i="1" l="1"/>
  <c r="J29" i="1"/>
  <c r="AQ29" i="1"/>
  <c r="AT29" i="1"/>
  <c r="AS29" i="1"/>
  <c r="AR29" i="1"/>
  <c r="Q29" i="1"/>
  <c r="AU29" i="1"/>
  <c r="O29" i="1"/>
  <c r="AV29" i="1"/>
  <c r="AW29" i="1"/>
  <c r="AX29" i="1"/>
  <c r="BA29" i="1"/>
  <c r="S29" i="1"/>
  <c r="K29" i="1"/>
  <c r="BG29" i="1"/>
  <c r="BH29" i="1"/>
  <c r="BI29" i="1"/>
  <c r="BD29" i="1"/>
  <c r="L29" i="1"/>
  <c r="BF29" i="1"/>
  <c r="BE29" i="1"/>
  <c r="AY29" i="1"/>
  <c r="AZ29" i="1"/>
  <c r="BB29" i="1"/>
  <c r="BC29" i="1"/>
  <c r="N29" i="1"/>
  <c r="M29" i="1"/>
  <c r="AP28" i="1"/>
  <c r="J28" i="1"/>
  <c r="AQ28" i="1"/>
  <c r="AT28" i="1"/>
  <c r="AS28" i="1"/>
  <c r="AR28" i="1"/>
  <c r="Q28" i="1"/>
  <c r="AU28" i="1"/>
  <c r="O28" i="1"/>
  <c r="AV28" i="1"/>
  <c r="AW28" i="1"/>
  <c r="AX28" i="1"/>
  <c r="BA28" i="1"/>
  <c r="S28" i="1"/>
  <c r="K28" i="1"/>
  <c r="BG28" i="1"/>
  <c r="BH28" i="1"/>
  <c r="BI28" i="1"/>
  <c r="BD28" i="1"/>
  <c r="L28" i="1"/>
  <c r="BF28" i="1"/>
  <c r="BE28" i="1"/>
  <c r="AY28" i="1"/>
  <c r="AZ28" i="1"/>
  <c r="BB28" i="1"/>
  <c r="BC28" i="1"/>
  <c r="N28" i="1"/>
  <c r="M28" i="1"/>
  <c r="AP27" i="1"/>
  <c r="J27" i="1"/>
  <c r="AQ27" i="1"/>
  <c r="AT27" i="1"/>
  <c r="AS27" i="1"/>
  <c r="AR27" i="1"/>
  <c r="Q27" i="1"/>
  <c r="AU27" i="1"/>
  <c r="O27" i="1"/>
  <c r="AV27" i="1"/>
  <c r="AW27" i="1"/>
  <c r="AX27" i="1"/>
  <c r="BA27" i="1"/>
  <c r="S27" i="1"/>
  <c r="K27" i="1"/>
  <c r="BG27" i="1"/>
  <c r="BH27" i="1"/>
  <c r="BI27" i="1"/>
  <c r="BD27" i="1"/>
  <c r="L27" i="1"/>
  <c r="BF27" i="1"/>
  <c r="BE27" i="1"/>
  <c r="AY27" i="1"/>
  <c r="AZ27" i="1"/>
  <c r="BB27" i="1"/>
  <c r="BC27" i="1"/>
  <c r="N27" i="1"/>
  <c r="M27" i="1"/>
  <c r="AP26" i="1"/>
  <c r="J26" i="1"/>
  <c r="AQ26" i="1"/>
  <c r="AT26" i="1"/>
  <c r="AS26" i="1"/>
  <c r="AR26" i="1"/>
  <c r="Q26" i="1"/>
  <c r="AU26" i="1"/>
  <c r="O26" i="1"/>
  <c r="AV26" i="1"/>
  <c r="AW26" i="1"/>
  <c r="AX26" i="1"/>
  <c r="BA26" i="1"/>
  <c r="S26" i="1"/>
  <c r="K26" i="1"/>
  <c r="BG26" i="1"/>
  <c r="BH26" i="1"/>
  <c r="BI26" i="1"/>
  <c r="BD26" i="1"/>
  <c r="L26" i="1"/>
  <c r="BF26" i="1"/>
  <c r="BE26" i="1"/>
  <c r="AY26" i="1"/>
  <c r="AZ26" i="1"/>
  <c r="BB26" i="1"/>
  <c r="BC26" i="1"/>
  <c r="N26" i="1"/>
  <c r="M26" i="1"/>
  <c r="AP25" i="1"/>
  <c r="J25" i="1"/>
  <c r="AQ25" i="1"/>
  <c r="AT25" i="1"/>
  <c r="AS25" i="1"/>
  <c r="AR25" i="1"/>
  <c r="Q25" i="1"/>
  <c r="AU25" i="1"/>
  <c r="O25" i="1"/>
  <c r="AV25" i="1"/>
  <c r="AW25" i="1"/>
  <c r="AX25" i="1"/>
  <c r="BA25" i="1"/>
  <c r="S25" i="1"/>
  <c r="K25" i="1"/>
  <c r="BG25" i="1"/>
  <c r="BH25" i="1"/>
  <c r="BI25" i="1"/>
  <c r="BD25" i="1"/>
  <c r="L25" i="1"/>
  <c r="BF25" i="1"/>
  <c r="BE25" i="1"/>
  <c r="AY25" i="1"/>
  <c r="AZ25" i="1"/>
  <c r="BB25" i="1"/>
  <c r="BC25" i="1"/>
  <c r="N25" i="1"/>
  <c r="M25" i="1"/>
  <c r="AP24" i="1"/>
  <c r="J24" i="1"/>
  <c r="AQ24" i="1"/>
  <c r="AT24" i="1"/>
  <c r="AS24" i="1"/>
  <c r="AR24" i="1"/>
  <c r="Q24" i="1"/>
  <c r="AU24" i="1"/>
  <c r="O24" i="1"/>
  <c r="AV24" i="1"/>
  <c r="AW24" i="1"/>
  <c r="AX24" i="1"/>
  <c r="BA24" i="1"/>
  <c r="S24" i="1"/>
  <c r="K24" i="1"/>
  <c r="BG24" i="1"/>
  <c r="BH24" i="1"/>
  <c r="BI24" i="1"/>
  <c r="BD24" i="1"/>
  <c r="L24" i="1"/>
  <c r="BF24" i="1"/>
  <c r="BE24" i="1"/>
  <c r="AY24" i="1"/>
  <c r="AZ24" i="1"/>
  <c r="BB24" i="1"/>
  <c r="BC24" i="1"/>
  <c r="N24" i="1"/>
  <c r="M24" i="1"/>
  <c r="AP23" i="1"/>
  <c r="J23" i="1"/>
  <c r="AQ23" i="1"/>
  <c r="AT23" i="1"/>
  <c r="AS23" i="1"/>
  <c r="AR23" i="1"/>
  <c r="Q23" i="1"/>
  <c r="AU23" i="1"/>
  <c r="O23" i="1"/>
  <c r="AV23" i="1"/>
  <c r="AW23" i="1"/>
  <c r="AX23" i="1"/>
  <c r="BA23" i="1"/>
  <c r="S23" i="1"/>
  <c r="K23" i="1"/>
  <c r="BG23" i="1"/>
  <c r="BH23" i="1"/>
  <c r="BI23" i="1"/>
  <c r="BD23" i="1"/>
  <c r="L23" i="1"/>
  <c r="BF23" i="1"/>
  <c r="BE23" i="1"/>
  <c r="AY23" i="1"/>
  <c r="AZ23" i="1"/>
  <c r="BB23" i="1"/>
  <c r="BC23" i="1"/>
  <c r="N23" i="1"/>
  <c r="M23" i="1"/>
  <c r="AP22" i="1"/>
  <c r="J22" i="1"/>
  <c r="AQ22" i="1"/>
  <c r="AT22" i="1"/>
  <c r="AS22" i="1"/>
  <c r="AR22" i="1"/>
  <c r="Q22" i="1"/>
  <c r="AU22" i="1"/>
  <c r="O22" i="1"/>
  <c r="AV22" i="1"/>
  <c r="AW22" i="1"/>
  <c r="AX22" i="1"/>
  <c r="BA22" i="1"/>
  <c r="S22" i="1"/>
  <c r="K22" i="1"/>
  <c r="BG22" i="1"/>
  <c r="BH22" i="1"/>
  <c r="BI22" i="1"/>
  <c r="BD22" i="1"/>
  <c r="L22" i="1"/>
  <c r="BF22" i="1"/>
  <c r="BE22" i="1"/>
  <c r="AY22" i="1"/>
  <c r="AZ22" i="1"/>
  <c r="BB22" i="1"/>
  <c r="BC22" i="1"/>
  <c r="N22" i="1"/>
  <c r="M22" i="1"/>
  <c r="AP21" i="1"/>
  <c r="J21" i="1"/>
  <c r="AQ21" i="1"/>
  <c r="AT21" i="1"/>
  <c r="AS21" i="1"/>
  <c r="AR21" i="1"/>
  <c r="Q21" i="1"/>
  <c r="AU21" i="1"/>
  <c r="O21" i="1"/>
  <c r="AV21" i="1"/>
  <c r="AW21" i="1"/>
  <c r="AX21" i="1"/>
  <c r="BA21" i="1"/>
  <c r="S21" i="1"/>
  <c r="K21" i="1"/>
  <c r="BG21" i="1"/>
  <c r="BH21" i="1"/>
  <c r="BI21" i="1"/>
  <c r="BD21" i="1"/>
  <c r="L21" i="1"/>
  <c r="BF21" i="1"/>
  <c r="BE21" i="1"/>
  <c r="AY21" i="1"/>
  <c r="AZ21" i="1"/>
  <c r="BB21" i="1"/>
  <c r="BC21" i="1"/>
  <c r="N21" i="1"/>
  <c r="M21" i="1"/>
  <c r="AP20" i="1"/>
  <c r="J20" i="1"/>
  <c r="AQ20" i="1"/>
  <c r="AT20" i="1"/>
  <c r="AS20" i="1"/>
  <c r="AR20" i="1"/>
  <c r="Q20" i="1"/>
  <c r="AU20" i="1"/>
  <c r="O20" i="1"/>
  <c r="AV20" i="1"/>
  <c r="AW20" i="1"/>
  <c r="AX20" i="1"/>
  <c r="BA20" i="1"/>
  <c r="S20" i="1"/>
  <c r="K20" i="1"/>
  <c r="BG20" i="1"/>
  <c r="BH20" i="1"/>
  <c r="BI20" i="1"/>
  <c r="BD20" i="1"/>
  <c r="L20" i="1"/>
  <c r="BF20" i="1"/>
  <c r="BE20" i="1"/>
  <c r="AY20" i="1"/>
  <c r="AZ20" i="1"/>
  <c r="BB20" i="1"/>
  <c r="BC20" i="1"/>
  <c r="N20" i="1"/>
  <c r="M20" i="1"/>
  <c r="AP19" i="1"/>
  <c r="J19" i="1"/>
  <c r="AQ19" i="1"/>
  <c r="AT19" i="1"/>
  <c r="AS19" i="1"/>
  <c r="AR19" i="1"/>
  <c r="Q19" i="1"/>
  <c r="AU19" i="1"/>
  <c r="O19" i="1"/>
  <c r="AV19" i="1"/>
  <c r="AW19" i="1"/>
  <c r="AX19" i="1"/>
  <c r="BA19" i="1"/>
  <c r="S19" i="1"/>
  <c r="K19" i="1"/>
  <c r="BG19" i="1"/>
  <c r="BH19" i="1"/>
  <c r="BI19" i="1"/>
  <c r="BD19" i="1"/>
  <c r="L19" i="1"/>
  <c r="BF19" i="1"/>
  <c r="BE19" i="1"/>
  <c r="AY19" i="1"/>
  <c r="AZ19" i="1"/>
  <c r="BB19" i="1"/>
  <c r="BC19" i="1"/>
  <c r="N19" i="1"/>
  <c r="M19" i="1"/>
  <c r="AP18" i="1"/>
  <c r="J18" i="1"/>
  <c r="AQ18" i="1"/>
  <c r="AT18" i="1"/>
  <c r="AS18" i="1"/>
  <c r="AR18" i="1"/>
  <c r="Q18" i="1"/>
  <c r="AU18" i="1"/>
  <c r="O18" i="1"/>
  <c r="AV18" i="1"/>
  <c r="AW18" i="1"/>
  <c r="AX18" i="1"/>
  <c r="BA18" i="1"/>
  <c r="S18" i="1"/>
  <c r="K18" i="1"/>
  <c r="BG18" i="1"/>
  <c r="BH18" i="1"/>
  <c r="BI18" i="1"/>
  <c r="BD18" i="1"/>
  <c r="L18" i="1"/>
  <c r="BF18" i="1"/>
  <c r="BE18" i="1"/>
  <c r="AY18" i="1"/>
  <c r="AZ18" i="1"/>
  <c r="BB18" i="1"/>
  <c r="BC18" i="1"/>
  <c r="N18" i="1"/>
  <c r="M18" i="1"/>
  <c r="AP17" i="1"/>
  <c r="J17" i="1"/>
  <c r="AQ17" i="1"/>
  <c r="AT17" i="1"/>
  <c r="AS17" i="1"/>
  <c r="AR17" i="1"/>
  <c r="Q17" i="1"/>
  <c r="AU17" i="1"/>
  <c r="O17" i="1"/>
  <c r="AV17" i="1"/>
  <c r="AW17" i="1"/>
  <c r="AX17" i="1"/>
  <c r="BA17" i="1"/>
  <c r="S17" i="1"/>
  <c r="K17" i="1"/>
  <c r="BG17" i="1"/>
  <c r="BH17" i="1"/>
  <c r="BI17" i="1"/>
  <c r="BD17" i="1"/>
  <c r="L17" i="1"/>
  <c r="BF17" i="1"/>
  <c r="BE17" i="1"/>
  <c r="AY17" i="1"/>
  <c r="AZ17" i="1"/>
  <c r="BB17" i="1"/>
  <c r="BC17" i="1"/>
  <c r="N17" i="1"/>
  <c r="M17" i="1"/>
  <c r="AP16" i="1"/>
  <c r="J16" i="1"/>
  <c r="AQ16" i="1"/>
  <c r="AT16" i="1"/>
  <c r="AS16" i="1"/>
  <c r="AR16" i="1"/>
  <c r="Q16" i="1"/>
  <c r="AU16" i="1"/>
  <c r="O16" i="1"/>
  <c r="AV16" i="1"/>
  <c r="AW16" i="1"/>
  <c r="AX16" i="1"/>
  <c r="BA16" i="1"/>
  <c r="S16" i="1"/>
  <c r="K16" i="1"/>
  <c r="BG16" i="1"/>
  <c r="BH16" i="1"/>
  <c r="BI16" i="1"/>
  <c r="BD16" i="1"/>
  <c r="L16" i="1"/>
  <c r="BF16" i="1"/>
  <c r="BE16" i="1"/>
  <c r="AY16" i="1"/>
  <c r="AZ16" i="1"/>
  <c r="BB16" i="1"/>
  <c r="BC16" i="1"/>
  <c r="N16" i="1"/>
  <c r="M16" i="1"/>
  <c r="AP15" i="1"/>
  <c r="J15" i="1"/>
  <c r="AQ15" i="1"/>
  <c r="AT15" i="1"/>
  <c r="AS15" i="1"/>
  <c r="AR15" i="1"/>
  <c r="Q15" i="1"/>
  <c r="AU15" i="1"/>
  <c r="O15" i="1"/>
  <c r="AV15" i="1"/>
  <c r="AW15" i="1"/>
  <c r="AX15" i="1"/>
  <c r="BA15" i="1"/>
  <c r="S15" i="1"/>
  <c r="K15" i="1"/>
  <c r="BG15" i="1"/>
  <c r="BH15" i="1"/>
  <c r="BI15" i="1"/>
  <c r="BD15" i="1"/>
  <c r="L15" i="1"/>
  <c r="BF15" i="1"/>
  <c r="BE15" i="1"/>
  <c r="AY15" i="1"/>
  <c r="AZ15" i="1"/>
  <c r="BB15" i="1"/>
  <c r="BC15" i="1"/>
  <c r="N15" i="1"/>
  <c r="M15" i="1"/>
  <c r="AP14" i="1"/>
  <c r="J14" i="1"/>
  <c r="AQ14" i="1"/>
  <c r="AT14" i="1"/>
  <c r="AS14" i="1"/>
  <c r="AR14" i="1"/>
  <c r="Q14" i="1"/>
  <c r="AU14" i="1"/>
  <c r="O14" i="1"/>
  <c r="AV14" i="1"/>
  <c r="AW14" i="1"/>
  <c r="AX14" i="1"/>
  <c r="BA14" i="1"/>
  <c r="S14" i="1"/>
  <c r="K14" i="1"/>
  <c r="BG14" i="1"/>
  <c r="BH14" i="1"/>
  <c r="BI14" i="1"/>
  <c r="BD14" i="1"/>
  <c r="L14" i="1"/>
  <c r="BF14" i="1"/>
  <c r="BE14" i="1"/>
  <c r="AY14" i="1"/>
  <c r="AZ14" i="1"/>
  <c r="BB14" i="1"/>
  <c r="BC14" i="1"/>
  <c r="N14" i="1"/>
  <c r="M14" i="1"/>
  <c r="AP13" i="1"/>
  <c r="J13" i="1"/>
  <c r="AQ13" i="1"/>
  <c r="AT13" i="1"/>
  <c r="AS13" i="1"/>
  <c r="AR13" i="1"/>
  <c r="Q13" i="1"/>
  <c r="AU13" i="1"/>
  <c r="O13" i="1"/>
  <c r="AV13" i="1"/>
  <c r="AW13" i="1"/>
  <c r="AX13" i="1"/>
  <c r="BA13" i="1"/>
  <c r="S13" i="1"/>
  <c r="K13" i="1"/>
  <c r="BG13" i="1"/>
  <c r="BH13" i="1"/>
  <c r="BI13" i="1"/>
  <c r="BD13" i="1"/>
  <c r="L13" i="1"/>
  <c r="BF13" i="1"/>
  <c r="BE13" i="1"/>
  <c r="AY13" i="1"/>
  <c r="AZ13" i="1"/>
  <c r="BB13" i="1"/>
  <c r="BC13" i="1"/>
  <c r="N13" i="1"/>
  <c r="M13" i="1"/>
  <c r="AP12" i="1"/>
  <c r="J12" i="1"/>
  <c r="AQ12" i="1"/>
  <c r="AT12" i="1"/>
  <c r="AS12" i="1"/>
  <c r="AR12" i="1"/>
  <c r="Q12" i="1"/>
  <c r="AU12" i="1"/>
  <c r="O12" i="1"/>
  <c r="AV12" i="1"/>
  <c r="AW12" i="1"/>
  <c r="AX12" i="1"/>
  <c r="BA12" i="1"/>
  <c r="S12" i="1"/>
  <c r="K12" i="1"/>
  <c r="BG12" i="1"/>
  <c r="BH12" i="1"/>
  <c r="BI12" i="1"/>
  <c r="BD12" i="1"/>
  <c r="L12" i="1"/>
  <c r="BF12" i="1"/>
  <c r="BE12" i="1"/>
  <c r="AY12" i="1"/>
  <c r="AZ12" i="1"/>
  <c r="BB12" i="1"/>
  <c r="BC12" i="1"/>
  <c r="N12" i="1"/>
  <c r="M12" i="1"/>
  <c r="AP11" i="1"/>
  <c r="J11" i="1"/>
  <c r="AQ11" i="1"/>
  <c r="AT11" i="1"/>
  <c r="AS11" i="1"/>
  <c r="AR11" i="1"/>
  <c r="Q11" i="1"/>
  <c r="AU11" i="1"/>
  <c r="O11" i="1"/>
  <c r="AV11" i="1"/>
  <c r="AW11" i="1"/>
  <c r="AX11" i="1"/>
  <c r="BA11" i="1"/>
  <c r="S11" i="1"/>
  <c r="K11" i="1"/>
  <c r="BG11" i="1"/>
  <c r="BH11" i="1"/>
  <c r="BI11" i="1"/>
  <c r="BD11" i="1"/>
  <c r="L11" i="1"/>
  <c r="BF11" i="1"/>
  <c r="BE11" i="1"/>
  <c r="AY11" i="1"/>
  <c r="AZ11" i="1"/>
  <c r="BB11" i="1"/>
  <c r="BC11" i="1"/>
  <c r="N11" i="1"/>
  <c r="M11" i="1"/>
  <c r="AP10" i="1"/>
  <c r="J10" i="1"/>
  <c r="AQ10" i="1"/>
  <c r="AT10" i="1"/>
  <c r="AS10" i="1"/>
  <c r="AR10" i="1"/>
  <c r="Q10" i="1"/>
  <c r="AU10" i="1"/>
  <c r="O10" i="1"/>
  <c r="AV10" i="1"/>
  <c r="AW10" i="1"/>
  <c r="AX10" i="1"/>
  <c r="BA10" i="1"/>
  <c r="S10" i="1"/>
  <c r="K10" i="1"/>
  <c r="BG10" i="1"/>
  <c r="BH10" i="1"/>
  <c r="BI10" i="1"/>
  <c r="BD10" i="1"/>
  <c r="L10" i="1"/>
  <c r="BF10" i="1"/>
  <c r="BE10" i="1"/>
  <c r="AY10" i="1"/>
  <c r="AZ10" i="1"/>
  <c r="BB10" i="1"/>
  <c r="BC10" i="1"/>
  <c r="N10" i="1"/>
  <c r="M10" i="1"/>
</calcChain>
</file>

<file path=xl/sharedStrings.xml><?xml version="1.0" encoding="utf-8"?>
<sst xmlns="http://schemas.openxmlformats.org/spreadsheetml/2006/main" count="212" uniqueCount="100">
  <si>
    <t>OPEN 6.1.4</t>
  </si>
  <si>
    <t>Thr Jul  7 2011 08:29:50</t>
  </si>
  <si>
    <t>Unit=</t>
  </si>
  <si>
    <t>PSC-3149</t>
  </si>
  <si>
    <t>LightSource=</t>
  </si>
  <si>
    <t>Sun+Sky</t>
  </si>
  <si>
    <t>Config=</t>
  </si>
  <si>
    <t>/User/Configs/UserPrefs/Tres Rios official.xml</t>
  </si>
  <si>
    <t>Remark=</t>
  </si>
  <si>
    <t/>
  </si>
  <si>
    <t>Obs</t>
  </si>
  <si>
    <t>HHMMSS</t>
  </si>
  <si>
    <t>transect</t>
  </si>
  <si>
    <t>quad</t>
  </si>
  <si>
    <t>section</t>
  </si>
  <si>
    <t>plant sp</t>
  </si>
  <si>
    <t>aux2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</si>
  <si>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</si>
  <si>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</si>
  <si>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</si>
  <si>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</si>
  <si>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</si>
  <si>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</si>
  <si>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</si>
  <si>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</si>
  <si>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</si>
  <si>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</si>
  <si>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</si>
  <si>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</si>
  <si>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</si>
  <si>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</si>
  <si>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</si>
  <si>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</si>
  <si>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</si>
  <si>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</si>
  <si>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</si>
  <si>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</si>
  <si>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</si>
  <si>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</si>
  <si>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</si>
  <si>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</si>
  <si>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</si>
  <si>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</si>
  <si>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</si>
  <si>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</si>
  <si>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</si>
  <si>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</si>
  <si>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</si>
  <si>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</si>
  <si>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</si>
  <si>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</si>
  <si>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</si>
  <si>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</si>
  <si>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</si>
  <si>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</si>
  <si>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</si>
  <si>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</si>
  <si>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</si>
  <si>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</si>
  <si>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</si>
  <si>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</si>
  <si>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</si>
  <si>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</si>
  <si>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</si>
  <si>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</si>
  <si>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</si>
  <si>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</si>
  <si>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</si>
  <si>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</si>
  <si>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</si>
  <si>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</si>
  <si>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</si>
  <si>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</si>
  <si>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08:56:14</t>
  </si>
  <si>
    <t>m3</t>
  </si>
  <si>
    <t>t</t>
  </si>
  <si>
    <t>tlat</t>
  </si>
  <si>
    <t>08:58:07</t>
  </si>
  <si>
    <t>b</t>
  </si>
  <si>
    <t>09:03:14</t>
  </si>
  <si>
    <t>stab</t>
  </si>
  <si>
    <t>09:05:14</t>
  </si>
  <si>
    <t>09:24:25</t>
  </si>
  <si>
    <t>sam</t>
  </si>
  <si>
    <t>09:25:22</t>
  </si>
  <si>
    <t>09:27:01</t>
  </si>
  <si>
    <t>09:28:53</t>
  </si>
  <si>
    <t>09:46:30</t>
  </si>
  <si>
    <t>09:48:40</t>
  </si>
  <si>
    <t>09:51:04</t>
  </si>
  <si>
    <t>09:53:24</t>
  </si>
  <si>
    <t>09:59:41</t>
  </si>
  <si>
    <t>10:01:49</t>
  </si>
  <si>
    <t>10:04:44</t>
  </si>
  <si>
    <t>sac</t>
  </si>
  <si>
    <t>10:06:01</t>
  </si>
  <si>
    <t>10:10:22</t>
  </si>
  <si>
    <t>10:13:32</t>
  </si>
  <si>
    <t>10:23:02</t>
  </si>
  <si>
    <t>10:24:46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</si>
</sst>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9"/>
  <sheetViews>
    <sheetView tabSelected="1" workbookViewId="0">
      <selection activeCell="A30" sqref="A30"/>
    </sheetView>
  </sheetViews>
  <sheetFormatPr baseColWidth="10" defaultRowHeight="15" x14ac:dyDescent="0"/>
  <sheetData>
    <row r="1" spans="1:61">
      <c r="A1" s="1" t="s">
        <v>0</v>
      </c>
    </row>
    <row r="2" spans="1:61">
      <c r="A2" s="1" t="s">
        <v>1</v>
      </c>
    </row>
    <row r="3" spans="1:61">
      <c r="A3" s="1" t="s">
        <v>2</v>
      </c>
      <c r="B3" s="1" t="s">
        <v>3</v>
      </c>
    </row>
    <row r="4" spans="1:61">
      <c r="A4" s="1" t="s">
        <v>4</v>
      </c>
      <c r="B4" s="1" t="s">
        <v>5</v>
      </c>
      <c r="C4" s="1">
        <v>1</v>
      </c>
      <c r="D4" s="1">
        <v>0.18999999761581421</v>
      </c>
    </row>
    <row r="5" spans="1:61">
      <c r="A5" s="1" t="s">
        <v>6</v>
      </c>
      <c r="B5" s="1" t="s">
        <v>7</v>
      </c>
    </row>
    <row r="6" spans="1:61">
      <c r="A6" s="1" t="s">
        <v>8</v>
      </c>
      <c r="B6" s="1" t="s">
        <v>9</v>
      </c>
    </row>
    <row r="8" spans="1:61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18</v>
      </c>
      <c r="J8" s="1" t="s">
        <v>19</v>
      </c>
      <c r="K8" s="1" t="s">
        <v>20</v>
      </c>
      <c r="L8" s="1" t="s">
        <v>21</v>
      </c>
      <c r="M8" s="1" t="s">
        <v>22</v>
      </c>
      <c r="N8" s="1" t="s">
        <v>23</v>
      </c>
      <c r="O8" s="1" t="s">
        <v>24</v>
      </c>
      <c r="P8" s="1" t="s">
        <v>25</v>
      </c>
      <c r="Q8" s="1" t="s">
        <v>26</v>
      </c>
      <c r="R8" s="1" t="s">
        <v>27</v>
      </c>
      <c r="S8" s="1" t="s">
        <v>28</v>
      </c>
      <c r="T8" s="1" t="s">
        <v>29</v>
      </c>
      <c r="U8" s="1" t="s">
        <v>30</v>
      </c>
      <c r="V8" s="1" t="s">
        <v>31</v>
      </c>
      <c r="W8" s="1" t="s">
        <v>32</v>
      </c>
      <c r="X8" s="1" t="s">
        <v>33</v>
      </c>
      <c r="Y8" s="1" t="s">
        <v>34</v>
      </c>
      <c r="Z8" s="1" t="s">
        <v>35</v>
      </c>
      <c r="AA8" s="1" t="s">
        <v>36</v>
      </c>
      <c r="AB8" s="1" t="s">
        <v>37</v>
      </c>
      <c r="AC8" s="1" t="s">
        <v>38</v>
      </c>
      <c r="AD8" s="1" t="s">
        <v>39</v>
      </c>
      <c r="AE8" s="1" t="s">
        <v>40</v>
      </c>
      <c r="AF8" s="1" t="s">
        <v>41</v>
      </c>
      <c r="AG8" s="1" t="s">
        <v>42</v>
      </c>
      <c r="AH8" s="1" t="s">
        <v>43</v>
      </c>
      <c r="AI8" s="1" t="s">
        <v>44</v>
      </c>
      <c r="AJ8" s="1" t="s">
        <v>45</v>
      </c>
      <c r="AK8" s="1" t="s">
        <v>46</v>
      </c>
      <c r="AL8" s="1" t="s">
        <v>47</v>
      </c>
      <c r="AM8" s="1" t="s">
        <v>48</v>
      </c>
      <c r="AN8" s="1" t="s">
        <v>49</v>
      </c>
      <c r="AO8" s="1" t="s">
        <v>50</v>
      </c>
      <c r="AP8" s="1" t="s">
        <v>51</v>
      </c>
      <c r="AQ8" s="1" t="s">
        <v>52</v>
      </c>
      <c r="AR8" s="1" t="s">
        <v>53</v>
      </c>
      <c r="AS8" s="1" t="s">
        <v>54</v>
      </c>
      <c r="AT8" s="1" t="s">
        <v>55</v>
      </c>
      <c r="AU8" s="1" t="s">
        <v>56</v>
      </c>
      <c r="AV8" s="1" t="s">
        <v>57</v>
      </c>
      <c r="AW8" s="1" t="s">
        <v>58</v>
      </c>
      <c r="AX8" s="1" t="s">
        <v>59</v>
      </c>
      <c r="AY8" s="1" t="s">
        <v>60</v>
      </c>
      <c r="AZ8" s="1" t="s">
        <v>61</v>
      </c>
      <c r="BA8" s="1" t="s">
        <v>62</v>
      </c>
      <c r="BB8" s="1" t="s">
        <v>63</v>
      </c>
      <c r="BC8" s="1" t="s">
        <v>64</v>
      </c>
      <c r="BD8" s="1" t="s">
        <v>65</v>
      </c>
      <c r="BE8" s="1" t="s">
        <v>66</v>
      </c>
      <c r="BF8" s="1" t="s">
        <v>67</v>
      </c>
      <c r="BG8" s="1" t="s">
        <v>68</v>
      </c>
      <c r="BH8" s="1" t="s">
        <v>69</v>
      </c>
      <c r="BI8" s="1" t="s">
        <v>70</v>
      </c>
    </row>
    <row r="9" spans="1:61">
      <c r="A9" s="1" t="s">
        <v>71</v>
      </c>
      <c r="B9" s="1" t="s">
        <v>71</v>
      </c>
      <c r="C9" s="1" t="s">
        <v>71</v>
      </c>
      <c r="D9" s="1" t="s">
        <v>71</v>
      </c>
      <c r="E9" s="1" t="s">
        <v>71</v>
      </c>
      <c r="F9" s="1" t="s">
        <v>71</v>
      </c>
      <c r="G9" s="1" t="s">
        <v>71</v>
      </c>
      <c r="H9" s="1" t="s">
        <v>71</v>
      </c>
      <c r="I9" s="1" t="s">
        <v>71</v>
      </c>
      <c r="J9" s="1" t="s">
        <v>72</v>
      </c>
      <c r="K9" s="1" t="s">
        <v>72</v>
      </c>
      <c r="L9" s="1" t="s">
        <v>72</v>
      </c>
      <c r="M9" s="1" t="s">
        <v>72</v>
      </c>
      <c r="N9" s="1" t="s">
        <v>72</v>
      </c>
      <c r="O9" s="1" t="s">
        <v>72</v>
      </c>
      <c r="P9" s="1" t="s">
        <v>71</v>
      </c>
      <c r="Q9" s="1" t="s">
        <v>72</v>
      </c>
      <c r="R9" s="1" t="s">
        <v>71</v>
      </c>
      <c r="S9" s="1" t="s">
        <v>72</v>
      </c>
      <c r="T9" s="1" t="s">
        <v>71</v>
      </c>
      <c r="U9" s="1" t="s">
        <v>71</v>
      </c>
      <c r="V9" s="1" t="s">
        <v>71</v>
      </c>
      <c r="W9" s="1" t="s">
        <v>71</v>
      </c>
      <c r="X9" s="1" t="s">
        <v>71</v>
      </c>
      <c r="Y9" s="1" t="s">
        <v>71</v>
      </c>
      <c r="Z9" s="1" t="s">
        <v>71</v>
      </c>
      <c r="AA9" s="1" t="s">
        <v>71</v>
      </c>
      <c r="AB9" s="1" t="s">
        <v>71</v>
      </c>
      <c r="AC9" s="1" t="s">
        <v>71</v>
      </c>
      <c r="AD9" s="1" t="s">
        <v>71</v>
      </c>
      <c r="AE9" s="1" t="s">
        <v>71</v>
      </c>
      <c r="AF9" s="1" t="s">
        <v>71</v>
      </c>
      <c r="AG9" s="1" t="s">
        <v>71</v>
      </c>
      <c r="AH9" s="1" t="s">
        <v>71</v>
      </c>
      <c r="AI9" s="1" t="s">
        <v>71</v>
      </c>
      <c r="AJ9" s="1" t="s">
        <v>71</v>
      </c>
      <c r="AK9" s="1" t="s">
        <v>71</v>
      </c>
      <c r="AL9" s="1" t="s">
        <v>71</v>
      </c>
      <c r="AM9" s="1" t="s">
        <v>71</v>
      </c>
      <c r="AN9" s="1" t="s">
        <v>71</v>
      </c>
      <c r="AO9" s="1" t="s">
        <v>71</v>
      </c>
      <c r="AP9" s="1" t="s">
        <v>72</v>
      </c>
      <c r="AQ9" s="1" t="s">
        <v>72</v>
      </c>
      <c r="AR9" s="1" t="s">
        <v>72</v>
      </c>
      <c r="AS9" s="1" t="s">
        <v>72</v>
      </c>
      <c r="AT9" s="1" t="s">
        <v>72</v>
      </c>
      <c r="AU9" s="1" t="s">
        <v>72</v>
      </c>
      <c r="AV9" s="1" t="s">
        <v>72</v>
      </c>
      <c r="AW9" s="1" t="s">
        <v>72</v>
      </c>
      <c r="AX9" s="1" t="s">
        <v>72</v>
      </c>
      <c r="AY9" s="1" t="s">
        <v>72</v>
      </c>
      <c r="AZ9" s="1" t="s">
        <v>72</v>
      </c>
      <c r="BA9" s="1" t="s">
        <v>72</v>
      </c>
      <c r="BB9" s="1" t="s">
        <v>72</v>
      </c>
      <c r="BC9" s="1" t="s">
        <v>72</v>
      </c>
      <c r="BD9" s="1" t="s">
        <v>72</v>
      </c>
      <c r="BE9" s="1" t="s">
        <v>72</v>
      </c>
      <c r="BF9" s="1" t="s">
        <v>72</v>
      </c>
      <c r="BG9" s="1" t="s">
        <v>72</v>
      </c>
      <c r="BH9" s="1" t="s">
        <v>72</v>
      </c>
      <c r="BI9" s="1" t="s">
        <v>72</v>
      </c>
    </row>
    <row r="10" spans="1:61">
      <c r="A10" s="1">
        <v>2</v>
      </c>
      <c r="B10" s="1" t="s">
        <v>73</v>
      </c>
      <c r="C10" s="1" t="s">
        <v>74</v>
      </c>
      <c r="D10" s="1">
        <v>23</v>
      </c>
      <c r="E10" s="1" t="s">
        <v>75</v>
      </c>
      <c r="F10" s="1" t="s">
        <v>76</v>
      </c>
      <c r="G10" s="1">
        <v>0</v>
      </c>
      <c r="H10" s="1">
        <v>585.5</v>
      </c>
      <c r="I10" s="1">
        <v>0</v>
      </c>
      <c r="J10">
        <f>(W10-X10*(1000-Y10)/(1000-Z10))*AP10</f>
        <v>15.888866160489892</v>
      </c>
      <c r="K10">
        <f>IF(BA10&lt;&gt;0,1/(1/BA10-1/S10),0)</f>
        <v>0.35888343612857343</v>
      </c>
      <c r="L10">
        <f>((BD10-AQ10/2)*X10-J10)/(BD10+AQ10/2)</f>
        <v>295.12220661732857</v>
      </c>
      <c r="M10">
        <f>AQ10*1000</f>
        <v>6.6043337891716209</v>
      </c>
      <c r="N10">
        <f>(AV10-BB10)</f>
        <v>1.8977902837040479</v>
      </c>
      <c r="O10">
        <f>(U10+AU10*I10)</f>
        <v>31.637042999267578</v>
      </c>
      <c r="P10" s="1">
        <v>4</v>
      </c>
      <c r="Q10">
        <f>(P10*AJ10+AK10)</f>
        <v>1.8591305017471313</v>
      </c>
      <c r="R10" s="1">
        <v>1</v>
      </c>
      <c r="S10">
        <f>Q10*(R10+1)*(R10+1)/(R10*R10+1)</f>
        <v>3.7182610034942627</v>
      </c>
      <c r="T10" s="1">
        <v>31.741279602050781</v>
      </c>
      <c r="U10" s="1">
        <v>31.637042999267578</v>
      </c>
      <c r="V10" s="1">
        <v>31.721996307373047</v>
      </c>
      <c r="W10" s="1">
        <v>400.988525390625</v>
      </c>
      <c r="X10" s="1">
        <v>382.6156005859375</v>
      </c>
      <c r="Y10" s="1">
        <v>22.030702590942383</v>
      </c>
      <c r="Z10" s="1">
        <v>28.43232536315918</v>
      </c>
      <c r="AA10" s="1">
        <v>45.777942657470703</v>
      </c>
      <c r="AB10" s="1">
        <v>59.079971313476562</v>
      </c>
      <c r="AC10" s="1">
        <v>400.93316650390625</v>
      </c>
      <c r="AD10" s="1">
        <v>760.60272216796875</v>
      </c>
      <c r="AE10" s="1">
        <v>994.443603515625</v>
      </c>
      <c r="AF10" s="1">
        <v>97.7784423828125</v>
      </c>
      <c r="AG10" s="1">
        <v>16.154838562011719</v>
      </c>
      <c r="AH10" s="1">
        <v>-0.65420287847518921</v>
      </c>
      <c r="AI10" s="1">
        <v>1</v>
      </c>
      <c r="AJ10" s="1">
        <v>-0.21956524252891541</v>
      </c>
      <c r="AK10" s="1">
        <v>2.737391471862793</v>
      </c>
      <c r="AL10" s="1">
        <v>1</v>
      </c>
      <c r="AM10" s="1">
        <v>0</v>
      </c>
      <c r="AN10" s="1">
        <v>0.18999999761581421</v>
      </c>
      <c r="AO10" s="1">
        <v>111115</v>
      </c>
      <c r="AP10">
        <f>AC10*0.000001/(P10*0.0001)</f>
        <v>1.0023329162597656</v>
      </c>
      <c r="AQ10">
        <f>(Z10-Y10)/(1000-Z10)*AP10</f>
        <v>6.6043337891716208E-3</v>
      </c>
      <c r="AR10">
        <f>(U10+273.15)</f>
        <v>304.78704299926756</v>
      </c>
      <c r="AS10">
        <f>(T10+273.15)</f>
        <v>304.89127960205076</v>
      </c>
      <c r="AT10">
        <f>(AD10*AL10+AE10*AM10)*AN10</f>
        <v>144.51451539849586</v>
      </c>
      <c r="AU10">
        <f>((AT10+0.00000010773*(AS10^4-AR10^4))-AQ10*44100)/(Q10*51.4+0.00000043092*AR10^3)</f>
        <v>-1.3498897990799605</v>
      </c>
      <c r="AV10">
        <f>0.61365*EXP(17.502*O10/(240.97+O10))</f>
        <v>4.6778587710350861</v>
      </c>
      <c r="AW10">
        <f>AV10*1000/AF10</f>
        <v>47.841412248323564</v>
      </c>
      <c r="AX10">
        <f>(AW10-Z10)</f>
        <v>19.409086885164385</v>
      </c>
      <c r="AY10">
        <f>IF(I10,U10,(T10+U10)/2)</f>
        <v>31.68916130065918</v>
      </c>
      <c r="AZ10">
        <f>0.61365*EXP(17.502*AY10/(240.97+AY10))</f>
        <v>4.6917127064986408</v>
      </c>
      <c r="BA10">
        <f>IF(AX10&lt;&gt;0,(1000-(AW10+Z10)/2)/AX10*AQ10,0)</f>
        <v>0.32729335570960094</v>
      </c>
      <c r="BB10">
        <f>Z10*AF10/1000</f>
        <v>2.7800684873310382</v>
      </c>
      <c r="BC10">
        <f>(AZ10-BB10)</f>
        <v>1.9116442191676026</v>
      </c>
      <c r="BD10">
        <f>1/(1.6/K10+1.37/S10)</f>
        <v>0.20717986454096532</v>
      </c>
      <c r="BE10">
        <f>L10*AF10*0.001</f>
        <v>28.856589675620949</v>
      </c>
      <c r="BF10">
        <f>L10/X10</f>
        <v>0.77132821078225366</v>
      </c>
      <c r="BG10">
        <f>(1-AQ10*AF10/AV10/K10)*100</f>
        <v>61.534479889615753</v>
      </c>
      <c r="BH10">
        <f>(X10-J10/(S10/1.35))</f>
        <v>376.84678304018058</v>
      </c>
      <c r="BI10">
        <f>J10*BG10/100/BH10</f>
        <v>2.5944579049709298E-2</v>
      </c>
    </row>
    <row r="11" spans="1:61">
      <c r="A11" s="1">
        <v>3</v>
      </c>
      <c r="B11" s="1" t="s">
        <v>77</v>
      </c>
      <c r="C11" s="1" t="s">
        <v>74</v>
      </c>
      <c r="D11" s="1">
        <v>23</v>
      </c>
      <c r="E11" s="1" t="s">
        <v>78</v>
      </c>
      <c r="F11" s="1" t="s">
        <v>76</v>
      </c>
      <c r="G11" s="1">
        <v>0</v>
      </c>
      <c r="H11" s="1">
        <v>711.5</v>
      </c>
      <c r="I11" s="1">
        <v>0</v>
      </c>
      <c r="J11">
        <f>(W11-X11*(1000-Y11)/(1000-Z11))*AP11</f>
        <v>-0.63194501245847912</v>
      </c>
      <c r="K11">
        <f>IF(BA11&lt;&gt;0,1/(1/BA11-1/S11),0)</f>
        <v>0.22838622896416946</v>
      </c>
      <c r="L11">
        <f>((BD11-AQ11/2)*X11-J11)/(BD11+AQ11/2)</f>
        <v>393.5392568531467</v>
      </c>
      <c r="M11">
        <f>AQ11*1000</f>
        <v>3.9243784963984156</v>
      </c>
      <c r="N11">
        <f>(AV11-BB11)</f>
        <v>1.726577986848552</v>
      </c>
      <c r="O11">
        <f>(U11+AU11*I11)</f>
        <v>30.222230911254883</v>
      </c>
      <c r="P11" s="1">
        <v>4.5</v>
      </c>
      <c r="Q11">
        <f>(P11*AJ11+AK11)</f>
        <v>1.7493478804826736</v>
      </c>
      <c r="R11" s="1">
        <v>1</v>
      </c>
      <c r="S11">
        <f>Q11*(R11+1)*(R11+1)/(R11*R11+1)</f>
        <v>3.4986957609653473</v>
      </c>
      <c r="T11" s="1">
        <v>31.856582641601562</v>
      </c>
      <c r="U11" s="1">
        <v>30.222230911254883</v>
      </c>
      <c r="V11" s="1">
        <v>31.887310028076172</v>
      </c>
      <c r="W11" s="1">
        <v>401.44265747070312</v>
      </c>
      <c r="X11" s="1">
        <v>400.3883056640625</v>
      </c>
      <c r="Y11" s="1">
        <v>22.186101913452148</v>
      </c>
      <c r="Z11" s="1">
        <v>26.474405288696289</v>
      </c>
      <c r="AA11" s="1">
        <v>45.799327850341797</v>
      </c>
      <c r="AB11" s="1">
        <v>54.651779174804688</v>
      </c>
      <c r="AC11" s="1">
        <v>400.90850830078125</v>
      </c>
      <c r="AD11" s="1">
        <v>48.028575897216797</v>
      </c>
      <c r="AE11" s="1">
        <v>79.959671020507812</v>
      </c>
      <c r="AF11" s="1">
        <v>97.775901794433594</v>
      </c>
      <c r="AG11" s="1">
        <v>16.154838562011719</v>
      </c>
      <c r="AH11" s="1">
        <v>-0.65420287847518921</v>
      </c>
      <c r="AI11" s="1">
        <v>1</v>
      </c>
      <c r="AJ11" s="1">
        <v>-0.21956524252891541</v>
      </c>
      <c r="AK11" s="1">
        <v>2.737391471862793</v>
      </c>
      <c r="AL11" s="1">
        <v>1</v>
      </c>
      <c r="AM11" s="1">
        <v>0</v>
      </c>
      <c r="AN11" s="1">
        <v>0.18999999761581421</v>
      </c>
      <c r="AO11" s="1">
        <v>111115</v>
      </c>
      <c r="AP11">
        <f>AC11*0.000001/(P11*0.0001)</f>
        <v>0.89090779622395821</v>
      </c>
      <c r="AQ11">
        <f>(Z11-Y11)/(1000-Z11)*AP11</f>
        <v>3.9243784963984155E-3</v>
      </c>
      <c r="AR11">
        <f>(U11+273.15)</f>
        <v>303.37223091125486</v>
      </c>
      <c r="AS11">
        <f>(T11+273.15)</f>
        <v>305.00658264160154</v>
      </c>
      <c r="AT11">
        <f>(AD11*AL11+AE11*AM11)*AN11</f>
        <v>9.1254293059621432</v>
      </c>
      <c r="AU11">
        <f>((AT11+0.00000010773*(AS11^4-AR11^4))-AQ11*44100)/(Q11*51.4+0.00000043092*AR11^3)</f>
        <v>-1.4136240529274458</v>
      </c>
      <c r="AV11">
        <f>0.61365*EXP(17.502*O11/(240.97+O11))</f>
        <v>4.3151368384221538</v>
      </c>
      <c r="AW11">
        <f>AV11*1000/AF11</f>
        <v>44.132928044932804</v>
      </c>
      <c r="AX11">
        <f>(AW11-Z11)</f>
        <v>17.658522756236515</v>
      </c>
      <c r="AY11">
        <f>IF(I11,U11,(T11+U11)/2)</f>
        <v>31.039406776428223</v>
      </c>
      <c r="AZ11">
        <f>0.61365*EXP(17.502*AY11/(240.97+AY11))</f>
        <v>4.5215247526828364</v>
      </c>
      <c r="BA11">
        <f>IF(AX11&lt;&gt;0,(1000-(AW11+Z11)/2)/AX11*AQ11,0)</f>
        <v>0.21439129412736954</v>
      </c>
      <c r="BB11">
        <f>Z11*AF11/1000</f>
        <v>2.5885588515736018</v>
      </c>
      <c r="BC11">
        <f>(AZ11-BB11)</f>
        <v>1.9329659011092346</v>
      </c>
      <c r="BD11">
        <f>1/(1.6/K11+1.37/S11)</f>
        <v>0.135185357868401</v>
      </c>
      <c r="BE11">
        <f>L11*AF11*0.001</f>
        <v>38.478655730327652</v>
      </c>
      <c r="BF11">
        <f>L11/X11</f>
        <v>0.98289398388008276</v>
      </c>
      <c r="BG11">
        <f>(1-AQ11*AF11/AV11/K11)*100</f>
        <v>61.065174592396033</v>
      </c>
      <c r="BH11">
        <f>(X11-J11/(S11/1.35))</f>
        <v>400.63214674802788</v>
      </c>
      <c r="BI11">
        <f>J11*BG11/100/BH11</f>
        <v>-9.6322356635154057E-4</v>
      </c>
    </row>
    <row r="12" spans="1:61">
      <c r="A12" s="1">
        <v>4</v>
      </c>
      <c r="B12" s="1" t="s">
        <v>79</v>
      </c>
      <c r="C12" s="1" t="s">
        <v>74</v>
      </c>
      <c r="D12" s="1">
        <v>23</v>
      </c>
      <c r="E12" s="1" t="s">
        <v>75</v>
      </c>
      <c r="F12" s="1" t="s">
        <v>80</v>
      </c>
      <c r="G12" s="1">
        <v>0</v>
      </c>
      <c r="H12" s="1">
        <v>1012</v>
      </c>
      <c r="I12" s="1">
        <v>0</v>
      </c>
      <c r="J12">
        <f>(W12-X12*(1000-Y12)/(1000-Z12))*AP12</f>
        <v>10.687781708005664</v>
      </c>
      <c r="K12">
        <f>IF(BA12&lt;&gt;0,1/(1/BA12-1/S12),0)</f>
        <v>0.53761311820795743</v>
      </c>
      <c r="L12">
        <f>((BD12-AQ12/2)*X12-J12)/(BD12+AQ12/2)</f>
        <v>345.89345701631839</v>
      </c>
      <c r="M12">
        <f>AQ12*1000</f>
        <v>11.176152697590455</v>
      </c>
      <c r="N12">
        <f>(AV12-BB12)</f>
        <v>2.1740750597217193</v>
      </c>
      <c r="O12">
        <f>(U12+AU12*I12)</f>
        <v>32.058673858642578</v>
      </c>
      <c r="P12" s="1">
        <v>1.5</v>
      </c>
      <c r="Q12">
        <f>(P12*AJ12+AK12)</f>
        <v>2.4080436080694199</v>
      </c>
      <c r="R12" s="1">
        <v>1</v>
      </c>
      <c r="S12">
        <f>Q12*(R12+1)*(R12+1)/(R12*R12+1)</f>
        <v>4.8160872161388397</v>
      </c>
      <c r="T12" s="1">
        <v>32.094223022460938</v>
      </c>
      <c r="U12" s="1">
        <v>32.058673858642578</v>
      </c>
      <c r="V12" s="1">
        <v>32.076976776123047</v>
      </c>
      <c r="W12" s="1">
        <v>399.8736572265625</v>
      </c>
      <c r="X12" s="1">
        <v>394.22711181640625</v>
      </c>
      <c r="Y12" s="1">
        <v>22.693155288696289</v>
      </c>
      <c r="Z12" s="1">
        <v>26.762248992919922</v>
      </c>
      <c r="AA12" s="1">
        <v>46.223335266113281</v>
      </c>
      <c r="AB12" s="1">
        <v>54.511615753173828</v>
      </c>
      <c r="AC12" s="1">
        <v>400.9635009765625</v>
      </c>
      <c r="AD12" s="1">
        <v>533.30584716796875</v>
      </c>
      <c r="AE12" s="1">
        <v>967.83447265625</v>
      </c>
      <c r="AF12" s="1">
        <v>97.782852172851562</v>
      </c>
      <c r="AG12" s="1">
        <v>16.154838562011719</v>
      </c>
      <c r="AH12" s="1">
        <v>-0.65420287847518921</v>
      </c>
      <c r="AI12" s="1">
        <v>0</v>
      </c>
      <c r="AJ12" s="1">
        <v>-0.21956524252891541</v>
      </c>
      <c r="AK12" s="1">
        <v>2.737391471862793</v>
      </c>
      <c r="AL12" s="1">
        <v>1</v>
      </c>
      <c r="AM12" s="1">
        <v>0</v>
      </c>
      <c r="AN12" s="1">
        <v>0.18999999761581421</v>
      </c>
      <c r="AO12" s="1">
        <v>111115</v>
      </c>
      <c r="AP12">
        <f>AC12*0.000001/(P12*0.0001)</f>
        <v>2.6730900065104164</v>
      </c>
      <c r="AQ12">
        <f>(Z12-Y12)/(1000-Z12)*AP12</f>
        <v>1.1176152697590454E-2</v>
      </c>
      <c r="AR12">
        <f>(U12+273.15)</f>
        <v>305.20867385864256</v>
      </c>
      <c r="AS12">
        <f>(T12+273.15)</f>
        <v>305.24422302246091</v>
      </c>
      <c r="AT12">
        <f>(AD12*AL12+AE12*AM12)*AN12</f>
        <v>101.32810969041384</v>
      </c>
      <c r="AU12">
        <f>((AT12+0.00000010773*(AS12^4-AR12^4))-AQ12*44100)/(Q12*51.4+0.00000043092*AR12^3)</f>
        <v>-2.8752431535121334</v>
      </c>
      <c r="AV12">
        <f>0.61365*EXP(17.502*O12/(240.97+O12))</f>
        <v>4.7909640968094536</v>
      </c>
      <c r="AW12">
        <f>AV12*1000/AF12</f>
        <v>48.99595369073942</v>
      </c>
      <c r="AX12">
        <f>(AW12-Z12)</f>
        <v>22.233704697819498</v>
      </c>
      <c r="AY12">
        <f>IF(I12,U12,(T12+U12)/2)</f>
        <v>32.076448440551758</v>
      </c>
      <c r="AZ12">
        <f>0.61365*EXP(17.502*AY12/(240.97+AY12))</f>
        <v>4.7957840913624539</v>
      </c>
      <c r="BA12">
        <f>IF(AX12&lt;&gt;0,(1000-(AW12+Z12)/2)/AX12*AQ12,0)</f>
        <v>0.48362655810577582</v>
      </c>
      <c r="BB12">
        <f>Z12*AF12/1000</f>
        <v>2.6168890370877342</v>
      </c>
      <c r="BC12">
        <f>(AZ12-BB12)</f>
        <v>2.1788950542747196</v>
      </c>
      <c r="BD12">
        <f>1/(1.6/K12+1.37/S12)</f>
        <v>0.30669379369858307</v>
      </c>
      <c r="BE12">
        <f>L12*AF12*0.001</f>
        <v>33.822448774983251</v>
      </c>
      <c r="BF12">
        <f>L12/X12</f>
        <v>0.87739642112032845</v>
      </c>
      <c r="BG12">
        <f>(1-AQ12*AF12/AV12/K12)*100</f>
        <v>57.571052959176782</v>
      </c>
      <c r="BH12">
        <f>(X12-J12/(S12/1.35))</f>
        <v>391.23121397272575</v>
      </c>
      <c r="BI12">
        <f>J12*BG12/100/BH12</f>
        <v>1.5727447727895513E-2</v>
      </c>
    </row>
    <row r="13" spans="1:61">
      <c r="A13" s="1">
        <v>5</v>
      </c>
      <c r="B13" s="1" t="s">
        <v>81</v>
      </c>
      <c r="C13" s="1" t="s">
        <v>74</v>
      </c>
      <c r="D13" s="1">
        <v>23</v>
      </c>
      <c r="E13" s="1" t="s">
        <v>78</v>
      </c>
      <c r="F13" s="1" t="s">
        <v>80</v>
      </c>
      <c r="G13" s="1">
        <v>0</v>
      </c>
      <c r="H13" s="1">
        <v>1144</v>
      </c>
      <c r="I13" s="1">
        <v>0</v>
      </c>
      <c r="J13">
        <f>(W13-X13*(1000-Y13)/(1000-Z13))*AP13</f>
        <v>-0.32364894223461732</v>
      </c>
      <c r="K13">
        <f>IF(BA13&lt;&gt;0,1/(1/BA13-1/S13),0)</f>
        <v>2.2639586321326833E-2</v>
      </c>
      <c r="L13">
        <f>((BD13-AQ13/2)*X13-J13)/(BD13+AQ13/2)</f>
        <v>408.42225599872017</v>
      </c>
      <c r="M13">
        <f>AQ13*1000</f>
        <v>0.52056373720021587</v>
      </c>
      <c r="N13">
        <f>(AV13-BB13)</f>
        <v>2.1864219794524486</v>
      </c>
      <c r="O13">
        <f>(U13+AU13*I13)</f>
        <v>30.907194137573242</v>
      </c>
      <c r="P13" s="1">
        <v>5.5</v>
      </c>
      <c r="Q13">
        <f>(P13*AJ13+AK13)</f>
        <v>1.5297826379537582</v>
      </c>
      <c r="R13" s="1">
        <v>1</v>
      </c>
      <c r="S13">
        <f>Q13*(R13+1)*(R13+1)/(R13*R13+1)</f>
        <v>3.0595652759075165</v>
      </c>
      <c r="T13" s="1">
        <v>32.208595275878906</v>
      </c>
      <c r="U13" s="1">
        <v>30.907194137573242</v>
      </c>
      <c r="V13" s="1">
        <v>32.226547241210938</v>
      </c>
      <c r="W13" s="1">
        <v>400.21810913085938</v>
      </c>
      <c r="X13" s="1">
        <v>400.37615966796875</v>
      </c>
      <c r="Y13" s="1">
        <v>22.835531234741211</v>
      </c>
      <c r="Z13" s="1">
        <v>23.532752990722656</v>
      </c>
      <c r="AA13" s="1">
        <v>46.214332580566406</v>
      </c>
      <c r="AB13" s="1">
        <v>47.625362396240234</v>
      </c>
      <c r="AC13" s="1">
        <v>400.9805908203125</v>
      </c>
      <c r="AD13" s="1">
        <v>36.847774505615234</v>
      </c>
      <c r="AE13" s="1">
        <v>6.0469083786010742</v>
      </c>
      <c r="AF13" s="1">
        <v>97.784523010253906</v>
      </c>
      <c r="AG13" s="1">
        <v>16.154838562011719</v>
      </c>
      <c r="AH13" s="1">
        <v>-0.65420287847518921</v>
      </c>
      <c r="AI13" s="1">
        <v>1</v>
      </c>
      <c r="AJ13" s="1">
        <v>-0.21956524252891541</v>
      </c>
      <c r="AK13" s="1">
        <v>2.737391471862793</v>
      </c>
      <c r="AL13" s="1">
        <v>1</v>
      </c>
      <c r="AM13" s="1">
        <v>0</v>
      </c>
      <c r="AN13" s="1">
        <v>0.18999999761581421</v>
      </c>
      <c r="AO13" s="1">
        <v>111115</v>
      </c>
      <c r="AP13">
        <f>AC13*0.000001/(P13*0.0001)</f>
        <v>0.72905561967329535</v>
      </c>
      <c r="AQ13">
        <f>(Z13-Y13)/(1000-Z13)*AP13</f>
        <v>5.2056373720021584E-4</v>
      </c>
      <c r="AR13">
        <f>(U13+273.15)</f>
        <v>304.05719413757322</v>
      </c>
      <c r="AS13">
        <f>(T13+273.15)</f>
        <v>305.35859527587888</v>
      </c>
      <c r="AT13">
        <f>(AD13*AL13+AE13*AM13)*AN13</f>
        <v>7.0010770682149541</v>
      </c>
      <c r="AU13">
        <f>((AT13+0.00000010773*(AS13^4-AR13^4))-AQ13*44100)/(Q13*51.4+0.00000043092*AR13^3)</f>
        <v>-9.9203995814412926E-4</v>
      </c>
      <c r="AV13">
        <f>0.61365*EXP(17.502*O13/(240.97+O13))</f>
        <v>4.4875610057683897</v>
      </c>
      <c r="AW13">
        <f>AV13*1000/AF13</f>
        <v>45.892344387647256</v>
      </c>
      <c r="AX13">
        <f>(AW13-Z13)</f>
        <v>22.3595913969246</v>
      </c>
      <c r="AY13">
        <f>IF(I13,U13,(T13+U13)/2)</f>
        <v>31.557894706726074</v>
      </c>
      <c r="AZ13">
        <f>0.61365*EXP(17.502*AY13/(240.97+AY13))</f>
        <v>4.6568879233705607</v>
      </c>
      <c r="BA13">
        <f>IF(AX13&lt;&gt;0,(1000-(AW13+Z13)/2)/AX13*AQ13,0)</f>
        <v>2.2473292745230741E-2</v>
      </c>
      <c r="BB13">
        <f>Z13*AF13/1000</f>
        <v>2.301139026315941</v>
      </c>
      <c r="BC13">
        <f>(AZ13-BB13)</f>
        <v>2.3557488970546197</v>
      </c>
      <c r="BD13">
        <f>1/(1.6/K13+1.37/S13)</f>
        <v>1.4060654338887186E-2</v>
      </c>
      <c r="BE13">
        <f>L13*AF13*0.001</f>
        <v>39.937375489606666</v>
      </c>
      <c r="BF13">
        <f>L13/X13</f>
        <v>1.0200963422433145</v>
      </c>
      <c r="BG13">
        <f>(1-AQ13*AF13/AV13/K13)*100</f>
        <v>49.896832733554</v>
      </c>
      <c r="BH13">
        <f>(X13-J13/(S13/1.35))</f>
        <v>400.5189662540734</v>
      </c>
      <c r="BI13">
        <f>J13*BG13/100/BH13</f>
        <v>-4.0320330610331347E-4</v>
      </c>
    </row>
    <row r="14" spans="1:61">
      <c r="A14" s="1">
        <v>6</v>
      </c>
      <c r="B14" s="1" t="s">
        <v>82</v>
      </c>
      <c r="C14" s="1" t="s">
        <v>74</v>
      </c>
      <c r="D14" s="1">
        <v>28</v>
      </c>
      <c r="E14" s="1" t="s">
        <v>75</v>
      </c>
      <c r="F14" s="1" t="s">
        <v>83</v>
      </c>
      <c r="G14" s="1">
        <v>0</v>
      </c>
      <c r="H14" s="1">
        <v>2278</v>
      </c>
      <c r="I14" s="1">
        <v>0</v>
      </c>
      <c r="J14">
        <f>(W14-X14*(1000-Y14)/(1000-Z14))*AP14</f>
        <v>7.5774978536722406</v>
      </c>
      <c r="K14">
        <f>IF(BA14&lt;&gt;0,1/(1/BA14-1/S14),0)</f>
        <v>0.23213553304254581</v>
      </c>
      <c r="L14">
        <f>((BD14-AQ14/2)*X14-J14)/(BD14+AQ14/2)</f>
        <v>327.59522104247611</v>
      </c>
      <c r="M14">
        <f>AQ14*1000</f>
        <v>5.6412714557184067</v>
      </c>
      <c r="N14">
        <f>(AV14-BB14)</f>
        <v>2.3961643518050968</v>
      </c>
      <c r="O14">
        <f>(U14+AU14*I14)</f>
        <v>32.563327789306641</v>
      </c>
      <c r="P14" s="1">
        <v>1.5</v>
      </c>
      <c r="Q14">
        <f>(P14*AJ14+AK14)</f>
        <v>2.4080436080694199</v>
      </c>
      <c r="R14" s="1">
        <v>1</v>
      </c>
      <c r="S14">
        <f>Q14*(R14+1)*(R14+1)/(R14*R14+1)</f>
        <v>4.8160872161388397</v>
      </c>
      <c r="T14" s="1">
        <v>32.880855560302734</v>
      </c>
      <c r="U14" s="1">
        <v>32.563327789306641</v>
      </c>
      <c r="V14" s="1">
        <v>32.907047271728516</v>
      </c>
      <c r="W14" s="1">
        <v>400.31198120117188</v>
      </c>
      <c r="X14" s="1">
        <v>396.6400146484375</v>
      </c>
      <c r="Y14" s="1">
        <v>23.847488403320312</v>
      </c>
      <c r="Z14" s="1">
        <v>25.903308868408203</v>
      </c>
      <c r="AA14" s="1">
        <v>46.474018096923828</v>
      </c>
      <c r="AB14" s="1">
        <v>50.480400085449219</v>
      </c>
      <c r="AC14" s="1">
        <v>400.9453125</v>
      </c>
      <c r="AD14" s="1">
        <v>186.29269409179688</v>
      </c>
      <c r="AE14" s="1">
        <v>372.07583618164062</v>
      </c>
      <c r="AF14" s="1">
        <v>97.798332214355469</v>
      </c>
      <c r="AG14" s="1">
        <v>16.154838562011719</v>
      </c>
      <c r="AH14" s="1">
        <v>-0.65420287847518921</v>
      </c>
      <c r="AI14" s="1">
        <v>1</v>
      </c>
      <c r="AJ14" s="1">
        <v>-0.21956524252891541</v>
      </c>
      <c r="AK14" s="1">
        <v>2.737391471862793</v>
      </c>
      <c r="AL14" s="1">
        <v>1</v>
      </c>
      <c r="AM14" s="1">
        <v>0</v>
      </c>
      <c r="AN14" s="1">
        <v>0.18999999761581421</v>
      </c>
      <c r="AO14" s="1">
        <v>111115</v>
      </c>
      <c r="AP14">
        <f>AC14*0.000001/(P14*0.0001)</f>
        <v>2.6729687499999999</v>
      </c>
      <c r="AQ14">
        <f>(Z14-Y14)/(1000-Z14)*AP14</f>
        <v>5.6412714557184064E-3</v>
      </c>
      <c r="AR14">
        <f>(U14+273.15)</f>
        <v>305.71332778930662</v>
      </c>
      <c r="AS14">
        <f>(T14+273.15)</f>
        <v>306.03085556030271</v>
      </c>
      <c r="AT14">
        <f>(AD14*AL14+AE14*AM14)*AN14</f>
        <v>35.395611433285012</v>
      </c>
      <c r="AU14">
        <f>((AT14+0.00000010773*(AS14^4-AR14^4))-AQ14*44100)/(Q14*51.4+0.00000043092*AR14^3)</f>
        <v>-1.539241618778016</v>
      </c>
      <c r="AV14">
        <f>0.61365*EXP(17.502*O14/(240.97+O14))</f>
        <v>4.9294647579687423</v>
      </c>
      <c r="AW14">
        <f>AV14*1000/AF14</f>
        <v>50.404384679733468</v>
      </c>
      <c r="AX14">
        <f>(AW14-Z14)</f>
        <v>24.501075811325265</v>
      </c>
      <c r="AY14">
        <f>IF(I14,U14,(T14+U14)/2)</f>
        <v>32.722091674804688</v>
      </c>
      <c r="AZ14">
        <f>0.61365*EXP(17.502*AY14/(240.97+AY14))</f>
        <v>4.973751450642931</v>
      </c>
      <c r="BA14">
        <f>IF(AX14&lt;&gt;0,(1000-(AW14+Z14)/2)/AX14*AQ14,0)</f>
        <v>0.22146110198466801</v>
      </c>
      <c r="BB14">
        <f>Z14*AF14/1000</f>
        <v>2.5333004061636455</v>
      </c>
      <c r="BC14">
        <f>(AZ14-BB14)</f>
        <v>2.4404510444792855</v>
      </c>
      <c r="BD14">
        <f>1/(1.6/K14+1.37/S14)</f>
        <v>0.13933420801776333</v>
      </c>
      <c r="BE14">
        <f>L14*AF14*0.001</f>
        <v>32.038266259347296</v>
      </c>
      <c r="BF14">
        <f>L14/X14</f>
        <v>0.82592579907208974</v>
      </c>
      <c r="BG14">
        <f>(1-AQ14*AF14/AV14/K14)*100</f>
        <v>51.786677834729147</v>
      </c>
      <c r="BH14">
        <f>(X14-J14/(S14/1.35))</f>
        <v>394.51596214619508</v>
      </c>
      <c r="BI14">
        <f>J14*BG14/100/BH14</f>
        <v>9.9467062880477311E-3</v>
      </c>
    </row>
    <row r="15" spans="1:61">
      <c r="A15" s="1">
        <v>7</v>
      </c>
      <c r="B15" s="1" t="s">
        <v>84</v>
      </c>
      <c r="C15" s="1" t="s">
        <v>74</v>
      </c>
      <c r="D15" s="1">
        <v>28</v>
      </c>
      <c r="E15" s="1" t="s">
        <v>78</v>
      </c>
      <c r="F15" s="1" t="s">
        <v>83</v>
      </c>
      <c r="G15" s="1">
        <v>0</v>
      </c>
      <c r="H15" s="1">
        <v>2353.5</v>
      </c>
      <c r="I15" s="1">
        <v>0</v>
      </c>
      <c r="J15">
        <f>(W15-X15*(1000-Y15)/(1000-Z15))*AP15</f>
        <v>-1.2733864662820666</v>
      </c>
      <c r="K15">
        <f>IF(BA15&lt;&gt;0,1/(1/BA15-1/S15),0)</f>
        <v>6.4316725230895377E-2</v>
      </c>
      <c r="L15">
        <f>((BD15-AQ15/2)*X15-J15)/(BD15+AQ15/2)</f>
        <v>417.08213625669356</v>
      </c>
      <c r="M15">
        <f>AQ15*1000</f>
        <v>1.5156938179094921</v>
      </c>
      <c r="N15">
        <f>(AV15-BB15)</f>
        <v>2.2526709470590087</v>
      </c>
      <c r="O15">
        <f>(U15+AU15*I15)</f>
        <v>31.550136566162109</v>
      </c>
      <c r="P15" s="1">
        <v>2</v>
      </c>
      <c r="Q15">
        <f>(P15*AJ15+AK15)</f>
        <v>2.2982609868049622</v>
      </c>
      <c r="R15" s="1">
        <v>1</v>
      </c>
      <c r="S15">
        <f>Q15*(R15+1)*(R15+1)/(R15*R15+1)</f>
        <v>4.5965219736099243</v>
      </c>
      <c r="T15" s="1">
        <v>32.774215698242188</v>
      </c>
      <c r="U15" s="1">
        <v>31.550136566162109</v>
      </c>
      <c r="V15" s="1">
        <v>32.821353912353516</v>
      </c>
      <c r="W15" s="1">
        <v>400.29327392578125</v>
      </c>
      <c r="X15" s="1">
        <v>400.62554931640625</v>
      </c>
      <c r="Y15" s="1">
        <v>23.824846267700195</v>
      </c>
      <c r="Z15" s="1">
        <v>24.562292098999023</v>
      </c>
      <c r="AA15" s="1">
        <v>46.709568023681641</v>
      </c>
      <c r="AB15" s="1">
        <v>48.155361175537109</v>
      </c>
      <c r="AC15" s="1">
        <v>400.96908569335938</v>
      </c>
      <c r="AD15" s="1">
        <v>2.8754575252532959</v>
      </c>
      <c r="AE15" s="1">
        <v>4.8365063667297363</v>
      </c>
      <c r="AF15" s="1">
        <v>97.798927307128906</v>
      </c>
      <c r="AG15" s="1">
        <v>16.154838562011719</v>
      </c>
      <c r="AH15" s="1">
        <v>-0.65420287847518921</v>
      </c>
      <c r="AI15" s="1">
        <v>1</v>
      </c>
      <c r="AJ15" s="1">
        <v>-0.21956524252891541</v>
      </c>
      <c r="AK15" s="1">
        <v>2.737391471862793</v>
      </c>
      <c r="AL15" s="1">
        <v>1</v>
      </c>
      <c r="AM15" s="1">
        <v>0</v>
      </c>
      <c r="AN15" s="1">
        <v>0.18999999761581421</v>
      </c>
      <c r="AO15" s="1">
        <v>111115</v>
      </c>
      <c r="AP15">
        <f>AC15*0.000001/(P15*0.0001)</f>
        <v>2.0048454284667967</v>
      </c>
      <c r="AQ15">
        <f>(Z15-Y15)/(1000-Z15)*AP15</f>
        <v>1.5156938179094921E-3</v>
      </c>
      <c r="AR15">
        <f>(U15+273.15)</f>
        <v>304.70013656616209</v>
      </c>
      <c r="AS15">
        <f>(T15+273.15)</f>
        <v>305.92421569824216</v>
      </c>
      <c r="AT15">
        <f>(AD15*AL15+AE15*AM15)*AN15</f>
        <v>0.54633692294250125</v>
      </c>
      <c r="AU15">
        <f>((AT15+0.00000010773*(AS15^4-AR15^4))-AQ15*44100)/(Q15*51.4+0.00000043092*AR15^3)</f>
        <v>-0.39351856320751538</v>
      </c>
      <c r="AV15">
        <f>0.61365*EXP(17.502*O15/(240.97+O15))</f>
        <v>4.6548367665454808</v>
      </c>
      <c r="AW15">
        <f>AV15*1000/AF15</f>
        <v>47.595990004342035</v>
      </c>
      <c r="AX15">
        <f>(AW15-Z15)</f>
        <v>23.033697905343011</v>
      </c>
      <c r="AY15">
        <f>IF(I15,U15,(T15+U15)/2)</f>
        <v>32.162176132202148</v>
      </c>
      <c r="AZ15">
        <f>0.61365*EXP(17.502*AY15/(240.97+AY15))</f>
        <v>4.8190904898386604</v>
      </c>
      <c r="BA15">
        <f>IF(AX15&lt;&gt;0,(1000-(AW15+Z15)/2)/AX15*AQ15,0)</f>
        <v>6.3429193734588649E-2</v>
      </c>
      <c r="BB15">
        <f>Z15*AF15/1000</f>
        <v>2.4021658194864721</v>
      </c>
      <c r="BC15">
        <f>(AZ15-BB15)</f>
        <v>2.4169246703521883</v>
      </c>
      <c r="BD15">
        <f>1/(1.6/K15+1.37/S15)</f>
        <v>3.9722041193223499E-2</v>
      </c>
      <c r="BE15">
        <f>L15*AF15*0.001</f>
        <v>40.790185524870409</v>
      </c>
      <c r="BF15">
        <f>L15/X15</f>
        <v>1.0410772277713378</v>
      </c>
      <c r="BG15">
        <f>(1-AQ15*AF15/AV15/K15)*100</f>
        <v>50.487233730571177</v>
      </c>
      <c r="BH15">
        <f>(X15-J15/(S15/1.35))</f>
        <v>400.99954333609122</v>
      </c>
      <c r="BI15">
        <f>J15*BG15/100/BH15</f>
        <v>-1.6032377398157128E-3</v>
      </c>
    </row>
    <row r="16" spans="1:61">
      <c r="A16" s="1">
        <v>8</v>
      </c>
      <c r="B16" s="1" t="s">
        <v>85</v>
      </c>
      <c r="C16" s="1" t="s">
        <v>74</v>
      </c>
      <c r="D16" s="1">
        <v>28</v>
      </c>
      <c r="E16" s="1" t="s">
        <v>78</v>
      </c>
      <c r="F16" s="1" t="s">
        <v>76</v>
      </c>
      <c r="G16" s="1">
        <v>0</v>
      </c>
      <c r="H16" s="1">
        <v>2423</v>
      </c>
      <c r="I16" s="1">
        <v>0</v>
      </c>
      <c r="J16">
        <f>(W16-X16*(1000-Y16)/(1000-Z16))*AP16</f>
        <v>-1.724271142428988</v>
      </c>
      <c r="K16">
        <f>IF(BA16&lt;&gt;0,1/(1/BA16-1/S16),0)</f>
        <v>2.7833251736771535E-3</v>
      </c>
      <c r="L16">
        <f>((BD16-AQ16/2)*X16-J16)/(BD16+AQ16/2)</f>
        <v>1359.2252554580537</v>
      </c>
      <c r="M16">
        <f>AQ16*1000</f>
        <v>6.9392985156829581E-2</v>
      </c>
      <c r="N16">
        <f>(AV16-BB16)</f>
        <v>2.3527001765979128</v>
      </c>
      <c r="O16">
        <f>(U16+AU16*I16)</f>
        <v>31.68168830871582</v>
      </c>
      <c r="P16" s="1">
        <v>5</v>
      </c>
      <c r="Q16">
        <f>(P16*AJ16+AK16)</f>
        <v>1.6395652592182159</v>
      </c>
      <c r="R16" s="1">
        <v>1</v>
      </c>
      <c r="S16">
        <f>Q16*(R16+1)*(R16+1)/(R16*R16+1)</f>
        <v>3.2791305184364319</v>
      </c>
      <c r="T16" s="1">
        <v>32.839130401611328</v>
      </c>
      <c r="U16" s="1">
        <v>31.68168830871582</v>
      </c>
      <c r="V16" s="1">
        <v>32.907402038574219</v>
      </c>
      <c r="W16" s="1">
        <v>400.35214233398438</v>
      </c>
      <c r="X16" s="1">
        <v>402.46728515625</v>
      </c>
      <c r="Y16" s="1">
        <v>23.811683654785156</v>
      </c>
      <c r="Z16" s="1">
        <v>23.896141052246094</v>
      </c>
      <c r="AA16" s="1">
        <v>46.513690948486328</v>
      </c>
      <c r="AB16" s="1">
        <v>46.678672790527344</v>
      </c>
      <c r="AC16" s="1">
        <v>400.99957275390625</v>
      </c>
      <c r="AD16" s="1">
        <v>5.5108933448791504</v>
      </c>
      <c r="AE16" s="1">
        <v>8.9912519454956055</v>
      </c>
      <c r="AF16" s="1">
        <v>97.799217224121094</v>
      </c>
      <c r="AG16" s="1">
        <v>16.154838562011719</v>
      </c>
      <c r="AH16" s="1">
        <v>-0.65420287847518921</v>
      </c>
      <c r="AI16" s="1">
        <v>1</v>
      </c>
      <c r="AJ16" s="1">
        <v>-0.21956524252891541</v>
      </c>
      <c r="AK16" s="1">
        <v>2.737391471862793</v>
      </c>
      <c r="AL16" s="1">
        <v>1</v>
      </c>
      <c r="AM16" s="1">
        <v>0</v>
      </c>
      <c r="AN16" s="1">
        <v>0.18999999761581421</v>
      </c>
      <c r="AO16" s="1">
        <v>111115</v>
      </c>
      <c r="AP16">
        <f>AC16*0.000001/(P16*0.0001)</f>
        <v>0.80199914550781248</v>
      </c>
      <c r="AQ16">
        <f>(Z16-Y16)/(1000-Z16)*AP16</f>
        <v>6.9392985156829584E-5</v>
      </c>
      <c r="AR16">
        <f>(U16+273.15)</f>
        <v>304.8316883087158</v>
      </c>
      <c r="AS16">
        <f>(T16+273.15)</f>
        <v>305.98913040161131</v>
      </c>
      <c r="AT16">
        <f>(AD16*AL16+AE16*AM16)*AN16</f>
        <v>1.047069722388045</v>
      </c>
      <c r="AU16">
        <f>((AT16+0.00000010773*(AS16^4-AR16^4))-AQ16*44100)/(Q16*51.4+0.00000043092*AR16^3)</f>
        <v>0.12640334438431927</v>
      </c>
      <c r="AV16">
        <f>0.61365*EXP(17.502*O16/(240.97+O16))</f>
        <v>4.6897240661847661</v>
      </c>
      <c r="AW16">
        <f>AV16*1000/AF16</f>
        <v>47.952572620674289</v>
      </c>
      <c r="AX16">
        <f>(AW16-Z16)</f>
        <v>24.056431568428195</v>
      </c>
      <c r="AY16">
        <f>IF(I16,U16,(T16+U16)/2)</f>
        <v>32.260409355163574</v>
      </c>
      <c r="AZ16">
        <f>0.61365*EXP(17.502*AY16/(240.97+AY16))</f>
        <v>4.8459178707495596</v>
      </c>
      <c r="BA16">
        <f>IF(AX16&lt;&gt;0,(1000-(AW16+Z16)/2)/AX16*AQ16,0)</f>
        <v>2.7809646915342391E-3</v>
      </c>
      <c r="BB16">
        <f>Z16*AF16/1000</f>
        <v>2.3370238895868534</v>
      </c>
      <c r="BC16">
        <f>(AZ16-BB16)</f>
        <v>2.5088939811627062</v>
      </c>
      <c r="BD16">
        <f>1/(1.6/K16+1.37/S16)</f>
        <v>1.7383148527557971E-3</v>
      </c>
      <c r="BE16">
        <f>L16*AF16*0.001</f>
        <v>132.93116601505366</v>
      </c>
      <c r="BF16">
        <f>L16/X16</f>
        <v>3.3772316548172636</v>
      </c>
      <c r="BG16">
        <f>(1-AQ16*AF16/AV16/K16)*100</f>
        <v>48.007618442367274</v>
      </c>
      <c r="BH16">
        <f>(X16-J16/(S16/1.35))</f>
        <v>403.17715810250559</v>
      </c>
      <c r="BI16">
        <f>J16*BG16/100/BH16</f>
        <v>-2.0531458549511794E-3</v>
      </c>
    </row>
    <row r="17" spans="1:61">
      <c r="A17" s="1">
        <v>9</v>
      </c>
      <c r="B17" s="1" t="s">
        <v>86</v>
      </c>
      <c r="C17" s="1" t="s">
        <v>74</v>
      </c>
      <c r="D17" s="1">
        <v>28</v>
      </c>
      <c r="E17" s="1" t="s">
        <v>75</v>
      </c>
      <c r="F17" s="1" t="s">
        <v>76</v>
      </c>
      <c r="G17" s="1">
        <v>0</v>
      </c>
      <c r="H17" s="1">
        <v>2565.5</v>
      </c>
      <c r="I17" s="1">
        <v>0</v>
      </c>
      <c r="J17">
        <f>(W17-X17*(1000-Y17)/(1000-Z17))*AP17</f>
        <v>16.572139986387036</v>
      </c>
      <c r="K17">
        <f>IF(BA17&lt;&gt;0,1/(1/BA17-1/S17),0)</f>
        <v>0.47998457156758823</v>
      </c>
      <c r="L17">
        <f>((BD17-AQ17/2)*X17-J17)/(BD17+AQ17/2)</f>
        <v>307.0941269131738</v>
      </c>
      <c r="M17">
        <f>AQ17*1000</f>
        <v>7.8171458710867592</v>
      </c>
      <c r="N17">
        <f>(AV17-BB17)</f>
        <v>1.7368525812956284</v>
      </c>
      <c r="O17">
        <f>(U17+AU17*I17)</f>
        <v>32.435356140136719</v>
      </c>
      <c r="P17" s="1">
        <v>4.5</v>
      </c>
      <c r="Q17">
        <f>(P17*AJ17+AK17)</f>
        <v>1.7493478804826736</v>
      </c>
      <c r="R17" s="1">
        <v>1</v>
      </c>
      <c r="S17">
        <f>Q17*(R17+1)*(R17+1)/(R17*R17+1)</f>
        <v>3.4986957609653473</v>
      </c>
      <c r="T17" s="1">
        <v>32.931407928466797</v>
      </c>
      <c r="U17" s="1">
        <v>32.435356140136719</v>
      </c>
      <c r="V17" s="1">
        <v>32.950408935546875</v>
      </c>
      <c r="W17" s="1">
        <v>400.73138427734375</v>
      </c>
      <c r="X17" s="1">
        <v>378.81204223632812</v>
      </c>
      <c r="Y17" s="1">
        <v>23.791244506835938</v>
      </c>
      <c r="Z17" s="1">
        <v>32.280082702636719</v>
      </c>
      <c r="AA17" s="1">
        <v>46.236129760742188</v>
      </c>
      <c r="AB17" s="1">
        <v>62.733417510986328</v>
      </c>
      <c r="AC17" s="1">
        <v>401.01641845703125</v>
      </c>
      <c r="AD17" s="1">
        <v>1048.7486572265625</v>
      </c>
      <c r="AE17" s="1">
        <v>1123.7005615234375</v>
      </c>
      <c r="AF17" s="1">
        <v>97.80535888671875</v>
      </c>
      <c r="AG17" s="1">
        <v>16.154838562011719</v>
      </c>
      <c r="AH17" s="1">
        <v>-0.65420287847518921</v>
      </c>
      <c r="AI17" s="1">
        <v>1</v>
      </c>
      <c r="AJ17" s="1">
        <v>-0.21956524252891541</v>
      </c>
      <c r="AK17" s="1">
        <v>2.737391471862793</v>
      </c>
      <c r="AL17" s="1">
        <v>1</v>
      </c>
      <c r="AM17" s="1">
        <v>0</v>
      </c>
      <c r="AN17" s="1">
        <v>0.18999999761581421</v>
      </c>
      <c r="AO17" s="1">
        <v>111115</v>
      </c>
      <c r="AP17">
        <f>AC17*0.000001/(P17*0.0001)</f>
        <v>0.89114759657118048</v>
      </c>
      <c r="AQ17">
        <f>(Z17-Y17)/(1000-Z17)*AP17</f>
        <v>7.8171458710867593E-3</v>
      </c>
      <c r="AR17">
        <f>(U17+273.15)</f>
        <v>305.5853561401367</v>
      </c>
      <c r="AS17">
        <f>(T17+273.15)</f>
        <v>306.08140792846677</v>
      </c>
      <c r="AT17">
        <f>(AD17*AL17+AE17*AM17)*AN17</f>
        <v>199.26224237263523</v>
      </c>
      <c r="AU17">
        <f>((AT17+0.00000010773*(AS17^4-AR17^4))-AQ17*44100)/(Q17*51.4+0.00000043092*AR17^3)</f>
        <v>-1.3634143922379387</v>
      </c>
      <c r="AV17">
        <f>0.61365*EXP(17.502*O17/(240.97+O17))</f>
        <v>4.894017654919975</v>
      </c>
      <c r="AW17">
        <f>AV17*1000/AF17</f>
        <v>50.038338498285974</v>
      </c>
      <c r="AX17">
        <f>(AW17-Z17)</f>
        <v>17.758255795649255</v>
      </c>
      <c r="AY17">
        <f>IF(I17,U17,(T17+U17)/2)</f>
        <v>32.683382034301758</v>
      </c>
      <c r="AZ17">
        <f>0.61365*EXP(17.502*AY17/(240.97+AY17))</f>
        <v>4.9629217222512017</v>
      </c>
      <c r="BA17">
        <f>IF(AX17&lt;&gt;0,(1000-(AW17+Z17)/2)/AX17*AQ17,0)</f>
        <v>0.42207964589182984</v>
      </c>
      <c r="BB17">
        <f>Z17*AF17/1000</f>
        <v>3.1571650736243466</v>
      </c>
      <c r="BC17">
        <f>(AZ17-BB17)</f>
        <v>1.805756648626855</v>
      </c>
      <c r="BD17">
        <f>1/(1.6/K17+1.37/S17)</f>
        <v>0.26845529723911393</v>
      </c>
      <c r="BE17">
        <f>L17*AF17*0.001</f>
        <v>30.035451294746519</v>
      </c>
      <c r="BF17">
        <f>L17/X17</f>
        <v>0.81067678075975225</v>
      </c>
      <c r="BG17">
        <f>(1-AQ17*AF17/AV17/K17)*100</f>
        <v>67.452468376780843</v>
      </c>
      <c r="BH17">
        <f>(X17-J17/(S17/1.35))</f>
        <v>372.41754825624866</v>
      </c>
      <c r="BI17">
        <f>J17*BG17/100/BH17</f>
        <v>3.0015549847243299E-2</v>
      </c>
    </row>
    <row r="18" spans="1:61">
      <c r="A18" s="1">
        <v>11</v>
      </c>
      <c r="B18" s="1" t="s">
        <v>87</v>
      </c>
      <c r="C18" s="1" t="s">
        <v>74</v>
      </c>
      <c r="D18" s="1">
        <v>20</v>
      </c>
      <c r="E18" s="1" t="s">
        <v>78</v>
      </c>
      <c r="F18" s="1" t="s">
        <v>76</v>
      </c>
      <c r="G18" s="1">
        <v>0</v>
      </c>
      <c r="H18" s="1">
        <v>3596</v>
      </c>
      <c r="I18" s="1">
        <v>0</v>
      </c>
      <c r="J18">
        <f>(W18-X18*(1000-Y18)/(1000-Z18))*AP18</f>
        <v>1.2735179154592078E-2</v>
      </c>
      <c r="K18">
        <f>IF(BA18&lt;&gt;0,1/(1/BA18-1/S18),0)</f>
        <v>8.4301669904413512E-2</v>
      </c>
      <c r="L18">
        <f>((BD18-AQ18/2)*X18-J18)/(BD18+AQ18/2)</f>
        <v>384.14864065342113</v>
      </c>
      <c r="M18">
        <f>AQ18*1000</f>
        <v>1.9925741532905334</v>
      </c>
      <c r="N18">
        <f>(AV18-BB18)</f>
        <v>2.2710606893185812</v>
      </c>
      <c r="O18">
        <f>(U18+AU18*I18)</f>
        <v>32.417274475097656</v>
      </c>
      <c r="P18" s="1">
        <v>3.5</v>
      </c>
      <c r="Q18">
        <f>(P18*AJ18+AK18)</f>
        <v>1.9689131230115891</v>
      </c>
      <c r="R18" s="1">
        <v>1</v>
      </c>
      <c r="S18">
        <f>Q18*(R18+1)*(R18+1)/(R18*R18+1)</f>
        <v>3.9378262460231781</v>
      </c>
      <c r="T18" s="1">
        <v>33.858165740966797</v>
      </c>
      <c r="U18" s="1">
        <v>32.417274475097656</v>
      </c>
      <c r="V18" s="1">
        <v>33.911964416503906</v>
      </c>
      <c r="W18" s="1">
        <v>400.19155883789062</v>
      </c>
      <c r="X18" s="1">
        <v>399.48410034179688</v>
      </c>
      <c r="Y18" s="1">
        <v>25.065750122070312</v>
      </c>
      <c r="Z18" s="1">
        <v>26.76214599609375</v>
      </c>
      <c r="AA18" s="1">
        <v>46.256793975830078</v>
      </c>
      <c r="AB18" s="1">
        <v>49.387355804443359</v>
      </c>
      <c r="AC18" s="1">
        <v>400.10531616210938</v>
      </c>
      <c r="AD18" s="1">
        <v>21.944650650024414</v>
      </c>
      <c r="AE18" s="1">
        <v>28.9095458984375</v>
      </c>
      <c r="AF18" s="1">
        <v>97.823486328125</v>
      </c>
      <c r="AG18" s="1">
        <v>16.154838562011719</v>
      </c>
      <c r="AH18" s="1">
        <v>-0.65420287847518921</v>
      </c>
      <c r="AI18" s="1">
        <v>0</v>
      </c>
      <c r="AJ18" s="1">
        <v>-0.21956524252891541</v>
      </c>
      <c r="AK18" s="1">
        <v>2.737391471862793</v>
      </c>
      <c r="AL18" s="1">
        <v>1</v>
      </c>
      <c r="AM18" s="1">
        <v>0</v>
      </c>
      <c r="AN18" s="1">
        <v>0.18999999761581421</v>
      </c>
      <c r="AO18" s="1">
        <v>111115</v>
      </c>
      <c r="AP18">
        <f>AC18*0.000001/(P18*0.0001)</f>
        <v>1.1431580461774553</v>
      </c>
      <c r="AQ18">
        <f>(Z18-Y18)/(1000-Z18)*AP18</f>
        <v>1.9925741532905335E-3</v>
      </c>
      <c r="AR18">
        <f>(U18+273.15)</f>
        <v>305.56727447509763</v>
      </c>
      <c r="AS18">
        <f>(T18+273.15)</f>
        <v>307.00816574096677</v>
      </c>
      <c r="AT18">
        <f>(AD18*AL18+AE18*AM18)*AN18</f>
        <v>4.1694835711845144</v>
      </c>
      <c r="AU18">
        <f>((AT18+0.00000010773*(AS18^4-AR18^4))-AQ18*44100)/(Q18*51.4+0.00000043092*AR18^3)</f>
        <v>-0.58029861885742373</v>
      </c>
      <c r="AV18">
        <f>0.61365*EXP(17.502*O18/(240.97+O18))</f>
        <v>4.8890271122787432</v>
      </c>
      <c r="AW18">
        <f>AV18*1000/AF18</f>
        <v>49.978050218734751</v>
      </c>
      <c r="AX18">
        <f>(AW18-Z18)</f>
        <v>23.215904222641001</v>
      </c>
      <c r="AY18">
        <f>IF(I18,U18,(T18+U18)/2)</f>
        <v>33.137720108032227</v>
      </c>
      <c r="AZ18">
        <f>0.61365*EXP(17.502*AY18/(240.97+AY18))</f>
        <v>5.0913332417680701</v>
      </c>
      <c r="BA18">
        <f>IF(AX18&lt;&gt;0,(1000-(AW18+Z18)/2)/AX18*AQ18,0)</f>
        <v>8.2534751572321194E-2</v>
      </c>
      <c r="BB18">
        <f>Z18*AF18/1000</f>
        <v>2.617966422960162</v>
      </c>
      <c r="BC18">
        <f>(AZ18-BB18)</f>
        <v>2.4733668188079081</v>
      </c>
      <c r="BD18">
        <f>1/(1.6/K18+1.37/S18)</f>
        <v>5.1740108739333983E-2</v>
      </c>
      <c r="BE18">
        <f>L18*AF18*0.001</f>
        <v>37.57875929692775</v>
      </c>
      <c r="BF18">
        <f>L18/X18</f>
        <v>0.96161183968209296</v>
      </c>
      <c r="BG18">
        <f>(1-AQ18*AF18/AV18/K18)*100</f>
        <v>52.706766756599229</v>
      </c>
      <c r="BH18">
        <f>(X18-J18/(S18/1.35))</f>
        <v>399.47973435640682</v>
      </c>
      <c r="BI18">
        <f>J18*BG18/100/BH18</f>
        <v>1.680260748110273E-5</v>
      </c>
    </row>
    <row r="19" spans="1:61">
      <c r="A19" s="1">
        <v>12</v>
      </c>
      <c r="B19" s="1" t="s">
        <v>88</v>
      </c>
      <c r="C19" s="1" t="s">
        <v>74</v>
      </c>
      <c r="D19" s="1">
        <v>20</v>
      </c>
      <c r="E19" s="1" t="s">
        <v>75</v>
      </c>
      <c r="F19" s="1" t="s">
        <v>76</v>
      </c>
      <c r="G19" s="1">
        <v>0</v>
      </c>
      <c r="H19" s="1">
        <v>3751</v>
      </c>
      <c r="I19" s="1">
        <v>0</v>
      </c>
      <c r="J19">
        <f>(W19-X19*(1000-Y19)/(1000-Z19))*AP19</f>
        <v>21.22313999080913</v>
      </c>
      <c r="K19">
        <f>IF(BA19&lt;&gt;0,1/(1/BA19-1/S19),0)</f>
        <v>0.55180508196298006</v>
      </c>
      <c r="L19">
        <f>((BD19-AQ19/2)*X19-J19)/(BD19+AQ19/2)</f>
        <v>300.99691481300607</v>
      </c>
      <c r="M19">
        <f>AQ19*1000</f>
        <v>10.812446495613749</v>
      </c>
      <c r="N19">
        <f>(AV19-BB19)</f>
        <v>2.0769125854659656</v>
      </c>
      <c r="O19">
        <f>(U19+AU19*I19)</f>
        <v>33.809810638427734</v>
      </c>
      <c r="P19" s="1">
        <v>3</v>
      </c>
      <c r="Q19">
        <f>(P19*AJ19+AK19)</f>
        <v>2.0786957442760468</v>
      </c>
      <c r="R19" s="1">
        <v>1</v>
      </c>
      <c r="S19">
        <f>Q19*(R19+1)*(R19+1)/(R19*R19+1)</f>
        <v>4.1573914885520935</v>
      </c>
      <c r="T19" s="1">
        <v>34.078052520751953</v>
      </c>
      <c r="U19" s="1">
        <v>33.809810638427734</v>
      </c>
      <c r="V19" s="1">
        <v>34.092121124267578</v>
      </c>
      <c r="W19" s="1">
        <v>400.447509765625</v>
      </c>
      <c r="X19" s="1">
        <v>381.4422607421875</v>
      </c>
      <c r="Y19" s="1">
        <v>24.970375061035156</v>
      </c>
      <c r="Z19" s="1">
        <v>32.811424255371094</v>
      </c>
      <c r="AA19" s="1">
        <v>45.518173217773438</v>
      </c>
      <c r="AB19" s="1">
        <v>59.811519622802734</v>
      </c>
      <c r="AC19" s="1">
        <v>400.11257934570312</v>
      </c>
      <c r="AD19" s="1">
        <v>1293.2039794921875</v>
      </c>
      <c r="AE19" s="1">
        <v>1372.3243408203125</v>
      </c>
      <c r="AF19" s="1">
        <v>97.821884155273438</v>
      </c>
      <c r="AG19" s="1">
        <v>16.154838562011719</v>
      </c>
      <c r="AH19" s="1">
        <v>-0.65420287847518921</v>
      </c>
      <c r="AI19" s="1">
        <v>1</v>
      </c>
      <c r="AJ19" s="1">
        <v>-0.21956524252891541</v>
      </c>
      <c r="AK19" s="1">
        <v>2.737391471862793</v>
      </c>
      <c r="AL19" s="1">
        <v>1</v>
      </c>
      <c r="AM19" s="1">
        <v>0</v>
      </c>
      <c r="AN19" s="1">
        <v>0.18999999761581421</v>
      </c>
      <c r="AO19" s="1">
        <v>111115</v>
      </c>
      <c r="AP19">
        <f>AC19*0.000001/(P19*0.0001)</f>
        <v>1.3337085978190104</v>
      </c>
      <c r="AQ19">
        <f>(Z19-Y19)/(1000-Z19)*AP19</f>
        <v>1.0812446495613748E-2</v>
      </c>
      <c r="AR19">
        <f>(U19+273.15)</f>
        <v>306.95981063842771</v>
      </c>
      <c r="AS19">
        <f>(T19+273.15)</f>
        <v>307.22805252075193</v>
      </c>
      <c r="AT19">
        <f>(AD19*AL19+AE19*AM19)*AN19</f>
        <v>245.70875302027707</v>
      </c>
      <c r="AU19">
        <f>((AT19+0.00000010773*(AS19^4-AR19^4))-AQ19*44100)/(Q19*51.4+0.00000043092*AR19^3)</f>
        <v>-1.9091055507063655</v>
      </c>
      <c r="AV19">
        <f>0.61365*EXP(17.502*O19/(240.97+O19))</f>
        <v>5.2865879279444057</v>
      </c>
      <c r="AW19">
        <f>AV19*1000/AF19</f>
        <v>54.042998390349581</v>
      </c>
      <c r="AX19">
        <f>(AW19-Z19)</f>
        <v>21.231574134978487</v>
      </c>
      <c r="AY19">
        <f>IF(I19,U19,(T19+U19)/2)</f>
        <v>33.943931579589844</v>
      </c>
      <c r="AZ19">
        <f>0.61365*EXP(17.502*AY19/(240.97+AY19))</f>
        <v>5.3263224646201239</v>
      </c>
      <c r="BA19">
        <f>IF(AX19&lt;&gt;0,(1000-(AW19+Z19)/2)/AX19*AQ19,0)</f>
        <v>0.48714673867219072</v>
      </c>
      <c r="BB19">
        <f>Z19*AF19/1000</f>
        <v>3.2096753424784401</v>
      </c>
      <c r="BC19">
        <f>(AZ19-BB19)</f>
        <v>2.1166471221416838</v>
      </c>
      <c r="BD19">
        <f>1/(1.6/K19+1.37/S19)</f>
        <v>0.30968303062356256</v>
      </c>
      <c r="BE19">
        <f>L19*AF19*0.001</f>
        <v>29.444085331932587</v>
      </c>
      <c r="BF19">
        <f>L19/X19</f>
        <v>0.78910216772348274</v>
      </c>
      <c r="BG19">
        <f>(1-AQ19*AF19/AV19/K19)*100</f>
        <v>63.74241788941103</v>
      </c>
      <c r="BH19">
        <f>(X19-J19/(S19/1.35))</f>
        <v>374.5506223034003</v>
      </c>
      <c r="BI19">
        <f>J19*BG19/100/BH19</f>
        <v>3.6118328943097987E-2</v>
      </c>
    </row>
    <row r="20" spans="1:61">
      <c r="A20" s="1">
        <v>13</v>
      </c>
      <c r="B20" s="1" t="s">
        <v>89</v>
      </c>
      <c r="C20" s="1" t="s">
        <v>74</v>
      </c>
      <c r="D20" s="1">
        <v>20</v>
      </c>
      <c r="E20" s="1" t="s">
        <v>75</v>
      </c>
      <c r="F20" s="1" t="s">
        <v>80</v>
      </c>
      <c r="G20" s="1">
        <v>0</v>
      </c>
      <c r="H20" s="1">
        <v>3879</v>
      </c>
      <c r="I20" s="1">
        <v>0</v>
      </c>
      <c r="J20">
        <f>(W20-X20*(1000-Y20)/(1000-Z20))*AP20</f>
        <v>8.3087912418991738</v>
      </c>
      <c r="K20">
        <f>IF(BA20&lt;&gt;0,1/(1/BA20-1/S20),0)</f>
        <v>0.47024108204415582</v>
      </c>
      <c r="L20">
        <f>((BD20-AQ20/2)*X20-J20)/(BD20+AQ20/2)</f>
        <v>348.45295086633172</v>
      </c>
      <c r="M20">
        <f>AQ20*1000</f>
        <v>11.884484355924823</v>
      </c>
      <c r="N20">
        <f>(AV20-BB20)</f>
        <v>2.598269595862118</v>
      </c>
      <c r="O20">
        <f>(U20+AU20*I20)</f>
        <v>34.393295288085938</v>
      </c>
      <c r="P20" s="1">
        <v>1.5</v>
      </c>
      <c r="Q20">
        <f>(P20*AJ20+AK20)</f>
        <v>2.4080436080694199</v>
      </c>
      <c r="R20" s="1">
        <v>1</v>
      </c>
      <c r="S20">
        <f>Q20*(R20+1)*(R20+1)/(R20*R20+1)</f>
        <v>4.8160872161388397</v>
      </c>
      <c r="T20" s="1">
        <v>34.406707763671875</v>
      </c>
      <c r="U20" s="1">
        <v>34.393295288085938</v>
      </c>
      <c r="V20" s="1">
        <v>34.443325042724609</v>
      </c>
      <c r="W20" s="1">
        <v>400.26101684570312</v>
      </c>
      <c r="X20" s="1">
        <v>395.38388061523438</v>
      </c>
      <c r="Y20" s="1">
        <v>24.941949844360352</v>
      </c>
      <c r="Z20" s="1">
        <v>29.267520904541016</v>
      </c>
      <c r="AA20" s="1">
        <v>44.64306640625</v>
      </c>
      <c r="AB20" s="1">
        <v>52.38531494140625</v>
      </c>
      <c r="AC20" s="1">
        <v>400.0623779296875</v>
      </c>
      <c r="AD20" s="1">
        <v>1287.3787841796875</v>
      </c>
      <c r="AE20" s="1">
        <v>1360.8585205078125</v>
      </c>
      <c r="AF20" s="1">
        <v>97.824478149414062</v>
      </c>
      <c r="AG20" s="1">
        <v>16.154838562011719</v>
      </c>
      <c r="AH20" s="1">
        <v>-0.65420287847518921</v>
      </c>
      <c r="AI20" s="1">
        <v>0</v>
      </c>
      <c r="AJ20" s="1">
        <v>-0.21956524252891541</v>
      </c>
      <c r="AK20" s="1">
        <v>2.737391471862793</v>
      </c>
      <c r="AL20" s="1">
        <v>1</v>
      </c>
      <c r="AM20" s="1">
        <v>0</v>
      </c>
      <c r="AN20" s="1">
        <v>0.18999999761581421</v>
      </c>
      <c r="AO20" s="1">
        <v>111115</v>
      </c>
      <c r="AP20">
        <f>AC20*0.000001/(P20*0.0001)</f>
        <v>2.6670825195312493</v>
      </c>
      <c r="AQ20">
        <f>(Z20-Y20)/(1000-Z20)*AP20</f>
        <v>1.1884484355924823E-2</v>
      </c>
      <c r="AR20">
        <f>(U20+273.15)</f>
        <v>307.54329528808591</v>
      </c>
      <c r="AS20">
        <f>(T20+273.15)</f>
        <v>307.55670776367185</v>
      </c>
      <c r="AT20">
        <f>(AD20*AL20+AE20*AM20)*AN20</f>
        <v>244.60196592479042</v>
      </c>
      <c r="AU20">
        <f>((AT20+0.00000010773*(AS20^4-AR20^4))-AQ20*44100)/(Q20*51.4+0.00000043092*AR20^3)</f>
        <v>-2.0492948527469186</v>
      </c>
      <c r="AV20">
        <f>0.61365*EXP(17.502*O20/(240.97+O20))</f>
        <v>5.4613495550759099</v>
      </c>
      <c r="AW20">
        <f>AV20*1000/AF20</f>
        <v>55.828046910042438</v>
      </c>
      <c r="AX20">
        <f>(AW20-Z20)</f>
        <v>26.560526005501423</v>
      </c>
      <c r="AY20">
        <f>IF(I20,U20,(T20+U20)/2)</f>
        <v>34.400001525878906</v>
      </c>
      <c r="AZ20">
        <f>0.61365*EXP(17.502*AY20/(240.97+AY20))</f>
        <v>5.4633870094934025</v>
      </c>
      <c r="BA20">
        <f>IF(AX20&lt;&gt;0,(1000-(AW20+Z20)/2)/AX20*AQ20,0)</f>
        <v>0.42841116479931429</v>
      </c>
      <c r="BB20">
        <f>Z20*AF20/1000</f>
        <v>2.8630799592137919</v>
      </c>
      <c r="BC20">
        <f>(AZ20-BB20)</f>
        <v>2.6003070502796106</v>
      </c>
      <c r="BD20">
        <f>1/(1.6/K20+1.37/S20)</f>
        <v>0.27122517929124296</v>
      </c>
      <c r="BE20">
        <f>L20*AF20*0.001</f>
        <v>34.087228078122315</v>
      </c>
      <c r="BF20">
        <f>L20/X20</f>
        <v>0.88130287538309326</v>
      </c>
      <c r="BG20">
        <f>(1-AQ20*AF20/AV20/K20)*100</f>
        <v>54.730328765422584</v>
      </c>
      <c r="BH20">
        <f>(X20-J20/(S20/1.35))</f>
        <v>393.05483886969125</v>
      </c>
      <c r="BI20">
        <f>J20*BG20/100/BH20</f>
        <v>1.1569451164120274E-2</v>
      </c>
    </row>
    <row r="21" spans="1:61">
      <c r="A21" s="1">
        <v>14</v>
      </c>
      <c r="B21" s="1" t="s">
        <v>90</v>
      </c>
      <c r="C21" s="1" t="s">
        <v>74</v>
      </c>
      <c r="D21" s="1">
        <v>20</v>
      </c>
      <c r="E21" s="1" t="s">
        <v>78</v>
      </c>
      <c r="F21" s="1" t="s">
        <v>80</v>
      </c>
      <c r="G21" s="1">
        <v>0</v>
      </c>
      <c r="H21" s="1">
        <v>4033.5</v>
      </c>
      <c r="I21" s="1">
        <v>0</v>
      </c>
      <c r="J21">
        <f>(W21-X21*(1000-Y21)/(1000-Z21))*AP21</f>
        <v>1.2257240120665556</v>
      </c>
      <c r="K21">
        <f>IF(BA21&lt;&gt;0,1/(1/BA21-1/S21),0)</f>
        <v>2.2574300490038082E-2</v>
      </c>
      <c r="L21">
        <f>((BD21-AQ21/2)*X21-J21)/(BD21+AQ21/2)</f>
        <v>294.44546729254546</v>
      </c>
      <c r="M21">
        <f>AQ21*1000</f>
        <v>0.67980179419534681</v>
      </c>
      <c r="N21">
        <f>(AV21-BB21)</f>
        <v>2.843911457424166</v>
      </c>
      <c r="O21">
        <f>(U21+AU21*I21)</f>
        <v>34.123744964599609</v>
      </c>
      <c r="P21" s="1">
        <v>4</v>
      </c>
      <c r="Q21">
        <f>(P21*AJ21+AK21)</f>
        <v>1.8591305017471313</v>
      </c>
      <c r="R21" s="1">
        <v>1</v>
      </c>
      <c r="S21">
        <f>Q21*(R21+1)*(R21+1)/(R21*R21+1)</f>
        <v>3.7182610034942627</v>
      </c>
      <c r="T21" s="1">
        <v>34.673717498779297</v>
      </c>
      <c r="U21" s="1">
        <v>34.123744964599609</v>
      </c>
      <c r="V21" s="1">
        <v>34.707004547119141</v>
      </c>
      <c r="W21" s="1">
        <v>400.0511474609375</v>
      </c>
      <c r="X21" s="1">
        <v>398.55477905273438</v>
      </c>
      <c r="Y21" s="1">
        <v>25.262332916259766</v>
      </c>
      <c r="Z21" s="1">
        <v>25.924381256103516</v>
      </c>
      <c r="AA21" s="1">
        <v>44.551536560058594</v>
      </c>
      <c r="AB21" s="1">
        <v>45.719100952148438</v>
      </c>
      <c r="AC21" s="1">
        <v>400.07855224609375</v>
      </c>
      <c r="AD21" s="1">
        <v>27.021577835083008</v>
      </c>
      <c r="AE21" s="1">
        <v>33.103843688964844</v>
      </c>
      <c r="AF21" s="1">
        <v>97.826431274414062</v>
      </c>
      <c r="AG21" s="1">
        <v>16.154838562011719</v>
      </c>
      <c r="AH21" s="1">
        <v>-0.65420287847518921</v>
      </c>
      <c r="AI21" s="1">
        <v>1</v>
      </c>
      <c r="AJ21" s="1">
        <v>-0.21956524252891541</v>
      </c>
      <c r="AK21" s="1">
        <v>2.737391471862793</v>
      </c>
      <c r="AL21" s="1">
        <v>1</v>
      </c>
      <c r="AM21" s="1">
        <v>0</v>
      </c>
      <c r="AN21" s="1">
        <v>0.18999999761581421</v>
      </c>
      <c r="AO21" s="1">
        <v>111115</v>
      </c>
      <c r="AP21">
        <f>AC21*0.000001/(P21*0.0001)</f>
        <v>1.0001963806152343</v>
      </c>
      <c r="AQ21">
        <f>(Z21-Y21)/(1000-Z21)*AP21</f>
        <v>6.7980179419534681E-4</v>
      </c>
      <c r="AR21">
        <f>(U21+273.15)</f>
        <v>307.27374496459959</v>
      </c>
      <c r="AS21">
        <f>(T21+273.15)</f>
        <v>307.82371749877927</v>
      </c>
      <c r="AT21">
        <f>(AD21*AL21+AE21*AM21)*AN21</f>
        <v>5.1340997242413096</v>
      </c>
      <c r="AU21">
        <f>((AT21+0.00000010773*(AS21^4-AR21^4))-AQ21*44100)/(Q21*51.4+0.00000043092*AR21^3)</f>
        <v>-0.16611917075613986</v>
      </c>
      <c r="AV21">
        <f>0.61365*EXP(17.502*O21/(240.97+O21))</f>
        <v>5.3800011587060848</v>
      </c>
      <c r="AW21">
        <f>AV21*1000/AF21</f>
        <v>54.995373833218757</v>
      </c>
      <c r="AX21">
        <f>(AW21-Z21)</f>
        <v>29.070992577115241</v>
      </c>
      <c r="AY21">
        <f>IF(I21,U21,(T21+U21)/2)</f>
        <v>34.398731231689453</v>
      </c>
      <c r="AZ21">
        <f>0.61365*EXP(17.502*AY21/(240.97+AY21))</f>
        <v>5.4630010245694134</v>
      </c>
      <c r="BA21">
        <f>IF(AX21&lt;&gt;0,(1000-(AW21+Z21)/2)/AX21*AQ21,0)</f>
        <v>2.2438074486698194E-2</v>
      </c>
      <c r="BB21">
        <f>Z21*AF21/1000</f>
        <v>2.5360897012819188</v>
      </c>
      <c r="BC21">
        <f>(AZ21-BB21)</f>
        <v>2.9269113232874946</v>
      </c>
      <c r="BD21">
        <f>1/(1.6/K21+1.37/S21)</f>
        <v>1.4035972313929092E-2</v>
      </c>
      <c r="BE21">
        <f>L21*AF21*0.001</f>
        <v>28.804549270156933</v>
      </c>
      <c r="BF21">
        <f>L21/X21</f>
        <v>0.73878292964487624</v>
      </c>
      <c r="BG21">
        <f>(1-AQ21*AF21/AV21/K21)*100</f>
        <v>45.242722611808105</v>
      </c>
      <c r="BH21">
        <f>(X21-J21/(S21/1.35))</f>
        <v>398.1097518169554</v>
      </c>
      <c r="BI21">
        <f>J21*BG21/100/BH21</f>
        <v>1.3929598866509827E-3</v>
      </c>
    </row>
    <row r="22" spans="1:61">
      <c r="A22" s="1">
        <v>15</v>
      </c>
      <c r="B22" s="1" t="s">
        <v>91</v>
      </c>
      <c r="C22" s="1" t="s">
        <v>74</v>
      </c>
      <c r="D22" s="1">
        <v>19</v>
      </c>
      <c r="E22" s="1" t="s">
        <v>78</v>
      </c>
      <c r="F22" s="1" t="s">
        <v>76</v>
      </c>
      <c r="G22" s="1">
        <v>0</v>
      </c>
      <c r="H22" s="1">
        <v>4403.5</v>
      </c>
      <c r="I22" s="1">
        <v>0</v>
      </c>
      <c r="J22">
        <f>(W22-X22*(1000-Y22)/(1000-Z22))*AP22</f>
        <v>0.51992522112111095</v>
      </c>
      <c r="K22">
        <f>IF(BA22&lt;&gt;0,1/(1/BA22-1/S22),0)</f>
        <v>7.9676779359149894E-2</v>
      </c>
      <c r="L22">
        <f>((BD22-AQ22/2)*X22-J22)/(BD22+AQ22/2)</f>
        <v>373.40285998463997</v>
      </c>
      <c r="M22">
        <f>AQ22*1000</f>
        <v>1.8295981859250765</v>
      </c>
      <c r="N22">
        <f>(AV22-BB22)</f>
        <v>2.2069164012724531</v>
      </c>
      <c r="O22">
        <f>(U22+AU22*I22)</f>
        <v>32.684928894042969</v>
      </c>
      <c r="P22" s="1">
        <v>4.5</v>
      </c>
      <c r="Q22">
        <f>(P22*AJ22+AK22)</f>
        <v>1.7493478804826736</v>
      </c>
      <c r="R22" s="1">
        <v>1</v>
      </c>
      <c r="S22">
        <f>Q22*(R22+1)*(R22+1)/(R22*R22+1)</f>
        <v>3.4986957609653473</v>
      </c>
      <c r="T22" s="1">
        <v>34.884117126464844</v>
      </c>
      <c r="U22" s="1">
        <v>32.684928894042969</v>
      </c>
      <c r="V22" s="1">
        <v>34.956371307373047</v>
      </c>
      <c r="W22" s="1">
        <v>399.908447265625</v>
      </c>
      <c r="X22" s="1">
        <v>398.50372314453125</v>
      </c>
      <c r="Y22" s="1">
        <v>26.176548004150391</v>
      </c>
      <c r="Z22" s="1">
        <v>28.176237106323242</v>
      </c>
      <c r="AA22" s="1">
        <v>45.629158020019531</v>
      </c>
      <c r="AB22" s="1">
        <v>49.114879608154297</v>
      </c>
      <c r="AC22" s="1">
        <v>400.12277221679688</v>
      </c>
      <c r="AD22" s="1">
        <v>20.652154922485352</v>
      </c>
      <c r="AE22" s="1">
        <v>34.625007629394531</v>
      </c>
      <c r="AF22" s="1">
        <v>97.828453063964844</v>
      </c>
      <c r="AG22" s="1">
        <v>17.517326354980469</v>
      </c>
      <c r="AH22" s="1">
        <v>-0.77218002080917358</v>
      </c>
      <c r="AI22" s="1">
        <v>1</v>
      </c>
      <c r="AJ22" s="1">
        <v>-0.21956524252891541</v>
      </c>
      <c r="AK22" s="1">
        <v>2.737391471862793</v>
      </c>
      <c r="AL22" s="1">
        <v>1</v>
      </c>
      <c r="AM22" s="1">
        <v>0</v>
      </c>
      <c r="AN22" s="1">
        <v>0.18999999761581421</v>
      </c>
      <c r="AO22" s="1">
        <v>111115</v>
      </c>
      <c r="AP22">
        <f>AC22*0.000001/(P22*0.0001)</f>
        <v>0.88916171603732619</v>
      </c>
      <c r="AQ22">
        <f>(Z22-Y22)/(1000-Z22)*AP22</f>
        <v>1.8295981859250765E-3</v>
      </c>
      <c r="AR22">
        <f>(U22+273.15)</f>
        <v>305.83492889404295</v>
      </c>
      <c r="AS22">
        <f>(T22+273.15)</f>
        <v>308.03411712646482</v>
      </c>
      <c r="AT22">
        <f>(AD22*AL22+AE22*AM22)*AN22</f>
        <v>3.9239093860336425</v>
      </c>
      <c r="AU22">
        <f>((AT22+0.00000010773*(AS22^4-AR22^4))-AQ22*44100)/(Q22*51.4+0.00000043092*AR22^3)</f>
        <v>-0.48275085594928202</v>
      </c>
      <c r="AV22">
        <f>0.61365*EXP(17.502*O22/(240.97+O22))</f>
        <v>4.9633540905475408</v>
      </c>
      <c r="AW22">
        <f>AV22*1000/AF22</f>
        <v>50.735281353189414</v>
      </c>
      <c r="AX22">
        <f>(AW22-Z22)</f>
        <v>22.559044246866172</v>
      </c>
      <c r="AY22">
        <f>IF(I22,U22,(T22+U22)/2)</f>
        <v>33.784523010253906</v>
      </c>
      <c r="AZ22">
        <f>0.61365*EXP(17.502*AY22/(240.97+AY22))</f>
        <v>5.2791251962014893</v>
      </c>
      <c r="BA22">
        <f>IF(AX22&lt;&gt;0,(1000-(AW22+Z22)/2)/AX22*AQ22,0)</f>
        <v>7.7902679793633176E-2</v>
      </c>
      <c r="BB22">
        <f>Z22*AF22/1000</f>
        <v>2.7564376892750877</v>
      </c>
      <c r="BC22">
        <f>(AZ22-BB22)</f>
        <v>2.5226875069264016</v>
      </c>
      <c r="BD22">
        <f>1/(1.6/K22+1.37/S22)</f>
        <v>4.8845517997111024E-2</v>
      </c>
      <c r="BE22">
        <f>L22*AF22*0.001</f>
        <v>36.529424161957593</v>
      </c>
      <c r="BF22">
        <f>L22/X22</f>
        <v>0.93701222422258879</v>
      </c>
      <c r="BG22">
        <f>(1-AQ22*AF22/AV22/K22)*100</f>
        <v>54.740070110117742</v>
      </c>
      <c r="BH22">
        <f>(X22-J22/(S22/1.35))</f>
        <v>398.30310580125018</v>
      </c>
      <c r="BI22">
        <f>J22*BG22/100/BH22</f>
        <v>7.1454986520717086E-4</v>
      </c>
    </row>
    <row r="23" spans="1:61">
      <c r="A23" s="1">
        <v>16</v>
      </c>
      <c r="B23" s="1" t="s">
        <v>92</v>
      </c>
      <c r="C23" s="1" t="s">
        <v>74</v>
      </c>
      <c r="D23" s="1">
        <v>19</v>
      </c>
      <c r="E23" s="1" t="s">
        <v>75</v>
      </c>
      <c r="F23" s="1" t="s">
        <v>76</v>
      </c>
      <c r="G23" s="1">
        <v>0</v>
      </c>
      <c r="H23" s="1">
        <v>4539.5</v>
      </c>
      <c r="I23" s="1">
        <v>0</v>
      </c>
      <c r="J23">
        <f>(W23-X23*(1000-Y23)/(1000-Z23))*AP23</f>
        <v>10.98449678543869</v>
      </c>
      <c r="K23">
        <f>IF(BA23&lt;&gt;0,1/(1/BA23-1/S23),0)</f>
        <v>0.37069703354224981</v>
      </c>
      <c r="L23">
        <f>((BD23-AQ23/2)*X23-J23)/(BD23+AQ23/2)</f>
        <v>324.12447290391628</v>
      </c>
      <c r="M23">
        <f>AQ23*1000</f>
        <v>8.6591310470789029</v>
      </c>
      <c r="N23">
        <f>(AV23-BB23)</f>
        <v>2.3774166464044315</v>
      </c>
      <c r="O23">
        <f>(U23+AU23*I23)</f>
        <v>34.743698120117188</v>
      </c>
      <c r="P23" s="1">
        <v>3</v>
      </c>
      <c r="Q23">
        <f>(P23*AJ23+AK23)</f>
        <v>2.0786957442760468</v>
      </c>
      <c r="R23" s="1">
        <v>1</v>
      </c>
      <c r="S23">
        <f>Q23*(R23+1)*(R23+1)/(R23*R23+1)</f>
        <v>4.1573914885520935</v>
      </c>
      <c r="T23" s="1">
        <v>35.056106567382812</v>
      </c>
      <c r="U23" s="1">
        <v>34.743698120117188</v>
      </c>
      <c r="V23" s="1">
        <v>35.075607299804688</v>
      </c>
      <c r="W23" s="1">
        <v>400.27593994140625</v>
      </c>
      <c r="X23" s="1">
        <v>389.50946044921875</v>
      </c>
      <c r="Y23" s="1">
        <v>26.340719223022461</v>
      </c>
      <c r="Z23" s="1">
        <v>32.622329711914062</v>
      </c>
      <c r="AA23" s="1">
        <v>45.478397369384766</v>
      </c>
      <c r="AB23" s="1">
        <v>56.323871612548828</v>
      </c>
      <c r="AC23" s="1">
        <v>400.05584716796875</v>
      </c>
      <c r="AD23" s="1">
        <v>1324.980224609375</v>
      </c>
      <c r="AE23" s="1">
        <v>1427.921875</v>
      </c>
      <c r="AF23" s="1">
        <v>97.824996948242188</v>
      </c>
      <c r="AG23" s="1">
        <v>17.517326354980469</v>
      </c>
      <c r="AH23" s="1">
        <v>-0.77218002080917358</v>
      </c>
      <c r="AI23" s="1">
        <v>1</v>
      </c>
      <c r="AJ23" s="1">
        <v>-0.21956524252891541</v>
      </c>
      <c r="AK23" s="1">
        <v>2.737391471862793</v>
      </c>
      <c r="AL23" s="1">
        <v>1</v>
      </c>
      <c r="AM23" s="1">
        <v>0</v>
      </c>
      <c r="AN23" s="1">
        <v>0.18999999761581421</v>
      </c>
      <c r="AO23" s="1">
        <v>111115</v>
      </c>
      <c r="AP23">
        <f>AC23*0.000001/(P23*0.0001)</f>
        <v>1.3335194905598955</v>
      </c>
      <c r="AQ23">
        <f>(Z23-Y23)/(1000-Z23)*AP23</f>
        <v>8.6591310470789037E-3</v>
      </c>
      <c r="AR23">
        <f>(U23+273.15)</f>
        <v>307.89369812011716</v>
      </c>
      <c r="AS23">
        <f>(T23+273.15)</f>
        <v>308.20610656738279</v>
      </c>
      <c r="AT23">
        <f>(AD23*AL23+AE23*AM23)*AN23</f>
        <v>251.74623951678223</v>
      </c>
      <c r="AU23">
        <f>((AT23+0.00000010773*(AS23^4-AR23^4))-AQ23*44100)/(Q23*51.4+0.00000043092*AR23^3)</f>
        <v>-1.0566349849881231</v>
      </c>
      <c r="AV23">
        <f>0.61365*EXP(17.502*O23/(240.97+O23))</f>
        <v>5.5686959509169753</v>
      </c>
      <c r="AW23">
        <f>AV23*1000/AF23</f>
        <v>56.925081774991448</v>
      </c>
      <c r="AX23">
        <f>(AW23-Z23)</f>
        <v>24.302752063077385</v>
      </c>
      <c r="AY23">
        <f>IF(I23,U23,(T23+U23)/2)</f>
        <v>34.89990234375</v>
      </c>
      <c r="AZ23">
        <f>0.61365*EXP(17.502*AY23/(240.97+AY23))</f>
        <v>5.6171373185852413</v>
      </c>
      <c r="BA23">
        <f>IF(AX23&lt;&gt;0,(1000-(AW23+Z23)/2)/AX23*AQ23,0)</f>
        <v>0.34034950610180442</v>
      </c>
      <c r="BB23">
        <f>Z23*AF23/1000</f>
        <v>3.1912793045125438</v>
      </c>
      <c r="BC23">
        <f>(AZ23-BB23)</f>
        <v>2.4258580140726975</v>
      </c>
      <c r="BD23">
        <f>1/(1.6/K23+1.37/S23)</f>
        <v>0.21525157667057507</v>
      </c>
      <c r="BE23">
        <f>L23*AF23*0.001</f>
        <v>31.70747557267622</v>
      </c>
      <c r="BF23">
        <f>L23/X23</f>
        <v>0.83213504629670776</v>
      </c>
      <c r="BG23">
        <f>(1-AQ23*AF23/AV23/K23)*100</f>
        <v>58.965273942766203</v>
      </c>
      <c r="BH23">
        <f>(X23-J23/(S23/1.35))</f>
        <v>385.94254338086569</v>
      </c>
      <c r="BI23">
        <f>J23*BG23/100/BH23</f>
        <v>1.6782390881371258E-2</v>
      </c>
    </row>
    <row r="24" spans="1:61">
      <c r="A24" s="1">
        <v>17</v>
      </c>
      <c r="B24" s="1" t="s">
        <v>93</v>
      </c>
      <c r="C24" s="1" t="s">
        <v>74</v>
      </c>
      <c r="D24" s="1">
        <v>19</v>
      </c>
      <c r="E24" s="1" t="s">
        <v>75</v>
      </c>
      <c r="F24" s="1" t="s">
        <v>94</v>
      </c>
      <c r="G24" s="1">
        <v>0</v>
      </c>
      <c r="H24" s="1">
        <v>4700</v>
      </c>
      <c r="I24" s="1">
        <v>0</v>
      </c>
      <c r="J24">
        <f>(W24-X24*(1000-Y24)/(1000-Z24))*AP24</f>
        <v>11.258542732367026</v>
      </c>
      <c r="K24">
        <f>IF(BA24&lt;&gt;0,1/(1/BA24-1/S24),0)</f>
        <v>0.40831537395724127</v>
      </c>
      <c r="L24">
        <f>((BD24-AQ24/2)*X24-J24)/(BD24+AQ24/2)</f>
        <v>327.95876315479887</v>
      </c>
      <c r="M24">
        <f>AQ24*1000</f>
        <v>11.220462354534266</v>
      </c>
      <c r="N24">
        <f>(AV24-BB24)</f>
        <v>2.7927456283733871</v>
      </c>
      <c r="O24">
        <f>(U24+AU24*I24)</f>
        <v>35.736713409423828</v>
      </c>
      <c r="P24" s="1">
        <v>2</v>
      </c>
      <c r="Q24">
        <f>(P24*AJ24+AK24)</f>
        <v>2.2982609868049622</v>
      </c>
      <c r="R24" s="1">
        <v>1</v>
      </c>
      <c r="S24">
        <f>Q24*(R24+1)*(R24+1)/(R24*R24+1)</f>
        <v>4.5965219736099243</v>
      </c>
      <c r="T24" s="1">
        <v>35.356861114501953</v>
      </c>
      <c r="U24" s="1">
        <v>35.736713409423828</v>
      </c>
      <c r="V24" s="1">
        <v>35.305931091308594</v>
      </c>
      <c r="W24" s="1">
        <v>400.30343627929688</v>
      </c>
      <c r="X24" s="1">
        <v>392.47402954101562</v>
      </c>
      <c r="Y24" s="1">
        <v>26.15745735168457</v>
      </c>
      <c r="Z24" s="1">
        <v>31.589262008666992</v>
      </c>
      <c r="AA24" s="1">
        <v>44.416690826416016</v>
      </c>
      <c r="AB24" s="1">
        <v>53.640174865722656</v>
      </c>
      <c r="AC24" s="1">
        <v>400.088623046875</v>
      </c>
      <c r="AD24" s="1">
        <v>1356.26953125</v>
      </c>
      <c r="AE24" s="1">
        <v>1446.0877685546875</v>
      </c>
      <c r="AF24" s="1">
        <v>97.823966979980469</v>
      </c>
      <c r="AG24" s="1">
        <v>17.517326354980469</v>
      </c>
      <c r="AH24" s="1">
        <v>-0.77218002080917358</v>
      </c>
      <c r="AI24" s="1">
        <v>1</v>
      </c>
      <c r="AJ24" s="1">
        <v>-0.21956524252891541</v>
      </c>
      <c r="AK24" s="1">
        <v>2.737391471862793</v>
      </c>
      <c r="AL24" s="1">
        <v>1</v>
      </c>
      <c r="AM24" s="1">
        <v>0</v>
      </c>
      <c r="AN24" s="1">
        <v>0.18999999761581421</v>
      </c>
      <c r="AO24" s="1">
        <v>111115</v>
      </c>
      <c r="AP24">
        <f>AC24*0.000001/(P24*0.0001)</f>
        <v>2.0004431152343747</v>
      </c>
      <c r="AQ24">
        <f>(Z24-Y24)/(1000-Z24)*AP24</f>
        <v>1.1220462354534267E-2</v>
      </c>
      <c r="AR24">
        <f>(U24+273.15)</f>
        <v>308.88671340942381</v>
      </c>
      <c r="AS24">
        <f>(T24+273.15)</f>
        <v>308.50686111450193</v>
      </c>
      <c r="AT24">
        <f>(AD24*AL24+AE24*AM24)*AN24</f>
        <v>257.69120770390145</v>
      </c>
      <c r="AU24">
        <f>((AT24+0.00000010773*(AS24^4-AR24^4))-AQ24*44100)/(Q24*51.4+0.00000043092*AR24^3)</f>
        <v>-1.8493134725934663</v>
      </c>
      <c r="AV24">
        <f>0.61365*EXP(17.502*O24/(240.97+O24))</f>
        <v>5.8829325520311784</v>
      </c>
      <c r="AW24">
        <f>AV24*1000/AF24</f>
        <v>60.137947106920251</v>
      </c>
      <c r="AX24">
        <f>(AW24-Z24)</f>
        <v>28.548685098253259</v>
      </c>
      <c r="AY24">
        <f>IF(I24,U24,(T24+U24)/2)</f>
        <v>35.546787261962891</v>
      </c>
      <c r="AZ24">
        <f>0.61365*EXP(17.502*AY24/(240.97+AY24))</f>
        <v>5.8216669348191514</v>
      </c>
      <c r="BA24">
        <f>IF(AX24&lt;&gt;0,(1000-(AW24+Z24)/2)/AX24*AQ24,0)</f>
        <v>0.37500331343825466</v>
      </c>
      <c r="BB24">
        <f>Z24*AF24/1000</f>
        <v>3.0901869236577912</v>
      </c>
      <c r="BC24">
        <f>(AZ24-BB24)</f>
        <v>2.7314800111613602</v>
      </c>
      <c r="BD24">
        <f>1/(1.6/K24+1.37/S24)</f>
        <v>0.23715839837783789</v>
      </c>
      <c r="BE24">
        <f>L24*AF24*0.001</f>
        <v>32.082227217650285</v>
      </c>
      <c r="BF24">
        <f>L24/X24</f>
        <v>0.83561901799804417</v>
      </c>
      <c r="BG24">
        <f>(1-AQ24*AF24/AV24/K24)*100</f>
        <v>54.305237767800094</v>
      </c>
      <c r="BH24">
        <f>(X24-J24/(S24/1.35))</f>
        <v>389.16739187541589</v>
      </c>
      <c r="BI24">
        <f>J24*BG24/100/BH24</f>
        <v>1.5710407725934444E-2</v>
      </c>
    </row>
    <row r="25" spans="1:61">
      <c r="A25" s="1">
        <v>18</v>
      </c>
      <c r="B25" s="1" t="s">
        <v>95</v>
      </c>
      <c r="C25" s="1" t="s">
        <v>74</v>
      </c>
      <c r="D25" s="1">
        <v>19</v>
      </c>
      <c r="E25" s="1" t="s">
        <v>78</v>
      </c>
      <c r="F25" s="1" t="s">
        <v>94</v>
      </c>
      <c r="G25" s="1">
        <v>0</v>
      </c>
      <c r="H25" s="1">
        <v>4791</v>
      </c>
      <c r="I25" s="1">
        <v>0</v>
      </c>
      <c r="J25">
        <f>(W25-X25*(1000-Y25)/(1000-Z25))*AP25</f>
        <v>-0.35657160629202317</v>
      </c>
      <c r="K25">
        <f>IF(BA25&lt;&gt;0,1/(1/BA25-1/S25),0)</f>
        <v>2.0660816548694269E-2</v>
      </c>
      <c r="L25">
        <f>((BD25-AQ25/2)*X25-J25)/(BD25+AQ25/2)</f>
        <v>408.59439767669772</v>
      </c>
      <c r="M25">
        <f>AQ25*1000</f>
        <v>0.60748596417332978</v>
      </c>
      <c r="N25">
        <f>(AV25-BB25)</f>
        <v>2.7754388872765392</v>
      </c>
      <c r="O25">
        <f>(U25+AU25*I25)</f>
        <v>34.096504211425781</v>
      </c>
      <c r="P25" s="1">
        <v>4.5</v>
      </c>
      <c r="Q25">
        <f>(P25*AJ25+AK25)</f>
        <v>1.7493478804826736</v>
      </c>
      <c r="R25" s="1">
        <v>1</v>
      </c>
      <c r="S25">
        <f>Q25*(R25+1)*(R25+1)/(R25*R25+1)</f>
        <v>3.4986957609653473</v>
      </c>
      <c r="T25" s="1">
        <v>35.452335357666016</v>
      </c>
      <c r="U25" s="1">
        <v>34.096504211425781</v>
      </c>
      <c r="V25" s="1">
        <v>35.445426940917969</v>
      </c>
      <c r="W25" s="1">
        <v>399.8287353515625</v>
      </c>
      <c r="X25" s="1">
        <v>399.95651245117188</v>
      </c>
      <c r="Y25" s="1">
        <v>25.876499176025391</v>
      </c>
      <c r="Z25" s="1">
        <v>26.541641235351562</v>
      </c>
      <c r="AA25" s="1">
        <v>43.708446502685547</v>
      </c>
      <c r="AB25" s="1">
        <v>44.831947326660156</v>
      </c>
      <c r="AC25" s="1">
        <v>400.08450317382812</v>
      </c>
      <c r="AD25" s="1">
        <v>27.294946670532227</v>
      </c>
      <c r="AE25" s="1">
        <v>38.724384307861328</v>
      </c>
      <c r="AF25" s="1">
        <v>97.823646545410156</v>
      </c>
      <c r="AG25" s="1">
        <v>17.517326354980469</v>
      </c>
      <c r="AH25" s="1">
        <v>-0.77218002080917358</v>
      </c>
      <c r="AI25" s="1">
        <v>1</v>
      </c>
      <c r="AJ25" s="1">
        <v>-0.21956524252891541</v>
      </c>
      <c r="AK25" s="1">
        <v>2.737391471862793</v>
      </c>
      <c r="AL25" s="1">
        <v>1</v>
      </c>
      <c r="AM25" s="1">
        <v>0</v>
      </c>
      <c r="AN25" s="1">
        <v>0.18999999761581421</v>
      </c>
      <c r="AO25" s="1">
        <v>111115</v>
      </c>
      <c r="AP25">
        <f>AC25*0.000001/(P25*0.0001)</f>
        <v>0.88907667371961796</v>
      </c>
      <c r="AQ25">
        <f>(Z25-Y25)/(1000-Z25)*AP25</f>
        <v>6.0748596417332977E-4</v>
      </c>
      <c r="AR25">
        <f>(U25+273.15)</f>
        <v>307.24650421142576</v>
      </c>
      <c r="AS25">
        <f>(T25+273.15)</f>
        <v>308.60233535766599</v>
      </c>
      <c r="AT25">
        <f>(AD25*AL25+AE25*AM25)*AN25</f>
        <v>5.186039802324899</v>
      </c>
      <c r="AU25">
        <f>((AT25+0.00000010773*(AS25^4-AR25^4))-AQ25*44100)/(Q25*51.4+0.00000043092*AR25^3)</f>
        <v>-4.4385616333316107E-2</v>
      </c>
      <c r="AV25">
        <f>0.61365*EXP(17.502*O25/(240.97+O25))</f>
        <v>5.3718390182186537</v>
      </c>
      <c r="AW25">
        <f>AV25*1000/AF25</f>
        <v>54.913502081779619</v>
      </c>
      <c r="AX25">
        <f>(AW25-Z25)</f>
        <v>28.371860846428056</v>
      </c>
      <c r="AY25">
        <f>IF(I25,U25,(T25+U25)/2)</f>
        <v>34.774419784545898</v>
      </c>
      <c r="AZ25">
        <f>0.61365*EXP(17.502*AY25/(240.97+AY25))</f>
        <v>5.5781944273990769</v>
      </c>
      <c r="BA25">
        <f>IF(AX25&lt;&gt;0,(1000-(AW25+Z25)/2)/AX25*AQ25,0)</f>
        <v>2.0539524678701283E-2</v>
      </c>
      <c r="BB25">
        <f>Z25*AF25/1000</f>
        <v>2.5964001309421145</v>
      </c>
      <c r="BC25">
        <f>(AZ25-BB25)</f>
        <v>2.9817942964569624</v>
      </c>
      <c r="BD25">
        <f>1/(1.6/K25+1.37/S25)</f>
        <v>1.2848045416595729E-2</v>
      </c>
      <c r="BE25">
        <f>L25*AF25*0.001</f>
        <v>39.970193938760033</v>
      </c>
      <c r="BF25">
        <f>L25/X25</f>
        <v>1.0215970610719345</v>
      </c>
      <c r="BG25">
        <f>(1-AQ25*AF25/AV25/K25)*100</f>
        <v>46.456146336654768</v>
      </c>
      <c r="BH25">
        <f>(X25-J25/(S25/1.35))</f>
        <v>400.09409848361997</v>
      </c>
      <c r="BI25">
        <f>J25*BG25/100/BH25</f>
        <v>-4.1402616994802924E-4</v>
      </c>
    </row>
    <row r="26" spans="1:61">
      <c r="A26" s="1">
        <v>20</v>
      </c>
      <c r="B26" s="1" t="s">
        <v>96</v>
      </c>
      <c r="C26" s="1" t="s">
        <v>74</v>
      </c>
      <c r="D26" s="1">
        <v>19</v>
      </c>
      <c r="E26" s="1" t="s">
        <v>78</v>
      </c>
      <c r="F26" s="1" t="s">
        <v>80</v>
      </c>
      <c r="G26" s="1">
        <v>0</v>
      </c>
      <c r="H26" s="1">
        <v>5041</v>
      </c>
      <c r="I26" s="1">
        <v>0</v>
      </c>
      <c r="J26">
        <f>(W26-X26*(1000-Y26)/(1000-Z26))*AP26</f>
        <v>0.48468798726591855</v>
      </c>
      <c r="K26">
        <f>IF(BA26&lt;&gt;0,1/(1/BA26-1/S26),0)</f>
        <v>4.1053815060081884E-3</v>
      </c>
      <c r="L26">
        <f>((BD26-AQ26/2)*X26-J26)/(BD26+AQ26/2)</f>
        <v>195.89362767976925</v>
      </c>
      <c r="M26">
        <f>AQ26*1000</f>
        <v>0.12420108448038306</v>
      </c>
      <c r="N26">
        <f>(AV26-BB26)</f>
        <v>2.8446819140878343</v>
      </c>
      <c r="O26">
        <f>(U26+AU26*I26)</f>
        <v>33.952072143554688</v>
      </c>
      <c r="P26" s="1">
        <v>4.5</v>
      </c>
      <c r="Q26">
        <f>(P26*AJ26+AK26)</f>
        <v>1.7493478804826736</v>
      </c>
      <c r="R26" s="1">
        <v>1</v>
      </c>
      <c r="S26">
        <f>Q26*(R26+1)*(R26+1)/(R26*R26+1)</f>
        <v>3.4986957609653473</v>
      </c>
      <c r="T26" s="1">
        <v>35.4808349609375</v>
      </c>
      <c r="U26" s="1">
        <v>33.952072143554688</v>
      </c>
      <c r="V26" s="1">
        <v>35.527050018310547</v>
      </c>
      <c r="W26" s="1">
        <v>400.005126953125</v>
      </c>
      <c r="X26" s="1">
        <v>399.40423583984375</v>
      </c>
      <c r="Y26" s="1">
        <v>25.2567138671875</v>
      </c>
      <c r="Z26" s="1">
        <v>25.392848968505859</v>
      </c>
      <c r="AA26" s="1">
        <v>42.595184326171875</v>
      </c>
      <c r="AB26" s="1">
        <v>42.824771881103516</v>
      </c>
      <c r="AC26" s="1">
        <v>400.12655639648438</v>
      </c>
      <c r="AD26" s="1">
        <v>18.086189270019531</v>
      </c>
      <c r="AE26" s="1">
        <v>30.37799072265625</v>
      </c>
      <c r="AF26" s="1">
        <v>97.825202941894531</v>
      </c>
      <c r="AG26" s="1">
        <v>17.517326354980469</v>
      </c>
      <c r="AH26" s="1">
        <v>-0.77218002080917358</v>
      </c>
      <c r="AI26" s="1">
        <v>1</v>
      </c>
      <c r="AJ26" s="1">
        <v>-0.21956524252891541</v>
      </c>
      <c r="AK26" s="1">
        <v>2.737391471862793</v>
      </c>
      <c r="AL26" s="1">
        <v>1</v>
      </c>
      <c r="AM26" s="1">
        <v>0</v>
      </c>
      <c r="AN26" s="1">
        <v>0.18999999761581421</v>
      </c>
      <c r="AO26" s="1">
        <v>111115</v>
      </c>
      <c r="AP26">
        <f>AC26*0.000001/(P26*0.0001)</f>
        <v>0.88917012532552064</v>
      </c>
      <c r="AQ26">
        <f>(Z26-Y26)/(1000-Z26)*AP26</f>
        <v>1.2420108448038306E-4</v>
      </c>
      <c r="AR26">
        <f>(U26+273.15)</f>
        <v>307.10207214355466</v>
      </c>
      <c r="AS26">
        <f>(T26+273.15)</f>
        <v>308.63083496093748</v>
      </c>
      <c r="AT26">
        <f>(AD26*AL26+AE26*AM26)*AN26</f>
        <v>3.4363759181828755</v>
      </c>
      <c r="AU26">
        <f>((AT26+0.00000010773*(AS26^4-AR26^4))-AQ26*44100)/(Q26*51.4+0.00000043092*AR26^3)</f>
        <v>0.16780068928214223</v>
      </c>
      <c r="AV26">
        <f>0.61365*EXP(17.502*O26/(240.97+O26))</f>
        <v>5.3287425177047973</v>
      </c>
      <c r="AW26">
        <f>AV26*1000/AF26</f>
        <v>54.472082423073765</v>
      </c>
      <c r="AX26">
        <f>(AW26-Z26)</f>
        <v>29.079233454567905</v>
      </c>
      <c r="AY26">
        <f>IF(I26,U26,(T26+U26)/2)</f>
        <v>34.716453552246094</v>
      </c>
      <c r="AZ26">
        <f>0.61365*EXP(17.502*AY26/(240.97+AY26))</f>
        <v>5.5602842832943429</v>
      </c>
      <c r="BA26">
        <f>IF(AX26&lt;&gt;0,(1000-(AW26+Z26)/2)/AX26*AQ26,0)</f>
        <v>4.1005698833598125E-3</v>
      </c>
      <c r="BB26">
        <f>Z26*AF26/1000</f>
        <v>2.484060603616963</v>
      </c>
      <c r="BC26">
        <f>(AZ26-BB26)</f>
        <v>3.0762236796773799</v>
      </c>
      <c r="BD26">
        <f>1/(1.6/K26+1.37/S26)</f>
        <v>2.5632880374206191E-3</v>
      </c>
      <c r="BE26">
        <f>L26*AF26*0.001</f>
        <v>19.163333882797357</v>
      </c>
      <c r="BF26">
        <f>L26/X26</f>
        <v>0.4904645722343321</v>
      </c>
      <c r="BG26">
        <f>(1-AQ26*AF26/AV26/K26)*100</f>
        <v>44.461021454756263</v>
      </c>
      <c r="BH26">
        <f>(X26-J26/(S26/1.35))</f>
        <v>399.21721506767221</v>
      </c>
      <c r="BI26">
        <f>J26*BG26/100/BH26</f>
        <v>5.3979944219188271E-4</v>
      </c>
    </row>
    <row r="27" spans="1:61">
      <c r="A27" s="1">
        <v>21</v>
      </c>
      <c r="B27" s="1" t="s">
        <v>97</v>
      </c>
      <c r="C27" s="1" t="s">
        <v>74</v>
      </c>
      <c r="D27" s="1">
        <v>19</v>
      </c>
      <c r="E27" s="1" t="s">
        <v>75</v>
      </c>
      <c r="F27" s="1" t="s">
        <v>80</v>
      </c>
      <c r="G27" s="1">
        <v>0</v>
      </c>
      <c r="H27" s="1">
        <v>5233</v>
      </c>
      <c r="I27" s="1">
        <v>0</v>
      </c>
      <c r="J27">
        <f>(W27-X27*(1000-Y27)/(1000-Z27))*AP27</f>
        <v>13.969071606348558</v>
      </c>
      <c r="K27">
        <f>IF(BA27&lt;&gt;0,1/(1/BA27-1/S27),0)</f>
        <v>0.49406885444446053</v>
      </c>
      <c r="L27">
        <f>((BD27-AQ27/2)*X27-J27)/(BD27+AQ27/2)</f>
        <v>325.43820813784515</v>
      </c>
      <c r="M27">
        <f>AQ27*1000</f>
        <v>12.782019537706113</v>
      </c>
      <c r="N27">
        <f>(AV27-BB27)</f>
        <v>2.6772797706087297</v>
      </c>
      <c r="O27">
        <f>(U27+AU27*I27)</f>
        <v>35.226264953613281</v>
      </c>
      <c r="P27" s="1">
        <v>2</v>
      </c>
      <c r="Q27">
        <f>(P27*AJ27+AK27)</f>
        <v>2.2982609868049622</v>
      </c>
      <c r="R27" s="1">
        <v>1</v>
      </c>
      <c r="S27">
        <f>Q27*(R27+1)*(R27+1)/(R27*R27+1)</f>
        <v>4.5965219736099243</v>
      </c>
      <c r="T27" s="1">
        <v>35.673980712890625</v>
      </c>
      <c r="U27" s="1">
        <v>35.226264953613281</v>
      </c>
      <c r="V27" s="1">
        <v>35.575634002685547</v>
      </c>
      <c r="W27" s="1">
        <v>400.51434326171875</v>
      </c>
      <c r="X27" s="1">
        <v>391.03274536132812</v>
      </c>
      <c r="Y27" s="1">
        <v>24.908603668212891</v>
      </c>
      <c r="Z27" s="1">
        <v>31.099529266357422</v>
      </c>
      <c r="AA27" s="1">
        <v>41.5621337890625</v>
      </c>
      <c r="AB27" s="1">
        <v>51.892215728759766</v>
      </c>
      <c r="AC27" s="1">
        <v>400.08572387695312</v>
      </c>
      <c r="AD27" s="1">
        <v>1270.94384765625</v>
      </c>
      <c r="AE27" s="1">
        <v>1461.2923583984375</v>
      </c>
      <c r="AF27" s="1">
        <v>97.82305908203125</v>
      </c>
      <c r="AG27" s="1">
        <v>17.517326354980469</v>
      </c>
      <c r="AH27" s="1">
        <v>-0.77218002080917358</v>
      </c>
      <c r="AI27" s="1">
        <v>0</v>
      </c>
      <c r="AJ27" s="1">
        <v>-0.21956524252891541</v>
      </c>
      <c r="AK27" s="1">
        <v>2.737391471862793</v>
      </c>
      <c r="AL27" s="1">
        <v>1</v>
      </c>
      <c r="AM27" s="1">
        <v>0</v>
      </c>
      <c r="AN27" s="1">
        <v>0.18999999761581421</v>
      </c>
      <c r="AO27" s="1">
        <v>111115</v>
      </c>
      <c r="AP27">
        <f>AC27*0.000001/(P27*0.0001)</f>
        <v>2.0004286193847656</v>
      </c>
      <c r="AQ27">
        <f>(Z27-Y27)/(1000-Z27)*AP27</f>
        <v>1.2782019537706113E-2</v>
      </c>
      <c r="AR27">
        <f>(U27+273.15)</f>
        <v>308.37626495361326</v>
      </c>
      <c r="AS27">
        <f>(T27+273.15)</f>
        <v>308.8239807128906</v>
      </c>
      <c r="AT27">
        <f>(AD27*AL27+AE27*AM27)*AN27</f>
        <v>241.47932802452124</v>
      </c>
      <c r="AU27">
        <f>((AT27+0.00000010773*(AS27^4-AR27^4))-AQ27*44100)/(Q27*51.4+0.00000043092*AR27^3)</f>
        <v>-2.4206145597732327</v>
      </c>
      <c r="AV27">
        <f>0.61365*EXP(17.502*O27/(240.97+O27))</f>
        <v>5.7195308594549719</v>
      </c>
      <c r="AW27">
        <f>AV27*1000/AF27</f>
        <v>58.468125134573413</v>
      </c>
      <c r="AX27">
        <f>(AW27-Z27)</f>
        <v>27.368595868215991</v>
      </c>
      <c r="AY27">
        <f>IF(I27,U27,(T27+U27)/2)</f>
        <v>35.450122833251953</v>
      </c>
      <c r="AZ27">
        <f>0.61365*EXP(17.502*AY27/(240.97+AY27))</f>
        <v>5.7906987417440945</v>
      </c>
      <c r="BA27">
        <f>IF(AX27&lt;&gt;0,(1000-(AW27+Z27)/2)/AX27*AQ27,0)</f>
        <v>0.44611685021210351</v>
      </c>
      <c r="BB27">
        <f>Z27*AF27/1000</f>
        <v>3.0422510888462422</v>
      </c>
      <c r="BC27">
        <f>(AZ27-BB27)</f>
        <v>2.7484476528978523</v>
      </c>
      <c r="BD27">
        <f>1/(1.6/K27+1.37/S27)</f>
        <v>0.2827681275662845</v>
      </c>
      <c r="BE27">
        <f>L27*AF27*0.001</f>
        <v>31.835361062218812</v>
      </c>
      <c r="BF27">
        <f>L27/X27</f>
        <v>0.83225308365704442</v>
      </c>
      <c r="BG27">
        <f>(1-AQ27*AF27/AV27/K27)*100</f>
        <v>55.752082883160845</v>
      </c>
      <c r="BH27">
        <f>(X27-J27/(S27/1.35))</f>
        <v>386.93002448305504</v>
      </c>
      <c r="BI27">
        <f>J27*BG27/100/BH27</f>
        <v>2.012779543377255E-2</v>
      </c>
    </row>
    <row r="28" spans="1:61">
      <c r="A28" s="1">
        <v>22</v>
      </c>
      <c r="B28" s="1" t="s">
        <v>98</v>
      </c>
      <c r="C28" s="1" t="s">
        <v>74</v>
      </c>
      <c r="D28" s="1">
        <v>2</v>
      </c>
      <c r="E28" s="1" t="s">
        <v>75</v>
      </c>
      <c r="F28" s="1" t="s">
        <v>76</v>
      </c>
      <c r="G28" s="1">
        <v>0</v>
      </c>
      <c r="H28" s="1">
        <v>5805.5</v>
      </c>
      <c r="I28" s="1">
        <v>0</v>
      </c>
      <c r="J28">
        <f>(W28-X28*(1000-Y28)/(1000-Z28))*AP28</f>
        <v>20.802136704153618</v>
      </c>
      <c r="K28">
        <f>IF(BA28&lt;&gt;0,1/(1/BA28-1/S28),0)</f>
        <v>0.49226425853999745</v>
      </c>
      <c r="L28">
        <f>((BD28-AQ28/2)*X28-J28)/(BD28+AQ28/2)</f>
        <v>290.1120959125559</v>
      </c>
      <c r="M28">
        <f>AQ28*1000</f>
        <v>10.89568059502473</v>
      </c>
      <c r="N28">
        <f>(AV28-BB28)</f>
        <v>2.3227300032599612</v>
      </c>
      <c r="O28">
        <f>(U28+AU28*I28)</f>
        <v>35.186050415039062</v>
      </c>
      <c r="P28" s="1">
        <v>3.5</v>
      </c>
      <c r="Q28">
        <f>(P28*AJ28+AK28)</f>
        <v>1.9689131230115891</v>
      </c>
      <c r="R28" s="1">
        <v>1</v>
      </c>
      <c r="S28">
        <f>Q28*(R28+1)*(R28+1)/(R28*R28+1)</f>
        <v>3.9378262460231781</v>
      </c>
      <c r="T28" s="1">
        <v>35.570022583007812</v>
      </c>
      <c r="U28" s="1">
        <v>35.186050415039062</v>
      </c>
      <c r="V28" s="1">
        <v>35.534358978271484</v>
      </c>
      <c r="W28" s="1">
        <v>399.86459350585938</v>
      </c>
      <c r="X28" s="1">
        <v>378.05999755859375</v>
      </c>
      <c r="Y28" s="1">
        <v>25.390111923217773</v>
      </c>
      <c r="Z28" s="1">
        <v>34.593357086181641</v>
      </c>
      <c r="AA28" s="1">
        <v>42.609928131103516</v>
      </c>
      <c r="AB28" s="1">
        <v>58.054901123046875</v>
      </c>
      <c r="AC28" s="1">
        <v>400.02920532226562</v>
      </c>
      <c r="AD28" s="1">
        <v>1071.686279296875</v>
      </c>
      <c r="AE28" s="1">
        <v>1078.5010986328125</v>
      </c>
      <c r="AF28" s="1">
        <v>97.825050354003906</v>
      </c>
      <c r="AG28" s="1">
        <v>17.517326354980469</v>
      </c>
      <c r="AH28" s="1">
        <v>-0.77218002080917358</v>
      </c>
      <c r="AI28" s="1">
        <v>1</v>
      </c>
      <c r="AJ28" s="1">
        <v>-0.21956524252891541</v>
      </c>
      <c r="AK28" s="1">
        <v>2.737391471862793</v>
      </c>
      <c r="AL28" s="1">
        <v>1</v>
      </c>
      <c r="AM28" s="1">
        <v>0</v>
      </c>
      <c r="AN28" s="1">
        <v>0.18999999761581421</v>
      </c>
      <c r="AO28" s="1">
        <v>111115</v>
      </c>
      <c r="AP28">
        <f>AC28*0.000001/(P28*0.0001)</f>
        <v>1.1429405866350446</v>
      </c>
      <c r="AQ28">
        <f>(Z28-Y28)/(1000-Z28)*AP28</f>
        <v>1.089568059502473E-2</v>
      </c>
      <c r="AR28">
        <f>(U28+273.15)</f>
        <v>308.33605041503904</v>
      </c>
      <c r="AS28">
        <f>(T28+273.15)</f>
        <v>308.72002258300779</v>
      </c>
      <c r="AT28">
        <f>(AD28*AL28+AE28*AM28)*AN28</f>
        <v>203.62039051130705</v>
      </c>
      <c r="AU28">
        <f>((AT28+0.00000010773*(AS28^4-AR28^4))-AQ28*44100)/(Q28*51.4+0.00000043092*AR28^3)</f>
        <v>-2.3896164935227184</v>
      </c>
      <c r="AV28">
        <f>0.61365*EXP(17.502*O28/(240.97+O28))</f>
        <v>5.706826902129718</v>
      </c>
      <c r="AW28">
        <f>AV28*1000/AF28</f>
        <v>58.337070939173223</v>
      </c>
      <c r="AX28">
        <f>(AW28-Z28)</f>
        <v>23.743713852991583</v>
      </c>
      <c r="AY28">
        <f>IF(I28,U28,(T28+U28)/2)</f>
        <v>35.378036499023438</v>
      </c>
      <c r="AZ28">
        <f>0.61365*EXP(17.502*AY28/(240.97+AY28))</f>
        <v>5.7676978548363724</v>
      </c>
      <c r="BA28">
        <f>IF(AX28&lt;&gt;0,(1000-(AW28+Z28)/2)/AX28*AQ28,0)</f>
        <v>0.43756467622078082</v>
      </c>
      <c r="BB28">
        <f>Z28*AF28/1000</f>
        <v>3.3840968988697568</v>
      </c>
      <c r="BC28">
        <f>(AZ28-BB28)</f>
        <v>2.3836009559666156</v>
      </c>
      <c r="BD28">
        <f>1/(1.6/K28+1.37/S28)</f>
        <v>0.27791716576719605</v>
      </c>
      <c r="BE28">
        <f>L28*AF28*0.001</f>
        <v>28.38023039095139</v>
      </c>
      <c r="BF28">
        <f>L28/X28</f>
        <v>0.7673705173412132</v>
      </c>
      <c r="BG28">
        <f>(1-AQ28*AF28/AV28/K28)*100</f>
        <v>62.058767086456356</v>
      </c>
      <c r="BH28">
        <f>(X28-J28/(S28/1.35))</f>
        <v>370.92842729721707</v>
      </c>
      <c r="BI28">
        <f>J28*BG28/100/BH28</f>
        <v>3.4803343761767802E-2</v>
      </c>
    </row>
    <row r="29" spans="1:61">
      <c r="A29" s="1">
        <v>23</v>
      </c>
      <c r="B29" s="1" t="s">
        <v>99</v>
      </c>
      <c r="C29" s="1" t="s">
        <v>74</v>
      </c>
      <c r="D29" s="1">
        <v>2</v>
      </c>
      <c r="E29" s="1" t="s">
        <v>78</v>
      </c>
      <c r="F29" s="1" t="s">
        <v>76</v>
      </c>
      <c r="G29" s="1">
        <v>0</v>
      </c>
      <c r="H29" s="1">
        <v>5916</v>
      </c>
      <c r="I29" s="1">
        <v>0</v>
      </c>
      <c r="J29">
        <f>(W29-X29*(1000-Y29)/(1000-Z29))*AP29</f>
        <v>-2.3312460440600873</v>
      </c>
      <c r="K29">
        <f>IF(BA29&lt;&gt;0,1/(1/BA29-1/S29),0)</f>
        <v>0.13944876858302629</v>
      </c>
      <c r="L29">
        <f>((BD29-AQ29/2)*X29-J29)/(BD29+AQ29/2)</f>
        <v>409.93605592136026</v>
      </c>
      <c r="M29">
        <f>AQ29*1000</f>
        <v>3.8417605644566373</v>
      </c>
      <c r="N29">
        <f>(AV29-BB29)</f>
        <v>2.6687264619356288</v>
      </c>
      <c r="O29">
        <f>(U29+AU29*I29)</f>
        <v>34.290542602539062</v>
      </c>
      <c r="P29" s="1">
        <v>3</v>
      </c>
      <c r="Q29">
        <f>(P29*AJ29+AK29)</f>
        <v>2.0786957442760468</v>
      </c>
      <c r="R29" s="1">
        <v>1</v>
      </c>
      <c r="S29">
        <f>Q29*(R29+1)*(R29+1)/(R29*R29+1)</f>
        <v>4.1573914885520935</v>
      </c>
      <c r="T29" s="1">
        <v>35.484195709228516</v>
      </c>
      <c r="U29" s="1">
        <v>34.290542602539062</v>
      </c>
      <c r="V29" s="1">
        <v>35.511775970458984</v>
      </c>
      <c r="W29" s="1">
        <v>400.20791625976562</v>
      </c>
      <c r="X29" s="1">
        <v>400.80130004882812</v>
      </c>
      <c r="Y29" s="1">
        <v>25.4307861328125</v>
      </c>
      <c r="Z29" s="1">
        <v>28.229759216308594</v>
      </c>
      <c r="AA29" s="1">
        <v>42.879341125488281</v>
      </c>
      <c r="AB29" s="1">
        <v>47.598743438720703</v>
      </c>
      <c r="AC29" s="1">
        <v>400.14410400390625</v>
      </c>
      <c r="AD29" s="1">
        <v>42.826793670654297</v>
      </c>
      <c r="AE29" s="1">
        <v>46.450504302978516</v>
      </c>
      <c r="AF29" s="1">
        <v>97.821868896484375</v>
      </c>
      <c r="AG29" s="1">
        <v>17.517326354980469</v>
      </c>
      <c r="AH29" s="1">
        <v>-0.77218002080917358</v>
      </c>
      <c r="AI29" s="1">
        <v>1</v>
      </c>
      <c r="AJ29" s="1">
        <v>-0.21956524252891541</v>
      </c>
      <c r="AK29" s="1">
        <v>2.737391471862793</v>
      </c>
      <c r="AL29" s="1">
        <v>1</v>
      </c>
      <c r="AM29" s="1">
        <v>0</v>
      </c>
      <c r="AN29" s="1">
        <v>0.18999999761581421</v>
      </c>
      <c r="AO29" s="1">
        <v>111115</v>
      </c>
      <c r="AP29">
        <f>AC29*0.000001/(P29*0.0001)</f>
        <v>1.3338136800130207</v>
      </c>
      <c r="AQ29">
        <f>(Z29-Y29)/(1000-Z29)*AP29</f>
        <v>3.8417605644566373E-3</v>
      </c>
      <c r="AR29">
        <f>(U29+273.15)</f>
        <v>307.44054260253904</v>
      </c>
      <c r="AS29">
        <f>(T29+273.15)</f>
        <v>308.63419570922849</v>
      </c>
      <c r="AT29">
        <f>(AD29*AL29+AE29*AM29)*AN29</f>
        <v>8.1370906953172835</v>
      </c>
      <c r="AU29">
        <f>((AT29+0.00000010773*(AS29^4-AR29^4))-AQ29*44100)/(Q29*51.4+0.00000043092*AR29^3)</f>
        <v>-1.2252126168815989</v>
      </c>
      <c r="AV29">
        <f>0.61365*EXP(17.502*O29/(240.97+O29))</f>
        <v>5.4302142669726896</v>
      </c>
      <c r="AW29">
        <f>AV29*1000/AF29</f>
        <v>55.511250482435287</v>
      </c>
      <c r="AX29">
        <f>(AW29-Z29)</f>
        <v>27.281491266126693</v>
      </c>
      <c r="AY29">
        <f>IF(I29,U29,(T29+U29)/2)</f>
        <v>34.887369155883789</v>
      </c>
      <c r="AZ29">
        <f>0.61365*EXP(17.502*AY29/(240.97+AY29))</f>
        <v>5.6132371128308565</v>
      </c>
      <c r="BA29">
        <f>IF(AX29&lt;&gt;0,(1000-(AW29+Z29)/2)/AX29*AQ29,0)</f>
        <v>0.13492312697300102</v>
      </c>
      <c r="BB29">
        <f>Z29*AF29/1000</f>
        <v>2.7614878050370608</v>
      </c>
      <c r="BC29">
        <f>(AZ29-BB29)</f>
        <v>2.8517493077937957</v>
      </c>
      <c r="BD29">
        <f>1/(1.6/K29+1.37/S29)</f>
        <v>8.4722203166717136E-2</v>
      </c>
      <c r="BE29">
        <f>L29*AF29*0.001</f>
        <v>40.100711118281197</v>
      </c>
      <c r="BF29">
        <f>L29/X29</f>
        <v>1.0227912331407589</v>
      </c>
      <c r="BG29">
        <f>(1-AQ29*AF29/AV29/K29)*100</f>
        <v>50.371105639081847</v>
      </c>
      <c r="BH29">
        <f>(X29-J29/(S29/1.35))</f>
        <v>401.55830890116914</v>
      </c>
      <c r="BI29">
        <f>J29*BG29/100/BH29</f>
        <v>-2.9242936368910591E-3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 rios m3-2_.xls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Daniel Childers</cp:lastModifiedBy>
  <dcterms:created xsi:type="dcterms:W3CDTF">2011-07-11T17:41:52Z</dcterms:created>
  <dcterms:modified xsi:type="dcterms:W3CDTF">2011-07-11T17:41:52Z</dcterms:modified>
</cp:coreProperties>
</file>