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iammetta\Filr\My Files\TransferFiles\Aeras vaccine modelling\China\"/>
    </mc:Choice>
  </mc:AlternateContent>
  <xr:revisionPtr revIDLastSave="0" documentId="13_ncr:1_{548AD572-344E-44EF-9FD4-5C1BC574A303}" xr6:coauthVersionLast="31" xr6:coauthVersionMax="31" xr10:uidLastSave="{00000000-0000-0000-0000-000000000000}"/>
  <bookViews>
    <workbookView xWindow="0" yWindow="0" windowWidth="23040" windowHeight="9096" activeTab="4" xr2:uid="{0EB3AF7C-9992-4C7E-B4EE-5D4D3A9149C1}"/>
  </bookViews>
  <sheets>
    <sheet name="literature" sheetId="4" r:id="rId1"/>
    <sheet name="four cities" sheetId="5" r:id="rId2"/>
    <sheet name="Yoko SR" sheetId="7" r:id="rId3"/>
    <sheet name="TB drug regimens" sheetId="6" r:id="rId4"/>
    <sheet name="Cost model" sheetId="2" r:id="rId5"/>
  </sheets>
  <externalReferences>
    <externalReference r:id="rId6"/>
    <externalReference r:id="rId7"/>
    <externalReference r:id="rId8"/>
    <externalReference r:id="rId9"/>
    <externalReference r:id="rId10"/>
  </externalReferences>
  <definedNames>
    <definedName name="adhere_support" localSheetId="0">'[4]Facility costs'!$E$7</definedName>
    <definedName name="adhere_support">#REF!</definedName>
    <definedName name="avg_infl">'[1]DS Treatment'!$S$5</definedName>
    <definedName name="births">'[1]Vaccine costs (routine)'!$H$3</definedName>
    <definedName name="buffer_stock">'[1]Vaccine costs (routine)'!$C$7</definedName>
    <definedName name="data_mgmt" localSheetId="0">'[4]Facility costs'!$E$2</definedName>
    <definedName name="data_mgmt">#REF!</definedName>
    <definedName name="days" localSheetId="0">'[4]Facility costs'!$B$15</definedName>
    <definedName name="days">#REF!</definedName>
    <definedName name="deflator">'[1]DS Treatment'!$S$6</definedName>
    <definedName name="diagnoses_2015">#REF!</definedName>
    <definedName name="diagnoses_MDR_2015">#REF!</definedName>
    <definedName name="districts">'[1]Vaccine lit review'!$B$26</definedName>
    <definedName name="exch_rate" localSheetId="2">#REF!</definedName>
    <definedName name="exch_rate">'TB drug regimens'!$C$1</definedName>
    <definedName name="facility_ART_pop">#REF!</definedName>
    <definedName name="facility_MDR_pop" localSheetId="0">'[4]Facility costs'!$B$11</definedName>
    <definedName name="facility_MDR_pop">#REF!</definedName>
    <definedName name="hr_increment" localSheetId="0">'[4]Facility costs'!$E$8</definedName>
    <definedName name="hr_increment">#REF!</definedName>
    <definedName name="inh_rpt" localSheetId="0">'[4]Facility costs'!$E$10</definedName>
    <definedName name="inh_rpt">#REF!</definedName>
    <definedName name="ipt" localSheetId="0">'[4]Facility costs'!$E$12</definedName>
    <definedName name="ipt">#REF!</definedName>
    <definedName name="life_exp_ART" localSheetId="0">'[4]Facility costs'!$B$12</definedName>
    <definedName name="life_exp_ART">#REF!</definedName>
    <definedName name="m_e" localSheetId="0">'[4]Facility costs'!$E$6</definedName>
    <definedName name="m_e">#REF!</definedName>
    <definedName name="m_health" localSheetId="0">'[4]Facility costs'!$E$4</definedName>
    <definedName name="m_health">#REF!</definedName>
    <definedName name="mdr_decentr_diag_mon" localSheetId="0">'[4]Facility costs'!$E$15</definedName>
    <definedName name="mdr_decentr_diag_mon">#REF!</definedName>
    <definedName name="mdr_decentr_drug_mgmt" localSheetId="0">'[4]Facility costs'!$E$16</definedName>
    <definedName name="mdr_decentr_drug_mgmt">#REF!</definedName>
    <definedName name="mins_per_day">'[2]HR Option A '!$L$29</definedName>
    <definedName name="mobile_unit" localSheetId="0">'[4]Facility costs'!$E$9</definedName>
    <definedName name="mobile_unit">#REF!</definedName>
    <definedName name="months" localSheetId="0">'[4]Facility costs'!$B$14</definedName>
    <definedName name="months">#REF!</definedName>
    <definedName name="out_tracer" localSheetId="0">'[4]Facility costs'!$E$5</definedName>
    <definedName name="out_tracer">#REF!</definedName>
    <definedName name="PHC_share">'[2]Nurse training'!$G$47</definedName>
    <definedName name="pop_2015">#REF!</definedName>
    <definedName name="pop_screened_2015" localSheetId="0">'[4]Facility costs'!$B$9</definedName>
    <definedName name="pop_screened_2015">#REF!</definedName>
    <definedName name="preg_women">'[1]Vaccine costs (routine)'!$H$5</definedName>
    <definedName name="screen_detect_2015" localSheetId="0">'[4]Facility costs'!$B$8</definedName>
    <definedName name="screen_detect_2015">#REF!</definedName>
    <definedName name="states">'[1]Vaccine lit review'!$B$25</definedName>
    <definedName name="support_log" localSheetId="0">'[4]Facility costs'!$E$3</definedName>
    <definedName name="support_log">#REF!</definedName>
    <definedName name="surv_infants">'[1]Vaccine costs (routine)'!$H$4</definedName>
    <definedName name="train_adhere_support" localSheetId="0">'[4]Facility costs'!$B$20</definedName>
    <definedName name="train_adhere_support">#REF!</definedName>
    <definedName name="train_counsel" localSheetId="0">'[4]Facility costs'!$E$14</definedName>
    <definedName name="train_counsel">#REF!</definedName>
    <definedName name="train_counsel_days" localSheetId="0">'[4]Facility costs'!$B$4</definedName>
    <definedName name="train_counsel_days">#REF!</definedName>
    <definedName name="train_counsel_year" localSheetId="0">'[4]Facility costs'!$B$5</definedName>
    <definedName name="train_counsel_year">#REF!</definedName>
    <definedName name="train_data_mgmt">#REF!</definedName>
    <definedName name="train_m_e" localSheetId="0">'[4]Facility costs'!$B$19</definedName>
    <definedName name="train_m_e">#REF!</definedName>
    <definedName name="train_m_health" localSheetId="0">'[4]Facility costs'!$B$18</definedName>
    <definedName name="train_m_health">#REF!</definedName>
    <definedName name="train_nurse" localSheetId="0">'[4]Facility costs'!$E$13</definedName>
    <definedName name="train_nurse">#REF!</definedName>
    <definedName name="train_nurse_days" localSheetId="0">'[4]Facility costs'!$B$2</definedName>
    <definedName name="train_nurse_days">#REF!</definedName>
    <definedName name="train_nurse_year" localSheetId="0">'[4]Facility costs'!$B$3</definedName>
    <definedName name="train_nurse_year">#REF!</definedName>
    <definedName name="tst" localSheetId="0">'[4]Facility costs'!$E$11</definedName>
    <definedName name="tst">#REF!</definedName>
    <definedName name="VAT" localSheetId="0">'[4]Facility costs'!$B$13</definedName>
    <definedName name="VAT">#REF!</definedName>
    <definedName name="visits_diag_mon" localSheetId="0">'[4]Facility costs'!$B$21</definedName>
    <definedName name="visits_diag_mon">#REF!</definedName>
    <definedName name="visits_drugs" localSheetId="0">'[4]Facility costs'!$B$22</definedName>
    <definedName name="visits_drugs">#REF!</definedName>
    <definedName name="work_days">'[2]HR Option A '!$B$21</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0" i="4" l="1"/>
  <c r="D16" i="4"/>
  <c r="D55" i="4"/>
  <c r="E4" i="2"/>
  <c r="E6" i="2"/>
  <c r="E5" i="2"/>
  <c r="D69" i="4"/>
  <c r="D24" i="4"/>
  <c r="D14" i="4"/>
  <c r="I16" i="7"/>
  <c r="H17" i="7"/>
  <c r="H16" i="7"/>
  <c r="G17" i="7"/>
  <c r="G16" i="7"/>
  <c r="E16" i="7"/>
  <c r="D16" i="7"/>
  <c r="I10" i="7"/>
  <c r="G10" i="7"/>
  <c r="F10" i="7"/>
  <c r="J5" i="7"/>
  <c r="H5" i="7"/>
  <c r="G5" i="7"/>
  <c r="O2" i="7"/>
  <c r="N3" i="7"/>
  <c r="N4" i="7"/>
  <c r="N5" i="7"/>
  <c r="N6" i="7"/>
  <c r="N7" i="7"/>
  <c r="N8" i="7"/>
  <c r="N9" i="7"/>
  <c r="N2" i="7"/>
  <c r="E5" i="6"/>
  <c r="F5" i="6"/>
  <c r="H5" i="6"/>
  <c r="I5" i="6"/>
  <c r="J5" i="6"/>
  <c r="E6" i="6"/>
  <c r="F6" i="6"/>
  <c r="H6" i="6"/>
  <c r="I6" i="6"/>
  <c r="J6" i="6"/>
  <c r="I7" i="6"/>
  <c r="J7" i="6"/>
  <c r="E10" i="6"/>
  <c r="H10" i="6"/>
  <c r="I10" i="6"/>
  <c r="J10" i="6"/>
  <c r="E11" i="6"/>
  <c r="H11" i="6"/>
  <c r="I11" i="6"/>
  <c r="J11" i="6"/>
  <c r="E12" i="6"/>
  <c r="H12" i="6"/>
  <c r="I12" i="6"/>
  <c r="J12" i="6"/>
  <c r="E13" i="6"/>
  <c r="H13" i="6"/>
  <c r="I13" i="6"/>
  <c r="J13" i="6"/>
  <c r="E14" i="6"/>
  <c r="H14" i="6"/>
  <c r="I14" i="6"/>
  <c r="J14" i="6"/>
  <c r="E16" i="6"/>
  <c r="H16" i="6"/>
  <c r="I16" i="6"/>
  <c r="J16" i="6"/>
  <c r="E17" i="6"/>
  <c r="H17" i="6"/>
  <c r="I17" i="6"/>
  <c r="J17" i="6"/>
  <c r="E18" i="6"/>
  <c r="H18" i="6"/>
  <c r="I18" i="6"/>
  <c r="J18" i="6"/>
  <c r="E19" i="6"/>
  <c r="H19" i="6"/>
  <c r="I19" i="6"/>
  <c r="J19" i="6"/>
  <c r="I20" i="6"/>
  <c r="J20" i="6"/>
  <c r="E23" i="6"/>
  <c r="H23" i="6"/>
  <c r="I23" i="6"/>
  <c r="J23" i="6"/>
  <c r="E24" i="6"/>
  <c r="H24" i="6"/>
  <c r="I24" i="6"/>
  <c r="J24" i="6"/>
  <c r="E25" i="6"/>
  <c r="H25" i="6"/>
  <c r="I25" i="6"/>
  <c r="J25" i="6"/>
  <c r="E26" i="6"/>
  <c r="H26" i="6"/>
  <c r="I26" i="6"/>
  <c r="J26" i="6"/>
  <c r="E27" i="6"/>
  <c r="H27" i="6"/>
  <c r="I27" i="6"/>
  <c r="J27" i="6"/>
  <c r="E28" i="6"/>
  <c r="H28" i="6"/>
  <c r="I28" i="6"/>
  <c r="J28" i="6"/>
  <c r="E29" i="6"/>
  <c r="H29" i="6"/>
  <c r="I29" i="6"/>
  <c r="J29" i="6"/>
  <c r="E31" i="6"/>
  <c r="H31" i="6"/>
  <c r="I31" i="6"/>
  <c r="J31" i="6"/>
  <c r="E32" i="6"/>
  <c r="H32" i="6"/>
  <c r="I32" i="6"/>
  <c r="J32" i="6"/>
  <c r="E33" i="6"/>
  <c r="H33" i="6"/>
  <c r="I33" i="6"/>
  <c r="J33" i="6"/>
  <c r="E34" i="6"/>
  <c r="H34" i="6"/>
  <c r="I34" i="6"/>
  <c r="J34" i="6"/>
  <c r="E35" i="6"/>
  <c r="H35" i="6"/>
  <c r="I35" i="6"/>
  <c r="J35" i="6"/>
  <c r="E36" i="6"/>
  <c r="H36" i="6"/>
  <c r="I36" i="6"/>
  <c r="J36" i="6"/>
  <c r="I37" i="6"/>
  <c r="J37" i="6"/>
  <c r="E39" i="6"/>
  <c r="H39" i="6"/>
  <c r="I39" i="6"/>
  <c r="J39" i="6"/>
  <c r="C40" i="6"/>
  <c r="E40" i="6"/>
  <c r="H40" i="6"/>
  <c r="I40" i="6"/>
  <c r="J40" i="6"/>
  <c r="E41" i="6"/>
  <c r="G41" i="6"/>
  <c r="H41" i="6"/>
  <c r="I41" i="6"/>
  <c r="J41" i="6"/>
  <c r="E42" i="6"/>
  <c r="H42" i="6"/>
  <c r="I42" i="6"/>
  <c r="J42" i="6"/>
  <c r="E43" i="6"/>
  <c r="H43" i="6"/>
  <c r="I43" i="6"/>
  <c r="J43" i="6"/>
  <c r="E44" i="6"/>
  <c r="H44" i="6"/>
  <c r="I44" i="6"/>
  <c r="J44" i="6"/>
  <c r="I45" i="6"/>
  <c r="J45" i="6"/>
  <c r="E47" i="6"/>
  <c r="H47" i="6"/>
  <c r="I47" i="6"/>
  <c r="J47" i="6"/>
  <c r="E49" i="6"/>
  <c r="H49" i="6"/>
  <c r="I49" i="6"/>
  <c r="E50" i="6"/>
  <c r="H50" i="6"/>
  <c r="I50" i="6"/>
  <c r="C2" i="5"/>
  <c r="C3" i="5"/>
  <c r="B11" i="5"/>
  <c r="C11" i="5"/>
  <c r="D11" i="5"/>
  <c r="E11" i="5"/>
  <c r="B24" i="5"/>
  <c r="C24" i="5"/>
  <c r="D24" i="5"/>
  <c r="F24" i="5"/>
  <c r="G43" i="5"/>
  <c r="G44" i="5"/>
  <c r="F53" i="5"/>
  <c r="D5" i="4"/>
  <c r="D6" i="4"/>
  <c r="D7" i="4"/>
  <c r="D8" i="4"/>
  <c r="D9" i="4"/>
  <c r="D10" i="4"/>
  <c r="D11" i="4"/>
  <c r="D12" i="4"/>
  <c r="B14" i="4"/>
  <c r="D15" i="4"/>
  <c r="B17" i="4"/>
  <c r="D17" i="4"/>
  <c r="D18" i="4"/>
  <c r="B20" i="4"/>
  <c r="D21" i="4"/>
  <c r="D22" i="4"/>
  <c r="D25" i="4"/>
  <c r="D26" i="4"/>
  <c r="B27" i="4"/>
  <c r="D27" i="4"/>
  <c r="D30" i="4"/>
  <c r="D31" i="4"/>
  <c r="D32" i="4"/>
  <c r="D33" i="4"/>
  <c r="B35" i="4"/>
  <c r="D35" i="4"/>
  <c r="D37" i="4"/>
  <c r="D38" i="4"/>
  <c r="D39" i="4"/>
  <c r="D40" i="4"/>
  <c r="D41" i="4"/>
  <c r="D42" i="4"/>
  <c r="D43" i="4"/>
  <c r="D44" i="4"/>
  <c r="D47" i="4"/>
  <c r="D48" i="4"/>
  <c r="D49" i="4"/>
  <c r="D50" i="4"/>
  <c r="D51" i="4"/>
  <c r="D52" i="4"/>
  <c r="D53" i="4"/>
  <c r="D54" i="4"/>
  <c r="B55" i="4"/>
  <c r="D56" i="4"/>
  <c r="D57" i="4"/>
  <c r="D58" i="4"/>
  <c r="D59" i="4"/>
  <c r="D60" i="4"/>
  <c r="D61" i="4"/>
  <c r="D62" i="4"/>
  <c r="D63" i="4"/>
  <c r="B64" i="4"/>
  <c r="D64" i="4"/>
  <c r="F64" i="4"/>
  <c r="B65" i="4"/>
  <c r="D65" i="4"/>
  <c r="B66" i="4"/>
  <c r="D66" i="4"/>
  <c r="F66" i="4"/>
  <c r="B67" i="4"/>
  <c r="D67" i="4"/>
  <c r="B68" i="4"/>
  <c r="D68" i="4"/>
  <c r="B69" i="4"/>
  <c r="D70" i="4"/>
  <c r="D71" i="4"/>
  <c r="D72" i="4"/>
  <c r="D73" i="4"/>
  <c r="D75" i="4"/>
  <c r="D76" i="4"/>
  <c r="D77" i="4"/>
  <c r="D78" i="4"/>
  <c r="D79" i="4"/>
  <c r="D80" i="4"/>
  <c r="D81" i="4"/>
  <c r="B82" i="4"/>
  <c r="D82" i="4"/>
  <c r="B83" i="4"/>
  <c r="D83" i="4"/>
  <c r="B84" i="4"/>
  <c r="D84" i="4"/>
  <c r="B85" i="4"/>
  <c r="D85" i="4"/>
  <c r="B88" i="4"/>
  <c r="D88" i="4"/>
  <c r="B89" i="4"/>
  <c r="D89" i="4"/>
  <c r="B90" i="4"/>
  <c r="D90" i="4"/>
  <c r="B91" i="4"/>
  <c r="D91" i="4"/>
  <c r="D94" i="4"/>
  <c r="D95" i="4"/>
  <c r="D96" i="4"/>
  <c r="D97" i="4"/>
  <c r="D98" i="4"/>
  <c r="D99" i="4"/>
  <c r="D100" i="4"/>
  <c r="D101" i="4"/>
  <c r="D102" i="4"/>
  <c r="D103" i="4"/>
  <c r="D104" i="4"/>
  <c r="D105" i="4"/>
  <c r="D106" i="4"/>
  <c r="D107" i="4"/>
  <c r="D108" i="4"/>
  <c r="D109" i="4"/>
  <c r="D8" i="2"/>
  <c r="D7" i="2"/>
  <c r="D6" i="2"/>
  <c r="D5" i="2"/>
  <c r="C3" i="2"/>
  <c r="D2" i="2"/>
  <c r="C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Fiammetta</author>
    <author>Windows User</author>
  </authors>
  <commentList>
    <comment ref="D2" authorId="0" shapeId="0" xr:uid="{2BD232CC-E574-4DE0-BB05-B1DD2374B13E}">
      <text>
        <r>
          <rPr>
            <b/>
            <sz val="9"/>
            <color indexed="81"/>
            <rFont val="Tahoma"/>
            <family val="2"/>
          </rPr>
          <t>Fiammetta:</t>
        </r>
        <r>
          <rPr>
            <sz val="9"/>
            <color indexed="81"/>
            <rFont val="Tahoma"/>
            <family val="2"/>
          </rPr>
          <t xml:space="preserve">
For now I converted only FLT, MDR treatment and diagnosis</t>
        </r>
      </text>
    </comment>
    <comment ref="B29" authorId="1" shapeId="0" xr:uid="{00000000-0006-0000-0300-000001000000}">
      <text>
        <r>
          <rPr>
            <b/>
            <sz val="9"/>
            <color indexed="81"/>
            <rFont val="Tahoma"/>
            <family val="2"/>
          </rPr>
          <t>Windows User:</t>
        </r>
        <r>
          <rPr>
            <sz val="9"/>
            <color indexed="81"/>
            <rFont val="Tahoma"/>
            <family val="2"/>
          </rPr>
          <t xml:space="preserve">
should we add hospitalisation costs? WHO Andrew data: 4% of these patients stay on average 14d in hospital during FL treatment</t>
        </r>
      </text>
    </comment>
    <comment ref="B36" authorId="1" shapeId="0" xr:uid="{00000000-0006-0000-0300-000002000000}">
      <text>
        <r>
          <rPr>
            <b/>
            <sz val="9"/>
            <color indexed="81"/>
            <rFont val="Tahoma"/>
            <family val="2"/>
          </rPr>
          <t>Windows User:</t>
        </r>
        <r>
          <rPr>
            <sz val="9"/>
            <color indexed="81"/>
            <rFont val="Tahoma"/>
            <family val="2"/>
          </rPr>
          <t xml:space="preserve">
100% of MDR patietns are reported to be hospitalised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Fiammetta</author>
  </authors>
  <commentList>
    <comment ref="E3" authorId="0" shapeId="0" xr:uid="{EBD7FF14-3DBF-4D37-A504-7461512A9DF9}">
      <text>
        <r>
          <rPr>
            <b/>
            <sz val="9"/>
            <color indexed="81"/>
            <rFont val="Tahoma"/>
            <family val="2"/>
          </rPr>
          <t>Fiammetta:</t>
        </r>
        <r>
          <rPr>
            <sz val="9"/>
            <color indexed="81"/>
            <rFont val="Tahoma"/>
            <family val="2"/>
          </rPr>
          <t xml:space="preserve">
*days in a week * weeks in a month</t>
        </r>
      </text>
    </comment>
  </commentList>
</comments>
</file>

<file path=xl/sharedStrings.xml><?xml version="1.0" encoding="utf-8"?>
<sst xmlns="http://schemas.openxmlformats.org/spreadsheetml/2006/main" count="699" uniqueCount="384">
  <si>
    <t>Intervention or service</t>
  </si>
  <si>
    <t>Description</t>
  </si>
  <si>
    <t>Unit cost</t>
  </si>
  <si>
    <t>Unit</t>
  </si>
  <si>
    <t>Attached to</t>
  </si>
  <si>
    <t>Comments</t>
  </si>
  <si>
    <t>Intervention</t>
  </si>
  <si>
    <t>Cost of vaccine delivery through routine system (facility visit)</t>
  </si>
  <si>
    <t>number vaccinated</t>
  </si>
  <si>
    <t>Service</t>
  </si>
  <si>
    <t>Cost of TB diagnosis</t>
  </si>
  <si>
    <t>c_diagnosis</t>
  </si>
  <si>
    <t>per person diagnosed</t>
  </si>
  <si>
    <t>number diagnosed</t>
  </si>
  <si>
    <t>Cost of person month on first line TB treatment</t>
  </si>
  <si>
    <t>c_FLT</t>
  </si>
  <si>
    <t>person months on FLT</t>
  </si>
  <si>
    <t>Cost of person month on standard MDR-TB treatment</t>
  </si>
  <si>
    <t>c_MDR_reg</t>
  </si>
  <si>
    <t>number on MDR treatment</t>
  </si>
  <si>
    <t>Cost of person month on short course MDR-TB treatment</t>
  </si>
  <si>
    <t>c_MDR_short</t>
  </si>
  <si>
    <t>number on short-course MDR treatment</t>
  </si>
  <si>
    <t>Cost of person month on modified MDR-TB treatment with Bedaquiline</t>
  </si>
  <si>
    <t>c_BDQ_reg</t>
  </si>
  <si>
    <t xml:space="preserve">number on modified MDR treatment </t>
  </si>
  <si>
    <t xml:space="preserve"> </t>
  </si>
  <si>
    <t xml:space="preserve">Cost of community-based vaccine delivery </t>
  </si>
  <si>
    <t>per dose</t>
  </si>
  <si>
    <t>Zhao Q, Wang L, Tao T, Xu B (2013) Impacts of the “transport subsidy initiative on poor TB patients” in Rural China: A Patient-Cohort Based Longitudinal Study in Rural China. PLoS ONE 8(11): e82503.</t>
  </si>
  <si>
    <t>mean cost per round trip to county TB dispensary</t>
  </si>
  <si>
    <t>transport costs</t>
  </si>
  <si>
    <t>How affordable are tuberculosis diagnosis and treatment in rural China? An analysis from community and tuberculosis patient perspectives. Liu et al. Tropical Medicine and International Health 2007; 12(12):1464–1494</t>
  </si>
  <si>
    <t>patient</t>
  </si>
  <si>
    <t>Yuan (2004)</t>
  </si>
  <si>
    <t>Direct household costs, if no free service (Xinjiang)</t>
  </si>
  <si>
    <t>How affordable are tuberculosis diagnosis and treatment in rural China? An analysis from community and tuberculosis patient perspectives. Liu et al. Tropical Medicine and International Health 2007; 12(12):1464–1493</t>
  </si>
  <si>
    <t>Direct household costs, if no free service (Liaoning)</t>
  </si>
  <si>
    <t>How affordable are tuberculosis diagnosis and treatment in rural China? An analysis from community and tuberculosis patient perspectives. Liu et al. Tropical Medicine and International Health 2007; 12(12):1464–1492</t>
  </si>
  <si>
    <t>Direct household costs, if no free service (Henan)</t>
  </si>
  <si>
    <t>How affordable are tuberculosis diagnosis and treatment in rural China? An analysis from community and tuberculosis patient perspectives. Liu et al. Tropical Medicine and International Health 2007; 12(12):1464–1491</t>
  </si>
  <si>
    <t>Direct household costs, if no free service (Fujian)</t>
  </si>
  <si>
    <t>How affordable are tuberculosis diagnosis and treatment in rural China? An analysis from community and tuberculosis patient perspectives. Liu et al. Tropical Medicine and International Health 2007; 12(12):1464–1490</t>
  </si>
  <si>
    <t>Direct household costs, if free service (Xinjiang)</t>
  </si>
  <si>
    <t>How affordable are tuberculosis diagnosis and treatment in rural China? An analysis from community and tuberculosis patient perspectives. Liu et al. Tropical Medicine and International Health 2007; 12(12):1464–1489</t>
  </si>
  <si>
    <t>Direct household costs, if free service (Liaoning)</t>
  </si>
  <si>
    <t>How affordable are tuberculosis diagnosis and treatment in rural China? An analysis from community and tuberculosis patient perspectives. Liu et al. Tropical Medicine and International Health 2007; 12(12):1464–1488</t>
  </si>
  <si>
    <t>Direct household costs, if free service (Henan)</t>
  </si>
  <si>
    <t>How affordable are tuberculosis diagnosis and treatment in rural China? An analysis from community and tuberculosis patient perspectives. Liu et al. Tropical Medicine and International Health 2007; 12(12):1464–1487</t>
  </si>
  <si>
    <t>Direct household costs, if free service (Fujian)</t>
  </si>
  <si>
    <t>includes direct and indirect</t>
  </si>
  <si>
    <t>How affordable are tuberculosis diagnosis and treatment in rural China? An analysis from community and tuberculosis patient perspectives. Liu et al. Tropical Medicine and International Health 2007; 12(12):1464–1486</t>
  </si>
  <si>
    <t>after diagnosis costs (Xinjiang)</t>
  </si>
  <si>
    <t>How affordable are tuberculosis diagnosis and treatment in rural China? An analysis from community and tuberculosis patient perspectives. Liu et al. Tropical Medicine and International Health 2007; 12(12):1464–1485</t>
  </si>
  <si>
    <t>after diagnosis costs (Liaoning)</t>
  </si>
  <si>
    <t>How affordable are tuberculosis diagnosis and treatment in rural China? An analysis from community and tuberculosis patient perspectives. Liu et al. Tropical Medicine and International Health 2007; 12(12):1464–1484</t>
  </si>
  <si>
    <t>after diagnosis costs (Henan)</t>
  </si>
  <si>
    <t>How affordable are tuberculosis diagnosis and treatment in rural China? An analysis from community and tuberculosis patient perspectives. Liu et al. Tropical Medicine and International Health 2007; 12(12):1464–1483</t>
  </si>
  <si>
    <t>after diagnosis costs (Fujian)</t>
  </si>
  <si>
    <t>How affordable are tuberculosis diagnosis and treatment in rural China? An analysis from community and tuberculosis patient perspectives. Liu et al. Tropical Medicine and International Health 2007; 12(12):1464–1482</t>
  </si>
  <si>
    <t>before diagnosis costs (Xinjiang)</t>
  </si>
  <si>
    <t>How affordable are tuberculosis diagnosis and treatment in rural China? An analysis from community and tuberculosis patient perspectives. Liu et al. Tropical Medicine and International Health 2007; 12(12):1464–1481</t>
  </si>
  <si>
    <t>before diagnosis costs (Liaoning)</t>
  </si>
  <si>
    <t>How affordable are tuberculosis diagnosis and treatment in rural China? An analysis from community and tuberculosis patient perspectives. Liu et al. Tropical Medicine and International Health 2007; 12(12):1464–1480</t>
  </si>
  <si>
    <t>before diagnosis costs (Henan)</t>
  </si>
  <si>
    <t>How affordable are tuberculosis diagnosis and treatment in rural China? An analysis from community and tuberculosis patient perspectives. Liu et al. Tropical Medicine and International Health 2007; 12(12):1464–1479</t>
  </si>
  <si>
    <t>before diagnosis costs (Fujian)</t>
  </si>
  <si>
    <t>other</t>
  </si>
  <si>
    <t>cost measured from diagnosis to treatment completion. divided the total cost by average duration from diagnosis to treatment completion (8.5mo)</t>
  </si>
  <si>
    <t>Jackson et al. Poverty and the economic effects of TB in rural China. IJTLD 2006; 10(10):1104–1118</t>
  </si>
  <si>
    <t>Yuan (2003)</t>
  </si>
  <si>
    <t>Indirect costs (companion income loss per month)</t>
  </si>
  <si>
    <t>Jackson et al. Poverty and the economic effects of TB in rural China. IJTLD 2006; 10(10):1104–1117</t>
  </si>
  <si>
    <t>Indirect costs (patient income loss per month)</t>
  </si>
  <si>
    <t>average number of days lost: 3 but we don’t know how many days are lost per month</t>
  </si>
  <si>
    <t>Pan et al (2013) Analysis of the economic burden of diagnosis and treatment of tuberculosis patients in rural China. IJTLD 17(12):1575–1589</t>
  </si>
  <si>
    <t>Yuan (2010)</t>
  </si>
  <si>
    <t>family members (productivity loss per month)</t>
  </si>
  <si>
    <t>average number of days lost: 54.6 but we don’t know how many days are lost per month</t>
  </si>
  <si>
    <t>Pan et al (2013) Analysis of the economic burden of diagnosis and treatment of tuberculosis patients in rural China. IJTLD 17(12):1575–1588</t>
  </si>
  <si>
    <t>patients (productivity loss per month)</t>
  </si>
  <si>
    <t>indirect costs</t>
  </si>
  <si>
    <t>Jackson et al. Poverty and the economic effects of TB in rural China. IJTLD 2006; 10(10):1104–1116</t>
  </si>
  <si>
    <t>Direct non-medical costs (food taken by patients)</t>
  </si>
  <si>
    <t>Jackson et al. Poverty and the economic effects of TB in rural China. IJTLD 2006; 10(10):1104–1115</t>
  </si>
  <si>
    <t>Direct non-medical costs (food during travel for patient and companions)</t>
  </si>
  <si>
    <t>Jackson et al. Poverty and the economic effects of TB in rural China. IJTLD 2006; 10(10):1104–1114</t>
  </si>
  <si>
    <t>Direct non-medical costs (transport for patient and companions)</t>
  </si>
  <si>
    <t>Jackson et al. Poverty and the economic effects of TB in rural China. IJTLD 2006; 10(10):1104–1113</t>
  </si>
  <si>
    <t>self-medication (traditional medicine)</t>
  </si>
  <si>
    <t>Pan et al (2013) Analysis of the economic burden of diagnosis and treatment of tuberculosis patients in rural China. IJTLD 17(12):1575–1586</t>
  </si>
  <si>
    <t>accommodation and food (non-medical costs)</t>
  </si>
  <si>
    <t>Pan et al (2013) Analysis of the economic burden of diagnosis and treatment of tuberculosis patients in rural China. IJTLD 17(12):1575–1585</t>
  </si>
  <si>
    <t>transportation (non-medical costs)</t>
  </si>
  <si>
    <t>Pan et al (2013) Analysis of the economic burden of diagnosis and treatment of tuberculosis patients in rural China. IJTLD 17(12):1575–1584</t>
  </si>
  <si>
    <t>total non-medical costs</t>
  </si>
  <si>
    <t>How affordable are tuberculosis diagnosis and treatment in rural China? An analysis from community and tuberculosis patient perspectives. Liu et al. Tropical Medicine and International Health 2007; 12(12):1464–1478</t>
  </si>
  <si>
    <t>non-medical-related costs (Xinjiang)</t>
  </si>
  <si>
    <t>How affordable are tuberculosis diagnosis and treatment in rural China? An analysis from community and tuberculosis patient perspectives. Liu et al. Tropical Medicine and International Health 2007; 12(12):1464–1477</t>
  </si>
  <si>
    <t>non-medical-related costs (Liaoning)</t>
  </si>
  <si>
    <t>How affordable are tuberculosis diagnosis and treatment in rural China? An analysis from community and tuberculosis patient perspectives. Liu et al. Tropical Medicine and International Health 2007; 12(12):1464–1476</t>
  </si>
  <si>
    <t>non-medical-related costs (Henan)</t>
  </si>
  <si>
    <t>How affordable are tuberculosis diagnosis and treatment in rural China? An analysis from community and tuberculosis patient perspectives. Liu et al. Tropical Medicine and International Health 2007; 12(12):1464–1475</t>
  </si>
  <si>
    <t>non-medical-related costs (Fujian)</t>
  </si>
  <si>
    <t>direct other</t>
  </si>
  <si>
    <t>cannot find the duration for this cost</t>
  </si>
  <si>
    <t>Sun et al. Does integration of TB medical services in the general hospital improve the quality of TB care? Evidence from a case study in China. JPH 2012 35(2):322-331</t>
  </si>
  <si>
    <t>USD (2007)</t>
  </si>
  <si>
    <t>Patient medical costs in hospital (integrated)</t>
  </si>
  <si>
    <t>Sun et al. Does integration of TB medical services in the general hospital improve the quality of TB care? Evidence from a case study in China. JPH 2012 35(2):322-330</t>
  </si>
  <si>
    <t>Patient medical costs before hospital (integrated)</t>
  </si>
  <si>
    <t>Sun et al. Does integration of TB medical services in the general hospital improve the quality of TB care? Evidence from a case study in China. JPH 2012 35(2):322-329</t>
  </si>
  <si>
    <t>Patient medical costs in hospital (dispensary)</t>
  </si>
  <si>
    <t>Sun et al. Does integration of TB medical services in the general hospital improve the quality of TB care? Evidence from a case study in China. JPH 2012 35(2):322-328</t>
  </si>
  <si>
    <t>Patient medical costs before hospital (dispensary)</t>
  </si>
  <si>
    <t>Jackson et al. Poverty and the economic effects of TB in rural China. IJTLD 2006; 10(10):1104–1112</t>
  </si>
  <si>
    <t>Direct medical costs (period dx to tx completion), in TB clinic above county level</t>
  </si>
  <si>
    <t>Jackson et al. Poverty and the economic effects of TB in rural China. IJTLD 2006; 10(10):1104–1111</t>
  </si>
  <si>
    <t>Direct medical costs (period dx to tx completion), in general hospital or private clinic</t>
  </si>
  <si>
    <t>Jackson et al. Poverty and the economic effects of TB in rural China. IJTLD 2006; 10(10):1104–1110</t>
  </si>
  <si>
    <t>Direct medical costs (period dx to tx completion), in county TB clinic</t>
  </si>
  <si>
    <t>weighted average - divided the total cost of stay by average number of days in hospital</t>
  </si>
  <si>
    <t>Wei et al. China tuberculosis policy at crucial crossroads: comparing the practice of different hospital and tuberculosis control collaboration models using survey data. PLoS One. 2014 Mar 12;9(3):e90596.</t>
  </si>
  <si>
    <t>Yuan (2007)</t>
  </si>
  <si>
    <t>cost per day in hospital, integrated model</t>
  </si>
  <si>
    <t>cost per day in hospital, specialist model</t>
  </si>
  <si>
    <t>cost per day in hospital, dispensary model</t>
  </si>
  <si>
    <t>In this study, the TB treatment period was recorded in patient charts. The actual TB treatment period was usually longer than the recommended six months. Patients could not enjoy free treatment for the extra time exceeding the standard TB treatment time.</t>
  </si>
  <si>
    <t>direct cost during DOTS (out of pocket expenditures), integrated model</t>
  </si>
  <si>
    <t>direct cost during DOTS (out of pocket expenditures), specialist model</t>
  </si>
  <si>
    <t>direct cost during DOTS (out of pocket expenditures), dispensary model</t>
  </si>
  <si>
    <t>direct cost between diagnosis and DOTS (out of pocket expenditures), integrated model</t>
  </si>
  <si>
    <t>direct cost between diagnosis and DOTS (out of pocket expenditures), specialist model</t>
  </si>
  <si>
    <t>direct cost between diagnosis and DOTS (out of pocket expenditures), dispensary model</t>
  </si>
  <si>
    <t>direct cost before diagnosis (out of pocket expenditures), integrated model</t>
  </si>
  <si>
    <t>direct cost before diagnosis (out of pocket expenditures), specialist model</t>
  </si>
  <si>
    <t>direct cost before diagnosis (out of pocket expenditures), dispensary model</t>
  </si>
  <si>
    <t>Pan et al (2013) Analysis of the economic burden of diagnosis and treatment of tuberculosis patients in rural China. IJTLD 17(12):1575–1583</t>
  </si>
  <si>
    <t>cost among hospitalised patients</t>
  </si>
  <si>
    <t>Pan et al (2013) Analysis of the economic burden of diagnosis and treatment of tuberculosis patients in rural China. IJTLD 17(12):1575–1582</t>
  </si>
  <si>
    <t>hospitalisation (medical costs)</t>
  </si>
  <si>
    <t>Pan et al (2013) Analysis of the economic burden of diagnosis and treatment of tuberculosis patients in rural China. IJTLD 17(12):1575–1581</t>
  </si>
  <si>
    <t>out-patient (medical costs)</t>
  </si>
  <si>
    <t>Pan et al (2013) Analysis of the economic burden of diagnosis and treatment of tuberculosis patients in rural China. IJTLD 17(12):1575–1580</t>
  </si>
  <si>
    <t>total medical costs</t>
  </si>
  <si>
    <t>How affordable are tuberculosis diagnosis and treatment in rural China? An analysis from community and tuberculosis patient perspectives. Liu et al. Tropical Medicine and International Health 2007; 12(12):1464–1474</t>
  </si>
  <si>
    <t>medical-related costs (Xinjiang)</t>
  </si>
  <si>
    <t>How affordable are tuberculosis diagnosis and treatment in rural China? An analysis from community and tuberculosis patient perspectives. Liu et al. Tropical Medicine and International Health 2007; 12(12):1464–1473</t>
  </si>
  <si>
    <t>medical-related costs (Liaoning)</t>
  </si>
  <si>
    <t>How affordable are tuberculosis diagnosis and treatment in rural China? An analysis from community and tuberculosis patient perspectives. Liu et al. Tropical Medicine and International Health 2007; 12(12):1464–1472</t>
  </si>
  <si>
    <t>medical-related costs (Henan)</t>
  </si>
  <si>
    <t>How affordable are tuberculosis diagnosis and treatment in rural China? An analysis from community and tuberculosis patient perspectives. Liu et al. Tropical Medicine and International Health 2007; 12(12):1464–1471</t>
  </si>
  <si>
    <t>medical-related costs (Fujian)</t>
  </si>
  <si>
    <t>Direct costs: medical</t>
  </si>
  <si>
    <t>Patient costs</t>
  </si>
  <si>
    <t>Li R, et al. (2015) Effect of a comprehensive programme to provide universal access to care for sputum-smear-positive multidrug-resistant tuberculosis in China: a before-and-after study. Lancet Global Health 2015;3:e217-30</t>
  </si>
  <si>
    <t>annual</t>
  </si>
  <si>
    <t>health service</t>
  </si>
  <si>
    <t>USD (2011)</t>
  </si>
  <si>
    <t>baseline: OOP per MDR patient</t>
  </si>
  <si>
    <t>Li R, et al. (2015) Effect of a comprehensive programme to provide universal access to care for sputum-smear-positive multidrug-resistant tuberculosis in China: a before-and-after study. Lancet Global Health 2015;3:e217-29</t>
  </si>
  <si>
    <t>baseline: insurance payment</t>
  </si>
  <si>
    <t>Li R, et al. (2015) Effect of a comprehensive programme to provide universal access to care for sputum-smear-positive multidrug-resistant tuberculosis in China: a before-and-after study. Lancet Global Health 2015;3:e217-28</t>
  </si>
  <si>
    <t>baseline: charges of hospital per MDR patient</t>
  </si>
  <si>
    <t>intervention: project payment</t>
  </si>
  <si>
    <t>intervention: insurance payment</t>
  </si>
  <si>
    <t>intervention: OOP per MDR patient</t>
  </si>
  <si>
    <t>intervention: charges of hospital per MDR patient</t>
  </si>
  <si>
    <t>WHO CHOICE</t>
  </si>
  <si>
    <t>USD (2008)</t>
  </si>
  <si>
    <t>Cost per bed day US$ (primary level hospital)</t>
  </si>
  <si>
    <t>WHO (Andrew's email)</t>
  </si>
  <si>
    <t>Average hospital duration in days (MDR-TB)</t>
  </si>
  <si>
    <t>WHO (unpublished, Anna)</t>
  </si>
  <si>
    <t>USD (2012)</t>
  </si>
  <si>
    <t>Treatment cost per month (USD 2012: 8632 per 24mo)</t>
  </si>
  <si>
    <t>MDR treatment</t>
  </si>
  <si>
    <t>Target price per unit 10USD; reusable for two years</t>
  </si>
  <si>
    <t>Beijing workshop, 2015</t>
  </si>
  <si>
    <t>USD (2014)</t>
  </si>
  <si>
    <t>medication monitoring (box)</t>
  </si>
  <si>
    <t>http://www.reuters.com/article/2010/01/06/us-tuberculosis-china-idUSTRE60501Z20100106 : Regular TB costs 1,000 yuan to treat in China but drug-resistant TB ranges from 100,000 to 300,000 yuan per person, said Zhong Qiu of China's TB Expert Consultative Committee.</t>
  </si>
  <si>
    <t>press release</t>
  </si>
  <si>
    <t>FL treatment</t>
  </si>
  <si>
    <t>http://erc.msh.org/dmpguide/resultsdetail.cfm?language=english&amp;code=ISR300T&amp;s_year=2013&amp;year=2013&amp;str=300%2B150%20mg&amp;desc=Rifampicin%2BIsoniazid&amp;pack=new&amp;frm=TAB-CAP&amp;rte=PO&amp;class_code2=06.2.4.&amp;supplement=&amp;class_name=Antituberculosis%20medicines</t>
  </si>
  <si>
    <t>MSH</t>
  </si>
  <si>
    <t>USD (2013)</t>
  </si>
  <si>
    <t>drugs (RH per tablet)</t>
  </si>
  <si>
    <t>http://erc.msh.org/dmpguide/resultsdetail.cfm?language=english&amp;code=ISRPE150T&amp;s_year=2013&amp;year=2013&amp;str=&amp;desc=Rifamp%2E%2BIsoniazid%2BPyrazin%2E%2BEthambut%2E&amp;pack=new&amp;frm=TAB-CAP&amp;rte=PO&amp;class_code2=06.2.4.&amp;supplement=&amp;class_name=Antituberculosis%20medicines</t>
  </si>
  <si>
    <t>drugs (RHZE per tablet)</t>
  </si>
  <si>
    <t>Average visits (DS-TB)</t>
  </si>
  <si>
    <t>Patients from Wanzhou County only visited TB dispensary 3 to 4 times during treatment, whereas in the other three counties/districts, patients were required to visit the TB dispensary every month, which meant at least 6 times for newly diagnosed patients and 8 times for retreated ones. </t>
  </si>
  <si>
    <t xml:space="preserve">frequency of visits </t>
  </si>
  <si>
    <t>Sun (four cities)</t>
  </si>
  <si>
    <t>Yuan (2011)</t>
  </si>
  <si>
    <t>outpatient visit (designated hospital/CDC)</t>
  </si>
  <si>
    <t>Sun</t>
  </si>
  <si>
    <t>outpatient costs per visit (patient fee) (county level)</t>
  </si>
  <si>
    <t>outpatient costs per visit (Hospital, no beds) (CDC cost)</t>
  </si>
  <si>
    <t xml:space="preserve">outpatient costs per visit (Health Centre, no beds) </t>
  </si>
  <si>
    <t>First line treatment</t>
  </si>
  <si>
    <t>Bil J, van de Hof S, Cobelens F</t>
  </si>
  <si>
    <t>Xpert (all)</t>
  </si>
  <si>
    <t>http://www.finddiagnostics.org/about/what_we_do/successes/find-negotiated-prices/xpert_mtb_rif.html</t>
  </si>
  <si>
    <t>Xpert (cartridge only)</t>
  </si>
  <si>
    <t>culture</t>
  </si>
  <si>
    <t>From india</t>
  </si>
  <si>
    <t>smear</t>
  </si>
  <si>
    <t>Xia et al (2013). Multicentre evaluation of Ziehl-Neelsen and light-emitting diode fluorescence microscopy in China. INT J TUBERC LUNG DIS 17(1):107–112</t>
  </si>
  <si>
    <t>USD (2010)</t>
  </si>
  <si>
    <t>chest x ray</t>
  </si>
  <si>
    <t>Estimate from WHO - TB Planning and Budgeting Tool (2014)</t>
  </si>
  <si>
    <t>DST</t>
  </si>
  <si>
    <t>Pang Y, Li Q, Ou X, Sohn H, Zhang Z, et al. (2013) Cost-Effectiveness Comparison of Genechip and Conventional Drug Susceptibility Test for Detecting Multidrug-Resistant Tuberculosis in China. PLoS ONE 8(7): e69271</t>
  </si>
  <si>
    <t>cost of purchasing intruments, Genechip</t>
  </si>
  <si>
    <t>Pang Y, Li Q, Ou X, Sohn H, Zhang Z, et al. (2013) Cost-Effectiveness Comparison of Genechip and Conventional Drug Susceptibility Test for Detecting Multidrug-Resistant Tuberculosis in China. PLoS ONE 8(7): e69270</t>
  </si>
  <si>
    <t>cost of purchasing intruments, conventional DST</t>
  </si>
  <si>
    <t>Pang Y, Li Q, Ou X, Sohn H, Zhang Z, et al. (2013) Cost-Effectiveness Comparison of Genechip and Conventional Drug Susceptibility Test for Detecting Multidrug-Resistant Tuberculosis in China. PLoS ONE 8(7): e69269</t>
  </si>
  <si>
    <t>cost of modifying a laboratory for Genechip</t>
  </si>
  <si>
    <t>Pang Y, Li Q, Ou X, Sohn H, Zhang Z, et al. (2013) Cost-Effectiveness Comparison of Genechip and Conventional Drug Susceptibility Test for Detecting Multidrug-Resistant Tuberculosis in China. PLoS ONE 8(7): e69268</t>
  </si>
  <si>
    <t>cost of modifying a laboratory for conventional DST</t>
  </si>
  <si>
    <t>cost of Genechip for MDR diagnosis</t>
  </si>
  <si>
    <t>Pang Y, Li Q, Ou X, Sohn H, Zhang Z, et al. (2013) Cost-Effectiveness Comparison of Genechip and Conventional Drug Susceptibility Test for Detecting Multidrug-Resistant Tuberculosis in China. PLoS ONE 8(7): e69267</t>
  </si>
  <si>
    <t>cost of conventional DST for MDR diagnosis</t>
  </si>
  <si>
    <t>Sputum induction to improve the diagnostic yield in patients with suspected pulmonary tuberculosis. Li et al. IJTLD 1999; 3(12):1137–1139</t>
  </si>
  <si>
    <t>USD (1997)</t>
  </si>
  <si>
    <t>sputum induction/session</t>
  </si>
  <si>
    <t>Diagnosis</t>
  </si>
  <si>
    <t>Health service costs</t>
  </si>
  <si>
    <t>reference</t>
  </si>
  <si>
    <t>n</t>
  </si>
  <si>
    <t>payer</t>
  </si>
  <si>
    <t>currency</t>
  </si>
  <si>
    <t>unit cost</t>
  </si>
  <si>
    <t>Christopher Fitzpatrick, MSc, #a Zhang Hui, PhD, #b Wang Lixia, MS, #b Li Renzhong, MS, b Ruan Yunzhou, PhD, b Chen Mingting, MS, b Zhao Yanlin, PhD, b Zhao Jin, MS, b Su Wei, MS, b Xu Caihong, MS, b Chen Cheng, MS, b Timothy Alston, MSc, a Qu Yan, MS, b Lv Chengfei, MS, c Fu Yunting, MS b , Huan Shitong, MS, d Sun Qiang, PhD,*c Fabio Scano, MD, e Daniel P Chin, MD, d Katherine Floyd, PhD a</t>
  </si>
  <si>
    <t>The cost-effectiveness of a new model of universal coverage for multidrug-resistant tuberculosis in China</t>
  </si>
  <si>
    <t>BULL WHO (review?)</t>
  </si>
  <si>
    <t>X片例均成本</t>
  </si>
  <si>
    <t>Consumable costs</t>
  </si>
  <si>
    <t>耗材成本</t>
  </si>
  <si>
    <t>Equipment costs</t>
  </si>
  <si>
    <t>设备成本</t>
  </si>
  <si>
    <t>Construction costs</t>
  </si>
  <si>
    <t>建筑成本</t>
  </si>
  <si>
    <t>Labor costs</t>
  </si>
  <si>
    <t>人力成本</t>
  </si>
  <si>
    <t>11years of xrays</t>
  </si>
  <si>
    <t>11年拍片数量</t>
    <phoneticPr fontId="0" type="noConversion"/>
  </si>
  <si>
    <t>Chongqing</t>
    <phoneticPr fontId="0" type="noConversion"/>
  </si>
  <si>
    <t>Lian Yungang</t>
    <phoneticPr fontId="0" type="noConversion"/>
  </si>
  <si>
    <t>Kaifeng</t>
    <phoneticPr fontId="0" type="noConversion"/>
  </si>
  <si>
    <t>Hu Hehaote</t>
    <phoneticPr fontId="0" type="noConversion"/>
  </si>
  <si>
    <t>XRAY</t>
  </si>
  <si>
    <t>痰培养例均成本</t>
  </si>
  <si>
    <t>痰涂片例均成本</t>
  </si>
  <si>
    <t>building</t>
  </si>
  <si>
    <t>分摊到痰涂片的建筑成本</t>
  </si>
  <si>
    <t>HR</t>
  </si>
  <si>
    <t>分摊到痰涂片的人力成本</t>
  </si>
  <si>
    <t>material</t>
  </si>
  <si>
    <t>痰涂片的耗材成本</t>
  </si>
  <si>
    <t xml:space="preserve">equipment </t>
  </si>
  <si>
    <t>痰涂片的设备成本</t>
  </si>
  <si>
    <t>proportion attributable to smear</t>
  </si>
  <si>
    <t>痰涂片工作量占整个实验室工作量的比例</t>
  </si>
  <si>
    <t>depreciation costs (annual)</t>
  </si>
  <si>
    <t>实验室年均折旧成本</t>
  </si>
  <si>
    <t>实验室建筑成本</t>
  </si>
  <si>
    <t>personnel costs</t>
  </si>
  <si>
    <t>实验室人力成本</t>
  </si>
  <si>
    <t>11年该实验室开展所有实验项目的数量</t>
  </si>
  <si>
    <t>number of sputum (11 yrs)</t>
  </si>
  <si>
    <r>
      <t>11</t>
    </r>
    <r>
      <rPr>
        <sz val="20"/>
        <color indexed="8"/>
        <rFont val="宋体"/>
        <charset val="134"/>
      </rPr>
      <t>年痰涂片数量</t>
    </r>
  </si>
  <si>
    <t>SMEAR</t>
  </si>
  <si>
    <t>lower outpatient visits, higher non-personnel expenditure</t>
    <phoneticPr fontId="0" type="noConversion"/>
  </si>
  <si>
    <t>missing</t>
    <phoneticPr fontId="0" type="noConversion"/>
  </si>
  <si>
    <t xml:space="preserve">unit cost </t>
    <phoneticPr fontId="0" type="noConversion"/>
  </si>
  <si>
    <t>Support equipment costs</t>
  </si>
  <si>
    <r>
      <rPr>
        <sz val="20"/>
        <color indexed="8"/>
        <rFont val="宋体"/>
        <charset val="134"/>
      </rPr>
      <t>支持性设备成本</t>
    </r>
  </si>
  <si>
    <t>Support of construction costs</t>
  </si>
  <si>
    <r>
      <rPr>
        <sz val="20"/>
        <color indexed="8"/>
        <rFont val="宋体"/>
        <charset val="134"/>
      </rPr>
      <t>支持性建筑成本</t>
    </r>
  </si>
  <si>
    <t>Other non- personnel expenditures hospital</t>
  </si>
  <si>
    <r>
      <rPr>
        <sz val="20"/>
        <color indexed="8"/>
        <rFont val="宋体"/>
        <charset val="134"/>
      </rPr>
      <t>医院其他非人员性支出</t>
    </r>
  </si>
  <si>
    <t>Other administrative and logistics management personnel costs</t>
  </si>
  <si>
    <r>
      <rPr>
        <sz val="20"/>
        <color indexed="8"/>
        <rFont val="宋体"/>
        <charset val="134"/>
      </rPr>
      <t>其他行政和后勤管理人员成本</t>
    </r>
  </si>
  <si>
    <t>General and administrative personnel costs</t>
  </si>
  <si>
    <r>
      <rPr>
        <sz val="20"/>
        <color indexed="8"/>
        <rFont val="宋体"/>
        <charset val="134"/>
      </rPr>
      <t>综合行政管理人员成本</t>
    </r>
  </si>
  <si>
    <t>Annual depreciation costs clinic building</t>
  </si>
  <si>
    <t>门诊大楼年均折旧成本</t>
    <phoneticPr fontId="0" type="noConversion"/>
  </si>
  <si>
    <t>Other personnel costs</t>
  </si>
  <si>
    <r>
      <rPr>
        <sz val="20"/>
        <color indexed="8"/>
        <rFont val="宋体"/>
        <charset val="134"/>
      </rPr>
      <t>其他人员成本</t>
    </r>
  </si>
  <si>
    <t>Doctors personnel costs</t>
  </si>
  <si>
    <r>
      <rPr>
        <sz val="20"/>
        <color indexed="8"/>
        <rFont val="宋体"/>
        <charset val="134"/>
      </rPr>
      <t>医生人员成本</t>
    </r>
  </si>
  <si>
    <t>Nursing costs</t>
  </si>
  <si>
    <r>
      <rPr>
        <sz val="20"/>
        <color indexed="8"/>
        <rFont val="宋体"/>
        <charset val="134"/>
      </rPr>
      <t>护理人员成本</t>
    </r>
  </si>
  <si>
    <t>COST OUTPATIENT</t>
  </si>
  <si>
    <t>unit cost</t>
    <phoneticPr fontId="0" type="noConversion"/>
  </si>
  <si>
    <t>TB Room annual depreciation costs</t>
  </si>
  <si>
    <r>
      <rPr>
        <sz val="20"/>
        <color indexed="8"/>
        <rFont val="宋体"/>
        <charset val="134"/>
      </rPr>
      <t>结核病房年均折旧成本</t>
    </r>
  </si>
  <si>
    <t>sensitive cost</t>
    <phoneticPr fontId="0" type="noConversion"/>
  </si>
  <si>
    <t>COST INPATIENT</t>
  </si>
  <si>
    <t>Rifapentine 150 mg</t>
  </si>
  <si>
    <t>Isoniazid 300 mg</t>
  </si>
  <si>
    <t>3HP</t>
  </si>
  <si>
    <t>IPT</t>
  </si>
  <si>
    <t>Cost per course</t>
  </si>
  <si>
    <t>Pyrazinamide 500 mg</t>
  </si>
  <si>
    <t>Clofazimine 100 mg</t>
  </si>
  <si>
    <t>Background regimen to BDQ is the same as standard MDR treatment as per national guidelines</t>
  </si>
  <si>
    <t>Cycloserine 250 mg</t>
  </si>
  <si>
    <t>This background treatment option excludes SLIs and FQs, which would be administered depending on individual resistance profile. This is the cost for an average XDR case resistant to both</t>
  </si>
  <si>
    <t>Ethionamide 250 mg</t>
  </si>
  <si>
    <t>200 mg 3 times a week</t>
  </si>
  <si>
    <t>Bedaquiline 100 mg (weeks 3-22)</t>
  </si>
  <si>
    <t>https://tbcindia.gov.in/index1.php?lang=1&amp;level=2&amp;sublinkid=4682&amp;lid=3248</t>
  </si>
  <si>
    <t>Intensive phase as for standard MDR-treatment. BDQ initiated only after 2nd line DST results. If no resistance to FQ/SLI, then standard MDR-treatment continued</t>
  </si>
  <si>
    <t>Bedaquiline 100 mg (weeks 1-2)</t>
  </si>
  <si>
    <t xml:space="preserve">Modified pre-XDR treatment </t>
  </si>
  <si>
    <t>Ethambutol 400 mg</t>
  </si>
  <si>
    <t>Prothionamide 250 mg</t>
  </si>
  <si>
    <t>Moxifloxacin 400 mg</t>
  </si>
  <si>
    <t>Continuation phase</t>
  </si>
  <si>
    <t>Kanamycin 1 g</t>
  </si>
  <si>
    <t>(51-70 kg)</t>
  </si>
  <si>
    <t>Intensive phase</t>
  </si>
  <si>
    <t xml:space="preserve">short course MDR-TB </t>
  </si>
  <si>
    <t>Levofloxacin 500 mg</t>
  </si>
  <si>
    <t>Capreomycin 1g</t>
  </si>
  <si>
    <t>MDR-TB standart treatment</t>
  </si>
  <si>
    <t>RH (150, 75), continuation phase</t>
  </si>
  <si>
    <t>new patient (55-70 kg)</t>
  </si>
  <si>
    <t>All prices from StopTB Partnership product catalogue</t>
  </si>
  <si>
    <t>RHZE (150, 75, 400, 275), intensive phase</t>
  </si>
  <si>
    <t>Sources</t>
  </si>
  <si>
    <t>Notes</t>
  </si>
  <si>
    <t>Total cost (US$)</t>
  </si>
  <si>
    <t>Price per pill (US$)</t>
  </si>
  <si>
    <t>Price per box (US$)</t>
  </si>
  <si>
    <t>No. pills/vials in box</t>
  </si>
  <si>
    <t>Tot. pills/injs. In regimen</t>
  </si>
  <si>
    <t>Treatment months</t>
  </si>
  <si>
    <t>Tablets/inj. vials per day</t>
  </si>
  <si>
    <t>TB TREATMENT COST CALCULATIONS</t>
  </si>
  <si>
    <t>exch rate</t>
  </si>
  <si>
    <t>https://www.oanda.com/currency/average</t>
  </si>
  <si>
    <t>avg 2017-18</t>
  </si>
  <si>
    <t>Total cost (CNY)</t>
  </si>
  <si>
    <t>38. Liu X, Thomson R, Gong Y, Zhao F, Squire SB, et al. (2007) How affordable are tuberculosis diagnosis and treatment in rural China? An analysis from community and tuberculosis patient perspectives. Trop Med Int Health 12: 1464-1471.</t>
  </si>
  <si>
    <t>37. Jackson S, Sleigh AC, Wang GJ, Liu XL (2006) Poverty and the economic effects of TB in rural China. Int J Tuberc Lung Dis 10: 1104-1110.</t>
  </si>
  <si>
    <t>14. Xu Q, Jin SG, Zhang LX (2000) Cost effectiveness of DOTS and non-DOTS strategies for smear-positive pulmonary tuberculosis in Beijing. Biomed Environ Sci 13: 307-313.</t>
  </si>
  <si>
    <t>NI</t>
  </si>
  <si>
    <t>---</t>
  </si>
  <si>
    <t>China</t>
  </si>
  <si>
    <r>
      <t xml:space="preserve">Liu </t>
    </r>
    <r>
      <rPr>
        <sz val="10"/>
        <color theme="1"/>
        <rFont val="Cambria"/>
        <family val="1"/>
      </rPr>
      <t>[</t>
    </r>
    <r>
      <rPr>
        <sz val="10"/>
        <rFont val="Cambria"/>
        <family val="1"/>
      </rPr>
      <t>38</t>
    </r>
    <r>
      <rPr>
        <sz val="10"/>
        <color theme="1"/>
        <rFont val="Cambria"/>
        <family val="1"/>
      </rPr>
      <t>]</t>
    </r>
  </si>
  <si>
    <r>
      <t xml:space="preserve">Jackson </t>
    </r>
    <r>
      <rPr>
        <sz val="10"/>
        <color theme="1"/>
        <rFont val="Cambria"/>
        <family val="1"/>
      </rPr>
      <t>[</t>
    </r>
    <r>
      <rPr>
        <sz val="10"/>
        <rFont val="Cambria"/>
        <family val="1"/>
      </rPr>
      <t>37</t>
    </r>
    <r>
      <rPr>
        <sz val="10"/>
        <color theme="1"/>
        <rFont val="Cambria"/>
        <family val="1"/>
      </rPr>
      <t>]</t>
    </r>
  </si>
  <si>
    <t>Productivity loss</t>
  </si>
  <si>
    <t>Total</t>
  </si>
  <si>
    <t xml:space="preserve">Other </t>
  </si>
  <si>
    <t>Transport</t>
  </si>
  <si>
    <t>Drugs</t>
  </si>
  <si>
    <t>User fees</t>
  </si>
  <si>
    <t>Country</t>
  </si>
  <si>
    <t>First author</t>
  </si>
  <si>
    <t xml:space="preserve"> Mean DS-TB treatment costs reported by patients (2012 US$)</t>
  </si>
  <si>
    <r>
      <t xml:space="preserve">Xu </t>
    </r>
    <r>
      <rPr>
        <sz val="10"/>
        <color theme="1"/>
        <rFont val="Cambria"/>
        <family val="1"/>
      </rPr>
      <t>[</t>
    </r>
    <r>
      <rPr>
        <sz val="10"/>
        <rFont val="Cambria"/>
        <family val="1"/>
      </rPr>
      <t>14</t>
    </r>
    <r>
      <rPr>
        <sz val="10"/>
        <color theme="1"/>
        <rFont val="Cambria"/>
        <family val="1"/>
      </rPr>
      <t>]</t>
    </r>
  </si>
  <si>
    <t xml:space="preserve">Total </t>
  </si>
  <si>
    <t>Diagnostic tests</t>
  </si>
  <si>
    <t>Outpatient</t>
  </si>
  <si>
    <t>Hospitalisation</t>
  </si>
  <si>
    <t>Provider mean DR-TB treatment costs per patient (2012 US$)</t>
  </si>
  <si>
    <t>DOTS</t>
  </si>
  <si>
    <r>
      <t>Xu</t>
    </r>
    <r>
      <rPr>
        <sz val="10"/>
        <color theme="1"/>
        <rFont val="Cambria"/>
        <family val="1"/>
      </rPr>
      <t xml:space="preserve"> [</t>
    </r>
    <r>
      <rPr>
        <sz val="10"/>
        <rFont val="Cambria"/>
        <family val="1"/>
      </rPr>
      <t>14</t>
    </r>
    <r>
      <rPr>
        <sz val="10"/>
        <color theme="1"/>
        <rFont val="Cambria"/>
        <family val="1"/>
      </rPr>
      <t>]</t>
    </r>
  </si>
  <si>
    <t>Intervention chosen</t>
  </si>
  <si>
    <t>Provider mean DS-TB treatment costs per patient (2012 US$)</t>
  </si>
  <si>
    <t>Yoko Lawrence Lit review</t>
  </si>
  <si>
    <t>WB deflator</t>
  </si>
  <si>
    <t>http://databank.worldbank.org/data/reports.aspx?source=2&amp;series=NY.GDP.DEFL.KD.ZG&amp;country=</t>
  </si>
  <si>
    <t>USD (2017)</t>
  </si>
  <si>
    <t>Drug and diagnistic costs from literature, then added one visit per month and deducted patient medical expenses</t>
  </si>
  <si>
    <t>WHO unpublished data</t>
  </si>
  <si>
    <t xml:space="preserve">Includes two outpatient visit, one smear, 50% cost of xray and 50% cost of culture. We deducted patient direct medical costs </t>
  </si>
  <si>
    <t>Total TB budget 2017</t>
  </si>
  <si>
    <t>Value (US$ 2017)</t>
  </si>
  <si>
    <t>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</si>
</sst>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_ "/>
    <numFmt numFmtId="166" formatCode="0_ "/>
    <numFmt numFmtId="173" formatCode="_-* #,##0_-;\-* #,##0_-;_-* &quot;-&quot;??_-;_-@_-"/>
  </numFmts>
  <fonts count="39">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9"/>
      <color indexed="81"/>
      <name val="Tahoma"/>
      <family val="2"/>
    </font>
    <font>
      <sz val="9"/>
      <color indexed="81"/>
      <name val="Tahoma"/>
      <family val="2"/>
    </font>
    <font>
      <sz val="12"/>
      <color rgb="FF212121"/>
      <name val="Inherit"/>
    </font>
    <font>
      <b/>
      <sz val="20"/>
      <color rgb="FFFF0000"/>
      <name val="宋体"/>
      <charset val="134"/>
    </font>
    <font>
      <b/>
      <sz val="20"/>
      <color indexed="8"/>
      <name val="宋体"/>
      <charset val="134"/>
    </font>
    <font>
      <sz val="20"/>
      <color theme="1"/>
      <name val="宋体"/>
      <charset val="134"/>
    </font>
    <font>
      <sz val="20"/>
      <color indexed="8"/>
      <name val="宋体"/>
      <charset val="134"/>
    </font>
    <font>
      <b/>
      <sz val="20"/>
      <color theme="1"/>
      <name val="Calibri"/>
      <family val="3"/>
      <charset val="134"/>
      <scheme val="minor"/>
    </font>
    <font>
      <b/>
      <sz val="20"/>
      <color rgb="FFFF0000"/>
      <name val="Calibri"/>
      <family val="2"/>
      <charset val="134"/>
      <scheme val="minor"/>
    </font>
    <font>
      <sz val="20"/>
      <color theme="1"/>
      <name val="Calibri"/>
      <family val="2"/>
      <charset val="134"/>
      <scheme val="minor"/>
    </font>
    <font>
      <sz val="20"/>
      <color indexed="8"/>
      <name val="Times New Roman"/>
      <family val="1"/>
    </font>
    <font>
      <b/>
      <i/>
      <sz val="20"/>
      <color rgb="FF7F7F7F"/>
      <name val="Calibri"/>
      <family val="3"/>
      <charset val="134"/>
      <scheme val="minor"/>
    </font>
    <font>
      <b/>
      <i/>
      <sz val="20"/>
      <color rgb="FFFF0000"/>
      <name val="Calibri"/>
      <family val="2"/>
      <charset val="134"/>
      <scheme val="minor"/>
    </font>
    <font>
      <b/>
      <sz val="20"/>
      <color rgb="FFFF0000"/>
      <name val="Times New Roman"/>
      <family val="1"/>
    </font>
    <font>
      <sz val="10"/>
      <color theme="1"/>
      <name val="Calibri"/>
      <family val="2"/>
      <scheme val="minor"/>
    </font>
    <font>
      <b/>
      <sz val="10"/>
      <color rgb="FFFA7D00"/>
      <name val="Calibri"/>
      <family val="2"/>
      <scheme val="minor"/>
    </font>
    <font>
      <sz val="10"/>
      <color rgb="FF3F3F76"/>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10"/>
      <color rgb="FFFF0000"/>
      <name val="Calibri"/>
      <family val="2"/>
      <scheme val="minor"/>
    </font>
    <font>
      <b/>
      <sz val="10"/>
      <color theme="6" tint="-0.499984740745262"/>
      <name val="Calibri"/>
      <family val="2"/>
      <scheme val="minor"/>
    </font>
    <font>
      <b/>
      <sz val="12"/>
      <color theme="1"/>
      <name val="Calibri"/>
      <family val="2"/>
      <scheme val="minor"/>
    </font>
    <font>
      <sz val="9"/>
      <color rgb="FF3F3F76"/>
      <name val="Calibri"/>
      <family val="2"/>
      <scheme val="minor"/>
    </font>
    <font>
      <u/>
      <sz val="10"/>
      <color theme="10"/>
      <name val="Calibri"/>
      <family val="2"/>
      <scheme val="minor"/>
    </font>
    <font>
      <sz val="10"/>
      <color theme="1"/>
      <name val="Cambria"/>
      <family val="1"/>
    </font>
    <font>
      <sz val="10"/>
      <name val="Cambria"/>
      <family val="1"/>
    </font>
    <font>
      <b/>
      <sz val="10"/>
      <color theme="1"/>
      <name val="Cambria"/>
      <family val="1"/>
    </font>
  </fonts>
  <fills count="14">
    <fill>
      <patternFill patternType="none"/>
    </fill>
    <fill>
      <patternFill patternType="gray125"/>
    </fill>
    <fill>
      <patternFill patternType="solid">
        <fgColor rgb="FFFFCC99"/>
      </patternFill>
    </fill>
    <fill>
      <patternFill patternType="solid">
        <fgColor rgb="FFF2F2F2"/>
      </patternFill>
    </fill>
    <fill>
      <patternFill patternType="solid">
        <fgColor theme="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499984740745262"/>
        <bgColor indexed="64"/>
      </patternFill>
    </fill>
    <fill>
      <patternFill patternType="solid">
        <fgColor rgb="FFFFFFFF"/>
        <bgColor indexed="64"/>
      </patternFill>
    </fill>
    <fill>
      <patternFill patternType="solid">
        <fgColor indexed="10"/>
        <bgColor indexed="64"/>
      </patternFill>
    </fill>
    <fill>
      <patternFill patternType="solid">
        <fgColor rgb="FFFFFF00"/>
        <bgColor indexed="64"/>
      </patternFill>
    </fill>
    <fill>
      <patternFill patternType="solid">
        <fgColor indexed="9"/>
        <bgColor indexed="64"/>
      </patternFill>
    </fill>
    <fill>
      <patternFill patternType="solid">
        <fgColor theme="2" tint="-9.9978637043366805E-2"/>
        <bgColor indexed="64"/>
      </patternFill>
    </fill>
    <fill>
      <patternFill patternType="solid">
        <fgColor theme="7"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right/>
      <top style="thin">
        <color rgb="FF7F7F7F"/>
      </top>
      <bottom/>
      <diagonal/>
    </border>
    <border>
      <left/>
      <right/>
      <top/>
      <bottom style="thin">
        <color auto="1"/>
      </bottom>
      <diagonal/>
    </border>
    <border>
      <left/>
      <right style="medium">
        <color indexed="64"/>
      </right>
      <top/>
      <bottom style="medium">
        <color indexed="64"/>
      </bottom>
      <diagonal/>
    </border>
    <border>
      <left/>
      <right style="mediumDashed">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Dashed">
        <color indexed="64"/>
      </right>
      <top style="medium">
        <color indexed="64"/>
      </top>
      <bottom style="medium">
        <color indexed="64"/>
      </bottom>
      <diagonal/>
    </border>
  </borders>
  <cellStyleXfs count="6">
    <xf numFmtId="0" fontId="0" fillId="0" borderId="0"/>
    <xf numFmtId="43" fontId="1" fillId="0" borderId="0" applyFont="0" applyFill="0" applyBorder="0" applyAlignment="0" applyProtection="0"/>
    <xf numFmtId="0" fontId="2" fillId="2" borderId="1" applyNumberFormat="0" applyAlignment="0" applyProtection="0"/>
    <xf numFmtId="0" fontId="3" fillId="3" borderId="1" applyNumberFormat="0" applyAlignment="0" applyProtection="0"/>
    <xf numFmtId="0" fontId="6" fillId="0" borderId="0" applyNumberFormat="0" applyFill="0" applyBorder="0" applyAlignment="0" applyProtection="0"/>
    <xf numFmtId="0" fontId="10" fillId="0" borderId="0" applyNumberFormat="0" applyFill="0" applyBorder="0" applyAlignment="0" applyProtection="0"/>
  </cellStyleXfs>
  <cellXfs count="108">
    <xf numFmtId="0" fontId="0" fillId="0" borderId="0" xfId="0"/>
    <xf numFmtId="0" fontId="4" fillId="4" borderId="0" xfId="0" applyFont="1" applyFill="1" applyAlignment="1">
      <alignment horizontal="center" wrapText="1"/>
    </xf>
    <xf numFmtId="0" fontId="0" fillId="0" borderId="0" xfId="0" applyAlignment="1">
      <alignment horizontal="center" wrapText="1"/>
    </xf>
    <xf numFmtId="0" fontId="2" fillId="2" borderId="1" xfId="2"/>
    <xf numFmtId="0" fontId="3" fillId="3" borderId="1" xfId="3"/>
    <xf numFmtId="43" fontId="3" fillId="3" borderId="1" xfId="3" applyNumberFormat="1"/>
    <xf numFmtId="2" fontId="3" fillId="3" borderId="1" xfId="3" applyNumberFormat="1"/>
    <xf numFmtId="0" fontId="5" fillId="0" borderId="0" xfId="0" applyFont="1"/>
    <xf numFmtId="0" fontId="0" fillId="0" borderId="0" xfId="0" applyAlignment="1">
      <alignment wrapText="1"/>
    </xf>
    <xf numFmtId="2" fontId="0" fillId="0" borderId="0" xfId="0" applyNumberFormat="1"/>
    <xf numFmtId="0" fontId="0" fillId="5" borderId="0" xfId="0" applyFill="1"/>
    <xf numFmtId="2" fontId="0" fillId="5" borderId="0" xfId="0" applyNumberFormat="1" applyFill="1"/>
    <xf numFmtId="0" fontId="7" fillId="5" borderId="0" xfId="0" applyFont="1" applyFill="1" applyAlignment="1">
      <alignment wrapText="1"/>
    </xf>
    <xf numFmtId="164" fontId="0" fillId="0" borderId="0" xfId="0" applyNumberFormat="1"/>
    <xf numFmtId="0" fontId="0" fillId="0" borderId="0" xfId="0" applyFill="1"/>
    <xf numFmtId="2" fontId="0" fillId="0" borderId="0" xfId="0" applyNumberFormat="1" applyFill="1"/>
    <xf numFmtId="0" fontId="0" fillId="6" borderId="0" xfId="0" applyFill="1"/>
    <xf numFmtId="2" fontId="0" fillId="6" borderId="0" xfId="0" applyNumberFormat="1" applyFill="1"/>
    <xf numFmtId="164" fontId="0" fillId="6" borderId="0" xfId="0" applyNumberFormat="1" applyFill="1"/>
    <xf numFmtId="0" fontId="0" fillId="6" borderId="0" xfId="0" applyFill="1" applyAlignment="1">
      <alignment wrapText="1"/>
    </xf>
    <xf numFmtId="0" fontId="8" fillId="7" borderId="0" xfId="0" applyFont="1" applyFill="1"/>
    <xf numFmtId="2" fontId="8" fillId="7" borderId="0" xfId="0" applyNumberFormat="1" applyFont="1" applyFill="1"/>
    <xf numFmtId="0" fontId="4" fillId="7" borderId="0" xfId="0" applyFont="1" applyFill="1" applyAlignment="1">
      <alignment wrapText="1"/>
    </xf>
    <xf numFmtId="2" fontId="0" fillId="6" borderId="2" xfId="0" applyNumberFormat="1" applyFill="1" applyBorder="1"/>
    <xf numFmtId="0" fontId="9" fillId="0" borderId="0" xfId="0" applyFont="1"/>
    <xf numFmtId="0" fontId="7" fillId="5" borderId="0" xfId="0" applyFont="1" applyFill="1"/>
    <xf numFmtId="2" fontId="7" fillId="5" borderId="0" xfId="0" applyNumberFormat="1" applyFont="1" applyFill="1"/>
    <xf numFmtId="0" fontId="10" fillId="0" borderId="0" xfId="5"/>
    <xf numFmtId="2" fontId="0" fillId="6" borderId="0" xfId="0" applyNumberFormat="1" applyFill="1" applyBorder="1"/>
    <xf numFmtId="2" fontId="0" fillId="0" borderId="2" xfId="0" applyNumberFormat="1" applyBorder="1"/>
    <xf numFmtId="2" fontId="0" fillId="0" borderId="0" xfId="0" applyNumberFormat="1" applyBorder="1"/>
    <xf numFmtId="0" fontId="0" fillId="0" borderId="0" xfId="0" applyFill="1" applyAlignment="1">
      <alignment wrapText="1"/>
    </xf>
    <xf numFmtId="164" fontId="8" fillId="7" borderId="0" xfId="0" applyNumberFormat="1" applyFont="1" applyFill="1"/>
    <xf numFmtId="0" fontId="7" fillId="0" borderId="0" xfId="0" applyFont="1"/>
    <xf numFmtId="0" fontId="7" fillId="0" borderId="0" xfId="0" applyFont="1" applyAlignment="1">
      <alignment wrapText="1"/>
    </xf>
    <xf numFmtId="165" fontId="13" fillId="8" borderId="0" xfId="0" applyNumberFormat="1" applyFont="1" applyFill="1" applyAlignment="1">
      <alignment horizontal="left" vertical="center"/>
    </xf>
    <xf numFmtId="165" fontId="14" fillId="0" borderId="0" xfId="0" applyNumberFormat="1" applyFont="1" applyAlignment="1">
      <alignment vertical="center"/>
    </xf>
    <xf numFmtId="0" fontId="15" fillId="9" borderId="0" xfId="0" applyFont="1" applyFill="1" applyAlignment="1">
      <alignment vertical="center"/>
    </xf>
    <xf numFmtId="0" fontId="13" fillId="0" borderId="0" xfId="0" applyFont="1" applyAlignment="1">
      <alignment horizontal="left" vertical="center"/>
    </xf>
    <xf numFmtId="165" fontId="16" fillId="0" borderId="0" xfId="0" applyNumberFormat="1" applyFont="1" applyAlignment="1">
      <alignment vertical="center"/>
    </xf>
    <xf numFmtId="0" fontId="16" fillId="0" borderId="0" xfId="0" applyFont="1" applyAlignment="1">
      <alignment vertical="center"/>
    </xf>
    <xf numFmtId="0" fontId="17" fillId="0" borderId="0" xfId="0" applyFont="1" applyFill="1" applyAlignment="1">
      <alignment vertical="center"/>
    </xf>
    <xf numFmtId="166" fontId="16" fillId="0" borderId="0" xfId="0" applyNumberFormat="1" applyFont="1" applyAlignment="1">
      <alignment vertical="center"/>
    </xf>
    <xf numFmtId="0" fontId="17" fillId="0" borderId="0" xfId="0" applyFont="1" applyFill="1" applyAlignment="1">
      <alignment vertical="center" wrapText="1"/>
    </xf>
    <xf numFmtId="0" fontId="18" fillId="0" borderId="0" xfId="0" applyFont="1" applyAlignment="1">
      <alignment vertical="center"/>
    </xf>
    <xf numFmtId="165" fontId="19" fillId="0" borderId="0" xfId="0" applyNumberFormat="1" applyFont="1" applyAlignment="1">
      <alignment vertical="center"/>
    </xf>
    <xf numFmtId="0" fontId="19" fillId="0" borderId="0" xfId="0" applyFont="1" applyAlignment="1">
      <alignment vertical="center"/>
    </xf>
    <xf numFmtId="0" fontId="20" fillId="0" borderId="0" xfId="0" applyFont="1" applyAlignment="1">
      <alignment vertical="center"/>
    </xf>
    <xf numFmtId="166" fontId="20" fillId="0" borderId="0" xfId="0" applyNumberFormat="1" applyFont="1" applyAlignment="1">
      <alignment vertical="center"/>
    </xf>
    <xf numFmtId="0" fontId="17" fillId="10" borderId="0" xfId="0" applyFont="1" applyFill="1" applyAlignment="1">
      <alignment vertical="center"/>
    </xf>
    <xf numFmtId="165" fontId="20" fillId="0" borderId="0" xfId="0" applyNumberFormat="1" applyFont="1" applyAlignment="1">
      <alignment vertical="center"/>
    </xf>
    <xf numFmtId="0" fontId="17" fillId="11" borderId="0" xfId="0" applyFont="1" applyFill="1" applyAlignment="1">
      <alignment vertical="center"/>
    </xf>
    <xf numFmtId="0" fontId="21" fillId="11" borderId="0" xfId="0" applyFont="1" applyFill="1" applyAlignment="1">
      <alignment vertical="center"/>
    </xf>
    <xf numFmtId="0" fontId="22" fillId="0" borderId="0" xfId="4" applyFont="1" applyAlignment="1">
      <alignment horizontal="center" vertical="center" wrapText="1"/>
    </xf>
    <xf numFmtId="0" fontId="23" fillId="0" borderId="0" xfId="4" applyFont="1" applyAlignment="1">
      <alignment vertical="center"/>
    </xf>
    <xf numFmtId="0" fontId="24" fillId="0" borderId="0" xfId="0" applyFont="1" applyFill="1" applyAlignment="1">
      <alignment vertical="center"/>
    </xf>
    <xf numFmtId="0" fontId="21" fillId="0" borderId="0" xfId="0" applyFont="1" applyFill="1" applyAlignment="1">
      <alignment vertical="center"/>
    </xf>
    <xf numFmtId="0" fontId="25" fillId="0" borderId="0" xfId="0" applyFont="1"/>
    <xf numFmtId="43" fontId="25" fillId="0" borderId="0" xfId="1" applyFont="1"/>
    <xf numFmtId="43" fontId="26" fillId="3" borderId="1" xfId="1" applyFont="1" applyFill="1" applyBorder="1"/>
    <xf numFmtId="0" fontId="27" fillId="2" borderId="1" xfId="2" applyFont="1"/>
    <xf numFmtId="0" fontId="26" fillId="3" borderId="1" xfId="3" applyFont="1"/>
    <xf numFmtId="0" fontId="28" fillId="0" borderId="0" xfId="0" applyFont="1"/>
    <xf numFmtId="0" fontId="29" fillId="0" borderId="0" xfId="0" applyFont="1"/>
    <xf numFmtId="1" fontId="27" fillId="2" borderId="1" xfId="2" applyNumberFormat="1" applyFont="1"/>
    <xf numFmtId="2" fontId="27" fillId="2" borderId="1" xfId="2" applyNumberFormat="1" applyFont="1"/>
    <xf numFmtId="43" fontId="26" fillId="3" borderId="1" xfId="3" applyNumberFormat="1" applyFont="1"/>
    <xf numFmtId="0" fontId="30" fillId="0" borderId="0" xfId="0" applyFont="1"/>
    <xf numFmtId="0" fontId="25" fillId="0" borderId="0" xfId="0" applyFont="1" applyFill="1"/>
    <xf numFmtId="43" fontId="25" fillId="0" borderId="0" xfId="1" applyFont="1" applyFill="1"/>
    <xf numFmtId="43" fontId="26" fillId="0" borderId="0" xfId="1" applyFont="1" applyFill="1" applyBorder="1"/>
    <xf numFmtId="0" fontId="27" fillId="0" borderId="0" xfId="2" applyFont="1" applyFill="1" applyBorder="1"/>
    <xf numFmtId="0" fontId="26" fillId="0" borderId="0" xfId="3" applyFont="1" applyFill="1" applyBorder="1"/>
    <xf numFmtId="43" fontId="26" fillId="0" borderId="3" xfId="1" applyFont="1" applyFill="1" applyBorder="1"/>
    <xf numFmtId="0" fontId="27" fillId="0" borderId="3" xfId="2" applyFont="1" applyFill="1" applyBorder="1"/>
    <xf numFmtId="0" fontId="26" fillId="0" borderId="3" xfId="3" applyFont="1" applyFill="1" applyBorder="1"/>
    <xf numFmtId="43" fontId="0" fillId="0" borderId="0" xfId="1" applyFont="1"/>
    <xf numFmtId="0" fontId="31" fillId="0" borderId="0" xfId="0" applyFont="1"/>
    <xf numFmtId="0" fontId="32" fillId="0" borderId="0" xfId="0" applyFont="1"/>
    <xf numFmtId="0" fontId="25" fillId="0" borderId="0" xfId="0" applyFont="1" applyAlignment="1">
      <alignment horizontal="center" wrapText="1"/>
    </xf>
    <xf numFmtId="0" fontId="25" fillId="12" borderId="4" xfId="0" applyFont="1" applyFill="1" applyBorder="1" applyAlignment="1">
      <alignment horizontal="center" wrapText="1"/>
    </xf>
    <xf numFmtId="0" fontId="28" fillId="12" borderId="4" xfId="0" applyFont="1" applyFill="1" applyBorder="1" applyAlignment="1">
      <alignment horizontal="left" wrapText="1"/>
    </xf>
    <xf numFmtId="43" fontId="28" fillId="12" borderId="4" xfId="1" applyFont="1" applyFill="1" applyBorder="1" applyAlignment="1">
      <alignment horizontal="center" wrapText="1"/>
    </xf>
    <xf numFmtId="0" fontId="28" fillId="12" borderId="4" xfId="0" applyFont="1" applyFill="1" applyBorder="1" applyAlignment="1">
      <alignment horizontal="center" wrapText="1"/>
    </xf>
    <xf numFmtId="0" fontId="32" fillId="12" borderId="4" xfId="0" applyFont="1" applyFill="1" applyBorder="1" applyAlignment="1">
      <alignment horizontal="left" wrapText="1"/>
    </xf>
    <xf numFmtId="0" fontId="32" fillId="0" borderId="4" xfId="0" applyFont="1" applyBorder="1" applyAlignment="1">
      <alignment horizontal="left" wrapText="1"/>
    </xf>
    <xf numFmtId="0" fontId="33" fillId="0" borderId="0" xfId="0" applyFont="1"/>
    <xf numFmtId="0" fontId="25" fillId="0" borderId="0" xfId="0" applyFont="1" applyAlignment="1">
      <alignment horizontal="right"/>
    </xf>
    <xf numFmtId="2" fontId="34" fillId="2" borderId="1" xfId="2" applyNumberFormat="1" applyFont="1"/>
    <xf numFmtId="0" fontId="35" fillId="0" borderId="0" xfId="5" applyFont="1"/>
    <xf numFmtId="0" fontId="0" fillId="13" borderId="0" xfId="0" applyFill="1"/>
    <xf numFmtId="2" fontId="0" fillId="13" borderId="0" xfId="0" applyNumberFormat="1" applyFill="1"/>
    <xf numFmtId="2" fontId="36" fillId="13" borderId="0" xfId="0" applyNumberFormat="1" applyFont="1" applyFill="1" applyBorder="1" applyAlignment="1">
      <alignment horizontal="center" vertical="center" wrapText="1"/>
    </xf>
    <xf numFmtId="0" fontId="36" fillId="13" borderId="0" xfId="0" applyFont="1" applyFill="1" applyBorder="1" applyAlignment="1">
      <alignment vertical="center" wrapText="1"/>
    </xf>
    <xf numFmtId="0" fontId="37" fillId="13" borderId="0" xfId="0" applyFont="1" applyFill="1" applyBorder="1" applyAlignment="1">
      <alignment vertical="center" wrapText="1"/>
    </xf>
    <xf numFmtId="0" fontId="36" fillId="0" borderId="5" xfId="0" applyFont="1" applyBorder="1" applyAlignment="1">
      <alignment horizontal="center" vertical="center" wrapText="1"/>
    </xf>
    <xf numFmtId="0" fontId="36" fillId="0" borderId="6" xfId="0" applyFont="1" applyBorder="1" applyAlignment="1">
      <alignment horizontal="center" vertical="center"/>
    </xf>
    <xf numFmtId="0" fontId="36" fillId="0" borderId="5" xfId="0" applyFont="1" applyBorder="1" applyAlignment="1">
      <alignment vertical="center" wrapText="1"/>
    </xf>
    <xf numFmtId="0" fontId="37" fillId="0" borderId="7" xfId="0" applyFont="1" applyBorder="1" applyAlignment="1">
      <alignment vertical="center" wrapText="1"/>
    </xf>
    <xf numFmtId="3" fontId="36" fillId="0" borderId="5" xfId="0" applyNumberFormat="1" applyFont="1" applyBorder="1" applyAlignment="1">
      <alignment horizontal="center" vertical="center" wrapText="1"/>
    </xf>
    <xf numFmtId="3" fontId="36" fillId="0" borderId="6" xfId="0" applyNumberFormat="1" applyFont="1" applyBorder="1" applyAlignment="1">
      <alignment horizontal="center" vertical="center"/>
    </xf>
    <xf numFmtId="0" fontId="38" fillId="0" borderId="8" xfId="0" applyFont="1" applyBorder="1" applyAlignment="1">
      <alignment horizontal="center" vertical="center" wrapText="1"/>
    </xf>
    <xf numFmtId="0" fontId="38" fillId="0" borderId="9" xfId="0" applyFont="1" applyBorder="1" applyAlignment="1">
      <alignment horizontal="center" vertical="center" wrapText="1"/>
    </xf>
    <xf numFmtId="0" fontId="38" fillId="0" borderId="8" xfId="0" applyFont="1" applyBorder="1" applyAlignment="1">
      <alignment vertical="center" wrapText="1"/>
    </xf>
    <xf numFmtId="0" fontId="38" fillId="0" borderId="2" xfId="0" applyFont="1" applyBorder="1" applyAlignment="1">
      <alignment vertical="center" wrapText="1"/>
    </xf>
    <xf numFmtId="0" fontId="36" fillId="13" borderId="0" xfId="0" applyFont="1" applyFill="1" applyBorder="1" applyAlignment="1">
      <alignment horizontal="center" vertical="center" wrapText="1"/>
    </xf>
    <xf numFmtId="0" fontId="7" fillId="10" borderId="0" xfId="0" applyFont="1" applyFill="1"/>
    <xf numFmtId="173" fontId="3" fillId="3" borderId="1" xfId="3" applyNumberFormat="1"/>
  </cellXfs>
  <cellStyles count="6">
    <cellStyle name="Calculation" xfId="3" builtinId="22"/>
    <cellStyle name="Comma" xfId="1" builtinId="3"/>
    <cellStyle name="Explanatory Text" xfId="4" builtinId="53"/>
    <cellStyle name="Hyperlink" xfId="5"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iammetta/Filr/My%20Files/TransferFiles/Aeras%20vaccine%20modelling/India/TB%20vaccine%20cost%20model%20INDIA%20v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iammetta/Filr/My%20Files/TransferFiles/TB%20in%20SA/Constraints/Constraints%20model%20assumptions%20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nit%20costs_Oct2015_CHIN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gbgomez/Downloads/Interventions%20Activities%20Inputs%20Sources_with%20unit%20cost%20sheet%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B%20Targets%20docs/Unit%20costs_Oct2015_CHI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accine lit review"/>
      <sheetName val="Vaccine costs (routine)"/>
      <sheetName val="Diagnostics"/>
      <sheetName val="DS Treatment"/>
      <sheetName val="MDR Treatment"/>
      <sheetName val="1. Vaccine delivery"/>
      <sheetName val="2. TB diagnosis"/>
      <sheetName val="3. TB treatment"/>
      <sheetName val="Cost model"/>
    </sheetNames>
    <sheetDataSet>
      <sheetData sheetId="0"/>
      <sheetData sheetId="1">
        <row r="25">
          <cell r="B25">
            <v>29</v>
          </cell>
        </row>
        <row r="26">
          <cell r="B26">
            <v>707</v>
          </cell>
        </row>
      </sheetData>
      <sheetData sheetId="2">
        <row r="3">
          <cell r="H3">
            <v>25224000</v>
          </cell>
        </row>
        <row r="4">
          <cell r="H4">
            <v>24341160</v>
          </cell>
        </row>
        <row r="5">
          <cell r="H5">
            <v>27746400.000000004</v>
          </cell>
        </row>
        <row r="7">
          <cell r="C7">
            <v>0.25</v>
          </cell>
        </row>
      </sheetData>
      <sheetData sheetId="3"/>
      <sheetData sheetId="4">
        <row r="5">
          <cell r="S5">
            <v>0.18479629629629626</v>
          </cell>
        </row>
        <row r="6">
          <cell r="S6">
            <v>1.0417772830369032</v>
          </cell>
        </row>
      </sheetData>
      <sheetData sheetId="5"/>
      <sheetData sheetId="6">
        <row r="2">
          <cell r="A2" t="str">
            <v>c_routine_delivery</v>
          </cell>
          <cell r="G2" t="str">
            <v>per dose</v>
          </cell>
        </row>
        <row r="3">
          <cell r="A3" t="str">
            <v>c_campaign_delivery</v>
          </cell>
        </row>
      </sheetData>
      <sheetData sheetId="7"/>
      <sheetData sheetId="8">
        <row r="2">
          <cell r="F2" t="str">
            <v>per patient month</v>
          </cell>
        </row>
        <row r="3">
          <cell r="F3" t="str">
            <v>per patient month</v>
          </cell>
        </row>
        <row r="4">
          <cell r="F4" t="str">
            <v>per patient month</v>
          </cell>
        </row>
        <row r="5">
          <cell r="F5" t="str">
            <v>per patient month</v>
          </cell>
        </row>
      </sheetData>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model"/>
      <sheetName val="HR constraint"/>
      <sheetName val="HR Option A "/>
      <sheetName val="HR Option B"/>
      <sheetName val="Budget constraint"/>
      <sheetName val="Number of Xperts"/>
      <sheetName val="Nurse training"/>
      <sheetName val="Cost of training"/>
    </sheetNames>
    <sheetDataSet>
      <sheetData sheetId="0"/>
      <sheetData sheetId="1"/>
      <sheetData sheetId="2">
        <row r="21">
          <cell r="B21">
            <v>223</v>
          </cell>
        </row>
        <row r="29">
          <cell r="L29">
            <v>480</v>
          </cell>
        </row>
      </sheetData>
      <sheetData sheetId="3"/>
      <sheetData sheetId="4"/>
      <sheetData sheetId="5"/>
      <sheetData sheetId="6">
        <row r="47">
          <cell r="G47">
            <v>0.94</v>
          </cell>
        </row>
      </sheetData>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ventions"/>
      <sheetName val="Table for presentation"/>
      <sheetName val="Cost Model All"/>
      <sheetName val="Yoko SR"/>
      <sheetName val="ART"/>
      <sheetName val="World bank deflator"/>
      <sheetName val="notes"/>
    </sheetNames>
    <sheetDataSet>
      <sheetData sheetId="0" refreshError="1"/>
      <sheetData sheetId="1" refreshError="1"/>
      <sheetData sheetId="2" refreshError="1"/>
      <sheetData sheetId="3" refreshError="1"/>
      <sheetData sheetId="4" refreshError="1"/>
      <sheetData sheetId="5" refreshError="1">
        <row r="42">
          <cell r="E42">
            <v>1.0172079148592468</v>
          </cell>
        </row>
        <row r="43">
          <cell r="E43">
            <v>1.0108467370146568</v>
          </cell>
        </row>
        <row r="44">
          <cell r="E44">
            <v>1.0143155761069154</v>
          </cell>
        </row>
        <row r="45">
          <cell r="E45">
            <v>1.0227939798913417</v>
          </cell>
        </row>
        <row r="46">
          <cell r="E46">
            <v>1.0227744535352308</v>
          </cell>
        </row>
        <row r="47">
          <cell r="E47">
            <v>1.0153423676198419</v>
          </cell>
        </row>
        <row r="48">
          <cell r="E48">
            <v>1.0199317968015058</v>
          </cell>
        </row>
        <row r="49">
          <cell r="E49">
            <v>1.0274744912665026</v>
          </cell>
        </row>
        <row r="50">
          <cell r="E50">
            <v>1.0321708296864822</v>
          </cell>
        </row>
        <row r="51">
          <cell r="E51">
            <v>1.0307332717290887</v>
          </cell>
        </row>
        <row r="52">
          <cell r="E52">
            <v>1.0266632915664664</v>
          </cell>
        </row>
        <row r="53">
          <cell r="E53">
            <v>1.0192931990959506</v>
          </cell>
        </row>
        <row r="54">
          <cell r="E54">
            <v>1.0078816343808596</v>
          </cell>
        </row>
        <row r="55">
          <cell r="E55">
            <v>1.0122599999999968</v>
          </cell>
        </row>
        <row r="56">
          <cell r="E56">
            <v>1.0206369904965185</v>
          </cell>
        </row>
        <row r="57">
          <cell r="E57">
            <v>1.0179935149784638</v>
          </cell>
        </row>
        <row r="58">
          <cell r="E58">
            <v>1.0148801034476207</v>
          </cell>
        </row>
      </sheetData>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Model All"/>
      <sheetName val="Codebook"/>
      <sheetName val="Unit costs from lit"/>
      <sheetName val="Other sources screened"/>
      <sheetName val="Unit costs needed"/>
      <sheetName val="Facility costs"/>
      <sheetName val="Facilities in SA"/>
    </sheetNames>
    <sheetDataSet>
      <sheetData sheetId="0"/>
      <sheetData sheetId="1" refreshError="1"/>
      <sheetData sheetId="2" refreshError="1"/>
      <sheetData sheetId="3" refreshError="1"/>
      <sheetData sheetId="4" refreshError="1"/>
      <sheetData sheetId="5">
        <row r="2">
          <cell r="B2">
            <v>1</v>
          </cell>
        </row>
        <row r="3">
          <cell r="B3">
            <v>2</v>
          </cell>
        </row>
        <row r="4">
          <cell r="B4">
            <v>5</v>
          </cell>
          <cell r="E4">
            <v>40532.479737089896</v>
          </cell>
        </row>
        <row r="5">
          <cell r="B5">
            <v>1</v>
          </cell>
          <cell r="E5">
            <v>199.55579916178942</v>
          </cell>
        </row>
        <row r="6">
          <cell r="E6">
            <v>0</v>
          </cell>
        </row>
        <row r="7">
          <cell r="E7">
            <v>0</v>
          </cell>
        </row>
        <row r="8">
          <cell r="E8">
            <v>10461.338921403911</v>
          </cell>
        </row>
        <row r="9">
          <cell r="E9">
            <v>103.2296723778225</v>
          </cell>
        </row>
        <row r="10">
          <cell r="E10">
            <v>0</v>
          </cell>
        </row>
        <row r="11">
          <cell r="E11">
            <v>0</v>
          </cell>
        </row>
        <row r="12">
          <cell r="E12">
            <v>0</v>
          </cell>
        </row>
        <row r="13">
          <cell r="B13">
            <v>0.14000000000000001</v>
          </cell>
          <cell r="E13">
            <v>351.53148828536087</v>
          </cell>
        </row>
        <row r="14">
          <cell r="B14">
            <v>12</v>
          </cell>
          <cell r="E14">
            <v>479.57092480106348</v>
          </cell>
        </row>
        <row r="15">
          <cell r="B15">
            <v>365</v>
          </cell>
          <cell r="E15">
            <v>0</v>
          </cell>
        </row>
        <row r="16">
          <cell r="E16">
            <v>0</v>
          </cell>
        </row>
      </sheetData>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ventions"/>
      <sheetName val="Table for presentation"/>
      <sheetName val="Cost Model All"/>
      <sheetName val="literature"/>
      <sheetName val="four cities"/>
      <sheetName val="Yoko SR"/>
      <sheetName val="ART"/>
      <sheetName val="World bank deflator"/>
      <sheetName val="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atabank.worldbank.org/data/reports.aspx?source=2&amp;series=NY.GDP.DEFL.KD.ZG&amp;country="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anda.com/currency/average" TargetMode="External"/><Relationship Id="rId1" Type="http://schemas.openxmlformats.org/officeDocument/2006/relationships/hyperlink" Target="https://tbcindia.gov.in/index1.php?lang=1&amp;level=2&amp;sublinkid=4682&amp;lid=3248"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0BAB9-71D5-431F-BC64-2F5BC7F604BF}">
  <dimension ref="A1:H111"/>
  <sheetViews>
    <sheetView zoomScale="80" zoomScaleNormal="80" workbookViewId="0">
      <selection activeCell="D24" sqref="D24"/>
    </sheetView>
  </sheetViews>
  <sheetFormatPr defaultRowHeight="14.4"/>
  <cols>
    <col min="1" max="1" width="50.21875" style="8" customWidth="1"/>
    <col min="3" max="3" width="14.5546875" customWidth="1"/>
    <col min="4" max="4" width="11.109375" customWidth="1"/>
    <col min="5" max="6" width="14.5546875" customWidth="1"/>
  </cols>
  <sheetData>
    <row r="1" spans="1:7">
      <c r="D1" s="7"/>
    </row>
    <row r="2" spans="1:7" s="33" customFormat="1">
      <c r="A2" s="34"/>
      <c r="B2" s="33" t="s">
        <v>233</v>
      </c>
      <c r="C2" s="33" t="s">
        <v>232</v>
      </c>
      <c r="D2" s="106" t="s">
        <v>377</v>
      </c>
      <c r="E2" s="33" t="s">
        <v>231</v>
      </c>
      <c r="F2" s="33" t="s">
        <v>230</v>
      </c>
      <c r="G2" s="33" t="s">
        <v>229</v>
      </c>
    </row>
    <row r="3" spans="1:7" s="20" customFormat="1">
      <c r="A3" s="22" t="s">
        <v>228</v>
      </c>
      <c r="D3" s="32"/>
    </row>
    <row r="4" spans="1:7" s="25" customFormat="1">
      <c r="A4" s="12" t="s">
        <v>227</v>
      </c>
    </row>
    <row r="5" spans="1:7">
      <c r="A5" s="8" t="s">
        <v>226</v>
      </c>
      <c r="B5">
        <v>0.39</v>
      </c>
      <c r="C5" t="s">
        <v>225</v>
      </c>
      <c r="D5" s="15">
        <f>B5*PRODUCT('[3]World bank deflator'!E42:E58)</f>
        <v>0.54226698972214749</v>
      </c>
      <c r="E5" t="s">
        <v>157</v>
      </c>
      <c r="G5" t="s">
        <v>224</v>
      </c>
    </row>
    <row r="6" spans="1:7">
      <c r="A6" s="8" t="s">
        <v>223</v>
      </c>
      <c r="B6">
        <v>53.03</v>
      </c>
      <c r="C6" t="s">
        <v>158</v>
      </c>
      <c r="D6" s="15">
        <f>B6*PRODUCT('[3]World bank deflator'!E56:E58)</f>
        <v>55.918135360480846</v>
      </c>
      <c r="E6" t="s">
        <v>157</v>
      </c>
      <c r="G6" t="s">
        <v>222</v>
      </c>
    </row>
    <row r="7" spans="1:7">
      <c r="A7" s="8" t="s">
        <v>221</v>
      </c>
      <c r="B7">
        <v>22.38</v>
      </c>
      <c r="C7" t="s">
        <v>158</v>
      </c>
      <c r="D7" s="15">
        <f>B7*PRODUCT('[3]World bank deflator'!E56:E58)</f>
        <v>23.598866101594595</v>
      </c>
      <c r="E7" t="s">
        <v>157</v>
      </c>
      <c r="G7" t="s">
        <v>219</v>
      </c>
    </row>
    <row r="8" spans="1:7" s="14" customFormat="1" ht="17.25" customHeight="1">
      <c r="A8" s="31" t="s">
        <v>220</v>
      </c>
      <c r="B8" s="14">
        <v>20000</v>
      </c>
      <c r="C8" s="14" t="s">
        <v>158</v>
      </c>
      <c r="D8" s="15">
        <f>B8*PRODUCT('[3]World bank deflator'!E56:E58)</f>
        <v>21089.245845929039</v>
      </c>
      <c r="E8" s="14" t="s">
        <v>157</v>
      </c>
      <c r="G8" s="14" t="s">
        <v>219</v>
      </c>
    </row>
    <row r="9" spans="1:7">
      <c r="A9" s="8" t="s">
        <v>218</v>
      </c>
      <c r="B9">
        <v>75000</v>
      </c>
      <c r="C9" t="s">
        <v>158</v>
      </c>
      <c r="D9" s="9">
        <f>B9*PRODUCT('[3]World bank deflator'!E$56:E$58)</f>
        <v>79084.671922233902</v>
      </c>
      <c r="E9" t="s">
        <v>157</v>
      </c>
      <c r="G9" t="s">
        <v>217</v>
      </c>
    </row>
    <row r="10" spans="1:7" s="14" customFormat="1">
      <c r="A10" s="31" t="s">
        <v>216</v>
      </c>
      <c r="B10" s="14">
        <v>10000</v>
      </c>
      <c r="C10" s="14" t="s">
        <v>158</v>
      </c>
      <c r="D10" s="15">
        <f>B10*PRODUCT('[3]World bank deflator'!E56:E58)</f>
        <v>10544.62292296452</v>
      </c>
      <c r="E10" s="14" t="s">
        <v>157</v>
      </c>
      <c r="G10" s="14" t="s">
        <v>215</v>
      </c>
    </row>
    <row r="11" spans="1:7">
      <c r="A11" s="8" t="s">
        <v>214</v>
      </c>
      <c r="B11">
        <v>36000</v>
      </c>
      <c r="C11" t="s">
        <v>158</v>
      </c>
      <c r="D11" s="9">
        <f>B11*PRODUCT('[3]World bank deflator'!E56:E58)</f>
        <v>37960.642522672271</v>
      </c>
      <c r="E11" t="s">
        <v>157</v>
      </c>
      <c r="G11" t="s">
        <v>213</v>
      </c>
    </row>
    <row r="12" spans="1:7">
      <c r="A12" s="8" t="s">
        <v>212</v>
      </c>
      <c r="B12" s="9">
        <v>41.72</v>
      </c>
      <c r="C12" t="s">
        <v>158</v>
      </c>
      <c r="D12" s="9">
        <f>B12*PRODUCT('[3]World bank deflator'!E$56:E$58)</f>
        <v>43.992166834607971</v>
      </c>
      <c r="E12" t="s">
        <v>157</v>
      </c>
      <c r="G12" t="s">
        <v>201</v>
      </c>
    </row>
    <row r="13" spans="1:7" ht="15" thickBot="1">
      <c r="A13" s="8" t="s">
        <v>210</v>
      </c>
      <c r="D13" s="9">
        <v>14</v>
      </c>
      <c r="E13" t="s">
        <v>157</v>
      </c>
      <c r="G13" t="s">
        <v>211</v>
      </c>
    </row>
    <row r="14" spans="1:7" s="16" customFormat="1" ht="15" thickBot="1">
      <c r="A14" s="19" t="s">
        <v>210</v>
      </c>
      <c r="B14" s="17">
        <f>'four cities'!F53</f>
        <v>79.736495806669794</v>
      </c>
      <c r="C14" s="16" t="s">
        <v>194</v>
      </c>
      <c r="D14" s="23">
        <f>B14*0.16*PRODUCT('[3]World bank deflator'!$E$56:$E$58)*PRODUCT('Yoko SR'!N6:N9)</f>
        <v>13.874095456072354</v>
      </c>
      <c r="E14" s="16" t="s">
        <v>157</v>
      </c>
      <c r="G14" s="16" t="s">
        <v>193</v>
      </c>
    </row>
    <row r="15" spans="1:7" ht="15" thickBot="1">
      <c r="A15" s="8" t="s">
        <v>207</v>
      </c>
      <c r="B15" s="9">
        <v>4.99</v>
      </c>
      <c r="C15" s="14" t="s">
        <v>158</v>
      </c>
      <c r="D15" s="30">
        <f>B15*PRODUCT('[3]World bank deflator'!E$56:E$58)</f>
        <v>5.2617668385592955</v>
      </c>
      <c r="E15" t="s">
        <v>157</v>
      </c>
      <c r="G15" t="s">
        <v>201</v>
      </c>
    </row>
    <row r="16" spans="1:7" ht="15" thickBot="1">
      <c r="A16" s="8" t="s">
        <v>207</v>
      </c>
      <c r="B16">
        <v>2.2000000000000002</v>
      </c>
      <c r="C16" t="s">
        <v>209</v>
      </c>
      <c r="D16" s="23">
        <f>B16*PRODUCT('[3]World bank deflator'!E55:E58)*PRODUCT('Yoko SR'!N6:N9)</f>
        <v>2.4218224817743823</v>
      </c>
      <c r="E16" t="s">
        <v>157</v>
      </c>
      <c r="G16" t="s">
        <v>208</v>
      </c>
    </row>
    <row r="17" spans="1:8" s="16" customFormat="1">
      <c r="A17" s="19" t="s">
        <v>207</v>
      </c>
      <c r="B17" s="17">
        <f>'four cities'!G43</f>
        <v>39.173593961115145</v>
      </c>
      <c r="C17" s="16" t="s">
        <v>194</v>
      </c>
      <c r="D17" s="28">
        <f>B17*0.16*PRODUCT('[3]World bank deflator'!$E$56:$E$58)</f>
        <v>6.6091324297164675</v>
      </c>
      <c r="E17" s="16" t="s">
        <v>157</v>
      </c>
      <c r="G17" s="16" t="s">
        <v>193</v>
      </c>
    </row>
    <row r="18" spans="1:8">
      <c r="A18" s="8" t="s">
        <v>205</v>
      </c>
      <c r="B18" s="9">
        <v>15.24</v>
      </c>
      <c r="C18" t="s">
        <v>158</v>
      </c>
      <c r="D18" s="30">
        <f>B18*PRODUCT('[3]World bank deflator'!E$56:E$58)</f>
        <v>16.070005334597926</v>
      </c>
      <c r="E18" t="s">
        <v>157</v>
      </c>
      <c r="G18" t="s">
        <v>201</v>
      </c>
    </row>
    <row r="19" spans="1:8" ht="15" thickBot="1">
      <c r="A19" s="8" t="s">
        <v>205</v>
      </c>
      <c r="D19" s="30">
        <v>15</v>
      </c>
      <c r="E19" t="s">
        <v>157</v>
      </c>
      <c r="G19" t="s">
        <v>206</v>
      </c>
    </row>
    <row r="20" spans="1:8" s="16" customFormat="1" ht="15" thickBot="1">
      <c r="A20" s="19" t="s">
        <v>205</v>
      </c>
      <c r="B20" s="16">
        <f>'four cities'!G44</f>
        <v>62.677750337784246</v>
      </c>
      <c r="C20" s="16" t="s">
        <v>194</v>
      </c>
      <c r="D20" s="23">
        <f>B20*0.16*PRODUCT('[3]World bank deflator'!$E$56:$E$58)*PRODUCT('Yoko SR'!N6:N9)</f>
        <v>10.905885471399783</v>
      </c>
      <c r="E20" s="16" t="s">
        <v>157</v>
      </c>
      <c r="G20" s="16" t="s">
        <v>193</v>
      </c>
    </row>
    <row r="21" spans="1:8" s="16" customFormat="1" ht="15" thickBot="1">
      <c r="A21" s="19" t="s">
        <v>204</v>
      </c>
      <c r="B21" s="17">
        <v>9.98</v>
      </c>
      <c r="C21" s="16" t="s">
        <v>174</v>
      </c>
      <c r="D21" s="28">
        <f>B21*PRODUCT('[3]World bank deflator'!$E$57:$E$58)</f>
        <v>10.310750810627697</v>
      </c>
      <c r="E21" s="16" t="s">
        <v>157</v>
      </c>
      <c r="G21" s="16" t="s">
        <v>203</v>
      </c>
    </row>
    <row r="22" spans="1:8" s="16" customFormat="1" ht="15" thickBot="1">
      <c r="A22" s="19" t="s">
        <v>202</v>
      </c>
      <c r="B22" s="16">
        <v>20.22</v>
      </c>
      <c r="C22" s="16" t="s">
        <v>158</v>
      </c>
      <c r="D22" s="23">
        <f>B22*PRODUCT('[3]World bank deflator'!E$56:E$58)</f>
        <v>21.321227550234259</v>
      </c>
      <c r="E22" s="16" t="s">
        <v>157</v>
      </c>
      <c r="G22" s="16" t="s">
        <v>201</v>
      </c>
    </row>
    <row r="23" spans="1:8" s="25" customFormat="1" ht="15" thickBot="1">
      <c r="A23" s="12" t="s">
        <v>200</v>
      </c>
      <c r="D23" s="26"/>
    </row>
    <row r="24" spans="1:8" ht="15" thickBot="1">
      <c r="A24" s="8" t="s">
        <v>199</v>
      </c>
      <c r="B24" s="13">
        <v>5.0273866339267617</v>
      </c>
      <c r="C24" t="s">
        <v>169</v>
      </c>
      <c r="D24" s="29">
        <f>B24*PRODUCT('[3]World bank deflator'!E53:E58)*PRODUCT('Yoko SR'!N6:N9)</f>
        <v>5.6855249521900104</v>
      </c>
      <c r="E24" t="s">
        <v>157</v>
      </c>
      <c r="G24" t="s">
        <v>168</v>
      </c>
    </row>
    <row r="25" spans="1:8">
      <c r="A25" s="8" t="s">
        <v>198</v>
      </c>
      <c r="B25" s="13">
        <v>7.07</v>
      </c>
      <c r="C25" t="s">
        <v>169</v>
      </c>
      <c r="D25" s="9">
        <f>B25*PRODUCT('[3]World bank deflator'!E54:E59)</f>
        <v>7.6059256384930478</v>
      </c>
      <c r="E25" t="s">
        <v>157</v>
      </c>
      <c r="G25" t="s">
        <v>168</v>
      </c>
    </row>
    <row r="26" spans="1:8" s="16" customFormat="1" ht="15" thickBot="1">
      <c r="A26" s="19" t="s">
        <v>197</v>
      </c>
      <c r="B26" s="18">
        <v>8</v>
      </c>
      <c r="C26" s="16" t="s">
        <v>76</v>
      </c>
      <c r="D26" s="28">
        <f>B26*0.16*PRODUCT('[3]World bank deflator'!E55:E58)</f>
        <v>1.3662592000000038</v>
      </c>
      <c r="E26" s="16" t="s">
        <v>157</v>
      </c>
      <c r="G26" s="16" t="s">
        <v>196</v>
      </c>
    </row>
    <row r="27" spans="1:8" s="16" customFormat="1" ht="15" thickBot="1">
      <c r="A27" s="19" t="s">
        <v>195</v>
      </c>
      <c r="B27" s="18">
        <f>'four cities'!F24</f>
        <v>68.994394335805808</v>
      </c>
      <c r="C27" s="16" t="s">
        <v>194</v>
      </c>
      <c r="D27" s="23">
        <f>B27*0.16*PRODUCT('[3]World bank deflator'!E56:E59)</f>
        <v>11.640317953110261</v>
      </c>
      <c r="E27" s="16" t="s">
        <v>157</v>
      </c>
      <c r="G27" s="16" t="s">
        <v>193</v>
      </c>
    </row>
    <row r="28" spans="1:8">
      <c r="A28" s="8" t="s">
        <v>192</v>
      </c>
      <c r="B28">
        <v>6</v>
      </c>
      <c r="C28" t="s">
        <v>191</v>
      </c>
      <c r="D28" s="9"/>
      <c r="G28" t="s">
        <v>29</v>
      </c>
    </row>
    <row r="29" spans="1:8">
      <c r="A29" s="8" t="s">
        <v>190</v>
      </c>
      <c r="B29" s="24">
        <v>93</v>
      </c>
      <c r="D29" s="9"/>
      <c r="G29" t="s">
        <v>171</v>
      </c>
    </row>
    <row r="30" spans="1:8">
      <c r="A30" s="8" t="s">
        <v>189</v>
      </c>
      <c r="B30">
        <v>6.1499999999999999E-2</v>
      </c>
      <c r="C30" t="s">
        <v>186</v>
      </c>
      <c r="D30" s="9">
        <f>B30*'[3]World bank deflator'!E58</f>
        <v>6.2415126362028672E-2</v>
      </c>
      <c r="E30" t="s">
        <v>157</v>
      </c>
      <c r="G30" t="s">
        <v>185</v>
      </c>
      <c r="H30" t="s">
        <v>188</v>
      </c>
    </row>
    <row r="31" spans="1:8">
      <c r="A31" s="8" t="s">
        <v>187</v>
      </c>
      <c r="B31">
        <v>0.1071</v>
      </c>
      <c r="C31" t="s">
        <v>186</v>
      </c>
      <c r="D31" s="9">
        <f>B31*'[3]World bank deflator'!E58</f>
        <v>0.10869365907924018</v>
      </c>
      <c r="E31" t="s">
        <v>157</v>
      </c>
      <c r="G31" t="s">
        <v>185</v>
      </c>
      <c r="H31" t="s">
        <v>184</v>
      </c>
    </row>
    <row r="32" spans="1:8">
      <c r="A32" s="8" t="s">
        <v>183</v>
      </c>
      <c r="B32">
        <v>1000</v>
      </c>
      <c r="C32" t="s">
        <v>76</v>
      </c>
      <c r="D32" s="9">
        <f>(B32*0.16)*PRODUCT('[3]World bank deflator'!E55:E58)</f>
        <v>170.78240000000048</v>
      </c>
      <c r="E32" t="s">
        <v>157</v>
      </c>
      <c r="G32" t="s">
        <v>182</v>
      </c>
      <c r="H32" s="27" t="s">
        <v>181</v>
      </c>
    </row>
    <row r="33" spans="1:8" s="16" customFormat="1">
      <c r="A33" s="19" t="s">
        <v>180</v>
      </c>
      <c r="B33" s="16">
        <v>10</v>
      </c>
      <c r="C33" s="16" t="s">
        <v>179</v>
      </c>
      <c r="D33" s="17">
        <f>B33/24</f>
        <v>0.41666666666666669</v>
      </c>
      <c r="E33" s="16" t="s">
        <v>157</v>
      </c>
      <c r="G33" s="16" t="s">
        <v>178</v>
      </c>
      <c r="H33" s="16" t="s">
        <v>177</v>
      </c>
    </row>
    <row r="34" spans="1:8" s="25" customFormat="1">
      <c r="A34" s="12" t="s">
        <v>176</v>
      </c>
      <c r="D34" s="26"/>
    </row>
    <row r="35" spans="1:8">
      <c r="A35" s="8" t="s">
        <v>175</v>
      </c>
      <c r="B35">
        <f>8632/24</f>
        <v>359.66666666666669</v>
      </c>
      <c r="C35" t="s">
        <v>174</v>
      </c>
      <c r="D35" s="9">
        <f>B35*PRODUCT('[3]World bank deflator'!E57:E58)</f>
        <v>371.58651050992938</v>
      </c>
      <c r="E35" t="s">
        <v>157</v>
      </c>
      <c r="G35" t="s">
        <v>173</v>
      </c>
    </row>
    <row r="36" spans="1:8">
      <c r="A36" s="8" t="s">
        <v>172</v>
      </c>
      <c r="B36" s="24">
        <v>60</v>
      </c>
      <c r="D36" s="9"/>
      <c r="G36" t="s">
        <v>171</v>
      </c>
    </row>
    <row r="37" spans="1:8" ht="15" thickBot="1">
      <c r="A37" s="8" t="s">
        <v>170</v>
      </c>
      <c r="B37">
        <v>30.415107847786743</v>
      </c>
      <c r="C37" t="s">
        <v>169</v>
      </c>
      <c r="D37" s="9">
        <f>B37*PRODUCT('[3]World bank deflator'!E53:E58)</f>
        <v>33.351943667196601</v>
      </c>
      <c r="E37" t="s">
        <v>157</v>
      </c>
      <c r="G37" t="s">
        <v>168</v>
      </c>
    </row>
    <row r="38" spans="1:8" s="16" customFormat="1" ht="15" thickBot="1">
      <c r="A38" s="19" t="s">
        <v>167</v>
      </c>
      <c r="B38" s="16">
        <v>800</v>
      </c>
      <c r="C38" s="16" t="s">
        <v>158</v>
      </c>
      <c r="D38" s="23">
        <f>B38*PRODUCT('[3]World bank deflator'!E$56:E$58)</f>
        <v>843.56983383716158</v>
      </c>
      <c r="E38" s="16" t="s">
        <v>157</v>
      </c>
      <c r="F38" s="16" t="s">
        <v>156</v>
      </c>
      <c r="G38" s="16" t="s">
        <v>162</v>
      </c>
    </row>
    <row r="39" spans="1:8" s="16" customFormat="1" ht="15" thickBot="1">
      <c r="A39" s="19" t="s">
        <v>166</v>
      </c>
      <c r="B39" s="16">
        <v>174</v>
      </c>
      <c r="C39" s="16" t="s">
        <v>158</v>
      </c>
      <c r="D39" s="23">
        <f>B39*PRODUCT('[3]World bank deflator'!E$56:E$58)</f>
        <v>183.47643885958263</v>
      </c>
      <c r="E39" s="16" t="s">
        <v>157</v>
      </c>
      <c r="F39" s="16" t="s">
        <v>156</v>
      </c>
      <c r="G39" s="16" t="s">
        <v>160</v>
      </c>
    </row>
    <row r="40" spans="1:8" s="16" customFormat="1" ht="15" thickBot="1">
      <c r="A40" s="19" t="s">
        <v>165</v>
      </c>
      <c r="B40" s="16">
        <v>350</v>
      </c>
      <c r="C40" s="16" t="s">
        <v>158</v>
      </c>
      <c r="D40" s="23">
        <f>B40*PRODUCT('[3]World bank deflator'!E$56:E$58)</f>
        <v>369.06180230375816</v>
      </c>
      <c r="E40" s="16" t="s">
        <v>157</v>
      </c>
      <c r="F40" s="16" t="s">
        <v>156</v>
      </c>
      <c r="G40" s="16" t="s">
        <v>160</v>
      </c>
    </row>
    <row r="41" spans="1:8" s="16" customFormat="1" ht="15" thickBot="1">
      <c r="A41" s="19" t="s">
        <v>164</v>
      </c>
      <c r="B41" s="16">
        <v>275</v>
      </c>
      <c r="C41" s="16" t="s">
        <v>158</v>
      </c>
      <c r="D41" s="23">
        <f>B41*PRODUCT('[3]World bank deflator'!E$56:E$58)</f>
        <v>289.97713038152426</v>
      </c>
      <c r="E41" s="16" t="s">
        <v>157</v>
      </c>
      <c r="F41" s="16" t="s">
        <v>156</v>
      </c>
      <c r="G41" s="16" t="s">
        <v>155</v>
      </c>
    </row>
    <row r="42" spans="1:8" s="16" customFormat="1" ht="15" thickBot="1">
      <c r="A42" s="19" t="s">
        <v>163</v>
      </c>
      <c r="B42" s="16">
        <v>1135</v>
      </c>
      <c r="C42" s="16" t="s">
        <v>158</v>
      </c>
      <c r="D42" s="23">
        <f>B42*PRODUCT('[3]World bank deflator'!E$56:E$58)</f>
        <v>1196.8147017564729</v>
      </c>
      <c r="E42" s="16" t="s">
        <v>157</v>
      </c>
      <c r="F42" s="16" t="s">
        <v>156</v>
      </c>
      <c r="G42" s="16" t="s">
        <v>162</v>
      </c>
    </row>
    <row r="43" spans="1:8" s="16" customFormat="1" ht="15" thickBot="1">
      <c r="A43" s="19" t="s">
        <v>161</v>
      </c>
      <c r="B43" s="16">
        <v>339</v>
      </c>
      <c r="C43" s="16" t="s">
        <v>158</v>
      </c>
      <c r="D43" s="23">
        <f>B43*PRODUCT('[3]World bank deflator'!E$56:E$58)</f>
        <v>357.46271708849719</v>
      </c>
      <c r="E43" s="16" t="s">
        <v>157</v>
      </c>
      <c r="F43" s="16" t="s">
        <v>156</v>
      </c>
      <c r="G43" s="16" t="s">
        <v>160</v>
      </c>
    </row>
    <row r="44" spans="1:8" s="16" customFormat="1" ht="15" thickBot="1">
      <c r="A44" s="19" t="s">
        <v>159</v>
      </c>
      <c r="B44" s="16">
        <v>796</v>
      </c>
      <c r="C44" s="16" t="s">
        <v>158</v>
      </c>
      <c r="D44" s="23">
        <f>B44*PRODUCT('[3]World bank deflator'!E$56:E$58)</f>
        <v>839.35198466797578</v>
      </c>
      <c r="E44" s="16" t="s">
        <v>157</v>
      </c>
      <c r="F44" s="16" t="s">
        <v>156</v>
      </c>
      <c r="G44" s="16" t="s">
        <v>155</v>
      </c>
    </row>
    <row r="45" spans="1:8" s="20" customFormat="1">
      <c r="A45" s="22" t="s">
        <v>154</v>
      </c>
      <c r="D45" s="21"/>
    </row>
    <row r="46" spans="1:8" s="10" customFormat="1">
      <c r="A46" s="12" t="s">
        <v>153</v>
      </c>
      <c r="D46" s="11"/>
    </row>
    <row r="47" spans="1:8">
      <c r="A47" s="8" t="s">
        <v>152</v>
      </c>
      <c r="B47">
        <v>1300</v>
      </c>
      <c r="C47" t="s">
        <v>34</v>
      </c>
      <c r="D47" s="15">
        <f>(B47/8.196721311)*PRODUCT('[3]World bank deflator'!E49:E58)</f>
        <v>195.17847928727656</v>
      </c>
      <c r="E47" s="14" t="s">
        <v>33</v>
      </c>
      <c r="F47">
        <v>215</v>
      </c>
      <c r="G47" t="s">
        <v>151</v>
      </c>
    </row>
    <row r="48" spans="1:8">
      <c r="A48" s="8" t="s">
        <v>150</v>
      </c>
      <c r="B48">
        <v>1330</v>
      </c>
      <c r="C48" t="s">
        <v>34</v>
      </c>
      <c r="D48" s="15">
        <f>(B48/8.196721311)*PRODUCT('[3]World bank deflator'!E49:E58)</f>
        <v>199.68259804005984</v>
      </c>
      <c r="E48" s="14" t="s">
        <v>33</v>
      </c>
      <c r="F48">
        <v>228</v>
      </c>
      <c r="G48" t="s">
        <v>149</v>
      </c>
    </row>
    <row r="49" spans="1:8">
      <c r="A49" s="8" t="s">
        <v>148</v>
      </c>
      <c r="B49">
        <v>2050</v>
      </c>
      <c r="C49" t="s">
        <v>34</v>
      </c>
      <c r="D49" s="15">
        <f>(B49/8.196721311)*PRODUCT('[3]World bank deflator'!E49:E58)</f>
        <v>307.78144810685916</v>
      </c>
      <c r="E49" s="14" t="s">
        <v>33</v>
      </c>
      <c r="F49">
        <v>223</v>
      </c>
      <c r="G49" t="s">
        <v>147</v>
      </c>
    </row>
    <row r="50" spans="1:8">
      <c r="A50" s="8" t="s">
        <v>146</v>
      </c>
      <c r="B50">
        <v>545</v>
      </c>
      <c r="C50" t="s">
        <v>34</v>
      </c>
      <c r="D50" s="15">
        <f>(B50/8.196721311)*PRODUCT('[3]World bank deflator'!E49:E58)</f>
        <v>81.824824008896698</v>
      </c>
      <c r="E50" s="14" t="s">
        <v>33</v>
      </c>
      <c r="F50">
        <v>221</v>
      </c>
      <c r="G50" t="s">
        <v>145</v>
      </c>
    </row>
    <row r="51" spans="1:8">
      <c r="A51" s="8" t="s">
        <v>144</v>
      </c>
      <c r="B51">
        <v>2565.6999999999998</v>
      </c>
      <c r="C51" t="s">
        <v>76</v>
      </c>
      <c r="D51" s="15">
        <f>B51*0.16*PRODUCT('[3]World bank deflator'!E55:E58)</f>
        <v>438.17640368000121</v>
      </c>
      <c r="E51" s="14" t="s">
        <v>33</v>
      </c>
      <c r="F51">
        <v>316</v>
      </c>
      <c r="G51" t="s">
        <v>143</v>
      </c>
    </row>
    <row r="52" spans="1:8">
      <c r="A52" s="8" t="s">
        <v>142</v>
      </c>
      <c r="B52">
        <v>1219</v>
      </c>
      <c r="C52" t="s">
        <v>76</v>
      </c>
      <c r="D52" s="15">
        <f>B52*0.16*PRODUCT('[3]World bank deflator'!E55:E58)</f>
        <v>208.18374560000058</v>
      </c>
      <c r="E52" s="14" t="s">
        <v>33</v>
      </c>
      <c r="F52">
        <v>316</v>
      </c>
      <c r="G52" t="s">
        <v>141</v>
      </c>
    </row>
    <row r="53" spans="1:8">
      <c r="A53" s="8" t="s">
        <v>140</v>
      </c>
      <c r="B53">
        <v>1346.7</v>
      </c>
      <c r="C53" t="s">
        <v>76</v>
      </c>
      <c r="D53" s="15">
        <f>B53*0.16*PRODUCT('[3]World bank deflator'!E55:E58)</f>
        <v>229.99265808000064</v>
      </c>
      <c r="E53" s="14" t="s">
        <v>33</v>
      </c>
      <c r="F53">
        <v>316</v>
      </c>
      <c r="G53" t="s">
        <v>139</v>
      </c>
    </row>
    <row r="54" spans="1:8">
      <c r="A54" s="8" t="s">
        <v>138</v>
      </c>
      <c r="B54">
        <v>8684.7999999999993</v>
      </c>
      <c r="C54" t="s">
        <v>76</v>
      </c>
      <c r="D54" s="15">
        <f>B54*0.16*PRODUCT('[3]World bank deflator'!E55:E58)</f>
        <v>1483.210987520004</v>
      </c>
      <c r="E54" s="14" t="s">
        <v>33</v>
      </c>
      <c r="F54">
        <v>49</v>
      </c>
      <c r="G54" t="s">
        <v>137</v>
      </c>
    </row>
    <row r="55" spans="1:8" ht="28.8">
      <c r="A55" s="8" t="s">
        <v>136</v>
      </c>
      <c r="B55" s="13">
        <f>100*30/35</f>
        <v>85.714285714285708</v>
      </c>
      <c r="C55" t="s">
        <v>123</v>
      </c>
      <c r="D55" s="15">
        <f>(B55/6.8)*PRODUCT('[3]World bank deflator'!E52:E58)*PRODUCT('Yoko SR'!N6:N9)</f>
        <v>14.635265837088683</v>
      </c>
      <c r="E55" s="14" t="s">
        <v>33</v>
      </c>
      <c r="F55">
        <v>100</v>
      </c>
      <c r="G55" t="s">
        <v>122</v>
      </c>
    </row>
    <row r="56" spans="1:8" ht="28.8">
      <c r="A56" s="8" t="s">
        <v>135</v>
      </c>
      <c r="B56">
        <v>300</v>
      </c>
      <c r="C56" t="s">
        <v>123</v>
      </c>
      <c r="D56" s="15">
        <f>(B56/6.8)*PRODUCT('[3]World bank deflator'!E52:E58)</f>
        <v>49.66748438395738</v>
      </c>
      <c r="E56" s="14" t="s">
        <v>33</v>
      </c>
      <c r="F56">
        <v>90</v>
      </c>
      <c r="G56" t="s">
        <v>122</v>
      </c>
    </row>
    <row r="57" spans="1:8" ht="28.8">
      <c r="A57" s="8" t="s">
        <v>134</v>
      </c>
      <c r="B57">
        <v>80</v>
      </c>
      <c r="C57" t="s">
        <v>123</v>
      </c>
      <c r="D57" s="15">
        <f>(B57/6.8)*PRODUCT('[3]World bank deflator'!E52:E58)</f>
        <v>13.244662502388636</v>
      </c>
      <c r="E57" s="14" t="s">
        <v>33</v>
      </c>
      <c r="F57">
        <v>103</v>
      </c>
      <c r="G57" t="s">
        <v>122</v>
      </c>
    </row>
    <row r="58" spans="1:8" ht="28.8">
      <c r="A58" s="8" t="s">
        <v>133</v>
      </c>
      <c r="B58">
        <v>0</v>
      </c>
      <c r="C58" t="s">
        <v>123</v>
      </c>
      <c r="D58" s="15">
        <f>(B58/6.8)*PRODUCT('[3]World bank deflator'!E52:E58)</f>
        <v>0</v>
      </c>
      <c r="E58" s="14" t="s">
        <v>33</v>
      </c>
      <c r="F58">
        <v>100</v>
      </c>
      <c r="G58" t="s">
        <v>122</v>
      </c>
    </row>
    <row r="59" spans="1:8" ht="28.8">
      <c r="A59" s="8" t="s">
        <v>132</v>
      </c>
      <c r="B59">
        <v>5450</v>
      </c>
      <c r="C59" t="s">
        <v>123</v>
      </c>
      <c r="D59" s="15">
        <f>(B59/6.8)*PRODUCT('[3]World bank deflator'!E52:E58)</f>
        <v>902.29263297522573</v>
      </c>
      <c r="E59" s="14" t="s">
        <v>33</v>
      </c>
      <c r="F59">
        <v>90</v>
      </c>
      <c r="G59" t="s">
        <v>122</v>
      </c>
    </row>
    <row r="60" spans="1:8" ht="28.8">
      <c r="A60" s="8" t="s">
        <v>131</v>
      </c>
      <c r="B60">
        <v>0</v>
      </c>
      <c r="C60" t="s">
        <v>123</v>
      </c>
      <c r="D60" s="15">
        <f>(B60/6.8)*PRODUCT('[3]World bank deflator'!E52:E58)</f>
        <v>0</v>
      </c>
      <c r="E60" s="14" t="s">
        <v>33</v>
      </c>
      <c r="F60">
        <v>103</v>
      </c>
      <c r="G60" t="s">
        <v>122</v>
      </c>
    </row>
    <row r="61" spans="1:8" ht="28.8">
      <c r="A61" s="8" t="s">
        <v>130</v>
      </c>
      <c r="B61">
        <v>1160</v>
      </c>
      <c r="C61" t="s">
        <v>123</v>
      </c>
      <c r="D61" s="15">
        <f>(B61/6.8)*PRODUCT('[3]World bank deflator'!E52:E58)</f>
        <v>192.04760628463521</v>
      </c>
      <c r="E61" s="14" t="s">
        <v>33</v>
      </c>
      <c r="F61">
        <v>100</v>
      </c>
      <c r="G61" t="s">
        <v>122</v>
      </c>
      <c r="H61" t="s">
        <v>127</v>
      </c>
    </row>
    <row r="62" spans="1:8" ht="28.8">
      <c r="A62" s="8" t="s">
        <v>129</v>
      </c>
      <c r="B62">
        <v>2200</v>
      </c>
      <c r="C62" t="s">
        <v>123</v>
      </c>
      <c r="D62" s="9">
        <f>(B62/6.8)*PRODUCT('[3]World bank deflator'!E52:E58)</f>
        <v>364.22821881568746</v>
      </c>
      <c r="E62" t="s">
        <v>33</v>
      </c>
      <c r="F62">
        <v>90</v>
      </c>
      <c r="G62" t="s">
        <v>122</v>
      </c>
      <c r="H62" t="s">
        <v>127</v>
      </c>
    </row>
    <row r="63" spans="1:8" ht="28.8">
      <c r="A63" s="8" t="s">
        <v>128</v>
      </c>
      <c r="B63">
        <v>1300</v>
      </c>
      <c r="C63" t="s">
        <v>123</v>
      </c>
      <c r="D63" s="15">
        <f>(B63/6.8)*PRODUCT('[3]World bank deflator'!E52:E58)</f>
        <v>215.22576566381531</v>
      </c>
      <c r="E63" s="14" t="s">
        <v>33</v>
      </c>
      <c r="F63" s="14">
        <v>103</v>
      </c>
      <c r="G63" s="14" t="s">
        <v>122</v>
      </c>
      <c r="H63" t="s">
        <v>127</v>
      </c>
    </row>
    <row r="64" spans="1:8">
      <c r="A64" s="8" t="s">
        <v>126</v>
      </c>
      <c r="B64" s="13">
        <f>((5030/19)*33+(3815/12)*6)/(33+6)</f>
        <v>272.91835357624831</v>
      </c>
      <c r="C64" t="s">
        <v>123</v>
      </c>
      <c r="D64" s="15">
        <f>(B64/6.8)*PRODUCT('[3]World bank deflator'!E52:E58)</f>
        <v>45.183893547812247</v>
      </c>
      <c r="E64" s="14" t="s">
        <v>33</v>
      </c>
      <c r="F64" s="14">
        <f>33+6</f>
        <v>39</v>
      </c>
      <c r="G64" s="14" t="s">
        <v>122</v>
      </c>
      <c r="H64" t="s">
        <v>121</v>
      </c>
    </row>
    <row r="65" spans="1:8">
      <c r="A65" s="8" t="s">
        <v>125</v>
      </c>
      <c r="B65" s="13">
        <f>8900/35</f>
        <v>254.28571428571428</v>
      </c>
      <c r="C65" t="s">
        <v>123</v>
      </c>
      <c r="D65" s="15">
        <f>(B65/6.8)*PRODUCT('[3]World bank deflator'!E52:E58)</f>
        <v>42.099105811163874</v>
      </c>
      <c r="E65" s="14" t="s">
        <v>33</v>
      </c>
      <c r="F65" s="14">
        <v>75</v>
      </c>
      <c r="G65" s="14" t="s">
        <v>122</v>
      </c>
      <c r="H65" t="s">
        <v>121</v>
      </c>
    </row>
    <row r="66" spans="1:8">
      <c r="A66" s="8" t="s">
        <v>124</v>
      </c>
      <c r="B66" s="13">
        <f>((4010/35)*8+(6000/20)*7)/(7+8)</f>
        <v>201.10476190476189</v>
      </c>
      <c r="C66" t="s">
        <v>123</v>
      </c>
      <c r="D66" s="15">
        <f>(B66/6.8)*PRODUCT('[3]World bank deflator'!E52:E58)</f>
        <v>33.29455873814743</v>
      </c>
      <c r="E66" s="14" t="s">
        <v>33</v>
      </c>
      <c r="F66" s="14">
        <f>8+7</f>
        <v>15</v>
      </c>
      <c r="G66" s="14" t="s">
        <v>122</v>
      </c>
      <c r="H66" t="s">
        <v>121</v>
      </c>
    </row>
    <row r="67" spans="1:8" ht="28.8">
      <c r="A67" s="8" t="s">
        <v>120</v>
      </c>
      <c r="B67" s="13">
        <f>1180.1/8.5</f>
        <v>138.83529411764704</v>
      </c>
      <c r="C67" t="s">
        <v>70</v>
      </c>
      <c r="D67" s="15">
        <f>(B67/8)*PRODUCT('[3]World bank deflator'!E48:E58)</f>
        <v>21.782602979220925</v>
      </c>
      <c r="E67" s="14" t="s">
        <v>33</v>
      </c>
      <c r="F67" s="14">
        <v>144</v>
      </c>
      <c r="G67" s="14" t="s">
        <v>119</v>
      </c>
      <c r="H67" t="s">
        <v>68</v>
      </c>
    </row>
    <row r="68" spans="1:8" ht="28.8">
      <c r="A68" s="8" t="s">
        <v>118</v>
      </c>
      <c r="B68" s="13">
        <f>567.3</f>
        <v>567.29999999999995</v>
      </c>
      <c r="C68" t="s">
        <v>70</v>
      </c>
      <c r="D68" s="15">
        <f>(B68/8)*PRODUCT('[3]World bank deflator'!E48:E58)</f>
        <v>89.006694937676698</v>
      </c>
      <c r="E68" s="14" t="s">
        <v>33</v>
      </c>
      <c r="F68" s="14">
        <v>144</v>
      </c>
      <c r="G68" s="14" t="s">
        <v>117</v>
      </c>
      <c r="H68" t="s">
        <v>68</v>
      </c>
    </row>
    <row r="69" spans="1:8" ht="28.8">
      <c r="A69" s="8" t="s">
        <v>116</v>
      </c>
      <c r="B69" s="13">
        <f>75.5</f>
        <v>75.5</v>
      </c>
      <c r="C69" t="s">
        <v>70</v>
      </c>
      <c r="D69" s="9">
        <f>(B69/8.5)*PRODUCT('[3]World bank deflator'!E48:E58)*PRODUCT('Yoko SR'!N6:N9)</f>
        <v>11.498055484048148</v>
      </c>
      <c r="E69" t="s">
        <v>33</v>
      </c>
      <c r="F69">
        <v>144</v>
      </c>
      <c r="G69" t="s">
        <v>115</v>
      </c>
      <c r="H69" t="s">
        <v>68</v>
      </c>
    </row>
    <row r="70" spans="1:8" s="16" customFormat="1">
      <c r="A70" s="19" t="s">
        <v>114</v>
      </c>
      <c r="B70" s="18">
        <v>752</v>
      </c>
      <c r="C70" s="16" t="s">
        <v>107</v>
      </c>
      <c r="D70" s="17">
        <f>B70*PRODUCT('[3]World bank deflator'!$E$52:$E$58)</f>
        <v>846.59882715268157</v>
      </c>
      <c r="E70" s="16" t="s">
        <v>33</v>
      </c>
      <c r="G70" s="16" t="s">
        <v>113</v>
      </c>
      <c r="H70" s="16" t="s">
        <v>105</v>
      </c>
    </row>
    <row r="71" spans="1:8" s="16" customFormat="1">
      <c r="A71" s="19" t="s">
        <v>112</v>
      </c>
      <c r="B71" s="18">
        <v>195</v>
      </c>
      <c r="C71" s="16" t="s">
        <v>107</v>
      </c>
      <c r="D71" s="17">
        <f>B71*PRODUCT('[3]World bank deflator'!$E$52:$E$58)</f>
        <v>219.53028097709162</v>
      </c>
      <c r="E71" s="16" t="s">
        <v>33</v>
      </c>
      <c r="G71" s="16" t="s">
        <v>111</v>
      </c>
      <c r="H71" s="16" t="s">
        <v>105</v>
      </c>
    </row>
    <row r="72" spans="1:8" s="16" customFormat="1">
      <c r="A72" s="19" t="s">
        <v>110</v>
      </c>
      <c r="B72" s="18">
        <v>246</v>
      </c>
      <c r="C72" s="16" t="s">
        <v>107</v>
      </c>
      <c r="D72" s="17">
        <f>B72*PRODUCT('[3]World bank deflator'!$E$52:$E$58)</f>
        <v>276.94589292494635</v>
      </c>
      <c r="E72" s="16" t="s">
        <v>33</v>
      </c>
      <c r="G72" s="16" t="s">
        <v>109</v>
      </c>
      <c r="H72" s="16" t="s">
        <v>105</v>
      </c>
    </row>
    <row r="73" spans="1:8" s="16" customFormat="1">
      <c r="A73" s="19" t="s">
        <v>108</v>
      </c>
      <c r="B73" s="18">
        <v>186</v>
      </c>
      <c r="C73" s="16" t="s">
        <v>107</v>
      </c>
      <c r="D73" s="17">
        <f>B73*PRODUCT('[3]World bank deflator'!$E$52:$E$58)</f>
        <v>209.3981141627643</v>
      </c>
      <c r="E73" s="16" t="s">
        <v>33</v>
      </c>
      <c r="G73" s="16" t="s">
        <v>106</v>
      </c>
      <c r="H73" s="16" t="s">
        <v>105</v>
      </c>
    </row>
    <row r="74" spans="1:8" s="10" customFormat="1">
      <c r="A74" s="12" t="s">
        <v>104</v>
      </c>
      <c r="D74" s="11"/>
    </row>
    <row r="75" spans="1:8">
      <c r="A75" s="8" t="s">
        <v>103</v>
      </c>
      <c r="B75">
        <v>390</v>
      </c>
      <c r="C75" t="s">
        <v>34</v>
      </c>
      <c r="D75" s="9">
        <f>(B75/8.196721311)*PRODUCT('[3]World bank deflator'!E49:E58)</f>
        <v>58.553543786182964</v>
      </c>
      <c r="E75" t="s">
        <v>33</v>
      </c>
      <c r="F75">
        <v>215</v>
      </c>
      <c r="G75" t="s">
        <v>102</v>
      </c>
    </row>
    <row r="76" spans="1:8">
      <c r="A76" s="8" t="s">
        <v>101</v>
      </c>
      <c r="B76">
        <v>130</v>
      </c>
      <c r="C76" t="s">
        <v>34</v>
      </c>
      <c r="D76" s="9">
        <f>(B76/8.196721311)*PRODUCT('[3]World bank deflator'!E49:E58)</f>
        <v>19.517847928727655</v>
      </c>
      <c r="E76" t="s">
        <v>33</v>
      </c>
      <c r="F76">
        <v>228</v>
      </c>
      <c r="G76" t="s">
        <v>100</v>
      </c>
    </row>
    <row r="77" spans="1:8">
      <c r="A77" s="8" t="s">
        <v>99</v>
      </c>
      <c r="B77">
        <v>280</v>
      </c>
      <c r="C77" t="s">
        <v>34</v>
      </c>
      <c r="D77" s="9">
        <f>(B77/8.196721311)*PRODUCT('[3]World bank deflator'!E49:E58)</f>
        <v>42.038441692644177</v>
      </c>
      <c r="E77" t="s">
        <v>33</v>
      </c>
      <c r="F77">
        <v>223</v>
      </c>
      <c r="G77" t="s">
        <v>98</v>
      </c>
    </row>
    <row r="78" spans="1:8">
      <c r="A78" s="8" t="s">
        <v>97</v>
      </c>
      <c r="B78">
        <v>480</v>
      </c>
      <c r="C78" t="s">
        <v>34</v>
      </c>
      <c r="D78" s="9">
        <f>(B78/8.196721311)*PRODUCT('[3]World bank deflator'!E49:E58)</f>
        <v>72.065900044532881</v>
      </c>
      <c r="E78" t="s">
        <v>33</v>
      </c>
      <c r="F78">
        <v>221</v>
      </c>
      <c r="G78" t="s">
        <v>96</v>
      </c>
    </row>
    <row r="79" spans="1:8">
      <c r="A79" s="8" t="s">
        <v>95</v>
      </c>
      <c r="B79">
        <v>458.3</v>
      </c>
      <c r="C79" t="s">
        <v>76</v>
      </c>
      <c r="D79" s="9">
        <f>B79*0.16*PRODUCT('[3]World bank deflator'!E55:E58)</f>
        <v>78.269573920000212</v>
      </c>
      <c r="E79" t="s">
        <v>33</v>
      </c>
      <c r="F79">
        <v>316</v>
      </c>
      <c r="G79" t="s">
        <v>94</v>
      </c>
    </row>
    <row r="80" spans="1:8">
      <c r="A80" s="8" t="s">
        <v>93</v>
      </c>
      <c r="B80">
        <v>293.10000000000002</v>
      </c>
      <c r="C80" s="14" t="s">
        <v>76</v>
      </c>
      <c r="D80" s="15">
        <f>B80*0.16*PRODUCT('[3]World bank deflator'!E55:E58)</f>
        <v>50.056321440000147</v>
      </c>
      <c r="E80" s="14" t="s">
        <v>33</v>
      </c>
      <c r="F80" s="14">
        <v>316</v>
      </c>
      <c r="G80" s="14" t="s">
        <v>92</v>
      </c>
      <c r="H80" s="14"/>
    </row>
    <row r="81" spans="1:8">
      <c r="A81" s="8" t="s">
        <v>91</v>
      </c>
      <c r="B81">
        <v>165.2</v>
      </c>
      <c r="C81" s="14" t="s">
        <v>76</v>
      </c>
      <c r="D81" s="15">
        <f>B81*0.16*PRODUCT('[3]World bank deflator'!E55:E58)</f>
        <v>28.213252480000076</v>
      </c>
      <c r="E81" s="14" t="s">
        <v>33</v>
      </c>
      <c r="F81" s="14">
        <v>316</v>
      </c>
      <c r="G81" s="14" t="s">
        <v>90</v>
      </c>
      <c r="H81" s="14"/>
    </row>
    <row r="82" spans="1:8">
      <c r="A82" s="8" t="s">
        <v>89</v>
      </c>
      <c r="B82" s="13">
        <f>117.3/8.5</f>
        <v>13.799999999999999</v>
      </c>
      <c r="C82" s="14" t="s">
        <v>70</v>
      </c>
      <c r="D82" s="15">
        <f>(B82/8)*PRODUCT('[3]World bank deflator'!E48:E58)</f>
        <v>2.1651549270931403</v>
      </c>
      <c r="E82" s="14" t="s">
        <v>33</v>
      </c>
      <c r="F82" s="14">
        <v>144</v>
      </c>
      <c r="G82" s="14" t="s">
        <v>88</v>
      </c>
      <c r="H82" s="14" t="s">
        <v>68</v>
      </c>
    </row>
    <row r="83" spans="1:8" ht="28.8">
      <c r="A83" s="8" t="s">
        <v>87</v>
      </c>
      <c r="B83" s="13">
        <f>92.9/8.5</f>
        <v>10.929411764705883</v>
      </c>
      <c r="C83" s="14" t="s">
        <v>70</v>
      </c>
      <c r="D83" s="15">
        <f>(B83/8)*PRODUCT('[3]World bank deflator'!E48:E58)</f>
        <v>1.7147731690277301</v>
      </c>
      <c r="E83" s="14" t="s">
        <v>33</v>
      </c>
      <c r="F83" s="14">
        <v>144</v>
      </c>
      <c r="G83" s="14" t="s">
        <v>86</v>
      </c>
      <c r="H83" s="14" t="s">
        <v>68</v>
      </c>
    </row>
    <row r="84" spans="1:8" ht="28.8">
      <c r="A84" s="8" t="s">
        <v>85</v>
      </c>
      <c r="B84" s="13">
        <f>32.6/8.5</f>
        <v>3.835294117647059</v>
      </c>
      <c r="C84" s="14" t="s">
        <v>70</v>
      </c>
      <c r="D84" s="15">
        <f>(B84/8)*PRODUCT('[3]World bank deflator'!E48:E58)</f>
        <v>0.60173956200542522</v>
      </c>
      <c r="E84" s="14" t="s">
        <v>33</v>
      </c>
      <c r="F84" s="14">
        <v>144</v>
      </c>
      <c r="G84" s="14" t="s">
        <v>84</v>
      </c>
      <c r="H84" s="14" t="s">
        <v>68</v>
      </c>
    </row>
    <row r="85" spans="1:8">
      <c r="A85" s="8" t="s">
        <v>83</v>
      </c>
      <c r="B85" s="13">
        <f>706/8.5</f>
        <v>83.058823529411768</v>
      </c>
      <c r="C85" s="14" t="s">
        <v>70</v>
      </c>
      <c r="D85" s="15">
        <f>(B85/8)*PRODUCT('[3]World bank deflator'!E48:E58)</f>
        <v>13.031537753859823</v>
      </c>
      <c r="E85" s="14" t="s">
        <v>33</v>
      </c>
      <c r="F85" s="14">
        <v>144</v>
      </c>
      <c r="G85" s="14" t="s">
        <v>82</v>
      </c>
      <c r="H85" s="14" t="s">
        <v>68</v>
      </c>
    </row>
    <row r="86" spans="1:8">
      <c r="C86" s="14"/>
      <c r="D86" s="15"/>
      <c r="E86" s="14"/>
      <c r="F86" s="14"/>
      <c r="G86" s="14"/>
      <c r="H86" s="14"/>
    </row>
    <row r="87" spans="1:8" s="10" customFormat="1">
      <c r="A87" s="12" t="s">
        <v>81</v>
      </c>
      <c r="D87" s="11"/>
    </row>
    <row r="88" spans="1:8">
      <c r="A88" s="8" t="s">
        <v>80</v>
      </c>
      <c r="B88" s="13">
        <f>2151*30/54.6</f>
        <v>1181.8681318681317</v>
      </c>
      <c r="C88" s="14" t="s">
        <v>76</v>
      </c>
      <c r="D88" s="15">
        <f>B88*0.16*PRODUCT('[3]World bank deflator'!E55:E58)</f>
        <v>201.84227604395659</v>
      </c>
      <c r="E88" s="14" t="s">
        <v>33</v>
      </c>
      <c r="F88" s="14">
        <v>316</v>
      </c>
      <c r="G88" t="s">
        <v>79</v>
      </c>
      <c r="H88" t="s">
        <v>78</v>
      </c>
    </row>
    <row r="89" spans="1:8">
      <c r="A89" s="8" t="s">
        <v>77</v>
      </c>
      <c r="B89" s="13">
        <f>464.2*30/3</f>
        <v>4642</v>
      </c>
      <c r="C89" s="14" t="s">
        <v>76</v>
      </c>
      <c r="D89" s="15">
        <f>B89*0.16*PRODUCT('[3]World bank deflator'!E55:E58)</f>
        <v>792.77190080000219</v>
      </c>
      <c r="E89" s="14" t="s">
        <v>33</v>
      </c>
      <c r="F89" s="14">
        <v>316</v>
      </c>
      <c r="G89" t="s">
        <v>75</v>
      </c>
      <c r="H89" t="s">
        <v>74</v>
      </c>
    </row>
    <row r="90" spans="1:8">
      <c r="A90" s="8" t="s">
        <v>73</v>
      </c>
      <c r="B90" s="13">
        <f>4559.4/8.5</f>
        <v>536.4</v>
      </c>
      <c r="C90" s="14" t="s">
        <v>70</v>
      </c>
      <c r="D90" s="15">
        <f>(B90/8)*PRODUCT('[3]World bank deflator'!E48:E58)</f>
        <v>84.158630644402933</v>
      </c>
      <c r="E90" s="14" t="s">
        <v>33</v>
      </c>
      <c r="F90" s="14">
        <v>144</v>
      </c>
      <c r="G90" t="s">
        <v>72</v>
      </c>
      <c r="H90" t="s">
        <v>68</v>
      </c>
    </row>
    <row r="91" spans="1:8">
      <c r="A91" s="8" t="s">
        <v>71</v>
      </c>
      <c r="B91" s="13">
        <f>36/8.5</f>
        <v>4.2352941176470589</v>
      </c>
      <c r="C91" s="14" t="s">
        <v>70</v>
      </c>
      <c r="D91" s="15">
        <f>(B91/8)*PRODUCT('[3]World bank deflator'!E48:E58)</f>
        <v>0.66449767583421193</v>
      </c>
      <c r="E91" s="14" t="s">
        <v>33</v>
      </c>
      <c r="F91" s="14">
        <v>144</v>
      </c>
      <c r="G91" t="s">
        <v>69</v>
      </c>
      <c r="H91" t="s">
        <v>68</v>
      </c>
    </row>
    <row r="92" spans="1:8">
      <c r="B92" s="13"/>
      <c r="D92" s="9"/>
    </row>
    <row r="93" spans="1:8" s="10" customFormat="1">
      <c r="A93" s="12" t="s">
        <v>67</v>
      </c>
      <c r="D93" s="11"/>
    </row>
    <row r="94" spans="1:8">
      <c r="A94" s="8" t="s">
        <v>66</v>
      </c>
      <c r="B94">
        <v>715</v>
      </c>
      <c r="C94" t="s">
        <v>34</v>
      </c>
      <c r="D94" s="9">
        <f>(B94/8.196721311)*PRODUCT('[3]World bank deflator'!E49:E58)</f>
        <v>107.3481636080021</v>
      </c>
      <c r="E94" t="s">
        <v>33</v>
      </c>
      <c r="F94">
        <v>215</v>
      </c>
      <c r="G94" t="s">
        <v>65</v>
      </c>
      <c r="H94" t="s">
        <v>50</v>
      </c>
    </row>
    <row r="95" spans="1:8">
      <c r="A95" s="8" t="s">
        <v>64</v>
      </c>
      <c r="B95">
        <v>390</v>
      </c>
      <c r="C95" t="s">
        <v>34</v>
      </c>
      <c r="D95" s="9">
        <f>(B95/8.196721311)*PRODUCT('[3]World bank deflator'!E49:E58)</f>
        <v>58.553543786182964</v>
      </c>
      <c r="E95" t="s">
        <v>33</v>
      </c>
      <c r="F95">
        <v>228</v>
      </c>
      <c r="G95" t="s">
        <v>63</v>
      </c>
      <c r="H95" t="s">
        <v>50</v>
      </c>
    </row>
    <row r="96" spans="1:8">
      <c r="A96" s="8" t="s">
        <v>62</v>
      </c>
      <c r="B96">
        <v>520</v>
      </c>
      <c r="C96" t="s">
        <v>34</v>
      </c>
      <c r="D96" s="9">
        <f>(B96/8.196721311)*PRODUCT('[3]World bank deflator'!E49:E58)</f>
        <v>78.071391714910618</v>
      </c>
      <c r="E96" t="s">
        <v>33</v>
      </c>
      <c r="F96">
        <v>223</v>
      </c>
      <c r="G96" t="s">
        <v>61</v>
      </c>
      <c r="H96" t="s">
        <v>50</v>
      </c>
    </row>
    <row r="97" spans="1:8">
      <c r="A97" s="8" t="s">
        <v>60</v>
      </c>
      <c r="B97">
        <v>393</v>
      </c>
      <c r="C97" t="s">
        <v>34</v>
      </c>
      <c r="D97" s="9">
        <f>(B97/8.196721311)*PRODUCT('[3]World bank deflator'!E49:E58)</f>
        <v>59.003955661461291</v>
      </c>
      <c r="E97" t="s">
        <v>33</v>
      </c>
      <c r="F97">
        <v>221</v>
      </c>
      <c r="G97" t="s">
        <v>59</v>
      </c>
      <c r="H97" t="s">
        <v>50</v>
      </c>
    </row>
    <row r="98" spans="1:8">
      <c r="A98" s="8" t="s">
        <v>58</v>
      </c>
      <c r="B98">
        <v>775</v>
      </c>
      <c r="C98" t="s">
        <v>34</v>
      </c>
      <c r="D98" s="9">
        <f>(B98/8.196721311)*PRODUCT('[3]World bank deflator'!E49:E58)</f>
        <v>116.35640111356871</v>
      </c>
      <c r="E98" t="s">
        <v>33</v>
      </c>
      <c r="F98">
        <v>215</v>
      </c>
      <c r="G98" t="s">
        <v>57</v>
      </c>
      <c r="H98" t="s">
        <v>50</v>
      </c>
    </row>
    <row r="99" spans="1:8">
      <c r="A99" s="8" t="s">
        <v>56</v>
      </c>
      <c r="B99">
        <v>800</v>
      </c>
      <c r="C99" t="s">
        <v>34</v>
      </c>
      <c r="D99" s="9">
        <f>(B99/8.196721311)*PRODUCT('[3]World bank deflator'!E49:E58)</f>
        <v>120.10983340755479</v>
      </c>
      <c r="E99" t="s">
        <v>33</v>
      </c>
      <c r="F99">
        <v>228</v>
      </c>
      <c r="G99" t="s">
        <v>55</v>
      </c>
      <c r="H99" t="s">
        <v>50</v>
      </c>
    </row>
    <row r="100" spans="1:8">
      <c r="A100" s="8" t="s">
        <v>54</v>
      </c>
      <c r="B100">
        <v>1760</v>
      </c>
      <c r="C100" t="s">
        <v>34</v>
      </c>
      <c r="D100" s="9">
        <f>(B100/8.196721311)*PRODUCT('[3]World bank deflator'!E49:E58)</f>
        <v>264.24163349662052</v>
      </c>
      <c r="E100" t="s">
        <v>33</v>
      </c>
      <c r="F100">
        <v>223</v>
      </c>
      <c r="G100" t="s">
        <v>53</v>
      </c>
      <c r="H100" t="s">
        <v>50</v>
      </c>
    </row>
    <row r="101" spans="1:8">
      <c r="A101" s="8" t="s">
        <v>52</v>
      </c>
      <c r="B101">
        <v>445</v>
      </c>
      <c r="C101" t="s">
        <v>34</v>
      </c>
      <c r="D101" s="9">
        <f>(B101/8.196721311)*PRODUCT('[3]World bank deflator'!E49:E58)</f>
        <v>66.81109483295235</v>
      </c>
      <c r="E101" t="s">
        <v>33</v>
      </c>
      <c r="F101">
        <v>221</v>
      </c>
      <c r="G101" t="s">
        <v>51</v>
      </c>
      <c r="H101" t="s">
        <v>50</v>
      </c>
    </row>
    <row r="102" spans="1:8">
      <c r="A102" s="8" t="s">
        <v>49</v>
      </c>
      <c r="B102">
        <v>1675</v>
      </c>
      <c r="C102" t="s">
        <v>34</v>
      </c>
      <c r="D102" s="9">
        <f>(B102/8.196721311)*PRODUCT('[3]World bank deflator'!E49:E58)</f>
        <v>251.47996369706786</v>
      </c>
      <c r="E102" t="s">
        <v>33</v>
      </c>
      <c r="F102">
        <v>181</v>
      </c>
      <c r="G102" t="s">
        <v>48</v>
      </c>
    </row>
    <row r="103" spans="1:8">
      <c r="A103" s="8" t="s">
        <v>47</v>
      </c>
      <c r="B103">
        <v>1378</v>
      </c>
      <c r="C103" t="s">
        <v>34</v>
      </c>
      <c r="D103" s="9">
        <f>(B103/8.196721311)*PRODUCT('[3]World bank deflator'!E49:E58)</f>
        <v>206.88918804451311</v>
      </c>
      <c r="E103" t="s">
        <v>33</v>
      </c>
      <c r="F103">
        <v>190</v>
      </c>
      <c r="G103" t="s">
        <v>46</v>
      </c>
    </row>
    <row r="104" spans="1:8">
      <c r="A104" s="8" t="s">
        <v>45</v>
      </c>
      <c r="B104">
        <v>2608</v>
      </c>
      <c r="C104" t="s">
        <v>34</v>
      </c>
      <c r="D104" s="9">
        <f>(B104/8.196721311)*PRODUCT('[3]World bank deflator'!E49:E58)</f>
        <v>391.55805690862866</v>
      </c>
      <c r="E104" t="s">
        <v>33</v>
      </c>
      <c r="F104">
        <v>192</v>
      </c>
      <c r="G104" t="s">
        <v>44</v>
      </c>
    </row>
    <row r="105" spans="1:8">
      <c r="A105" s="8" t="s">
        <v>43</v>
      </c>
      <c r="B105">
        <v>1240</v>
      </c>
      <c r="C105" t="s">
        <v>34</v>
      </c>
      <c r="D105" s="9">
        <f>(B105/8.196721311)*PRODUCT('[3]World bank deflator'!E49:E58)</f>
        <v>186.17024178170993</v>
      </c>
      <c r="E105" t="s">
        <v>33</v>
      </c>
      <c r="F105">
        <v>196</v>
      </c>
      <c r="G105" t="s">
        <v>42</v>
      </c>
    </row>
    <row r="106" spans="1:8">
      <c r="A106" s="8" t="s">
        <v>41</v>
      </c>
      <c r="B106">
        <v>2560</v>
      </c>
      <c r="C106" t="s">
        <v>34</v>
      </c>
      <c r="D106" s="9">
        <f>(B106/8.196721311)*PRODUCT('[3]World bank deflator'!E49:E58)</f>
        <v>384.35146690417531</v>
      </c>
      <c r="E106" t="s">
        <v>33</v>
      </c>
      <c r="F106">
        <v>36</v>
      </c>
      <c r="G106" t="s">
        <v>40</v>
      </c>
    </row>
    <row r="107" spans="1:8">
      <c r="A107" s="8" t="s">
        <v>39</v>
      </c>
      <c r="B107">
        <v>2315</v>
      </c>
      <c r="C107" t="s">
        <v>34</v>
      </c>
      <c r="D107" s="9">
        <f>(B107/8.196721311)*PRODUCT('[3]World bank deflator'!E49:E58)</f>
        <v>347.56783042311167</v>
      </c>
      <c r="E107" t="s">
        <v>33</v>
      </c>
      <c r="F107">
        <v>38</v>
      </c>
      <c r="G107" t="s">
        <v>38</v>
      </c>
    </row>
    <row r="108" spans="1:8">
      <c r="A108" s="8" t="s">
        <v>37</v>
      </c>
      <c r="B108">
        <v>2103</v>
      </c>
      <c r="C108" t="s">
        <v>34</v>
      </c>
      <c r="D108" s="9">
        <f>(B108/8.196721311)*PRODUCT('[3]World bank deflator'!E49:E58)</f>
        <v>315.73872457010964</v>
      </c>
      <c r="E108" t="s">
        <v>33</v>
      </c>
      <c r="F108">
        <v>30</v>
      </c>
      <c r="G108" t="s">
        <v>36</v>
      </c>
    </row>
    <row r="109" spans="1:8">
      <c r="A109" s="8" t="s">
        <v>35</v>
      </c>
      <c r="B109">
        <v>1310</v>
      </c>
      <c r="C109" t="s">
        <v>34</v>
      </c>
      <c r="D109" s="9">
        <f>(B109/8.196721311)*PRODUCT('[3]World bank deflator'!E49:E58)</f>
        <v>196.67985220487097</v>
      </c>
      <c r="E109" t="s">
        <v>33</v>
      </c>
      <c r="F109">
        <v>25</v>
      </c>
      <c r="G109" t="s">
        <v>32</v>
      </c>
    </row>
    <row r="110" spans="1:8" s="10" customFormat="1">
      <c r="A110" s="12" t="s">
        <v>31</v>
      </c>
      <c r="D110" s="11"/>
    </row>
    <row r="111" spans="1:8">
      <c r="A111" s="8" t="s">
        <v>30</v>
      </c>
      <c r="D111" s="9">
        <v>15.92</v>
      </c>
      <c r="G111" t="s">
        <v>29</v>
      </c>
    </row>
  </sheetData>
  <hyperlinks>
    <hyperlink ref="H32" display="http://www.reuters.com/article/2010/01/06/us-tuberculosis-china-idUSTRE60501Z20100106 : Regular TB costs 1,000 yuan to treat in China but drug-resistant TB ranges from 100,000 to 300,000 yuan per person, said Zhong Qiu of China's TB Expert Consultative Co" xr:uid="{00000000-0004-0000-0300-000000000000}"/>
  </hyperlinks>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98277-388C-43D9-8144-17247C0681CE}">
  <dimension ref="A1:H58"/>
  <sheetViews>
    <sheetView zoomScale="60" zoomScaleNormal="60" workbookViewId="0">
      <selection activeCell="D35" sqref="D35"/>
    </sheetView>
  </sheetViews>
  <sheetFormatPr defaultRowHeight="14.4"/>
  <cols>
    <col min="1" max="1" width="36.6640625" customWidth="1"/>
    <col min="2" max="6" width="25.6640625" customWidth="1"/>
  </cols>
  <sheetData>
    <row r="1" spans="1:8" ht="25.8">
      <c r="A1" s="47" t="s">
        <v>300</v>
      </c>
      <c r="B1" s="47" t="s">
        <v>251</v>
      </c>
      <c r="C1" s="47" t="s">
        <v>299</v>
      </c>
      <c r="D1" s="47" t="s">
        <v>250</v>
      </c>
      <c r="E1" s="47" t="s">
        <v>249</v>
      </c>
      <c r="F1" s="47" t="s">
        <v>248</v>
      </c>
      <c r="G1" s="47"/>
      <c r="H1" s="47"/>
    </row>
    <row r="2" spans="1:8" ht="25.8">
      <c r="A2" s="56" t="s">
        <v>294</v>
      </c>
      <c r="B2" s="50">
        <v>71.927192444379529</v>
      </c>
      <c r="C2" s="50">
        <f>B2*0.5</f>
        <v>35.963596222189764</v>
      </c>
      <c r="D2" s="50">
        <v>18.93114622465659</v>
      </c>
      <c r="E2" s="50">
        <v>11.414370595923639</v>
      </c>
      <c r="F2" s="47"/>
      <c r="G2" s="47" t="s">
        <v>293</v>
      </c>
      <c r="H2" s="47"/>
    </row>
    <row r="3" spans="1:8" ht="25.8">
      <c r="A3" s="56" t="s">
        <v>292</v>
      </c>
      <c r="B3" s="50">
        <v>35.150016065430115</v>
      </c>
      <c r="C3" s="50">
        <f>B3*0.5</f>
        <v>17.575008032715058</v>
      </c>
      <c r="D3" s="50">
        <v>11.185024805712482</v>
      </c>
      <c r="E3" s="50">
        <v>5.9577446525064843</v>
      </c>
      <c r="F3" s="47"/>
      <c r="G3" s="47" t="s">
        <v>291</v>
      </c>
      <c r="H3" s="47"/>
    </row>
    <row r="4" spans="1:8" ht="25.8">
      <c r="A4" s="56" t="s">
        <v>290</v>
      </c>
      <c r="B4" s="50">
        <v>11.091387955795726</v>
      </c>
      <c r="C4" s="50">
        <v>11.091387955795726</v>
      </c>
      <c r="D4" s="50">
        <v>2.5293223595537837</v>
      </c>
      <c r="E4" s="50">
        <v>0.46399880471234306</v>
      </c>
      <c r="F4" s="47"/>
      <c r="G4" s="47" t="s">
        <v>289</v>
      </c>
      <c r="H4" s="47"/>
    </row>
    <row r="5" spans="1:8" ht="25.8">
      <c r="A5" s="56" t="s">
        <v>298</v>
      </c>
      <c r="B5" s="50">
        <v>15.497695421636152</v>
      </c>
      <c r="C5" s="50">
        <v>15.497695421636152</v>
      </c>
      <c r="D5" s="50">
        <v>8.9163231272380585</v>
      </c>
      <c r="E5" s="50">
        <v>23.293112686362601</v>
      </c>
      <c r="F5" s="47"/>
      <c r="G5" s="47" t="s">
        <v>297</v>
      </c>
      <c r="H5" s="47"/>
    </row>
    <row r="6" spans="1:8" ht="25.8">
      <c r="A6" s="56" t="s">
        <v>286</v>
      </c>
      <c r="B6" s="50">
        <v>0.39282535786427136</v>
      </c>
      <c r="C6" s="50">
        <v>0.39282535786427136</v>
      </c>
      <c r="D6" s="50">
        <v>13.031646927246134</v>
      </c>
      <c r="E6" s="50">
        <v>5.7525635704165454</v>
      </c>
      <c r="F6" s="47"/>
      <c r="G6" s="47" t="s">
        <v>285</v>
      </c>
      <c r="H6" s="47"/>
    </row>
    <row r="7" spans="1:8" ht="25.8">
      <c r="A7" s="56" t="s">
        <v>284</v>
      </c>
      <c r="B7" s="50">
        <v>0.15373942219625267</v>
      </c>
      <c r="C7" s="50">
        <v>0.15373942219625267</v>
      </c>
      <c r="D7" s="50">
        <v>4.7285801955779876</v>
      </c>
      <c r="E7" s="50">
        <v>0.71061079399263194</v>
      </c>
      <c r="F7" s="47"/>
      <c r="G7" s="47" t="s">
        <v>283</v>
      </c>
      <c r="H7" s="47"/>
    </row>
    <row r="8" spans="1:8" ht="25.8">
      <c r="A8" s="56" t="s">
        <v>282</v>
      </c>
      <c r="B8" s="50">
        <v>14.326302020221144</v>
      </c>
      <c r="C8" s="50">
        <v>14.326302020221144</v>
      </c>
      <c r="D8" s="50">
        <v>22.547102176593729</v>
      </c>
      <c r="E8" s="50">
        <v>27.280686767469522</v>
      </c>
      <c r="F8" s="47"/>
      <c r="G8" s="47" t="s">
        <v>281</v>
      </c>
      <c r="H8" s="47"/>
    </row>
    <row r="9" spans="1:8" ht="25.8">
      <c r="A9" s="56" t="s">
        <v>280</v>
      </c>
      <c r="B9" s="50">
        <v>6.6172848970648041E-2</v>
      </c>
      <c r="C9" s="50">
        <v>6.6172848970648041E-2</v>
      </c>
      <c r="D9" s="50">
        <v>3.7448557134399847</v>
      </c>
      <c r="E9" s="50">
        <v>10.798778868891953</v>
      </c>
      <c r="F9" s="47"/>
      <c r="G9" s="47" t="s">
        <v>279</v>
      </c>
      <c r="H9" s="47"/>
    </row>
    <row r="10" spans="1:8" ht="25.8">
      <c r="A10" s="56" t="s">
        <v>278</v>
      </c>
      <c r="B10" s="50">
        <v>6.6172848970648037E-3</v>
      </c>
      <c r="C10" s="50">
        <v>6.6172848970648037E-3</v>
      </c>
      <c r="D10" s="50">
        <v>0.37448557134399846</v>
      </c>
      <c r="E10" s="50">
        <v>1.0798778868891952</v>
      </c>
      <c r="F10" s="47"/>
      <c r="G10" s="47" t="s">
        <v>277</v>
      </c>
      <c r="H10" s="47"/>
    </row>
    <row r="11" spans="1:8" ht="25.8">
      <c r="A11" s="55" t="s">
        <v>296</v>
      </c>
      <c r="B11" s="45">
        <f>SUM(B2:B10)</f>
        <v>148.61194882139088</v>
      </c>
      <c r="C11" s="45">
        <f>SUM(C2:C10)</f>
        <v>95.073344566486085</v>
      </c>
      <c r="D11" s="45">
        <f>SUM(D2:D10)</f>
        <v>85.98848710136275</v>
      </c>
      <c r="E11" s="45">
        <f>SUM(E2:E10)</f>
        <v>86.751744627164925</v>
      </c>
      <c r="F11" s="54" t="s">
        <v>275</v>
      </c>
      <c r="G11" s="46"/>
      <c r="H11" s="46"/>
    </row>
    <row r="13" spans="1:8" ht="25.2">
      <c r="A13" s="56" t="s">
        <v>295</v>
      </c>
    </row>
    <row r="14" spans="1:8" ht="25.8">
      <c r="A14" s="47"/>
      <c r="B14" s="47" t="s">
        <v>251</v>
      </c>
      <c r="C14" s="47" t="s">
        <v>250</v>
      </c>
      <c r="D14" s="47" t="s">
        <v>249</v>
      </c>
      <c r="E14" s="47" t="s">
        <v>248</v>
      </c>
      <c r="F14" s="47"/>
    </row>
    <row r="15" spans="1:8" ht="25.8">
      <c r="A15" s="56" t="s">
        <v>294</v>
      </c>
      <c r="B15" s="47">
        <v>31.389846481326195</v>
      </c>
      <c r="C15" s="47">
        <v>0</v>
      </c>
      <c r="D15" s="47">
        <v>12.49551596317111</v>
      </c>
      <c r="E15" s="47"/>
      <c r="F15" s="47" t="s">
        <v>293</v>
      </c>
    </row>
    <row r="16" spans="1:8" ht="25.8">
      <c r="A16" s="56" t="s">
        <v>292</v>
      </c>
      <c r="B16" s="47">
        <v>18.33032832355028</v>
      </c>
      <c r="C16" s="50">
        <v>26.153053986601869</v>
      </c>
      <c r="D16" s="47">
        <v>2.4235322252780103</v>
      </c>
      <c r="E16" s="47"/>
      <c r="F16" s="47" t="s">
        <v>291</v>
      </c>
    </row>
    <row r="17" spans="1:7" ht="25.8">
      <c r="A17" s="56" t="s">
        <v>290</v>
      </c>
      <c r="B17" s="47">
        <v>7.3478752499516231</v>
      </c>
      <c r="C17" s="50">
        <v>2.7847103638513069</v>
      </c>
      <c r="D17" s="47">
        <v>0.35872294631113238</v>
      </c>
      <c r="E17" s="47"/>
      <c r="F17" s="47" t="s">
        <v>289</v>
      </c>
    </row>
    <row r="18" spans="1:7" ht="25.8">
      <c r="A18" s="41" t="s">
        <v>288</v>
      </c>
      <c r="B18" s="47">
        <v>3.5220780957558335</v>
      </c>
      <c r="C18" s="50">
        <v>17.867855365734833</v>
      </c>
      <c r="D18" s="47">
        <v>5.7161448887510407</v>
      </c>
      <c r="E18" s="47"/>
      <c r="F18" s="47" t="s">
        <v>287</v>
      </c>
    </row>
    <row r="19" spans="1:7" ht="25.8">
      <c r="A19" s="56" t="s">
        <v>286</v>
      </c>
      <c r="B19" s="47">
        <v>41.844960201251361</v>
      </c>
      <c r="C19" s="50">
        <v>11.369688690398004</v>
      </c>
      <c r="D19" s="47">
        <v>1.9855230815314828</v>
      </c>
      <c r="E19" s="47"/>
      <c r="F19" s="47" t="s">
        <v>285</v>
      </c>
    </row>
    <row r="20" spans="1:7" ht="25.8">
      <c r="A20" s="56" t="s">
        <v>284</v>
      </c>
      <c r="B20" s="47">
        <v>16.375006450364445</v>
      </c>
      <c r="C20" s="50">
        <v>4.1255326415342175</v>
      </c>
      <c r="D20" s="47">
        <v>0.24527049830683026</v>
      </c>
      <c r="E20" s="47"/>
      <c r="F20" s="47" t="s">
        <v>283</v>
      </c>
    </row>
    <row r="21" spans="1:7" ht="25.8">
      <c r="A21" s="56" t="s">
        <v>282</v>
      </c>
      <c r="B21" s="47">
        <v>152.59149841966072</v>
      </c>
      <c r="C21" s="50">
        <v>19.671614343885459</v>
      </c>
      <c r="D21" s="47">
        <v>25.097660614310076</v>
      </c>
      <c r="E21" s="47"/>
      <c r="F21" s="47" t="s">
        <v>281</v>
      </c>
    </row>
    <row r="22" spans="1:7" ht="25.8">
      <c r="A22" s="56" t="s">
        <v>280</v>
      </c>
      <c r="B22" s="47">
        <v>7.0481650916453482</v>
      </c>
      <c r="C22" s="50">
        <v>3.2672649811629415</v>
      </c>
      <c r="D22" s="47">
        <v>3.7272468933336529</v>
      </c>
      <c r="E22" s="47"/>
      <c r="F22" s="47" t="s">
        <v>279</v>
      </c>
    </row>
    <row r="23" spans="1:7" ht="25.8">
      <c r="A23" s="56" t="s">
        <v>278</v>
      </c>
      <c r="B23" s="47">
        <v>0.70481650916453487</v>
      </c>
      <c r="C23" s="50">
        <v>0.32672649811629417</v>
      </c>
      <c r="D23" s="47">
        <v>0.37272468933336528</v>
      </c>
      <c r="E23" s="47"/>
      <c r="F23" s="47" t="s">
        <v>277</v>
      </c>
    </row>
    <row r="24" spans="1:7" ht="25.8">
      <c r="A24" s="55" t="s">
        <v>276</v>
      </c>
      <c r="B24" s="46">
        <f>SUM(B15:B23)</f>
        <v>279.15457482267033</v>
      </c>
      <c r="C24" s="45">
        <f>SUM(C15:C23)</f>
        <v>85.566446871284924</v>
      </c>
      <c r="D24" s="46">
        <f>SUM(D15:D23)</f>
        <v>52.422341800326699</v>
      </c>
      <c r="E24" s="54" t="s">
        <v>275</v>
      </c>
      <c r="F24" s="45">
        <f>AVERAGE(C24:D24)</f>
        <v>68.994394335805808</v>
      </c>
    </row>
    <row r="25" spans="1:7" ht="25.8">
      <c r="A25" s="47"/>
      <c r="B25" s="53" t="s">
        <v>274</v>
      </c>
      <c r="C25" s="47"/>
      <c r="D25" s="47"/>
      <c r="E25" s="47"/>
      <c r="F25" s="47"/>
    </row>
    <row r="26" spans="1:7" ht="25.8">
      <c r="A26" s="47"/>
      <c r="B26" s="53"/>
      <c r="C26" s="47"/>
      <c r="D26" s="47"/>
      <c r="E26" s="47"/>
      <c r="F26" s="47"/>
    </row>
    <row r="27" spans="1:7" ht="25.8">
      <c r="A27" s="47"/>
      <c r="B27" s="53"/>
      <c r="C27" s="47"/>
      <c r="D27" s="47"/>
      <c r="E27" s="47"/>
      <c r="F27" s="47"/>
    </row>
    <row r="28" spans="1:7" ht="25.8">
      <c r="A28" s="47"/>
      <c r="B28" s="53"/>
      <c r="C28" s="47"/>
      <c r="D28" s="47"/>
      <c r="E28" s="47"/>
      <c r="F28" s="47"/>
    </row>
    <row r="29" spans="1:7" ht="25.8">
      <c r="A29" s="47"/>
      <c r="B29" s="53"/>
      <c r="C29" s="47"/>
      <c r="D29" s="47"/>
      <c r="E29" s="47"/>
      <c r="F29" s="47"/>
    </row>
    <row r="31" spans="1:7">
      <c r="A31" t="s">
        <v>273</v>
      </c>
    </row>
    <row r="32" spans="1:7" ht="25.8">
      <c r="A32" s="47"/>
      <c r="B32" s="47" t="s">
        <v>251</v>
      </c>
      <c r="C32" s="47" t="s">
        <v>250</v>
      </c>
      <c r="D32" s="47" t="s">
        <v>249</v>
      </c>
      <c r="E32" s="47" t="s">
        <v>248</v>
      </c>
      <c r="F32" s="47"/>
      <c r="G32" s="47"/>
    </row>
    <row r="33" spans="1:7" ht="25.8">
      <c r="A33" s="52" t="s">
        <v>272</v>
      </c>
      <c r="B33" s="47">
        <v>10397</v>
      </c>
      <c r="C33" s="47">
        <v>11720</v>
      </c>
      <c r="D33" s="47">
        <v>4641</v>
      </c>
      <c r="E33" s="47">
        <v>1880</v>
      </c>
      <c r="F33" s="47" t="s">
        <v>271</v>
      </c>
      <c r="G33" s="47"/>
    </row>
    <row r="34" spans="1:7" ht="25.8">
      <c r="A34" s="51" t="s">
        <v>270</v>
      </c>
      <c r="B34" s="47">
        <v>23003</v>
      </c>
      <c r="C34" s="47">
        <v>71277</v>
      </c>
      <c r="D34" s="47">
        <v>22522</v>
      </c>
      <c r="E34" s="48">
        <v>5371.4285714285716</v>
      </c>
      <c r="F34" s="47"/>
      <c r="G34" s="47"/>
    </row>
    <row r="35" spans="1:7" ht="25.8">
      <c r="A35" s="51" t="s">
        <v>269</v>
      </c>
      <c r="B35" s="47">
        <v>311832</v>
      </c>
      <c r="C35" s="47">
        <v>187800</v>
      </c>
      <c r="D35" s="47">
        <v>116400</v>
      </c>
      <c r="E35" s="47">
        <v>160000</v>
      </c>
      <c r="F35" s="47" t="s">
        <v>268</v>
      </c>
      <c r="G35" s="47"/>
    </row>
    <row r="36" spans="1:7" ht="25.8">
      <c r="A36" s="41" t="s">
        <v>267</v>
      </c>
      <c r="B36" s="47">
        <v>4000000.0000000005</v>
      </c>
      <c r="C36" s="47">
        <v>1000000</v>
      </c>
      <c r="D36" s="47">
        <v>2630000</v>
      </c>
      <c r="E36" s="47">
        <v>8000000</v>
      </c>
      <c r="F36" s="47" t="s">
        <v>255</v>
      </c>
      <c r="G36" s="47"/>
    </row>
    <row r="37" spans="1:7" ht="25.8">
      <c r="A37" s="41" t="s">
        <v>266</v>
      </c>
      <c r="B37" s="47">
        <v>155460.55188495922</v>
      </c>
      <c r="C37" s="47">
        <v>38865.137971239797</v>
      </c>
      <c r="D37" s="48">
        <v>102215.31286436066</v>
      </c>
      <c r="E37" s="48">
        <v>310921.10376991838</v>
      </c>
      <c r="F37" s="47" t="s">
        <v>265</v>
      </c>
      <c r="G37" s="47"/>
    </row>
    <row r="38" spans="1:7" ht="25.8">
      <c r="A38" s="41" t="s">
        <v>264</v>
      </c>
      <c r="B38" s="47">
        <v>0.9</v>
      </c>
      <c r="C38" s="47">
        <v>0.16</v>
      </c>
      <c r="D38" s="50">
        <v>0.20606518071219251</v>
      </c>
      <c r="E38" s="47">
        <v>0.35</v>
      </c>
      <c r="F38" s="47" t="s">
        <v>263</v>
      </c>
      <c r="G38" s="47"/>
    </row>
    <row r="39" spans="1:7" ht="25.8">
      <c r="A39" s="49" t="s">
        <v>262</v>
      </c>
      <c r="B39" s="47">
        <v>602.29094778598881</v>
      </c>
      <c r="C39" s="47">
        <v>22266.37554585153</v>
      </c>
      <c r="D39" s="47">
        <v>24454.16</v>
      </c>
      <c r="E39" s="47">
        <v>19433</v>
      </c>
      <c r="F39" s="47" t="s">
        <v>261</v>
      </c>
      <c r="G39" s="47"/>
    </row>
    <row r="40" spans="1:7" ht="25.8">
      <c r="A40" s="49" t="s">
        <v>260</v>
      </c>
      <c r="B40" s="47">
        <v>20794</v>
      </c>
      <c r="C40" s="47">
        <v>41020</v>
      </c>
      <c r="D40" s="48">
        <v>14594.784750000001</v>
      </c>
      <c r="E40" s="47">
        <v>5640</v>
      </c>
      <c r="F40" s="47" t="s">
        <v>259</v>
      </c>
      <c r="G40" s="47"/>
    </row>
    <row r="41" spans="1:7" ht="25.8">
      <c r="A41" s="49" t="s">
        <v>258</v>
      </c>
      <c r="B41" s="47">
        <v>140943.23801243317</v>
      </c>
      <c r="C41" s="47">
        <v>30048</v>
      </c>
      <c r="D41" s="48">
        <v>23985.987034899208</v>
      </c>
      <c r="E41" s="47">
        <v>56000</v>
      </c>
      <c r="F41" s="47" t="s">
        <v>257</v>
      </c>
      <c r="G41" s="47"/>
    </row>
    <row r="42" spans="1:7" ht="25.8">
      <c r="A42" s="49" t="s">
        <v>256</v>
      </c>
      <c r="B42" s="47">
        <v>139914.49669646329</v>
      </c>
      <c r="C42" s="47">
        <v>6218.4220753983682</v>
      </c>
      <c r="D42" s="48">
        <v>21063.016916947778</v>
      </c>
      <c r="E42" s="48">
        <v>108822.38631947142</v>
      </c>
      <c r="F42" s="47" t="s">
        <v>255</v>
      </c>
      <c r="G42" s="47"/>
    </row>
    <row r="43" spans="1:7" ht="25.8">
      <c r="A43" s="37" t="s">
        <v>254</v>
      </c>
      <c r="B43" s="46">
        <v>29.071273026515577</v>
      </c>
      <c r="C43" s="46">
        <v>8.4942660086390696</v>
      </c>
      <c r="D43" s="45">
        <v>18.120652596821156</v>
      </c>
      <c r="E43" s="45">
        <v>101.00818421248479</v>
      </c>
      <c r="F43" s="44" t="s">
        <v>207</v>
      </c>
      <c r="G43" s="44">
        <f>AVERAGE(B43:E43)</f>
        <v>39.173593961115145</v>
      </c>
    </row>
    <row r="44" spans="1:7" ht="25.8">
      <c r="A44" s="37" t="s">
        <v>253</v>
      </c>
      <c r="B44" s="46">
        <v>46.514036842424929</v>
      </c>
      <c r="C44" s="46">
        <v>13.590825613822512</v>
      </c>
      <c r="D44" s="45">
        <v>28.99304415491385</v>
      </c>
      <c r="E44" s="45">
        <v>161.61309473997568</v>
      </c>
      <c r="F44" s="44" t="s">
        <v>205</v>
      </c>
      <c r="G44" s="44">
        <f>AVERAGE(B44:E44)</f>
        <v>62.677750337784246</v>
      </c>
    </row>
    <row r="46" spans="1:7">
      <c r="A46" t="s">
        <v>252</v>
      </c>
    </row>
    <row r="47" spans="1:7" ht="25.8">
      <c r="A47" s="40"/>
      <c r="B47" s="40" t="s">
        <v>251</v>
      </c>
      <c r="C47" s="40" t="s">
        <v>250</v>
      </c>
      <c r="D47" s="40" t="s">
        <v>249</v>
      </c>
      <c r="E47" s="40" t="s">
        <v>248</v>
      </c>
      <c r="F47" s="40"/>
    </row>
    <row r="48" spans="1:7" ht="25.8">
      <c r="A48" s="43" t="s">
        <v>247</v>
      </c>
      <c r="B48" s="40">
        <v>16200</v>
      </c>
      <c r="C48" s="40">
        <v>5500</v>
      </c>
      <c r="D48" s="40">
        <v>5475</v>
      </c>
      <c r="E48" s="40">
        <v>80000</v>
      </c>
      <c r="F48" s="40" t="s">
        <v>246</v>
      </c>
    </row>
    <row r="49" spans="1:6" ht="25.8">
      <c r="A49" s="43" t="s">
        <v>245</v>
      </c>
      <c r="B49" s="42">
        <v>339119.62</v>
      </c>
      <c r="C49" s="40">
        <v>119200</v>
      </c>
      <c r="D49" s="40">
        <v>322800</v>
      </c>
      <c r="E49" s="40">
        <v>1145000</v>
      </c>
      <c r="F49" s="38" t="s">
        <v>244</v>
      </c>
    </row>
    <row r="50" spans="1:6" ht="25.8">
      <c r="A50" s="43" t="s">
        <v>243</v>
      </c>
      <c r="B50" s="42">
        <v>116055.76251536049</v>
      </c>
      <c r="C50" s="40">
        <v>20599</v>
      </c>
      <c r="D50" s="39">
        <v>143412.35911387485</v>
      </c>
      <c r="E50" s="39">
        <v>505246.79362611735</v>
      </c>
      <c r="F50" s="38" t="s">
        <v>242</v>
      </c>
    </row>
    <row r="51" spans="1:6" ht="25.8">
      <c r="A51" s="43" t="s">
        <v>241</v>
      </c>
      <c r="B51" s="42">
        <v>579132.47362250881</v>
      </c>
      <c r="C51" s="40">
        <v>35176</v>
      </c>
      <c r="D51" s="39">
        <v>236811.25439624855</v>
      </c>
      <c r="E51" s="39">
        <v>893013.10043668118</v>
      </c>
      <c r="F51" s="38" t="s">
        <v>240</v>
      </c>
    </row>
    <row r="52" spans="1:6" ht="25.8">
      <c r="A52" s="41" t="s">
        <v>239</v>
      </c>
      <c r="B52" s="40">
        <v>300000</v>
      </c>
      <c r="C52" s="40">
        <v>55000</v>
      </c>
      <c r="D52" s="39">
        <v>140000</v>
      </c>
      <c r="E52" s="39">
        <v>720000</v>
      </c>
      <c r="F52" s="38" t="s">
        <v>238</v>
      </c>
    </row>
    <row r="53" spans="1:6" ht="25.8">
      <c r="A53" s="37" t="s">
        <v>237</v>
      </c>
      <c r="B53" s="36">
        <v>82.364682477646255</v>
      </c>
      <c r="C53" s="36">
        <v>41.813636363636363</v>
      </c>
      <c r="D53" s="36">
        <v>153.9769157096116</v>
      </c>
      <c r="E53" s="36">
        <v>40.790748675784982</v>
      </c>
      <c r="F53" s="35">
        <f>AVERAGE(B53:E53)</f>
        <v>79.736495806669794</v>
      </c>
    </row>
    <row r="56" spans="1:6">
      <c r="A56" t="s">
        <v>236</v>
      </c>
    </row>
    <row r="57" spans="1:6">
      <c r="A57" t="s">
        <v>235</v>
      </c>
    </row>
    <row r="58" spans="1:6">
      <c r="A58" t="s">
        <v>234</v>
      </c>
    </row>
  </sheetData>
  <mergeCells count="1">
    <mergeCell ref="B25: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5CDA-2DBA-45C0-9E35-B68DF344FAD5}">
  <dimension ref="A1:O21"/>
  <sheetViews>
    <sheetView workbookViewId="0">
      <selection activeCell="F10" sqref="F10"/>
    </sheetView>
  </sheetViews>
  <sheetFormatPr defaultRowHeight="14.4"/>
  <cols>
    <col min="2" max="2" width="11.6640625" customWidth="1"/>
    <col min="4" max="4" width="19.21875" customWidth="1"/>
    <col min="5" max="5" width="14.6640625" customWidth="1"/>
    <col min="6" max="6" width="11" customWidth="1"/>
    <col min="7" max="7" width="16.109375" customWidth="1"/>
    <col min="8" max="8" width="15.44140625" customWidth="1"/>
    <col min="9" max="9" width="17.21875" customWidth="1"/>
    <col min="10" max="10" width="11.44140625" bestFit="1" customWidth="1"/>
  </cols>
  <sheetData>
    <row r="1" spans="1:15" ht="15.6">
      <c r="A1" s="86" t="s">
        <v>374</v>
      </c>
      <c r="M1" t="s">
        <v>375</v>
      </c>
      <c r="O1" s="27" t="s">
        <v>376</v>
      </c>
    </row>
    <row r="2" spans="1:15" ht="15" thickBot="1">
      <c r="A2" t="s">
        <v>373</v>
      </c>
      <c r="L2">
        <v>2010</v>
      </c>
      <c r="M2">
        <v>6.9</v>
      </c>
      <c r="N2">
        <f>(M2/100)+1</f>
        <v>1.069</v>
      </c>
      <c r="O2">
        <f>PRODUCT(N4:N9)</f>
        <v>1.0793128515718349</v>
      </c>
    </row>
    <row r="3" spans="1:15" ht="15" customHeight="1" thickBot="1">
      <c r="B3" s="104" t="s">
        <v>362</v>
      </c>
      <c r="C3" s="103" t="s">
        <v>361</v>
      </c>
      <c r="D3" s="103" t="s">
        <v>372</v>
      </c>
      <c r="E3" s="101" t="s">
        <v>368</v>
      </c>
      <c r="F3" s="101" t="s">
        <v>367</v>
      </c>
      <c r="G3" s="101" t="s">
        <v>359</v>
      </c>
      <c r="H3" s="101" t="s">
        <v>366</v>
      </c>
      <c r="I3" s="101" t="s">
        <v>357</v>
      </c>
      <c r="J3" s="101" t="s">
        <v>365</v>
      </c>
      <c r="L3">
        <v>2011</v>
      </c>
      <c r="M3">
        <v>8.1999999999999993</v>
      </c>
      <c r="N3">
        <f t="shared" ref="N3:N9" si="0">(M3/100)+1</f>
        <v>1.0820000000000001</v>
      </c>
    </row>
    <row r="4" spans="1:15" ht="15" customHeight="1" thickBot="1">
      <c r="B4" s="98" t="s">
        <v>371</v>
      </c>
      <c r="C4" s="97" t="s">
        <v>352</v>
      </c>
      <c r="D4" s="97" t="s">
        <v>370</v>
      </c>
      <c r="E4" s="95" t="s">
        <v>350</v>
      </c>
      <c r="F4" s="95" t="s">
        <v>350</v>
      </c>
      <c r="G4" s="95">
        <v>66</v>
      </c>
      <c r="H4" s="95">
        <v>50</v>
      </c>
      <c r="I4" s="95" t="s">
        <v>350</v>
      </c>
      <c r="J4" s="95">
        <v>116</v>
      </c>
      <c r="L4">
        <v>2012</v>
      </c>
      <c r="M4">
        <v>2.4</v>
      </c>
      <c r="N4">
        <f t="shared" si="0"/>
        <v>1.024</v>
      </c>
    </row>
    <row r="5" spans="1:15" s="90" customFormat="1" ht="15" customHeight="1">
      <c r="B5" s="94"/>
      <c r="C5" s="93"/>
      <c r="D5" s="93"/>
      <c r="E5" s="105"/>
      <c r="F5" s="105"/>
      <c r="G5" s="92">
        <f>G4*$O$2</f>
        <v>71.234648203741102</v>
      </c>
      <c r="H5" s="92">
        <f>H4*$O$2</f>
        <v>53.965642578591741</v>
      </c>
      <c r="I5" s="92"/>
      <c r="J5" s="92">
        <f>J4*$O$2</f>
        <v>125.20029078233284</v>
      </c>
      <c r="L5">
        <v>2013</v>
      </c>
      <c r="M5">
        <v>2.2000000000000002</v>
      </c>
      <c r="N5">
        <f t="shared" si="0"/>
        <v>1.022</v>
      </c>
    </row>
    <row r="6" spans="1:15" ht="15" customHeight="1">
      <c r="L6">
        <v>2014</v>
      </c>
      <c r="M6">
        <v>0.8</v>
      </c>
      <c r="N6">
        <f t="shared" si="0"/>
        <v>1.008</v>
      </c>
    </row>
    <row r="7" spans="1:15" ht="15" customHeight="1" thickBot="1">
      <c r="A7" t="s">
        <v>369</v>
      </c>
      <c r="L7">
        <v>2015</v>
      </c>
      <c r="M7">
        <v>0.1</v>
      </c>
      <c r="N7">
        <f t="shared" si="0"/>
        <v>1.0009999999999999</v>
      </c>
    </row>
    <row r="8" spans="1:15" ht="15" customHeight="1" thickBot="1">
      <c r="B8" s="104" t="s">
        <v>362</v>
      </c>
      <c r="C8" s="103" t="s">
        <v>361</v>
      </c>
      <c r="D8" s="101" t="s">
        <v>368</v>
      </c>
      <c r="E8" s="101" t="s">
        <v>367</v>
      </c>
      <c r="F8" s="101" t="s">
        <v>359</v>
      </c>
      <c r="G8" s="101" t="s">
        <v>366</v>
      </c>
      <c r="H8" s="101" t="s">
        <v>357</v>
      </c>
      <c r="I8" s="101" t="s">
        <v>365</v>
      </c>
      <c r="L8">
        <v>2016</v>
      </c>
      <c r="M8">
        <v>1.2</v>
      </c>
      <c r="N8">
        <f t="shared" si="0"/>
        <v>1.012</v>
      </c>
    </row>
    <row r="9" spans="1:15" ht="15" customHeight="1" thickBot="1">
      <c r="B9" s="98" t="s">
        <v>364</v>
      </c>
      <c r="C9" s="97" t="s">
        <v>352</v>
      </c>
      <c r="D9" s="95" t="s">
        <v>350</v>
      </c>
      <c r="E9" s="95" t="s">
        <v>350</v>
      </c>
      <c r="F9" s="99">
        <v>1633</v>
      </c>
      <c r="G9" s="95">
        <v>76</v>
      </c>
      <c r="H9" s="95" t="s">
        <v>350</v>
      </c>
      <c r="I9" s="99">
        <v>1708</v>
      </c>
      <c r="L9">
        <v>2017</v>
      </c>
      <c r="M9">
        <v>1</v>
      </c>
      <c r="N9">
        <f t="shared" si="0"/>
        <v>1.01</v>
      </c>
    </row>
    <row r="10" spans="1:15" s="90" customFormat="1" ht="15" customHeight="1">
      <c r="B10" s="94"/>
      <c r="C10" s="93"/>
      <c r="D10" s="105"/>
      <c r="E10" s="105"/>
      <c r="F10" s="92">
        <f>F9*$O$2</f>
        <v>1762.5178866168064</v>
      </c>
      <c r="G10" s="92">
        <f>G9*$O$2</f>
        <v>82.027776719459453</v>
      </c>
      <c r="H10" s="92"/>
      <c r="I10" s="92">
        <f>I9*$O$2</f>
        <v>1843.466350484694</v>
      </c>
      <c r="L10"/>
    </row>
    <row r="11" spans="1:15" ht="15" customHeight="1"/>
    <row r="12" spans="1:15" ht="15" customHeight="1" thickBot="1">
      <c r="A12" t="s">
        <v>363</v>
      </c>
    </row>
    <row r="13" spans="1:15" ht="15" customHeight="1" thickBot="1">
      <c r="B13" s="104" t="s">
        <v>362</v>
      </c>
      <c r="C13" s="103" t="s">
        <v>361</v>
      </c>
      <c r="D13" s="101" t="s">
        <v>360</v>
      </c>
      <c r="E13" s="101" t="s">
        <v>359</v>
      </c>
      <c r="F13" s="101" t="s">
        <v>358</v>
      </c>
      <c r="G13" s="101" t="s">
        <v>357</v>
      </c>
      <c r="H13" s="102" t="s">
        <v>356</v>
      </c>
      <c r="I13" s="101" t="s">
        <v>355</v>
      </c>
    </row>
    <row r="14" spans="1:15" ht="15" customHeight="1" thickBot="1">
      <c r="B14" s="98" t="s">
        <v>354</v>
      </c>
      <c r="C14" s="97" t="s">
        <v>352</v>
      </c>
      <c r="D14" s="95">
        <v>248</v>
      </c>
      <c r="E14" s="95">
        <v>93</v>
      </c>
      <c r="F14" s="95" t="s">
        <v>351</v>
      </c>
      <c r="G14" s="99">
        <v>2431</v>
      </c>
      <c r="H14" s="100">
        <v>2772</v>
      </c>
      <c r="I14" s="99">
        <v>4595</v>
      </c>
    </row>
    <row r="15" spans="1:15" ht="15" customHeight="1" thickBot="1">
      <c r="B15" s="98" t="s">
        <v>353</v>
      </c>
      <c r="C15" s="97" t="s">
        <v>352</v>
      </c>
      <c r="D15" s="95" t="s">
        <v>351</v>
      </c>
      <c r="E15" s="95" t="s">
        <v>351</v>
      </c>
      <c r="F15" s="95" t="s">
        <v>351</v>
      </c>
      <c r="G15" s="95">
        <v>436</v>
      </c>
      <c r="H15" s="96">
        <v>436</v>
      </c>
      <c r="I15" s="95" t="s">
        <v>350</v>
      </c>
    </row>
    <row r="16" spans="1:15" s="90" customFormat="1" ht="15" customHeight="1">
      <c r="B16" s="94"/>
      <c r="C16" s="93"/>
      <c r="D16" s="92">
        <f>D14*$O$2</f>
        <v>267.66958718981505</v>
      </c>
      <c r="E16" s="92">
        <f>E14*$O$2</f>
        <v>100.37609519618064</v>
      </c>
      <c r="F16" s="92"/>
      <c r="G16" s="92">
        <f>G14*$O$2</f>
        <v>2623.8095421711305</v>
      </c>
      <c r="H16" s="92">
        <f>H14*$O$2</f>
        <v>2991.8552245571263</v>
      </c>
      <c r="I16" s="92">
        <f>I14*$O$2</f>
        <v>4959.4425529725813</v>
      </c>
    </row>
    <row r="17" spans="1:9" s="90" customFormat="1">
      <c r="D17" s="91"/>
      <c r="E17" s="91"/>
      <c r="F17" s="91"/>
      <c r="G17" s="92">
        <f>G15*$O$2</f>
        <v>470.58040328532002</v>
      </c>
      <c r="H17" s="92">
        <f>H15*$O$2</f>
        <v>470.58040328532002</v>
      </c>
      <c r="I17" s="91"/>
    </row>
    <row r="19" spans="1:9">
      <c r="A19" t="s">
        <v>349</v>
      </c>
    </row>
    <row r="20" spans="1:9">
      <c r="A20" t="s">
        <v>348</v>
      </c>
    </row>
    <row r="21" spans="1:9">
      <c r="A21" t="s">
        <v>347</v>
      </c>
    </row>
  </sheetData>
  <hyperlinks>
    <hyperlink ref="O1" r:id="rId1" xr:uid="{AD64A4D6-1323-427F-A6FF-5F8A4EDE7EA9}"/>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8058D-1032-4CE4-AFB7-403FA96D17F9}">
  <sheetPr>
    <tabColor theme="0" tint="-0.499984740745262"/>
  </sheetPr>
  <dimension ref="A1:Q50"/>
  <sheetViews>
    <sheetView showGridLines="0" zoomScale="90" zoomScaleNormal="90" zoomScalePageLayoutView="110" workbookViewId="0">
      <pane ySplit="3" topLeftCell="A4" activePane="bottomLeft" state="frozen"/>
      <selection pane="bottomLeft" activeCell="K7" sqref="K7"/>
    </sheetView>
  </sheetViews>
  <sheetFormatPr defaultColWidth="8.77734375" defaultRowHeight="13.8"/>
  <cols>
    <col min="1" max="1" width="26.77734375" style="57" customWidth="1"/>
    <col min="2" max="2" width="35.33203125" style="57" customWidth="1"/>
    <col min="3" max="3" width="11.6640625" style="57" customWidth="1"/>
    <col min="4" max="4" width="9.44140625" style="57" customWidth="1"/>
    <col min="5" max="5" width="10.44140625" style="57" customWidth="1"/>
    <col min="6" max="6" width="9.6640625" style="57" customWidth="1"/>
    <col min="7" max="7" width="8.77734375" style="57"/>
    <col min="8" max="8" width="8.77734375" style="58"/>
    <col min="9" max="9" width="11.109375" style="58" customWidth="1"/>
    <col min="10" max="10" width="11.109375" style="58" bestFit="1" customWidth="1"/>
    <col min="11" max="11" width="15.33203125" style="57" customWidth="1"/>
    <col min="12" max="12" width="23.6640625" style="57" customWidth="1"/>
    <col min="13" max="13" width="40.88671875" style="57" customWidth="1"/>
    <col min="14" max="16384" width="8.77734375" style="57"/>
  </cols>
  <sheetData>
    <row r="1" spans="1:17" ht="15.6">
      <c r="A1" s="86" t="s">
        <v>342</v>
      </c>
      <c r="B1" s="87" t="s">
        <v>343</v>
      </c>
      <c r="C1" s="88">
        <v>6.6</v>
      </c>
      <c r="D1" s="57" t="s">
        <v>345</v>
      </c>
      <c r="E1" s="89" t="s">
        <v>344</v>
      </c>
    </row>
    <row r="3" spans="1:17" s="79" customFormat="1" ht="41.4">
      <c r="A3" s="85"/>
      <c r="B3" s="84"/>
      <c r="C3" s="83" t="s">
        <v>341</v>
      </c>
      <c r="D3" s="83" t="s">
        <v>340</v>
      </c>
      <c r="E3" s="83" t="s">
        <v>339</v>
      </c>
      <c r="F3" s="83" t="s">
        <v>338</v>
      </c>
      <c r="G3" s="83" t="s">
        <v>337</v>
      </c>
      <c r="H3" s="82" t="s">
        <v>336</v>
      </c>
      <c r="I3" s="82" t="s">
        <v>335</v>
      </c>
      <c r="J3" s="82" t="s">
        <v>346</v>
      </c>
      <c r="K3" s="81" t="s">
        <v>334</v>
      </c>
      <c r="L3" s="80"/>
      <c r="M3" s="80"/>
      <c r="N3" s="81" t="s">
        <v>333</v>
      </c>
      <c r="O3" s="80"/>
      <c r="P3" s="80"/>
      <c r="Q3" s="80"/>
    </row>
    <row r="4" spans="1:17">
      <c r="A4" s="78"/>
      <c r="B4" s="78"/>
    </row>
    <row r="5" spans="1:17">
      <c r="A5" s="62" t="s">
        <v>200</v>
      </c>
      <c r="B5" s="60" t="s">
        <v>332</v>
      </c>
      <c r="C5" s="60">
        <v>3</v>
      </c>
      <c r="D5" s="60">
        <v>2</v>
      </c>
      <c r="E5" s="61">
        <f>C5*D5*7*4</f>
        <v>168</v>
      </c>
      <c r="F5" s="60">
        <f>3*7*8</f>
        <v>168</v>
      </c>
      <c r="G5" s="60">
        <v>20.25</v>
      </c>
      <c r="H5" s="59">
        <f>G5/F5</f>
        <v>0.12053571428571429</v>
      </c>
      <c r="I5" s="59">
        <f>E5*H5</f>
        <v>20.25</v>
      </c>
      <c r="J5" s="59">
        <f>I5*exch_rate</f>
        <v>133.65</v>
      </c>
      <c r="K5" s="57" t="s">
        <v>331</v>
      </c>
    </row>
    <row r="6" spans="1:17">
      <c r="A6" s="57" t="s">
        <v>330</v>
      </c>
      <c r="B6" s="60" t="s">
        <v>329</v>
      </c>
      <c r="C6" s="60">
        <v>3</v>
      </c>
      <c r="D6" s="60">
        <v>4</v>
      </c>
      <c r="E6" s="61">
        <f>C6*D6*7*4</f>
        <v>336</v>
      </c>
      <c r="F6" s="60">
        <f>3*7*16</f>
        <v>336</v>
      </c>
      <c r="G6" s="60">
        <v>11.57</v>
      </c>
      <c r="H6" s="59">
        <f>G6/F6</f>
        <v>3.4434523809523811E-2</v>
      </c>
      <c r="I6" s="59">
        <f>E6*H6</f>
        <v>11.57</v>
      </c>
      <c r="J6" s="59">
        <f>I6*exch_rate</f>
        <v>76.361999999999995</v>
      </c>
      <c r="K6" s="77"/>
    </row>
    <row r="7" spans="1:17" ht="14.4">
      <c r="B7" s="63" t="s">
        <v>305</v>
      </c>
      <c r="C7"/>
      <c r="D7"/>
      <c r="E7"/>
      <c r="F7"/>
      <c r="G7"/>
      <c r="H7" s="76"/>
      <c r="I7" s="59">
        <f>SUM(I5:I6)</f>
        <v>31.82</v>
      </c>
      <c r="J7" s="59">
        <f>I7*exch_rate</f>
        <v>210.012</v>
      </c>
    </row>
    <row r="9" spans="1:17">
      <c r="A9" s="62" t="s">
        <v>328</v>
      </c>
      <c r="B9" s="67" t="s">
        <v>324</v>
      </c>
    </row>
    <row r="10" spans="1:17">
      <c r="A10" s="57" t="s">
        <v>323</v>
      </c>
      <c r="B10" s="60" t="s">
        <v>319</v>
      </c>
      <c r="C10" s="60">
        <v>3</v>
      </c>
      <c r="D10" s="60">
        <v>6</v>
      </c>
      <c r="E10" s="61">
        <f>C10*D10*7*4</f>
        <v>504</v>
      </c>
      <c r="F10" s="60">
        <v>100</v>
      </c>
      <c r="G10" s="60">
        <v>18.25</v>
      </c>
      <c r="H10" s="59">
        <f>G10/F10</f>
        <v>0.1825</v>
      </c>
      <c r="I10" s="59">
        <f>E10*H10</f>
        <v>91.98</v>
      </c>
      <c r="J10" s="59">
        <f>I10*exch_rate</f>
        <v>607.06799999999998</v>
      </c>
    </row>
    <row r="11" spans="1:17">
      <c r="B11" s="60" t="s">
        <v>309</v>
      </c>
      <c r="C11" s="60">
        <v>3</v>
      </c>
      <c r="D11" s="60">
        <v>6</v>
      </c>
      <c r="E11" s="61">
        <f>C11*D11*7*4</f>
        <v>504</v>
      </c>
      <c r="F11" s="60">
        <v>100</v>
      </c>
      <c r="G11" s="60">
        <v>28.8</v>
      </c>
      <c r="H11" s="59">
        <f>G11/F11</f>
        <v>0.28800000000000003</v>
      </c>
      <c r="I11" s="59">
        <f>E11*H11</f>
        <v>145.15200000000002</v>
      </c>
      <c r="J11" s="59">
        <f>I11*exch_rate</f>
        <v>958.00319999999999</v>
      </c>
    </row>
    <row r="12" spans="1:17">
      <c r="B12" s="60" t="s">
        <v>326</v>
      </c>
      <c r="C12" s="60">
        <v>2</v>
      </c>
      <c r="D12" s="60">
        <v>6</v>
      </c>
      <c r="E12" s="61">
        <f>C12*D12*7*4</f>
        <v>336</v>
      </c>
      <c r="F12" s="60">
        <v>100</v>
      </c>
      <c r="G12" s="60">
        <v>4.91</v>
      </c>
      <c r="H12" s="59">
        <f>G12/F12</f>
        <v>4.9100000000000005E-2</v>
      </c>
      <c r="I12" s="59">
        <f>E12*H12</f>
        <v>16.497600000000002</v>
      </c>
      <c r="J12" s="59">
        <f>I12*exch_rate</f>
        <v>108.88416000000001</v>
      </c>
    </row>
    <row r="13" spans="1:17">
      <c r="B13" s="60" t="s">
        <v>327</v>
      </c>
      <c r="C13" s="60">
        <v>1</v>
      </c>
      <c r="D13" s="60">
        <v>6</v>
      </c>
      <c r="E13" s="61">
        <f>C13*D13*7*4</f>
        <v>168</v>
      </c>
      <c r="F13" s="60">
        <v>1</v>
      </c>
      <c r="G13" s="60">
        <v>4.7</v>
      </c>
      <c r="H13" s="59">
        <f>G13/F13</f>
        <v>4.7</v>
      </c>
      <c r="I13" s="59">
        <f>E13*H13</f>
        <v>789.6</v>
      </c>
      <c r="J13" s="59">
        <f>I13*exch_rate</f>
        <v>5211.3599999999997</v>
      </c>
    </row>
    <row r="14" spans="1:17">
      <c r="B14" s="60" t="s">
        <v>306</v>
      </c>
      <c r="C14" s="60">
        <v>4</v>
      </c>
      <c r="D14" s="60">
        <v>6</v>
      </c>
      <c r="E14" s="61">
        <f>C14*D14*7*4</f>
        <v>672</v>
      </c>
      <c r="F14" s="60">
        <v>672</v>
      </c>
      <c r="G14" s="60">
        <v>21</v>
      </c>
      <c r="H14" s="59">
        <f>G14/F14</f>
        <v>3.125E-2</v>
      </c>
      <c r="I14" s="59">
        <f>E14*H14</f>
        <v>21</v>
      </c>
      <c r="J14" s="59">
        <f>I14*exch_rate</f>
        <v>138.6</v>
      </c>
    </row>
    <row r="15" spans="1:17">
      <c r="B15" s="67" t="s">
        <v>321</v>
      </c>
    </row>
    <row r="16" spans="1:17">
      <c r="B16" s="60" t="s">
        <v>319</v>
      </c>
      <c r="C16" s="60">
        <v>3</v>
      </c>
      <c r="D16" s="60">
        <v>18</v>
      </c>
      <c r="E16" s="61">
        <f>C16*D16*7*4</f>
        <v>1512</v>
      </c>
      <c r="F16" s="60">
        <v>100</v>
      </c>
      <c r="G16" s="60">
        <v>18.25</v>
      </c>
      <c r="H16" s="59">
        <f>G16/F16</f>
        <v>0.1825</v>
      </c>
      <c r="I16" s="59">
        <f>E16*H16</f>
        <v>275.94</v>
      </c>
      <c r="J16" s="59">
        <f>I16*exch_rate</f>
        <v>1821.204</v>
      </c>
    </row>
    <row r="17" spans="1:10">
      <c r="B17" s="60" t="s">
        <v>309</v>
      </c>
      <c r="C17" s="60">
        <v>3</v>
      </c>
      <c r="D17" s="60">
        <v>18</v>
      </c>
      <c r="E17" s="61">
        <f>C17*D17*7*4</f>
        <v>1512</v>
      </c>
      <c r="F17" s="60">
        <v>100</v>
      </c>
      <c r="G17" s="60">
        <v>28.8</v>
      </c>
      <c r="H17" s="59">
        <f>G17/F17</f>
        <v>0.28800000000000003</v>
      </c>
      <c r="I17" s="59">
        <f>E17*H17</f>
        <v>435.45600000000007</v>
      </c>
      <c r="J17" s="59">
        <f>I17*exch_rate</f>
        <v>2874.0096000000003</v>
      </c>
    </row>
    <row r="18" spans="1:10">
      <c r="B18" s="60" t="s">
        <v>326</v>
      </c>
      <c r="C18" s="60">
        <v>2</v>
      </c>
      <c r="D18" s="60">
        <v>18</v>
      </c>
      <c r="E18" s="61">
        <f>C18*D18*7*4</f>
        <v>1008</v>
      </c>
      <c r="F18" s="60">
        <v>100</v>
      </c>
      <c r="G18" s="60">
        <v>4.91</v>
      </c>
      <c r="H18" s="59">
        <f>G18/F18</f>
        <v>4.9100000000000005E-2</v>
      </c>
      <c r="I18" s="59">
        <f>E18*H18</f>
        <v>49.492800000000003</v>
      </c>
      <c r="J18" s="59">
        <f>I18*exch_rate</f>
        <v>326.65248000000003</v>
      </c>
    </row>
    <row r="19" spans="1:10">
      <c r="B19" s="60" t="s">
        <v>306</v>
      </c>
      <c r="C19" s="60">
        <v>4</v>
      </c>
      <c r="D19" s="60">
        <v>18</v>
      </c>
      <c r="E19" s="61">
        <f>C19*D19*7*4</f>
        <v>2016</v>
      </c>
      <c r="F19" s="60">
        <v>672</v>
      </c>
      <c r="G19" s="60">
        <v>21</v>
      </c>
      <c r="H19" s="59">
        <f>G19/F19</f>
        <v>3.125E-2</v>
      </c>
      <c r="I19" s="59">
        <f>E19*H19</f>
        <v>63</v>
      </c>
      <c r="J19" s="59">
        <f>I19*exch_rate</f>
        <v>415.79999999999995</v>
      </c>
    </row>
    <row r="20" spans="1:10" s="68" customFormat="1">
      <c r="B20" s="63" t="s">
        <v>305</v>
      </c>
      <c r="C20" s="74"/>
      <c r="D20" s="75"/>
      <c r="E20" s="75"/>
      <c r="F20" s="74"/>
      <c r="G20" s="74"/>
      <c r="H20" s="73"/>
      <c r="I20" s="59">
        <f>SUM(I10:I19)</f>
        <v>1888.1184000000003</v>
      </c>
      <c r="J20" s="59">
        <f>SUM(J10:J19)</f>
        <v>12461.581440000002</v>
      </c>
    </row>
    <row r="21" spans="1:10" s="68" customFormat="1">
      <c r="B21" s="71"/>
      <c r="C21" s="71"/>
      <c r="D21" s="72"/>
      <c r="E21" s="72"/>
      <c r="F21" s="71"/>
      <c r="G21" s="71"/>
      <c r="H21" s="70"/>
      <c r="I21" s="70"/>
      <c r="J21" s="69"/>
    </row>
    <row r="22" spans="1:10">
      <c r="A22" s="62" t="s">
        <v>325</v>
      </c>
      <c r="B22" s="67" t="s">
        <v>324</v>
      </c>
    </row>
    <row r="23" spans="1:10">
      <c r="A23" s="57" t="s">
        <v>323</v>
      </c>
      <c r="B23" s="60" t="s">
        <v>322</v>
      </c>
      <c r="C23" s="60">
        <v>1</v>
      </c>
      <c r="D23" s="60">
        <v>5</v>
      </c>
      <c r="E23" s="61">
        <f>C23*D23*7*4</f>
        <v>140</v>
      </c>
      <c r="F23" s="60">
        <v>10</v>
      </c>
      <c r="G23" s="60">
        <v>23.6</v>
      </c>
      <c r="H23" s="59">
        <f>G23/F23</f>
        <v>2.3600000000000003</v>
      </c>
      <c r="I23" s="59">
        <f>E23*H23</f>
        <v>330.40000000000003</v>
      </c>
      <c r="J23" s="59">
        <f>I23*exch_rate</f>
        <v>2180.6400000000003</v>
      </c>
    </row>
    <row r="24" spans="1:10">
      <c r="B24" s="60" t="s">
        <v>320</v>
      </c>
      <c r="C24" s="60">
        <v>2</v>
      </c>
      <c r="D24" s="60">
        <v>5</v>
      </c>
      <c r="E24" s="61">
        <f>C24*D24*7*4</f>
        <v>280</v>
      </c>
      <c r="F24" s="60">
        <v>100</v>
      </c>
      <c r="G24" s="60">
        <v>39</v>
      </c>
      <c r="H24" s="59">
        <f>G24/F24</f>
        <v>0.39</v>
      </c>
      <c r="I24" s="59">
        <f>E24*H24</f>
        <v>109.2</v>
      </c>
      <c r="J24" s="59">
        <f>I24*exch_rate</f>
        <v>720.72</v>
      </c>
    </row>
    <row r="25" spans="1:10">
      <c r="B25" s="60" t="s">
        <v>319</v>
      </c>
      <c r="C25" s="60">
        <v>3</v>
      </c>
      <c r="D25" s="60">
        <v>5</v>
      </c>
      <c r="E25" s="61">
        <f>C25*D25*7*4</f>
        <v>420</v>
      </c>
      <c r="F25" s="60">
        <v>100</v>
      </c>
      <c r="G25" s="60">
        <v>18.25</v>
      </c>
      <c r="H25" s="59">
        <f>G25/F25</f>
        <v>0.1825</v>
      </c>
      <c r="I25" s="59">
        <f>E25*H25</f>
        <v>76.649999999999991</v>
      </c>
      <c r="J25" s="59">
        <f>I25*exch_rate</f>
        <v>505.88999999999993</v>
      </c>
    </row>
    <row r="26" spans="1:10">
      <c r="B26" s="60" t="s">
        <v>302</v>
      </c>
      <c r="C26" s="60">
        <v>2</v>
      </c>
      <c r="D26" s="60">
        <v>5</v>
      </c>
      <c r="E26" s="61">
        <f>C26*D26*7*4</f>
        <v>280</v>
      </c>
      <c r="F26" s="60">
        <v>672</v>
      </c>
      <c r="G26" s="60">
        <v>12.76</v>
      </c>
      <c r="H26" s="59">
        <f>G26/F26</f>
        <v>1.8988095238095238E-2</v>
      </c>
      <c r="I26" s="59">
        <f>E26*H26</f>
        <v>5.3166666666666664</v>
      </c>
      <c r="J26" s="59">
        <f>I26*exch_rate</f>
        <v>35.089999999999996</v>
      </c>
    </row>
    <row r="27" spans="1:10">
      <c r="B27" s="60" t="s">
        <v>307</v>
      </c>
      <c r="C27" s="60">
        <v>1</v>
      </c>
      <c r="D27" s="60">
        <v>5</v>
      </c>
      <c r="E27" s="61">
        <f>C27*D27*7*4</f>
        <v>140</v>
      </c>
      <c r="F27" s="60">
        <v>100</v>
      </c>
      <c r="G27" s="60">
        <v>109.48</v>
      </c>
      <c r="H27" s="59">
        <f>G27/F27</f>
        <v>1.0948</v>
      </c>
      <c r="I27" s="59">
        <f>E27*H27</f>
        <v>153.27199999999999</v>
      </c>
      <c r="J27" s="59">
        <f>I27*exch_rate</f>
        <v>1011.5951999999999</v>
      </c>
    </row>
    <row r="28" spans="1:10">
      <c r="B28" s="60" t="s">
        <v>318</v>
      </c>
      <c r="C28" s="60">
        <v>3</v>
      </c>
      <c r="D28" s="60">
        <v>5</v>
      </c>
      <c r="E28" s="61">
        <f>C28*D28*7*4</f>
        <v>420</v>
      </c>
      <c r="F28" s="60">
        <v>672</v>
      </c>
      <c r="G28" s="60">
        <v>20.21</v>
      </c>
      <c r="H28" s="59">
        <f>G28/F28</f>
        <v>3.0074404761904764E-2</v>
      </c>
      <c r="I28" s="59">
        <f>E28*H28</f>
        <v>12.631250000000001</v>
      </c>
      <c r="J28" s="59">
        <f>I28*exch_rate</f>
        <v>83.366250000000008</v>
      </c>
    </row>
    <row r="29" spans="1:10">
      <c r="B29" s="60" t="s">
        <v>306</v>
      </c>
      <c r="C29" s="60">
        <v>4</v>
      </c>
      <c r="D29" s="60">
        <v>5</v>
      </c>
      <c r="E29" s="61">
        <f>C29*D29*7*4</f>
        <v>560</v>
      </c>
      <c r="F29" s="60">
        <v>672</v>
      </c>
      <c r="G29" s="60">
        <v>21</v>
      </c>
      <c r="H29" s="59">
        <f>G29/F29</f>
        <v>3.125E-2</v>
      </c>
      <c r="I29" s="59">
        <f>E29*H29</f>
        <v>17.5</v>
      </c>
      <c r="J29" s="59">
        <f>I29*exch_rate</f>
        <v>115.5</v>
      </c>
    </row>
    <row r="30" spans="1:10">
      <c r="B30" s="67" t="s">
        <v>321</v>
      </c>
    </row>
    <row r="31" spans="1:10">
      <c r="B31" s="60" t="s">
        <v>320</v>
      </c>
      <c r="C31" s="60">
        <v>2</v>
      </c>
      <c r="D31" s="60">
        <v>5</v>
      </c>
      <c r="E31" s="61">
        <f>C31*D31*7*4</f>
        <v>280</v>
      </c>
      <c r="F31" s="60">
        <v>100</v>
      </c>
      <c r="G31" s="60">
        <v>39</v>
      </c>
      <c r="H31" s="59">
        <f>G31/F31</f>
        <v>0.39</v>
      </c>
      <c r="I31" s="59">
        <f>E31*H31</f>
        <v>109.2</v>
      </c>
      <c r="J31" s="59">
        <f>I31*exch_rate</f>
        <v>720.72</v>
      </c>
    </row>
    <row r="32" spans="1:10">
      <c r="B32" s="60" t="s">
        <v>319</v>
      </c>
      <c r="C32" s="60">
        <v>3</v>
      </c>
      <c r="D32" s="60">
        <v>5</v>
      </c>
      <c r="E32" s="61">
        <f>C32*D32*7*4</f>
        <v>420</v>
      </c>
      <c r="F32" s="60">
        <v>100</v>
      </c>
      <c r="G32" s="60">
        <v>18.25</v>
      </c>
      <c r="H32" s="59">
        <f>G32/F32</f>
        <v>0.1825</v>
      </c>
      <c r="I32" s="59">
        <f>E32*H32</f>
        <v>76.649999999999991</v>
      </c>
      <c r="J32" s="59">
        <f>I32*exch_rate</f>
        <v>505.88999999999993</v>
      </c>
    </row>
    <row r="33" spans="1:14">
      <c r="B33" s="60" t="s">
        <v>302</v>
      </c>
      <c r="C33" s="60">
        <v>2</v>
      </c>
      <c r="D33" s="60">
        <v>5</v>
      </c>
      <c r="E33" s="61">
        <f>C33*D33*7*4</f>
        <v>280</v>
      </c>
      <c r="F33" s="60">
        <v>672</v>
      </c>
      <c r="G33" s="60">
        <v>12.76</v>
      </c>
      <c r="H33" s="59">
        <f>G33/F33</f>
        <v>1.8988095238095238E-2</v>
      </c>
      <c r="I33" s="59">
        <f>E33*H33</f>
        <v>5.3166666666666664</v>
      </c>
      <c r="J33" s="59">
        <f>I33*exch_rate</f>
        <v>35.089999999999996</v>
      </c>
    </row>
    <row r="34" spans="1:14">
      <c r="B34" s="60" t="s">
        <v>307</v>
      </c>
      <c r="C34" s="60">
        <v>1</v>
      </c>
      <c r="D34" s="60">
        <v>5</v>
      </c>
      <c r="E34" s="61">
        <f>C34*D34*7*4</f>
        <v>140</v>
      </c>
      <c r="F34" s="60">
        <v>100</v>
      </c>
      <c r="G34" s="60">
        <v>109.48</v>
      </c>
      <c r="H34" s="59">
        <f>G34/F34</f>
        <v>1.0948</v>
      </c>
      <c r="I34" s="59">
        <f>E34*H34</f>
        <v>153.27199999999999</v>
      </c>
      <c r="J34" s="59">
        <f>I34*exch_rate</f>
        <v>1011.5951999999999</v>
      </c>
    </row>
    <row r="35" spans="1:14">
      <c r="B35" s="60" t="s">
        <v>318</v>
      </c>
      <c r="C35" s="60">
        <v>3</v>
      </c>
      <c r="D35" s="60">
        <v>5</v>
      </c>
      <c r="E35" s="61">
        <f>C35*D35*7*4</f>
        <v>420</v>
      </c>
      <c r="F35" s="60">
        <v>672</v>
      </c>
      <c r="G35" s="60">
        <v>20.21</v>
      </c>
      <c r="H35" s="59">
        <f>G35/F35</f>
        <v>3.0074404761904764E-2</v>
      </c>
      <c r="I35" s="59">
        <f>E35*H35</f>
        <v>12.631250000000001</v>
      </c>
      <c r="J35" s="59">
        <f>I35*exch_rate</f>
        <v>83.366250000000008</v>
      </c>
    </row>
    <row r="36" spans="1:14">
      <c r="B36" s="60" t="s">
        <v>306</v>
      </c>
      <c r="C36" s="60">
        <v>4</v>
      </c>
      <c r="D36" s="60">
        <v>5</v>
      </c>
      <c r="E36" s="61">
        <f>C36*D36*7*4</f>
        <v>560</v>
      </c>
      <c r="F36" s="60">
        <v>672</v>
      </c>
      <c r="G36" s="60">
        <v>21</v>
      </c>
      <c r="H36" s="59">
        <f>G36/F36</f>
        <v>3.125E-2</v>
      </c>
      <c r="I36" s="59">
        <f>E36*H36</f>
        <v>17.5</v>
      </c>
      <c r="J36" s="59">
        <f>I36*exch_rate</f>
        <v>115.5</v>
      </c>
    </row>
    <row r="37" spans="1:14" ht="14.4">
      <c r="B37" s="63" t="s">
        <v>305</v>
      </c>
      <c r="C37"/>
      <c r="D37"/>
      <c r="E37"/>
      <c r="F37"/>
      <c r="G37"/>
      <c r="H37"/>
      <c r="I37" s="66">
        <f>SUM(I23:I36)</f>
        <v>1079.5398333333335</v>
      </c>
      <c r="J37" s="66">
        <f>SUM(J23:J36)</f>
        <v>7124.9629000000014</v>
      </c>
    </row>
    <row r="39" spans="1:14" ht="14.4">
      <c r="A39" s="62" t="s">
        <v>317</v>
      </c>
      <c r="B39" s="60" t="s">
        <v>316</v>
      </c>
      <c r="C39" s="60">
        <v>4</v>
      </c>
      <c r="D39" s="60">
        <v>0.5</v>
      </c>
      <c r="E39" s="61">
        <f>C39*D39*7*4</f>
        <v>56</v>
      </c>
      <c r="F39" s="60">
        <v>188</v>
      </c>
      <c r="G39" s="60"/>
      <c r="H39" s="59">
        <f>G39/F39</f>
        <v>0</v>
      </c>
      <c r="I39" s="59">
        <f>E39*H39</f>
        <v>0</v>
      </c>
      <c r="J39" s="59">
        <f>I39*exch_rate</f>
        <v>0</v>
      </c>
      <c r="K39" s="57" t="s">
        <v>315</v>
      </c>
      <c r="N39" s="27" t="s">
        <v>314</v>
      </c>
    </row>
    <row r="40" spans="1:14" ht="14.4">
      <c r="A40" s="62"/>
      <c r="B40" s="60" t="s">
        <v>313</v>
      </c>
      <c r="C40" s="65">
        <f>6/7</f>
        <v>0.8571428571428571</v>
      </c>
      <c r="D40" s="60">
        <v>5.5</v>
      </c>
      <c r="E40" s="61">
        <f>C40*D40*7*4</f>
        <v>132</v>
      </c>
      <c r="F40" s="60">
        <v>188</v>
      </c>
      <c r="G40" s="60"/>
      <c r="H40" s="59">
        <f>G40/F40</f>
        <v>0</v>
      </c>
      <c r="I40" s="59">
        <f>E40*H40</f>
        <v>0</v>
      </c>
      <c r="J40" s="59">
        <f>I40*exch_rate</f>
        <v>0</v>
      </c>
      <c r="K40" s="57" t="s">
        <v>312</v>
      </c>
      <c r="N40" s="27"/>
    </row>
    <row r="41" spans="1:14">
      <c r="A41" s="62"/>
      <c r="B41" s="60" t="s">
        <v>311</v>
      </c>
      <c r="C41" s="64">
        <v>3</v>
      </c>
      <c r="D41" s="60">
        <v>18</v>
      </c>
      <c r="E41" s="61">
        <f>C41*D41*7*4</f>
        <v>1512</v>
      </c>
      <c r="F41" s="60">
        <v>100</v>
      </c>
      <c r="G41" s="60">
        <f>(6.4+7.77)/2</f>
        <v>7.085</v>
      </c>
      <c r="H41" s="59">
        <f>G41/F41</f>
        <v>7.0849999999999996E-2</v>
      </c>
      <c r="I41" s="59">
        <f>E41*H41</f>
        <v>107.12519999999999</v>
      </c>
      <c r="J41" s="59">
        <f>I41*exch_rate</f>
        <v>707.02631999999994</v>
      </c>
      <c r="K41" s="57" t="s">
        <v>310</v>
      </c>
    </row>
    <row r="42" spans="1:14">
      <c r="A42" s="62"/>
      <c r="B42" s="60" t="s">
        <v>309</v>
      </c>
      <c r="C42" s="64">
        <v>3</v>
      </c>
      <c r="D42" s="60">
        <v>18</v>
      </c>
      <c r="E42" s="61">
        <f>C42*D42*7*4</f>
        <v>1512</v>
      </c>
      <c r="F42" s="60">
        <v>100</v>
      </c>
      <c r="G42" s="60">
        <v>28.8</v>
      </c>
      <c r="H42" s="59">
        <f>G42/F42</f>
        <v>0.28800000000000003</v>
      </c>
      <c r="I42" s="59">
        <f>E42*H42</f>
        <v>435.45600000000007</v>
      </c>
      <c r="J42" s="59">
        <f>I42*exch_rate</f>
        <v>2874.0096000000003</v>
      </c>
      <c r="K42" s="57" t="s">
        <v>308</v>
      </c>
    </row>
    <row r="43" spans="1:14">
      <c r="A43" s="62"/>
      <c r="B43" s="60" t="s">
        <v>307</v>
      </c>
      <c r="C43" s="64">
        <v>1</v>
      </c>
      <c r="D43" s="60">
        <v>18</v>
      </c>
      <c r="E43" s="61">
        <f>C43*D43*7*4</f>
        <v>504</v>
      </c>
      <c r="F43" s="60">
        <v>100</v>
      </c>
      <c r="G43" s="60">
        <v>109.48</v>
      </c>
      <c r="H43" s="59">
        <f>G43/F43</f>
        <v>1.0948</v>
      </c>
      <c r="I43" s="59">
        <f>E43*H43</f>
        <v>551.77919999999995</v>
      </c>
      <c r="J43" s="59">
        <f>I43*exch_rate</f>
        <v>3641.7427199999993</v>
      </c>
    </row>
    <row r="44" spans="1:14">
      <c r="A44" s="62"/>
      <c r="B44" s="60" t="s">
        <v>306</v>
      </c>
      <c r="C44" s="64">
        <v>4</v>
      </c>
      <c r="D44" s="60">
        <v>18</v>
      </c>
      <c r="E44" s="61">
        <f>C44*D44*7*4</f>
        <v>2016</v>
      </c>
      <c r="F44" s="60">
        <v>672</v>
      </c>
      <c r="G44" s="60">
        <v>21</v>
      </c>
      <c r="H44" s="59">
        <f>G44/F44</f>
        <v>3.125E-2</v>
      </c>
      <c r="I44" s="59">
        <f>E44*H44</f>
        <v>63</v>
      </c>
      <c r="J44" s="59">
        <f>I44*exch_rate</f>
        <v>415.79999999999995</v>
      </c>
    </row>
    <row r="45" spans="1:14" ht="14.4">
      <c r="A45" s="62"/>
      <c r="B45" s="63" t="s">
        <v>305</v>
      </c>
      <c r="C45"/>
      <c r="D45"/>
      <c r="E45"/>
      <c r="F45"/>
      <c r="G45"/>
      <c r="H45"/>
      <c r="I45" s="59">
        <f>SUM(I10:I14)+SUM(I39:I44)</f>
        <v>2221.59</v>
      </c>
      <c r="J45" s="59">
        <f>SUM(J10:J14)+SUM(J39:J44)</f>
        <v>14662.493999999999</v>
      </c>
    </row>
    <row r="47" spans="1:14">
      <c r="A47" s="62" t="s">
        <v>304</v>
      </c>
      <c r="B47" s="60" t="s">
        <v>302</v>
      </c>
      <c r="C47" s="60">
        <v>1</v>
      </c>
      <c r="D47" s="60">
        <v>6</v>
      </c>
      <c r="E47" s="61">
        <f>C47*D47*7*4</f>
        <v>168</v>
      </c>
      <c r="F47" s="60">
        <v>672</v>
      </c>
      <c r="G47" s="60">
        <v>12.76</v>
      </c>
      <c r="H47" s="59">
        <f>G47/F47</f>
        <v>1.8988095238095238E-2</v>
      </c>
      <c r="I47" s="59">
        <f>E47*H47</f>
        <v>3.19</v>
      </c>
      <c r="J47" s="59">
        <f>I47*exch_rate</f>
        <v>21.053999999999998</v>
      </c>
    </row>
    <row r="49" spans="1:10">
      <c r="A49" s="62" t="s">
        <v>303</v>
      </c>
      <c r="B49" s="60" t="s">
        <v>302</v>
      </c>
      <c r="C49" s="60">
        <v>1</v>
      </c>
      <c r="D49" s="60"/>
      <c r="E49" s="61">
        <f>C49*D49*7*4</f>
        <v>0</v>
      </c>
      <c r="F49" s="60">
        <v>672</v>
      </c>
      <c r="G49" s="60">
        <v>12.76</v>
      </c>
      <c r="H49" s="59">
        <f>G49/F49</f>
        <v>1.8988095238095238E-2</v>
      </c>
      <c r="I49" s="59">
        <f>E49*H49</f>
        <v>0</v>
      </c>
      <c r="J49" s="59"/>
    </row>
    <row r="50" spans="1:10">
      <c r="B50" s="60" t="s">
        <v>301</v>
      </c>
      <c r="C50" s="60">
        <v>1</v>
      </c>
      <c r="D50" s="60"/>
      <c r="E50" s="61">
        <f>C50*D50*7*4</f>
        <v>0</v>
      </c>
      <c r="F50" s="60">
        <v>24</v>
      </c>
      <c r="G50" s="60"/>
      <c r="H50" s="59">
        <f>G50/F50</f>
        <v>0</v>
      </c>
      <c r="I50" s="59">
        <f>E50*H50</f>
        <v>0</v>
      </c>
      <c r="J50" s="59"/>
    </row>
  </sheetData>
  <hyperlinks>
    <hyperlink ref="N39" r:id="rId1" xr:uid="{78355012-A463-421D-BBA5-A7939945A193}"/>
    <hyperlink ref="E1" r:id="rId2" xr:uid="{2A4E9813-6A07-4190-95AD-BB173BABEF3D}"/>
  </hyperlinks>
  <pageMargins left="0.7" right="0.7" top="0.75" bottom="0.75" header="0.3" footer="0.3"/>
  <pageSetup paperSize="9" orientation="portrait" horizontalDpi="4294967293" verticalDpi="4294967293"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2B14B-3676-48C6-9FE1-27F78241DA39}">
  <sheetPr>
    <tabColor theme="9"/>
  </sheetPr>
  <dimension ref="A1:G10"/>
  <sheetViews>
    <sheetView showGridLines="0" tabSelected="1" zoomScale="80" zoomScaleNormal="80" workbookViewId="0">
      <selection activeCell="D22" sqref="D22"/>
    </sheetView>
  </sheetViews>
  <sheetFormatPr defaultRowHeight="14.4"/>
  <cols>
    <col min="1" max="1" width="17.44140625" customWidth="1"/>
    <col min="2" max="2" width="75.88671875" customWidth="1"/>
    <col min="3" max="3" width="19" customWidth="1"/>
    <col min="4" max="4" width="29.77734375" customWidth="1"/>
    <col min="5" max="5" width="15.33203125" customWidth="1"/>
    <col min="6" max="6" width="37.44140625" customWidth="1"/>
    <col min="7" max="7" width="52.33203125" customWidth="1"/>
  </cols>
  <sheetData>
    <row r="1" spans="1:7" s="2" customFormat="1" ht="28.8">
      <c r="A1" s="1" t="s">
        <v>0</v>
      </c>
      <c r="B1" s="1" t="s">
        <v>1</v>
      </c>
      <c r="C1" s="1" t="s">
        <v>2</v>
      </c>
      <c r="D1" s="1" t="s">
        <v>3</v>
      </c>
      <c r="E1" s="1" t="s">
        <v>382</v>
      </c>
      <c r="F1" s="1" t="s">
        <v>4</v>
      </c>
      <c r="G1" s="1" t="s">
        <v>5</v>
      </c>
    </row>
    <row r="2" spans="1:7">
      <c r="A2" s="3" t="s">
        <v>6</v>
      </c>
      <c r="B2" s="3" t="s">
        <v>7</v>
      </c>
      <c r="C2" s="4" t="str">
        <f>'[1]1. Vaccine delivery'!A2</f>
        <v>c_routine_delivery</v>
      </c>
      <c r="D2" s="4" t="str">
        <f>'[1]1. Vaccine delivery'!G2</f>
        <v>per dose</v>
      </c>
      <c r="E2" s="5"/>
      <c r="F2" s="3" t="s">
        <v>8</v>
      </c>
      <c r="G2" s="3"/>
    </row>
    <row r="3" spans="1:7">
      <c r="A3" s="3" t="s">
        <v>6</v>
      </c>
      <c r="B3" s="3" t="s">
        <v>27</v>
      </c>
      <c r="C3" s="4" t="str">
        <f>'[1]1. Vaccine delivery'!A3</f>
        <v>c_campaign_delivery</v>
      </c>
      <c r="D3" s="4" t="s">
        <v>28</v>
      </c>
      <c r="E3" s="5"/>
      <c r="F3" s="3" t="s">
        <v>8</v>
      </c>
      <c r="G3" s="3"/>
    </row>
    <row r="4" spans="1:7">
      <c r="A4" s="3" t="s">
        <v>9</v>
      </c>
      <c r="B4" s="3" t="s">
        <v>10</v>
      </c>
      <c r="C4" s="4" t="s">
        <v>11</v>
      </c>
      <c r="D4" s="4" t="s">
        <v>12</v>
      </c>
      <c r="E4" s="6">
        <f>(2*literature!D24+(literature!D16)+(literature!D14*0.5)+(0.5+literature!D20))-(literature!D55/2)</f>
        <v>24.818172667046021</v>
      </c>
      <c r="F4" s="3" t="s">
        <v>13</v>
      </c>
      <c r="G4" s="3" t="s">
        <v>380</v>
      </c>
    </row>
    <row r="5" spans="1:7">
      <c r="A5" s="3" t="s">
        <v>9</v>
      </c>
      <c r="B5" s="3" t="s">
        <v>14</v>
      </c>
      <c r="C5" s="4" t="s">
        <v>15</v>
      </c>
      <c r="D5" s="4" t="str">
        <f>'[1]3. TB treatment'!F2</f>
        <v>per patient month</v>
      </c>
      <c r="E5" s="6">
        <f>(('Yoko SR'!G5+'Yoko SR'!H5+6*literature!D24)/6)-SUM(literature!D69)</f>
        <v>15.054184598530668</v>
      </c>
      <c r="F5" s="3" t="s">
        <v>16</v>
      </c>
      <c r="G5" s="3" t="s">
        <v>378</v>
      </c>
    </row>
    <row r="6" spans="1:7">
      <c r="A6" s="3" t="s">
        <v>9</v>
      </c>
      <c r="B6" s="3" t="s">
        <v>17</v>
      </c>
      <c r="C6" s="4" t="s">
        <v>18</v>
      </c>
      <c r="D6" s="4" t="str">
        <f>'[1]3. TB treatment'!F3</f>
        <v>per patient month</v>
      </c>
      <c r="E6" s="6">
        <f>349.80391*PRODUCT('Yoko SR'!N6:N9)</f>
        <v>360.76230697418265</v>
      </c>
      <c r="F6" s="3" t="s">
        <v>19</v>
      </c>
      <c r="G6" s="3" t="s">
        <v>379</v>
      </c>
    </row>
    <row r="7" spans="1:7">
      <c r="A7" s="3" t="s">
        <v>9</v>
      </c>
      <c r="B7" s="3" t="s">
        <v>20</v>
      </c>
      <c r="C7" s="4" t="s">
        <v>21</v>
      </c>
      <c r="D7" s="4" t="str">
        <f>'[1]3. TB treatment'!F4</f>
        <v>per patient month</v>
      </c>
      <c r="E7" s="6"/>
      <c r="F7" s="3" t="s">
        <v>22</v>
      </c>
      <c r="G7" s="3"/>
    </row>
    <row r="8" spans="1:7">
      <c r="A8" s="3" t="s">
        <v>9</v>
      </c>
      <c r="B8" s="3" t="s">
        <v>23</v>
      </c>
      <c r="C8" s="4" t="s">
        <v>24</v>
      </c>
      <c r="D8" s="4" t="str">
        <f>'[1]3. TB treatment'!F5</f>
        <v>per patient month</v>
      </c>
      <c r="E8" s="6"/>
      <c r="F8" s="3" t="s">
        <v>25</v>
      </c>
      <c r="G8" s="3"/>
    </row>
    <row r="9" spans="1:7">
      <c r="G9" t="s">
        <v>26</v>
      </c>
    </row>
    <row r="10" spans="1:7">
      <c r="A10" s="3"/>
      <c r="B10" s="3" t="s">
        <v>381</v>
      </c>
      <c r="C10" s="3"/>
      <c r="D10" s="3"/>
      <c r="E10" s="107">
        <v>384000000</v>
      </c>
      <c r="F10" s="3"/>
      <c r="G10" s="3" t="s">
        <v>383</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literature</vt:lpstr>
      <vt:lpstr>four cities</vt:lpstr>
      <vt:lpstr>Yoko SR</vt:lpstr>
      <vt:lpstr>TB drug regimens</vt:lpstr>
      <vt:lpstr>Cost model</vt:lpstr>
      <vt:lpstr>exch_rate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Fiammetta</dc:creator>
  <cp:lastModifiedBy>Fiammetta</cp:lastModifiedBy>
  <dcterms:created xsi:type="dcterms:W3CDTF">2018-04-13T11:41:12Z</dcterms:created>
  <dcterms:modified xsi:type="dcterms:W3CDTF">2018-04-13T12:43:28Z</dcterms:modified>
</cp:coreProperties>
</file>