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Fiammetta\Filr\My Files\TransferFiles\Aeras vaccine modelling\India\"/>
    </mc:Choice>
  </mc:AlternateContent>
  <xr:revisionPtr revIDLastSave="0" documentId="13_ncr:1_{9C004B9B-9981-40F4-BFBC-73E8385B2076}" xr6:coauthVersionLast="31" xr6:coauthVersionMax="31" xr10:uidLastSave="{00000000-0000-0000-0000-000000000000}"/>
  <bookViews>
    <workbookView xWindow="0" yWindow="0" windowWidth="16320" windowHeight="5328" tabRatio="951" activeTab="2" xr2:uid="{37FF8B50-86BA-4709-97D8-9F11D530867B}"/>
  </bookViews>
  <sheets>
    <sheet name="Instructions" sheetId="1" r:id="rId1"/>
    <sheet name="Vaccine lit review" sheetId="13" r:id="rId2"/>
    <sheet name="Vaccine costs (routine)" sheetId="8" r:id="rId3"/>
    <sheet name="Diagnostics" sheetId="17" r:id="rId4"/>
    <sheet name="TB drug regimens" sheetId="12" r:id="rId5"/>
    <sheet name="DS Treatment" sheetId="15" r:id="rId6"/>
    <sheet name="MDR Treatment" sheetId="16" r:id="rId7"/>
    <sheet name="1. Vaccine delivery" sheetId="4" r:id="rId8"/>
    <sheet name="2. TB diagnosis" sheetId="5" r:id="rId9"/>
    <sheet name="3. TB treatment" sheetId="6" r:id="rId10"/>
    <sheet name="Cost model" sheetId="2" r:id="rId11"/>
  </sheets>
  <externalReferences>
    <externalReference r:id="rId12"/>
    <externalReference r:id="rId13"/>
  </externalReferences>
  <definedNames>
    <definedName name="adhere_support" localSheetId="3">#REF!</definedName>
    <definedName name="adhere_support" localSheetId="6">#REF!</definedName>
    <definedName name="adhere_support">#REF!</definedName>
    <definedName name="avg_infl">'DS Treatment'!$S$5</definedName>
    <definedName name="births">'Vaccine costs (routine)'!$H$3</definedName>
    <definedName name="buffer_stock">'Vaccine costs (routine)'!$C$7</definedName>
    <definedName name="data_mgmt" localSheetId="3">#REF!</definedName>
    <definedName name="data_mgmt" localSheetId="6">#REF!</definedName>
    <definedName name="data_mgmt">#REF!</definedName>
    <definedName name="days" localSheetId="3">#REF!</definedName>
    <definedName name="days" localSheetId="6">#REF!</definedName>
    <definedName name="days">#REF!</definedName>
    <definedName name="deflator">'DS Treatment'!$S$6</definedName>
    <definedName name="diagnoses_2015" localSheetId="3">#REF!</definedName>
    <definedName name="diagnoses_2015" localSheetId="6">#REF!</definedName>
    <definedName name="diagnoses_2015">#REF!</definedName>
    <definedName name="diagnoses_MDR_2015">#REF!</definedName>
    <definedName name="districts">'Vaccine lit review'!$B$26</definedName>
    <definedName name="exch_rate" localSheetId="3">'[1]Table for Susmita'!$B$1</definedName>
    <definedName name="exch_rate" localSheetId="5">'[1]Table for Susmita'!$B$1</definedName>
    <definedName name="exch_rate" localSheetId="6">'[1]Table for Susmita'!$B$1</definedName>
    <definedName name="exch_rate">'Vaccine costs (routine)'!$H$10</definedName>
    <definedName name="facility_ART_pop" localSheetId="3">#REF!</definedName>
    <definedName name="facility_ART_pop" localSheetId="6">#REF!</definedName>
    <definedName name="facility_ART_pop">#REF!</definedName>
    <definedName name="facility_MDR_pop" localSheetId="3">#REF!</definedName>
    <definedName name="facility_MDR_pop" localSheetId="6">#REF!</definedName>
    <definedName name="facility_MDR_pop">#REF!</definedName>
    <definedName name="hr_increment" localSheetId="3">#REF!</definedName>
    <definedName name="hr_increment" localSheetId="6">#REF!</definedName>
    <definedName name="hr_increment">#REF!</definedName>
    <definedName name="inh_rpt">#REF!</definedName>
    <definedName name="ipt">#REF!</definedName>
    <definedName name="life_exp_ART">#REF!</definedName>
    <definedName name="m_e">#REF!</definedName>
    <definedName name="m_health">#REF!</definedName>
    <definedName name="mdr_decentr_diag_mon">#REF!</definedName>
    <definedName name="mdr_decentr_drug_mgmt">#REF!</definedName>
    <definedName name="mins_per_day">'[2]HR Option A '!$L$29</definedName>
    <definedName name="mobile_unit" localSheetId="3">#REF!</definedName>
    <definedName name="mobile_unit" localSheetId="6">#REF!</definedName>
    <definedName name="mobile_unit">#REF!</definedName>
    <definedName name="months" localSheetId="3">#REF!</definedName>
    <definedName name="months" localSheetId="6">#REF!</definedName>
    <definedName name="months">#REF!</definedName>
    <definedName name="out_tracer" localSheetId="3">#REF!</definedName>
    <definedName name="out_tracer" localSheetId="6">#REF!</definedName>
    <definedName name="out_tracer">#REF!</definedName>
    <definedName name="PHC_share">'[2]Nurse training'!$G$47</definedName>
    <definedName name="pop_2015" localSheetId="3">#REF!</definedName>
    <definedName name="pop_2015" localSheetId="6">#REF!</definedName>
    <definedName name="pop_2015">#REF!</definedName>
    <definedName name="pop_screened_2015" localSheetId="3">#REF!</definedName>
    <definedName name="pop_screened_2015" localSheetId="6">#REF!</definedName>
    <definedName name="pop_screened_2015">#REF!</definedName>
    <definedName name="preg_women">'Vaccine costs (routine)'!$H$5</definedName>
    <definedName name="screen_detect_2015" localSheetId="3">#REF!</definedName>
    <definedName name="screen_detect_2015" localSheetId="6">#REF!</definedName>
    <definedName name="screen_detect_2015">#REF!</definedName>
    <definedName name="states">'Vaccine lit review'!$B$25</definedName>
    <definedName name="support_log" localSheetId="3">#REF!</definedName>
    <definedName name="support_log" localSheetId="6">#REF!</definedName>
    <definedName name="support_log">#REF!</definedName>
    <definedName name="surv_infants">'Vaccine costs (routine)'!$H$4</definedName>
    <definedName name="train_adhere_support" localSheetId="3">#REF!</definedName>
    <definedName name="train_adhere_support" localSheetId="6">#REF!</definedName>
    <definedName name="train_adhere_support">#REF!</definedName>
    <definedName name="train_counsel" localSheetId="3">#REF!</definedName>
    <definedName name="train_counsel" localSheetId="6">#REF!</definedName>
    <definedName name="train_counsel">#REF!</definedName>
    <definedName name="train_counsel_days" localSheetId="3">#REF!</definedName>
    <definedName name="train_counsel_days" localSheetId="6">#REF!</definedName>
    <definedName name="train_counsel_days">#REF!</definedName>
    <definedName name="train_counsel_year">#REF!</definedName>
    <definedName name="train_data_mgmt">#REF!</definedName>
    <definedName name="train_m_e">#REF!</definedName>
    <definedName name="train_m_health">#REF!</definedName>
    <definedName name="train_nurse">#REF!</definedName>
    <definedName name="train_nurse_days">#REF!</definedName>
    <definedName name="train_nurse_year">#REF!</definedName>
    <definedName name="tst">#REF!</definedName>
    <definedName name="VAT">#REF!</definedName>
    <definedName name="visits_diag_mon">#REF!</definedName>
    <definedName name="visits_drugs">#REF!</definedName>
    <definedName name="work_days">'[2]HR Option A '!$B$21</definedName>
  </definedNames>
  <calcPr calcId="179017"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6" l="1"/>
  <c r="F20" i="6"/>
  <c r="F18" i="6"/>
  <c r="F15" i="6"/>
  <c r="F12" i="6"/>
  <c r="F11" i="6"/>
  <c r="F10" i="6"/>
  <c r="C36" i="6"/>
  <c r="C17" i="6"/>
  <c r="C15" i="6"/>
  <c r="C14" i="6"/>
  <c r="C13" i="6"/>
  <c r="C10" i="6"/>
  <c r="T13" i="15"/>
  <c r="S13" i="15"/>
  <c r="R14" i="15"/>
  <c r="R13" i="15"/>
  <c r="Q14" i="15"/>
  <c r="Q13" i="15"/>
  <c r="P14" i="15"/>
  <c r="P13" i="15"/>
  <c r="Q6" i="15"/>
  <c r="Q7" i="15"/>
  <c r="Q8" i="15"/>
  <c r="Q9" i="15"/>
  <c r="Q5" i="15"/>
  <c r="S6" i="15"/>
  <c r="R5" i="15"/>
  <c r="R6" i="15"/>
  <c r="R7" i="15"/>
  <c r="R8" i="15"/>
  <c r="R9" i="15"/>
  <c r="K10" i="6"/>
  <c r="K11" i="6"/>
  <c r="K12" i="6"/>
  <c r="K13" i="6"/>
  <c r="K14" i="6"/>
  <c r="K15" i="6"/>
  <c r="K16" i="6"/>
  <c r="K17" i="6"/>
  <c r="K18" i="6"/>
  <c r="K19" i="6"/>
  <c r="K20" i="6"/>
  <c r="K21" i="6"/>
  <c r="K22" i="6"/>
  <c r="K23" i="6"/>
  <c r="K24" i="6"/>
  <c r="K25" i="6"/>
  <c r="K26" i="6"/>
  <c r="K27" i="6"/>
  <c r="K28" i="6"/>
  <c r="K29" i="6"/>
  <c r="K30" i="6"/>
  <c r="K31" i="6"/>
  <c r="E23" i="12"/>
  <c r="H23" i="12"/>
  <c r="I23" i="12"/>
  <c r="E24" i="12"/>
  <c r="H24" i="12"/>
  <c r="I24" i="12"/>
  <c r="E25" i="12"/>
  <c r="H25" i="12"/>
  <c r="I25" i="12"/>
  <c r="E26" i="12"/>
  <c r="H26" i="12"/>
  <c r="I26" i="12"/>
  <c r="E27" i="12"/>
  <c r="H27" i="12"/>
  <c r="I27" i="12"/>
  <c r="E28" i="12"/>
  <c r="H28" i="12"/>
  <c r="I28" i="12"/>
  <c r="E29" i="12"/>
  <c r="H29" i="12"/>
  <c r="I29" i="12"/>
  <c r="I32" i="6"/>
  <c r="K32" i="6"/>
  <c r="E31" i="12"/>
  <c r="H31" i="12"/>
  <c r="I31" i="12"/>
  <c r="E32" i="12"/>
  <c r="H32" i="12"/>
  <c r="I32" i="12"/>
  <c r="E33" i="12"/>
  <c r="H33" i="12"/>
  <c r="I33" i="12"/>
  <c r="E34" i="12"/>
  <c r="H34" i="12"/>
  <c r="I34" i="12"/>
  <c r="E35" i="12"/>
  <c r="H35" i="12"/>
  <c r="I35" i="12"/>
  <c r="E36" i="12"/>
  <c r="H36" i="12"/>
  <c r="I36" i="12"/>
  <c r="I33" i="6"/>
  <c r="K33" i="6"/>
  <c r="K34" i="6"/>
  <c r="K35" i="6"/>
  <c r="K36" i="6"/>
  <c r="K37" i="6"/>
  <c r="K38" i="6"/>
  <c r="H4" i="6"/>
  <c r="E16" i="12"/>
  <c r="H16" i="12"/>
  <c r="I16" i="12"/>
  <c r="E17" i="12"/>
  <c r="H17" i="12"/>
  <c r="I17" i="12"/>
  <c r="E18" i="12"/>
  <c r="H18" i="12"/>
  <c r="I18" i="12"/>
  <c r="E19" i="12"/>
  <c r="H19" i="12"/>
  <c r="I19" i="12"/>
  <c r="F31" i="6"/>
  <c r="L35" i="6"/>
  <c r="N35" i="6"/>
  <c r="G11" i="6"/>
  <c r="M11" i="6"/>
  <c r="G12" i="6"/>
  <c r="M12" i="6"/>
  <c r="G15" i="6"/>
  <c r="M15" i="6"/>
  <c r="G18" i="6"/>
  <c r="M18" i="6"/>
  <c r="G20" i="6"/>
  <c r="M20" i="6"/>
  <c r="M30" i="6"/>
  <c r="M31" i="6"/>
  <c r="M36" i="6"/>
  <c r="M10" i="6"/>
  <c r="S5" i="15"/>
  <c r="L11" i="6"/>
  <c r="L12" i="6"/>
  <c r="L13" i="6"/>
  <c r="L14" i="6"/>
  <c r="L15" i="6"/>
  <c r="L16" i="6"/>
  <c r="L17" i="6"/>
  <c r="L18" i="6"/>
  <c r="L19" i="6"/>
  <c r="L20" i="6"/>
  <c r="L21" i="6"/>
  <c r="L22" i="6"/>
  <c r="L23" i="6"/>
  <c r="L24" i="6"/>
  <c r="L25" i="6"/>
  <c r="L26" i="6"/>
  <c r="L27" i="6"/>
  <c r="L28" i="6"/>
  <c r="L29" i="6"/>
  <c r="L32" i="6"/>
  <c r="L33" i="6"/>
  <c r="L36" i="6"/>
  <c r="L37" i="6"/>
  <c r="L10" i="6"/>
  <c r="D6" i="2"/>
  <c r="D7" i="2"/>
  <c r="D8" i="2"/>
  <c r="D5" i="2"/>
  <c r="H18" i="6"/>
  <c r="H11" i="6"/>
  <c r="H10" i="6"/>
  <c r="H31" i="6"/>
  <c r="E10" i="12"/>
  <c r="H10" i="12"/>
  <c r="I10" i="12"/>
  <c r="E11" i="12"/>
  <c r="H11" i="12"/>
  <c r="I11" i="12"/>
  <c r="E12" i="12"/>
  <c r="H12" i="12"/>
  <c r="I12" i="12"/>
  <c r="E13" i="12"/>
  <c r="H13" i="12"/>
  <c r="I13" i="12"/>
  <c r="E14" i="12"/>
  <c r="H14" i="12"/>
  <c r="I14" i="12"/>
  <c r="F30" i="6"/>
  <c r="N11" i="6"/>
  <c r="N12" i="6"/>
  <c r="N13" i="6"/>
  <c r="N14" i="6"/>
  <c r="N15" i="6"/>
  <c r="N16" i="6"/>
  <c r="N17" i="6"/>
  <c r="N18" i="6"/>
  <c r="N19" i="6"/>
  <c r="N20" i="6"/>
  <c r="N21" i="6"/>
  <c r="N22" i="6"/>
  <c r="N23" i="6"/>
  <c r="N24" i="6"/>
  <c r="N25" i="6"/>
  <c r="N26" i="6"/>
  <c r="N27" i="6"/>
  <c r="N28" i="6"/>
  <c r="N29" i="6"/>
  <c r="N30" i="6"/>
  <c r="N31" i="6"/>
  <c r="N32" i="6"/>
  <c r="N33" i="6"/>
  <c r="N36" i="6"/>
  <c r="N37" i="6"/>
  <c r="N10" i="6"/>
  <c r="H13" i="6"/>
  <c r="H14" i="6"/>
  <c r="H15" i="6"/>
  <c r="H16" i="6"/>
  <c r="H17" i="6"/>
  <c r="H19" i="6"/>
  <c r="H20" i="6"/>
  <c r="H21" i="6"/>
  <c r="H22" i="6"/>
  <c r="H23" i="6"/>
  <c r="H24" i="6"/>
  <c r="H25" i="6"/>
  <c r="H26" i="6"/>
  <c r="H27" i="6"/>
  <c r="H28" i="6"/>
  <c r="H29" i="6"/>
  <c r="H30" i="6"/>
  <c r="H32" i="6"/>
  <c r="H33" i="6"/>
  <c r="H34" i="6"/>
  <c r="H35" i="6"/>
  <c r="H36" i="6"/>
  <c r="H37" i="6"/>
  <c r="E6" i="12"/>
  <c r="F6" i="12"/>
  <c r="H6" i="12"/>
  <c r="I6" i="12"/>
  <c r="C29" i="6"/>
  <c r="E5" i="12"/>
  <c r="F5" i="12"/>
  <c r="H5" i="12"/>
  <c r="I5" i="12"/>
  <c r="C28" i="6"/>
  <c r="E36" i="6"/>
  <c r="E11" i="6"/>
  <c r="E12" i="6"/>
  <c r="E16" i="6"/>
  <c r="E18" i="6"/>
  <c r="E19" i="6"/>
  <c r="E20" i="6"/>
  <c r="E21" i="6"/>
  <c r="E22" i="6"/>
  <c r="E23" i="6"/>
  <c r="E24" i="6"/>
  <c r="E25" i="6"/>
  <c r="E26" i="6"/>
  <c r="E27" i="6"/>
  <c r="E28" i="6"/>
  <c r="E29" i="6"/>
  <c r="E30" i="6"/>
  <c r="E31" i="6"/>
  <c r="E32" i="6"/>
  <c r="E33" i="6"/>
  <c r="E34" i="6"/>
  <c r="E35" i="6"/>
  <c r="E37" i="6"/>
  <c r="E10" i="6"/>
  <c r="D17" i="6"/>
  <c r="H7" i="15"/>
  <c r="E17" i="6"/>
  <c r="D15" i="6"/>
  <c r="D14" i="6"/>
  <c r="E14" i="6"/>
  <c r="D13" i="6"/>
  <c r="E13" i="6"/>
  <c r="F10" i="17"/>
  <c r="E10" i="17"/>
  <c r="C11" i="16"/>
  <c r="F9" i="16"/>
  <c r="F8" i="16"/>
  <c r="F7" i="16"/>
  <c r="F6" i="16"/>
  <c r="F10" i="16"/>
  <c r="C2" i="2"/>
  <c r="C3" i="2"/>
  <c r="D3" i="2"/>
  <c r="D2" i="2"/>
  <c r="E7" i="2"/>
  <c r="H12" i="6"/>
  <c r="H38" i="6"/>
  <c r="H3" i="6"/>
  <c r="E6" i="2"/>
  <c r="E15" i="6"/>
  <c r="S16" i="15"/>
  <c r="T16" i="15"/>
  <c r="F6" i="15"/>
  <c r="F7" i="15"/>
  <c r="F8" i="15"/>
  <c r="F9" i="15"/>
  <c r="F10" i="15"/>
  <c r="Q16" i="15"/>
  <c r="I7" i="12"/>
  <c r="P16" i="15"/>
  <c r="T14" i="15"/>
  <c r="S14" i="15"/>
  <c r="F12" i="15"/>
  <c r="F13" i="15"/>
  <c r="F14" i="15"/>
  <c r="F15" i="15"/>
  <c r="F16" i="15"/>
  <c r="F17" i="15"/>
  <c r="F18" i="15"/>
  <c r="H17" i="15"/>
  <c r="I17" i="15"/>
  <c r="H15" i="15"/>
  <c r="I15" i="15"/>
  <c r="H13" i="15"/>
  <c r="I13" i="15"/>
  <c r="H9" i="15"/>
  <c r="I9" i="15"/>
  <c r="I7" i="15"/>
  <c r="C19" i="13"/>
  <c r="F18" i="4"/>
  <c r="C17" i="13"/>
  <c r="F20" i="4"/>
  <c r="C16" i="13"/>
  <c r="H11" i="4"/>
  <c r="C18" i="13"/>
  <c r="F19" i="4"/>
  <c r="D17" i="8"/>
  <c r="F8" i="4"/>
  <c r="C22" i="13"/>
  <c r="F23" i="4"/>
  <c r="C20" i="13"/>
  <c r="F24" i="4"/>
  <c r="C13" i="13"/>
  <c r="F21" i="4"/>
  <c r="C15" i="13"/>
  <c r="F10" i="4"/>
  <c r="H10" i="4"/>
  <c r="C14" i="13"/>
  <c r="F9" i="4"/>
  <c r="C21" i="13"/>
  <c r="B22" i="4"/>
  <c r="D22" i="4"/>
  <c r="I8" i="13"/>
  <c r="F8" i="13"/>
  <c r="I51" i="8"/>
  <c r="D51" i="8"/>
  <c r="N51" i="8"/>
  <c r="O51" i="8"/>
  <c r="B10" i="4"/>
  <c r="D10" i="4"/>
  <c r="D12" i="4"/>
  <c r="H12" i="4"/>
  <c r="D13" i="4"/>
  <c r="H13" i="4"/>
  <c r="D14" i="4"/>
  <c r="H14" i="4"/>
  <c r="J8" i="13"/>
  <c r="B15" i="4"/>
  <c r="D15" i="4"/>
  <c r="G8" i="13"/>
  <c r="B9" i="4"/>
  <c r="D9" i="4"/>
  <c r="B8" i="4"/>
  <c r="D8" i="4"/>
  <c r="D11" i="4"/>
  <c r="D16" i="4"/>
  <c r="D17" i="4"/>
  <c r="D18" i="4"/>
  <c r="D19" i="4"/>
  <c r="D20" i="4"/>
  <c r="D21" i="4"/>
  <c r="D23" i="4"/>
  <c r="D24" i="4"/>
  <c r="E47" i="12"/>
  <c r="H47" i="12"/>
  <c r="I47" i="12"/>
  <c r="J47" i="12"/>
  <c r="E41" i="12"/>
  <c r="G41" i="12"/>
  <c r="H41" i="12"/>
  <c r="I41" i="12"/>
  <c r="J41" i="12"/>
  <c r="E42" i="12"/>
  <c r="H42" i="12"/>
  <c r="I42" i="12"/>
  <c r="J42" i="12"/>
  <c r="E43" i="12"/>
  <c r="H43" i="12"/>
  <c r="I43" i="12"/>
  <c r="J43" i="12"/>
  <c r="J32" i="12"/>
  <c r="J33" i="12"/>
  <c r="J34" i="12"/>
  <c r="J35" i="12"/>
  <c r="J36" i="12"/>
  <c r="J31" i="12"/>
  <c r="J24" i="12"/>
  <c r="J25" i="12"/>
  <c r="J26" i="12"/>
  <c r="J27" i="12"/>
  <c r="J28" i="12"/>
  <c r="J29" i="12"/>
  <c r="J23" i="12"/>
  <c r="I37" i="12"/>
  <c r="I20" i="12"/>
  <c r="J17" i="12"/>
  <c r="J18" i="12"/>
  <c r="J19" i="12"/>
  <c r="J16" i="12"/>
  <c r="J11" i="12"/>
  <c r="J12" i="12"/>
  <c r="J13" i="12"/>
  <c r="J14" i="12"/>
  <c r="J10" i="12"/>
  <c r="C40" i="12"/>
  <c r="E40" i="12"/>
  <c r="E44" i="12"/>
  <c r="H40" i="12"/>
  <c r="H44" i="12"/>
  <c r="E50" i="12"/>
  <c r="E49" i="12"/>
  <c r="E39" i="12"/>
  <c r="F22" i="4"/>
  <c r="I18" i="15"/>
  <c r="U14" i="15"/>
  <c r="I10" i="15"/>
  <c r="L18" i="15"/>
  <c r="J37" i="12"/>
  <c r="I40" i="12"/>
  <c r="J40" i="12"/>
  <c r="J20" i="12"/>
  <c r="I44" i="12"/>
  <c r="H39" i="12"/>
  <c r="I39" i="12"/>
  <c r="L34" i="6"/>
  <c r="N34" i="6"/>
  <c r="N38" i="6"/>
  <c r="H5" i="6"/>
  <c r="E8" i="2"/>
  <c r="J44" i="12"/>
  <c r="R16" i="15"/>
  <c r="U16" i="15"/>
  <c r="U13" i="15"/>
  <c r="L10" i="15"/>
  <c r="C51" i="8"/>
  <c r="G42" i="8"/>
  <c r="G43" i="8"/>
  <c r="G44" i="8"/>
  <c r="G45" i="8"/>
  <c r="I45" i="8"/>
  <c r="F45" i="8"/>
  <c r="H45" i="8"/>
  <c r="N45" i="8"/>
  <c r="G46" i="8"/>
  <c r="G47" i="8"/>
  <c r="G48" i="8"/>
  <c r="G49" i="8"/>
  <c r="I49" i="8"/>
  <c r="F49" i="8"/>
  <c r="H49" i="8"/>
  <c r="N49" i="8"/>
  <c r="G50" i="8"/>
  <c r="G41" i="8"/>
  <c r="F42" i="8"/>
  <c r="H42" i="8"/>
  <c r="F43" i="8"/>
  <c r="H43" i="8"/>
  <c r="F44" i="8"/>
  <c r="H44" i="8"/>
  <c r="O45" i="8"/>
  <c r="F46" i="8"/>
  <c r="H46" i="8"/>
  <c r="F47" i="8"/>
  <c r="H47" i="8"/>
  <c r="F48" i="8"/>
  <c r="H48" i="8"/>
  <c r="F50" i="8"/>
  <c r="H50" i="8"/>
  <c r="F41" i="8"/>
  <c r="H41" i="8"/>
  <c r="O49" i="8"/>
  <c r="K41" i="8"/>
  <c r="L41" i="8"/>
  <c r="K47" i="8"/>
  <c r="L47" i="8"/>
  <c r="J43" i="8"/>
  <c r="L43" i="8"/>
  <c r="K50" i="8"/>
  <c r="L50" i="8"/>
  <c r="K46" i="8"/>
  <c r="L46" i="8"/>
  <c r="K42" i="8"/>
  <c r="L42" i="8"/>
  <c r="J52" i="8"/>
  <c r="K49" i="8"/>
  <c r="L49" i="8"/>
  <c r="K45" i="8"/>
  <c r="L45" i="8"/>
  <c r="K48" i="8"/>
  <c r="L48" i="8"/>
  <c r="K44" i="8"/>
  <c r="L44" i="8"/>
  <c r="I48" i="8"/>
  <c r="N48" i="8"/>
  <c r="I44" i="8"/>
  <c r="N44" i="8"/>
  <c r="I41" i="8"/>
  <c r="N41" i="8"/>
  <c r="I47" i="8"/>
  <c r="N47" i="8"/>
  <c r="I43" i="8"/>
  <c r="M43" i="8"/>
  <c r="I50" i="8"/>
  <c r="N50" i="8"/>
  <c r="I46" i="8"/>
  <c r="N46" i="8"/>
  <c r="I42" i="8"/>
  <c r="N42" i="8"/>
  <c r="N52" i="8"/>
  <c r="O50" i="8"/>
  <c r="O44" i="8"/>
  <c r="O46" i="8"/>
  <c r="M52" i="8"/>
  <c r="O43" i="8"/>
  <c r="O48" i="8"/>
  <c r="O42" i="8"/>
  <c r="O47" i="8"/>
  <c r="P47" i="8"/>
  <c r="O41" i="8"/>
  <c r="L52" i="8"/>
  <c r="K52" i="8"/>
  <c r="P51" i="8"/>
  <c r="P49" i="8"/>
  <c r="P45" i="8"/>
  <c r="P41" i="8"/>
  <c r="O52" i="8"/>
  <c r="Q47" i="8"/>
  <c r="P43" i="8"/>
  <c r="P50" i="8"/>
  <c r="P46" i="8"/>
  <c r="P42" i="8"/>
  <c r="P48" i="8"/>
  <c r="Q50" i="8"/>
  <c r="Q42" i="8"/>
  <c r="Q43" i="8"/>
  <c r="P44" i="8"/>
  <c r="P52" i="8"/>
  <c r="Q45" i="8"/>
  <c r="Q51" i="8"/>
  <c r="Q49" i="8"/>
  <c r="Q44" i="8"/>
  <c r="Q46" i="8"/>
  <c r="Q41" i="8"/>
  <c r="Q48" i="8"/>
  <c r="Q52" i="8"/>
  <c r="E35" i="8"/>
  <c r="F35" i="8"/>
  <c r="C35" i="8"/>
  <c r="H3" i="8"/>
  <c r="H7" i="8"/>
  <c r="H4" i="8"/>
  <c r="F25" i="8"/>
  <c r="F26" i="8"/>
  <c r="F27" i="8"/>
  <c r="F28" i="8"/>
  <c r="F29" i="8"/>
  <c r="F30" i="8"/>
  <c r="F31" i="8"/>
  <c r="J31" i="8"/>
  <c r="F32" i="8"/>
  <c r="F33" i="8"/>
  <c r="F24" i="8"/>
  <c r="G25" i="8"/>
  <c r="G26" i="8"/>
  <c r="G27" i="8"/>
  <c r="G28" i="8"/>
  <c r="G29" i="8"/>
  <c r="G30" i="8"/>
  <c r="G31" i="8"/>
  <c r="G32" i="8"/>
  <c r="G33" i="8"/>
  <c r="G24" i="8"/>
  <c r="C15" i="8"/>
  <c r="C16" i="8"/>
  <c r="C17" i="8"/>
  <c r="C19" i="8"/>
  <c r="C20" i="8"/>
  <c r="C14" i="8"/>
  <c r="L31" i="8"/>
  <c r="M31" i="8"/>
  <c r="D35" i="8"/>
  <c r="B35" i="8"/>
  <c r="K31" i="8"/>
  <c r="N31" i="8"/>
  <c r="O31" i="8"/>
  <c r="I30" i="8"/>
  <c r="J30" i="8"/>
  <c r="K30" i="8"/>
  <c r="S30" i="8"/>
  <c r="I26" i="8"/>
  <c r="J26" i="8"/>
  <c r="K26" i="8"/>
  <c r="S26" i="8"/>
  <c r="I35" i="8"/>
  <c r="I29" i="8"/>
  <c r="L29" i="8"/>
  <c r="M29" i="8"/>
  <c r="I27" i="8"/>
  <c r="L27" i="8"/>
  <c r="M27" i="8"/>
  <c r="I32" i="8"/>
  <c r="L32" i="8"/>
  <c r="M32" i="8"/>
  <c r="I28" i="8"/>
  <c r="J28" i="8"/>
  <c r="N28" i="8"/>
  <c r="O28" i="8"/>
  <c r="I24" i="8"/>
  <c r="J24" i="8"/>
  <c r="K24" i="8"/>
  <c r="H5" i="8"/>
  <c r="I33" i="8"/>
  <c r="L33" i="8"/>
  <c r="P33" i="8"/>
  <c r="Q33" i="8"/>
  <c r="I25" i="8"/>
  <c r="J25" i="8"/>
  <c r="K25" i="8"/>
  <c r="L28" i="8"/>
  <c r="J35" i="8"/>
  <c r="P27" i="8"/>
  <c r="Q27" i="8"/>
  <c r="M33" i="8"/>
  <c r="R33" i="8"/>
  <c r="J33" i="8"/>
  <c r="K33" i="8"/>
  <c r="J27" i="8"/>
  <c r="K27" i="8"/>
  <c r="L35" i="8"/>
  <c r="P35" i="8"/>
  <c r="Q35" i="8"/>
  <c r="G7" i="4"/>
  <c r="G22" i="4"/>
  <c r="G8" i="4"/>
  <c r="H8" i="4"/>
  <c r="L25" i="8"/>
  <c r="P25" i="8"/>
  <c r="Q25" i="8"/>
  <c r="P32" i="8"/>
  <c r="Q32" i="8"/>
  <c r="P31" i="8"/>
  <c r="Q31" i="8"/>
  <c r="R31" i="8"/>
  <c r="S31" i="8"/>
  <c r="N24" i="8"/>
  <c r="O24" i="8"/>
  <c r="L24" i="8"/>
  <c r="M24" i="8"/>
  <c r="J29" i="8"/>
  <c r="K29" i="8"/>
  <c r="K28" i="8"/>
  <c r="J32" i="8"/>
  <c r="K32" i="8"/>
  <c r="M35" i="8"/>
  <c r="R35" i="8"/>
  <c r="R32" i="8"/>
  <c r="R27" i="8"/>
  <c r="M28" i="8"/>
  <c r="P28" i="8"/>
  <c r="Q28" i="8"/>
  <c r="S27" i="8"/>
  <c r="S33" i="8"/>
  <c r="M25" i="8"/>
  <c r="R25" i="8"/>
  <c r="S25" i="8"/>
  <c r="N29" i="8"/>
  <c r="O29" i="8"/>
  <c r="P24" i="8"/>
  <c r="Q24" i="8"/>
  <c r="R24" i="8"/>
  <c r="S24" i="8"/>
  <c r="S32" i="8"/>
  <c r="R28" i="8"/>
  <c r="S28" i="8"/>
  <c r="P29" i="8"/>
  <c r="Q29" i="8"/>
  <c r="R29" i="8"/>
  <c r="S29" i="8"/>
  <c r="S34" i="8"/>
  <c r="C4" i="8"/>
  <c r="H18" i="4"/>
  <c r="H9" i="4"/>
  <c r="E38" i="6"/>
  <c r="H2" i="6"/>
  <c r="E5" i="2"/>
  <c r="C8" i="5"/>
  <c r="C9" i="5"/>
  <c r="C10" i="5"/>
  <c r="C11" i="5"/>
  <c r="C7" i="5"/>
  <c r="H50" i="12"/>
  <c r="I50" i="12"/>
  <c r="H49" i="12"/>
  <c r="I49" i="12"/>
  <c r="J6" i="12"/>
  <c r="G14" i="5"/>
  <c r="E14" i="5"/>
  <c r="I2" i="5"/>
  <c r="H16" i="4"/>
  <c r="H15" i="4"/>
  <c r="H17" i="4"/>
  <c r="H19" i="4"/>
  <c r="H20" i="4"/>
  <c r="H21" i="4"/>
  <c r="H22" i="4"/>
  <c r="H23" i="4"/>
  <c r="H24" i="4"/>
  <c r="I45" i="12"/>
  <c r="J39" i="12"/>
  <c r="J45" i="12"/>
  <c r="H35" i="8"/>
  <c r="F7" i="4"/>
  <c r="H7" i="4"/>
  <c r="H25" i="4"/>
  <c r="J5" i="12"/>
  <c r="J7" i="12"/>
  <c r="I3" i="4"/>
  <c r="E3" i="2"/>
  <c r="H26" i="4"/>
  <c r="G35" i="8"/>
  <c r="B7" i="4"/>
  <c r="D7" i="4"/>
  <c r="D25" i="4"/>
  <c r="K35" i="8"/>
  <c r="S35" i="8"/>
  <c r="S36" i="8"/>
  <c r="I2" i="4"/>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Fiammetta</author>
  </authors>
  <commentList>
    <comment ref="J8" authorId="0" shapeId="0" xr:uid="{E69E7F61-FC87-48AE-AB7A-8EFC7BE1378B}">
      <text>
        <r>
          <rPr>
            <b/>
            <sz val="9"/>
            <color indexed="81"/>
            <rFont val="Tahoma"/>
            <family val="2"/>
          </rPr>
          <t>Fiammetta:</t>
        </r>
        <r>
          <rPr>
            <sz val="9"/>
            <color indexed="81"/>
            <rFont val="Tahoma"/>
            <family val="2"/>
          </rPr>
          <t xml:space="preserve">
Per FIC = per dose if we assume TB vaccine is single dose. Makes sense compared to Prinja 2017 unit cost which includes visit + vaccine cost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Fiammetta</author>
    <author>kones</author>
  </authors>
  <commentList>
    <comment ref="A7" authorId="0" shapeId="0" xr:uid="{47D84706-DD89-4C6E-8C43-019A3EB0960F}">
      <text>
        <r>
          <rPr>
            <b/>
            <sz val="9"/>
            <color indexed="81"/>
            <rFont val="Tahoma"/>
            <family val="2"/>
          </rPr>
          <t>Fiammetta:</t>
        </r>
        <r>
          <rPr>
            <sz val="9"/>
            <color indexed="81"/>
            <rFont val="Tahoma"/>
            <family val="2"/>
          </rPr>
          <t xml:space="preserve">
First year of intro only</t>
        </r>
      </text>
    </comment>
    <comment ref="A22" authorId="0" shapeId="0" xr:uid="{2CD4E971-C03E-4B43-8701-19CC24210799}">
      <text>
        <r>
          <rPr>
            <b/>
            <sz val="9"/>
            <color indexed="81"/>
            <rFont val="Tahoma"/>
            <family val="2"/>
          </rPr>
          <t>Fiammetta:</t>
        </r>
        <r>
          <rPr>
            <sz val="9"/>
            <color indexed="81"/>
            <rFont val="Tahoma"/>
            <family val="2"/>
          </rPr>
          <t xml:space="preserve">
Routine vaccination assumptions for current schedule from 2013-2017 cMYP unless otherwise specified</t>
        </r>
      </text>
    </comment>
    <comment ref="C23" authorId="0" shapeId="0" xr:uid="{5F439905-0061-40F9-8743-386B1328900B}">
      <text>
        <r>
          <rPr>
            <b/>
            <sz val="9"/>
            <color indexed="81"/>
            <rFont val="Tahoma"/>
            <family val="2"/>
          </rPr>
          <t>Fiammetta:</t>
        </r>
        <r>
          <rPr>
            <sz val="9"/>
            <color indexed="81"/>
            <rFont val="Tahoma"/>
            <family val="2"/>
          </rPr>
          <t xml:space="preserve">
WHO/UNICEF joint reporting form (look out for update in mid-July 2018)
http://apps.who.int/immunization_monitoring/globalsummary/estimates?c=IND</t>
        </r>
      </text>
    </comment>
    <comment ref="H23" authorId="0" shapeId="0" xr:uid="{4C6A87C6-0DF9-44D3-A914-D57B0870B9AE}">
      <text>
        <r>
          <rPr>
            <b/>
            <sz val="9"/>
            <color indexed="81"/>
            <rFont val="Tahoma"/>
            <family val="2"/>
          </rPr>
          <t>Fiammetta:</t>
        </r>
        <r>
          <rPr>
            <sz val="9"/>
            <color indexed="81"/>
            <rFont val="Tahoma"/>
            <family val="2"/>
          </rPr>
          <t xml:space="preserve">
Cost + freight charge</t>
        </r>
      </text>
    </comment>
    <comment ref="C27" authorId="0" shapeId="0" xr:uid="{762FE729-954F-45AA-A120-6F932BA602B8}">
      <text>
        <r>
          <rPr>
            <b/>
            <sz val="9"/>
            <color indexed="81"/>
            <rFont val="Tahoma"/>
            <family val="2"/>
          </rPr>
          <t>Fiammetta:</t>
        </r>
        <r>
          <rPr>
            <sz val="9"/>
            <color indexed="81"/>
            <rFont val="Tahoma"/>
            <family val="2"/>
          </rPr>
          <t xml:space="preserve">
This is actually for DTP3</t>
        </r>
      </text>
    </comment>
    <comment ref="I35" authorId="0" shapeId="0" xr:uid="{CE3CEB31-ED6D-4F0A-9C82-E93B3F13610A}">
      <text>
        <r>
          <rPr>
            <b/>
            <sz val="9"/>
            <color indexed="81"/>
            <rFont val="Tahoma"/>
            <family val="2"/>
          </rPr>
          <t>Fiammetta:</t>
        </r>
        <r>
          <rPr>
            <sz val="9"/>
            <color indexed="81"/>
            <rFont val="Tahoma"/>
            <family val="2"/>
          </rPr>
          <t xml:space="preserve">
Placeholder, this has to come from the model</t>
        </r>
      </text>
    </comment>
    <comment ref="R36" authorId="0" shapeId="0" xr:uid="{B4359C66-EFF1-4B01-B3F5-532965E9ADBF}">
      <text>
        <r>
          <rPr>
            <b/>
            <sz val="9"/>
            <color indexed="81"/>
            <rFont val="Tahoma"/>
            <family val="2"/>
          </rPr>
          <t>Fiammetta:</t>
        </r>
        <r>
          <rPr>
            <sz val="9"/>
            <color indexed="81"/>
            <rFont val="Tahoma"/>
            <family val="2"/>
          </rPr>
          <t xml:space="preserve">
Incl buffer stock</t>
        </r>
      </text>
    </comment>
    <comment ref="D40" authorId="0" shapeId="0" xr:uid="{CAF17444-FE60-4FB1-94FD-6D5EAA8A418C}">
      <text>
        <r>
          <rPr>
            <b/>
            <sz val="9"/>
            <color indexed="81"/>
            <rFont val="Tahoma"/>
            <family val="2"/>
          </rPr>
          <t>Fiammetta:</t>
        </r>
        <r>
          <rPr>
            <sz val="9"/>
            <color indexed="81"/>
            <rFont val="Tahoma"/>
            <family val="2"/>
          </rPr>
          <t xml:space="preserve">
From WHO vaccine volume calculator 2012</t>
        </r>
      </text>
    </comment>
    <comment ref="J40" authorId="1" shapeId="0" xr:uid="{8B1A2E1D-6A5D-41BE-8AB1-7FAC0C718E03}">
      <text>
        <r>
          <rPr>
            <b/>
            <sz val="8"/>
            <color indexed="81"/>
            <rFont val="Tahoma"/>
            <family val="2"/>
          </rPr>
          <t>Storage @-20°C:</t>
        </r>
        <r>
          <rPr>
            <sz val="8"/>
            <color indexed="81"/>
            <rFont val="Tahoma"/>
            <family val="2"/>
          </rPr>
          <t xml:space="preserve">
Here can be stored only OPV and freeze-dried vaccines that are not packed with diluents.</t>
        </r>
      </text>
    </comment>
    <comment ref="M40" authorId="1" shapeId="0" xr:uid="{85F4AC03-942D-4EC6-99BF-55A46E1BEC40}">
      <text>
        <r>
          <rPr>
            <b/>
            <sz val="8"/>
            <color indexed="81"/>
            <rFont val="Tahoma"/>
            <family val="2"/>
          </rPr>
          <t>Storage @-20°C:</t>
        </r>
        <r>
          <rPr>
            <sz val="8"/>
            <color indexed="81"/>
            <rFont val="Tahoma"/>
            <family val="2"/>
          </rPr>
          <t xml:space="preserve">
Here can be stored only OPV and freeze-dried vaccines that are not packed with diluents.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 authorId="0" shapeId="0" xr:uid="{AE17AB29-6A0B-403C-AEFE-AEC886A9D180}">
      <text>
        <r>
          <rPr>
            <b/>
            <sz val="9"/>
            <color indexed="81"/>
            <rFont val="Tahoma"/>
            <family val="2"/>
          </rPr>
          <t>Windows User:</t>
        </r>
        <r>
          <rPr>
            <sz val="9"/>
            <color indexed="81"/>
            <rFont val="Tahoma"/>
            <family val="2"/>
          </rPr>
          <t xml:space="preserve">
Changing the number of specimen for this observation to 25, changes the unit cost to 1.85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Fiammetta</author>
  </authors>
  <commentList>
    <comment ref="E3" authorId="0" shapeId="0" xr:uid="{EBD7FF14-3DBF-4D37-A504-7461512A9DF9}">
      <text>
        <r>
          <rPr>
            <b/>
            <sz val="9"/>
            <color indexed="81"/>
            <rFont val="Tahoma"/>
            <family val="2"/>
          </rPr>
          <t>Fiammetta:</t>
        </r>
        <r>
          <rPr>
            <sz val="9"/>
            <color indexed="81"/>
            <rFont val="Tahoma"/>
            <family val="2"/>
          </rPr>
          <t xml:space="preserve">
*days in a week * weeks in a month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Fiammetta</author>
  </authors>
  <commentList>
    <comment ref="O16" authorId="0" shapeId="0" xr:uid="{B2640A80-85A5-487E-B338-AAC2104E55AD}">
      <text>
        <r>
          <rPr>
            <b/>
            <sz val="9"/>
            <color indexed="81"/>
            <rFont val="Tahoma"/>
            <family val="2"/>
          </rPr>
          <t>Fiammetta:</t>
        </r>
        <r>
          <rPr>
            <sz val="9"/>
            <color indexed="81"/>
            <rFont val="Tahoma"/>
            <family val="2"/>
          </rPr>
          <t xml:space="preserve">
StopTB catalogue drug prices, no strepto (visits and tests as for cat I)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Fiammetta</author>
  </authors>
  <commentList>
    <comment ref="G7" authorId="0" shapeId="0" xr:uid="{FD3A0DB4-7054-486D-BFB1-5287250F12CB}">
      <text>
        <r>
          <rPr>
            <b/>
            <sz val="9"/>
            <color indexed="81"/>
            <rFont val="Tahoma"/>
            <family val="2"/>
          </rPr>
          <t>Fiammetta:</t>
        </r>
        <r>
          <rPr>
            <sz val="9"/>
            <color indexed="81"/>
            <rFont val="Tahoma"/>
            <family val="2"/>
          </rPr>
          <t xml:space="preserve">
Number of doses for campaign has to be estimated based on vaccine characteristics</t>
        </r>
      </text>
    </comment>
  </commentList>
</comments>
</file>

<file path=xl/sharedStrings.xml><?xml version="1.0" encoding="utf-8"?>
<sst xmlns="http://schemas.openxmlformats.org/spreadsheetml/2006/main" count="662" uniqueCount="476">
  <si>
    <t>Delivery models</t>
  </si>
  <si>
    <t>U5 routine immunisation</t>
  </si>
  <si>
    <t>school-based</t>
  </si>
  <si>
    <t>mass campaign</t>
  </si>
  <si>
    <t>Cost categories</t>
  </si>
  <si>
    <t>Levels</t>
  </si>
  <si>
    <t>National</t>
  </si>
  <si>
    <t>Regional</t>
  </si>
  <si>
    <t>Facility</t>
  </si>
  <si>
    <t>Fixed</t>
  </si>
  <si>
    <t>Variable</t>
  </si>
  <si>
    <t>Other</t>
  </si>
  <si>
    <t>Types of cost</t>
  </si>
  <si>
    <t>vaccines and immunisation supplies</t>
  </si>
  <si>
    <t>vaccine delivery</t>
  </si>
  <si>
    <t>TB service costs (diagnosis, FLT, MDR treatment)</t>
  </si>
  <si>
    <t>Intervention</t>
  </si>
  <si>
    <t>Intervention or service</t>
  </si>
  <si>
    <t>Unit cost</t>
  </si>
  <si>
    <t>Unit</t>
  </si>
  <si>
    <t>Value</t>
  </si>
  <si>
    <t>Description</t>
  </si>
  <si>
    <t>Attached to</t>
  </si>
  <si>
    <t>per dose</t>
  </si>
  <si>
    <t>_v</t>
  </si>
  <si>
    <t>number vaccinated</t>
  </si>
  <si>
    <t>Comments</t>
  </si>
  <si>
    <t>Unit cost of output (2016 US$)</t>
  </si>
  <si>
    <t>3HP</t>
  </si>
  <si>
    <t xml:space="preserve">cold storage, national </t>
  </si>
  <si>
    <t>cold storage, regional</t>
  </si>
  <si>
    <t>cold storage, facility</t>
  </si>
  <si>
    <t>cold boxes</t>
  </si>
  <si>
    <t>vaccination visit, nurse</t>
  </si>
  <si>
    <t>vaccination visit, LHW</t>
  </si>
  <si>
    <t>vaccination visit, other cost</t>
  </si>
  <si>
    <t>training, national level (TOT)</t>
  </si>
  <si>
    <t>training, regional level</t>
  </si>
  <si>
    <t>print materials</t>
  </si>
  <si>
    <t>community orientation</t>
  </si>
  <si>
    <t>Unit price (US$)</t>
  </si>
  <si>
    <t>N</t>
  </si>
  <si>
    <t>Total cost (US$)</t>
  </si>
  <si>
    <t>Routine immunisation</t>
  </si>
  <si>
    <t>Fix/var</t>
  </si>
  <si>
    <t>Unit cost, per item</t>
  </si>
  <si>
    <t>Exhange rate</t>
  </si>
  <si>
    <t>Cold storage</t>
  </si>
  <si>
    <t>c_routine_delivery</t>
  </si>
  <si>
    <t>Assumptions</t>
  </si>
  <si>
    <t>Cost of vaccine delivery through routine system (facility visit)</t>
  </si>
  <si>
    <t>Cost of school-based vaccine delivery (incremental to HPV vaccine)</t>
  </si>
  <si>
    <t>Service</t>
  </si>
  <si>
    <t>c_diagnosis</t>
  </si>
  <si>
    <t>per person diagnosed</t>
  </si>
  <si>
    <t>First line diagnosis</t>
  </si>
  <si>
    <t>Xpert neg follow-up</t>
  </si>
  <si>
    <t>Unit cost, per person tested</t>
  </si>
  <si>
    <t>Xpert MTB/Rif, per test</t>
  </si>
  <si>
    <t>Smear microscopy, per test</t>
  </si>
  <si>
    <t>Culture (MGIT), per test</t>
  </si>
  <si>
    <t>Line probe assay (DST), per test</t>
  </si>
  <si>
    <t>Chest X-rays, per test</t>
  </si>
  <si>
    <t>Tablets/inj. vials per day</t>
  </si>
  <si>
    <t>Treatment months</t>
  </si>
  <si>
    <t>Tot. pills/injs. In regimen</t>
  </si>
  <si>
    <t>No. pills/vials in box</t>
  </si>
  <si>
    <t>Price per box (US$)</t>
  </si>
  <si>
    <t>Price per pill (US$)</t>
  </si>
  <si>
    <t>Notes</t>
  </si>
  <si>
    <t>Sources</t>
  </si>
  <si>
    <t>First line treatment</t>
  </si>
  <si>
    <t>RHZE (150, 75, 400, 275), intensive phase</t>
  </si>
  <si>
    <t>new patient (55-70 kg)</t>
  </si>
  <si>
    <t>RH (150, 75), continuation phase</t>
  </si>
  <si>
    <t>MDR-TB standart treatment</t>
  </si>
  <si>
    <t>Intensive phase</t>
  </si>
  <si>
    <t>(51-70 kg)</t>
  </si>
  <si>
    <t>Prothionamide 250 mg</t>
  </si>
  <si>
    <t>Cycloserine 250 mg</t>
  </si>
  <si>
    <t>Levofloxacin 500 mg</t>
  </si>
  <si>
    <t>Capreomycin 1g</t>
  </si>
  <si>
    <t>Pyrazinamide 500 mg</t>
  </si>
  <si>
    <t>Continuation phase</t>
  </si>
  <si>
    <t xml:space="preserve">short course MDR-TB </t>
  </si>
  <si>
    <t>Kanamycin 1 g</t>
  </si>
  <si>
    <t>Moxifloxacin 400 mg</t>
  </si>
  <si>
    <t>Isoniazid 300 mg</t>
  </si>
  <si>
    <t>Clofazimine 100 mg</t>
  </si>
  <si>
    <t>Ethambutol 400 mg</t>
  </si>
  <si>
    <t xml:space="preserve">Modified pre-XDR treatment </t>
  </si>
  <si>
    <t>IPT</t>
  </si>
  <si>
    <t>Rifapentine 150 mg</t>
  </si>
  <si>
    <t>Medicines costs intensive phase first line</t>
  </si>
  <si>
    <t>Medicines cost continuation phase first line</t>
  </si>
  <si>
    <t>Medicines costs intensive phase standard</t>
  </si>
  <si>
    <t>Medicines cost continuation phase standard</t>
  </si>
  <si>
    <t>Medicines costs intensive phase short</t>
  </si>
  <si>
    <t>Medicines cost continuation phase short</t>
  </si>
  <si>
    <t>c_FLT</t>
  </si>
  <si>
    <t>c_MDR_reg</t>
  </si>
  <si>
    <t>c_MDR_short</t>
  </si>
  <si>
    <t>c_BDQ_reg</t>
  </si>
  <si>
    <t>FLT</t>
  </si>
  <si>
    <t>MDR-TB treatment (standard)</t>
  </si>
  <si>
    <t>DR- visits, intensive phase</t>
  </si>
  <si>
    <t>DR- visits, continuation phase</t>
  </si>
  <si>
    <t>DOTS visits, intensive phase</t>
  </si>
  <si>
    <t>DOTS visits, continuation phase</t>
  </si>
  <si>
    <t>Visits for diagnosis and monitoring</t>
  </si>
  <si>
    <t>Xpert MTB/RIF</t>
  </si>
  <si>
    <t xml:space="preserve">Smear microscopy </t>
  </si>
  <si>
    <t xml:space="preserve">Sputum liquid culture </t>
  </si>
  <si>
    <t>Line probe assays</t>
  </si>
  <si>
    <t>Second line drug susceptibility test</t>
  </si>
  <si>
    <t>X-rays</t>
  </si>
  <si>
    <t>Kidney test</t>
  </si>
  <si>
    <t>Liver test</t>
  </si>
  <si>
    <t>TSH</t>
  </si>
  <si>
    <t>Audiogram</t>
  </si>
  <si>
    <t>HIV rapid tests screening</t>
  </si>
  <si>
    <t>CD4 count + viral load</t>
  </si>
  <si>
    <t>Unit cost, per course</t>
  </si>
  <si>
    <t>per patient month</t>
  </si>
  <si>
    <t>MDR-TB treatment (Bedaquiline)</t>
  </si>
  <si>
    <t>injection supplies</t>
  </si>
  <si>
    <t>vaccines</t>
  </si>
  <si>
    <t>TB VACCINE CANDIDATES COST CALCULATIONS</t>
  </si>
  <si>
    <t>TB TREATMENT COST CALCULATIONS</t>
  </si>
  <si>
    <t>High</t>
  </si>
  <si>
    <t>Med</t>
  </si>
  <si>
    <t>Low</t>
  </si>
  <si>
    <t>Vaccine candidate scenarios</t>
  </si>
  <si>
    <t>Vaccine dosage, per fully immunised person</t>
  </si>
  <si>
    <t>Wastage factor</t>
  </si>
  <si>
    <t>Vaccine price per dose, US$</t>
  </si>
  <si>
    <t>Wastage (%)</t>
  </si>
  <si>
    <t>Vial size</t>
  </si>
  <si>
    <t>Safety boxes capacity</t>
  </si>
  <si>
    <t>Vaccine</t>
  </si>
  <si>
    <t>Type</t>
  </si>
  <si>
    <t>Diluent</t>
  </si>
  <si>
    <t>VOLUME CALCULATION</t>
  </si>
  <si>
    <t>Doses per patient in curr schedule</t>
  </si>
  <si>
    <t>Wastage in curr schedule (%)</t>
  </si>
  <si>
    <t>Doses per patient in new schedule</t>
  </si>
  <si>
    <t>Wastage in new schedule (%)</t>
  </si>
  <si>
    <t>Primary and intermediate storage</t>
  </si>
  <si>
    <t>Service delivery level</t>
  </si>
  <si>
    <t>Net storage per fully immunised patient under curr schedule</t>
  </si>
  <si>
    <t>-25° to -15°C</t>
  </si>
  <si>
    <t>+2° to +8°C</t>
  </si>
  <si>
    <t>Net storage per fully immunised patient under new schedule</t>
  </si>
  <si>
    <t xml:space="preserve">-25° to -15°C </t>
  </si>
  <si>
    <t xml:space="preserve">+2° to +8°C </t>
  </si>
  <si>
    <r>
      <t>Packed volume per dose (cm</t>
    </r>
    <r>
      <rPr>
        <b/>
        <vertAlign val="superscript"/>
        <sz val="11"/>
        <color theme="1"/>
        <rFont val="Calibri"/>
        <family val="2"/>
        <scheme val="minor"/>
      </rPr>
      <t>3</t>
    </r>
    <r>
      <rPr>
        <b/>
        <sz val="11"/>
        <color theme="1"/>
        <rFont val="Calibri"/>
        <family val="2"/>
        <scheme val="minor"/>
      </rPr>
      <t>)</t>
    </r>
  </si>
  <si>
    <t>% nat and prov storage space in new schedule</t>
  </si>
  <si>
    <t>% serv delivery storage space in new schedule</t>
  </si>
  <si>
    <t>BCG</t>
  </si>
  <si>
    <t>TT</t>
  </si>
  <si>
    <t>Reconst</t>
  </si>
  <si>
    <t>Liquid</t>
  </si>
  <si>
    <t>Cost of TB diagnosis</t>
  </si>
  <si>
    <t>Cost of person month on first line TB treatment</t>
  </si>
  <si>
    <t>Cost of person month on standard MDR-TB treatment</t>
  </si>
  <si>
    <t>Cost of person month on modified MDR-TB treatment with Bedaquiline</t>
  </si>
  <si>
    <t>Cost of person month on short course MDR-TB treatment</t>
  </si>
  <si>
    <t>number diagnosed</t>
  </si>
  <si>
    <t>number on MDR treatment</t>
  </si>
  <si>
    <t>Total cost (INR)</t>
  </si>
  <si>
    <t>Cost per course</t>
  </si>
  <si>
    <t>https://www.oanda.com/currency/average</t>
  </si>
  <si>
    <t>Feb 2017-18 avg</t>
  </si>
  <si>
    <t xml:space="preserve">Other </t>
  </si>
  <si>
    <t>India</t>
  </si>
  <si>
    <t>Transport</t>
  </si>
  <si>
    <t>Visit</t>
  </si>
  <si>
    <t>Delivery mode</t>
  </si>
  <si>
    <t>First author (year)</t>
  </si>
  <si>
    <t>Clark (2013)</t>
  </si>
  <si>
    <t>Hib</t>
  </si>
  <si>
    <t>Antigens</t>
  </si>
  <si>
    <t>N/A</t>
  </si>
  <si>
    <t>1.75 - 1.82</t>
  </si>
  <si>
    <t>Areea</t>
  </si>
  <si>
    <t>Prinja (2017)</t>
  </si>
  <si>
    <t>Punjab</t>
  </si>
  <si>
    <t>HPV</t>
  </si>
  <si>
    <t>per FIC</t>
  </si>
  <si>
    <t xml:space="preserve">Incremental costs </t>
  </si>
  <si>
    <t>Currency</t>
  </si>
  <si>
    <t>USD</t>
  </si>
  <si>
    <t>INR</t>
  </si>
  <si>
    <t>Prinja (2016)</t>
  </si>
  <si>
    <t>Haryana, Himachal Pradesh, Punjab</t>
  </si>
  <si>
    <t>All</t>
  </si>
  <si>
    <t>82 - 116</t>
  </si>
  <si>
    <t>PHC: 41.8 - 145.2 CHC: 53.6 - 196.8</t>
  </si>
  <si>
    <r>
      <rPr>
        <b/>
        <sz val="9"/>
        <color theme="1"/>
        <rFont val="Calibri"/>
        <family val="2"/>
        <scheme val="minor"/>
      </rPr>
      <t>Cost per visit:</t>
    </r>
    <r>
      <rPr>
        <sz val="9"/>
        <color theme="1"/>
        <rFont val="Calibri"/>
        <family val="2"/>
        <scheme val="minor"/>
      </rPr>
      <t xml:space="preserve"> bottom-up costing at 14 sites in 3 states (PHC and CHC avg, respsctively)</t>
    </r>
  </si>
  <si>
    <t>From Prinja (2016)</t>
  </si>
  <si>
    <r>
      <t xml:space="preserve">Vaccine costs only - no cold chain expansion required as Hib added to quadrivalent (no additional space requirement). </t>
    </r>
    <r>
      <rPr>
        <b/>
        <sz val="9"/>
        <color theme="1"/>
        <rFont val="Calibri"/>
        <family val="2"/>
        <scheme val="minor"/>
      </rPr>
      <t>Price per dose:</t>
    </r>
    <r>
      <rPr>
        <sz val="9"/>
        <color theme="1"/>
        <rFont val="Calibri"/>
        <family val="2"/>
        <scheme val="minor"/>
      </rPr>
      <t xml:space="preserve"> UNICEF procurement list</t>
    </r>
  </si>
  <si>
    <r>
      <rPr>
        <b/>
        <sz val="9"/>
        <color theme="1"/>
        <rFont val="Calibri"/>
        <family val="2"/>
        <scheme val="minor"/>
      </rPr>
      <t>Cost per visit:</t>
    </r>
    <r>
      <rPr>
        <sz val="9"/>
        <color theme="1"/>
        <rFont val="Calibri"/>
        <family val="2"/>
        <scheme val="minor"/>
      </rPr>
      <t xml:space="preserve"> Prinja 2016. </t>
    </r>
    <r>
      <rPr>
        <b/>
        <sz val="9"/>
        <color theme="1"/>
        <rFont val="Calibri"/>
        <family val="2"/>
        <scheme val="minor"/>
      </rPr>
      <t>Price per dose:</t>
    </r>
    <r>
      <rPr>
        <sz val="9"/>
        <color theme="1"/>
        <rFont val="Calibri"/>
        <family val="2"/>
        <scheme val="minor"/>
      </rPr>
      <t xml:space="preserve"> GAVI </t>
    </r>
  </si>
  <si>
    <t>Khan (2017)</t>
  </si>
  <si>
    <t>OPV / IPV</t>
  </si>
  <si>
    <r>
      <t>20 per m</t>
    </r>
    <r>
      <rPr>
        <vertAlign val="superscript"/>
        <sz val="9"/>
        <color theme="1"/>
        <rFont val="Calibri"/>
        <family val="2"/>
        <scheme val="minor"/>
      </rPr>
      <t>3</t>
    </r>
  </si>
  <si>
    <t>2 - 4 per 1000 doses</t>
  </si>
  <si>
    <t>OPV: 0.154 IPV:0.225</t>
  </si>
  <si>
    <t>Social mobilisation: 20 per 1000 doses. Waste disposal: 0.01 per dose</t>
  </si>
  <si>
    <r>
      <rPr>
        <b/>
        <sz val="9"/>
        <color theme="1"/>
        <rFont val="Calibri"/>
        <family val="2"/>
        <scheme val="minor"/>
      </rPr>
      <t xml:space="preserve">Transport cost: </t>
    </r>
    <r>
      <rPr>
        <sz val="9"/>
        <color theme="1"/>
        <rFont val="Calibri"/>
        <family val="2"/>
        <scheme val="minor"/>
      </rPr>
      <t xml:space="preserve">based on PATH report (2010). OPV and IPV, respectively.  </t>
    </r>
    <r>
      <rPr>
        <b/>
        <sz val="9"/>
        <color theme="1"/>
        <rFont val="Calibri"/>
        <family val="2"/>
        <scheme val="minor"/>
      </rPr>
      <t>Waste dispolsal:</t>
    </r>
    <r>
      <rPr>
        <sz val="9"/>
        <color theme="1"/>
        <rFont val="Calibri"/>
        <family val="2"/>
        <scheme val="minor"/>
      </rPr>
      <t xml:space="preserve"> PATH report (2010). </t>
    </r>
    <r>
      <rPr>
        <b/>
        <sz val="9"/>
        <color theme="1"/>
        <rFont val="Calibri"/>
        <family val="2"/>
        <scheme val="minor"/>
      </rPr>
      <t>Cold storage cost</t>
    </r>
    <r>
      <rPr>
        <sz val="9"/>
        <color theme="1"/>
        <rFont val="Calibri"/>
        <family val="2"/>
        <scheme val="minor"/>
      </rPr>
      <t>: Assumption.</t>
    </r>
    <r>
      <rPr>
        <b/>
        <sz val="9"/>
        <color theme="1"/>
        <rFont val="Calibri"/>
        <family val="2"/>
        <scheme val="minor"/>
      </rPr>
      <t xml:space="preserve"> Social mobilisation costs: </t>
    </r>
    <r>
      <rPr>
        <sz val="9"/>
        <color theme="1"/>
        <rFont val="Calibri"/>
        <family val="2"/>
        <scheme val="minor"/>
      </rPr>
      <t>Assumption</t>
    </r>
    <r>
      <rPr>
        <b/>
        <sz val="9"/>
        <color theme="1"/>
        <rFont val="Calibri"/>
        <family val="2"/>
        <scheme val="minor"/>
      </rPr>
      <t>. Cost per visit:</t>
    </r>
    <r>
      <rPr>
        <sz val="9"/>
        <color theme="1"/>
        <rFont val="Calibri"/>
        <family val="2"/>
        <scheme val="minor"/>
      </rPr>
      <t xml:space="preserve"> Sangrujee (2004) plus mark-up</t>
    </r>
  </si>
  <si>
    <t>Hep B (birth dose)</t>
  </si>
  <si>
    <t>OPV3</t>
  </si>
  <si>
    <t>Penta 3</t>
  </si>
  <si>
    <t>Measles</t>
  </si>
  <si>
    <t>Rota</t>
  </si>
  <si>
    <t>JE</t>
  </si>
  <si>
    <t>Doses in schedule</t>
  </si>
  <si>
    <t>Antigen</t>
  </si>
  <si>
    <t>Item</t>
  </si>
  <si>
    <t>Medium</t>
  </si>
  <si>
    <t>TB vaccine candidate</t>
  </si>
  <si>
    <t>Doses procured (n)</t>
  </si>
  <si>
    <t>Total vaccine costs (US$)</t>
  </si>
  <si>
    <t>Reconstitution syringes (n)</t>
  </si>
  <si>
    <t>Injection syringes (n)</t>
  </si>
  <si>
    <t>Recipients reached (n)</t>
  </si>
  <si>
    <t>Reconstitution syringes total costs (US$)</t>
  </si>
  <si>
    <t>Injection syringes total costs (US$)</t>
  </si>
  <si>
    <t>Safety boxes (n)</t>
  </si>
  <si>
    <t>Safety boxes total costs (US$)</t>
  </si>
  <si>
    <t>TB Vaccine scenario assumptions</t>
  </si>
  <si>
    <t>Total costs (US$)</t>
  </si>
  <si>
    <t>AD syringes 0.5 ml</t>
  </si>
  <si>
    <t>AD syringes for BCG 0.1 ml</t>
  </si>
  <si>
    <t>Reconstitution syringes (measles/JE) 5 ml</t>
  </si>
  <si>
    <t>IPV</t>
  </si>
  <si>
    <t>MR</t>
  </si>
  <si>
    <t>Coverage 2016</t>
  </si>
  <si>
    <t>JE (SIAs)</t>
  </si>
  <si>
    <t>MR (SIAs)</t>
  </si>
  <si>
    <t>Injection equipment (all freight charges incl) &amp; supplemental immunisation campaigns assumptions</t>
  </si>
  <si>
    <t>Total:</t>
  </si>
  <si>
    <t>Total with TB vac:</t>
  </si>
  <si>
    <t>2017 demographics</t>
  </si>
  <si>
    <t>Births</t>
  </si>
  <si>
    <t>Surviving infants</t>
  </si>
  <si>
    <t>Pregnant women</t>
  </si>
  <si>
    <t>Data source</t>
  </si>
  <si>
    <t>Population</t>
  </si>
  <si>
    <t>UN pop division (https://esa.un.org/unpd/wpp/DataQuery/)</t>
  </si>
  <si>
    <t xml:space="preserve">Buffer stock </t>
  </si>
  <si>
    <t>Pregnant women as a factor of births (1.1) from 2013-17 cMYP</t>
  </si>
  <si>
    <t>UN pop division (avg of 2015-2020 period)</t>
  </si>
  <si>
    <t>Infant mortality</t>
  </si>
  <si>
    <t>Rate per 1000 live births (35) from UN pop division</t>
  </si>
  <si>
    <t xml:space="preserve"> </t>
  </si>
  <si>
    <t>Coverage</t>
  </si>
  <si>
    <t>Wastage</t>
  </si>
  <si>
    <t>Cost per vial 2017 (US$)</t>
  </si>
  <si>
    <t>Cost per dose 2017 (US$)</t>
  </si>
  <si>
    <t>Safety boxes</t>
  </si>
  <si>
    <t>Total inj. supplies costs (US$)</t>
  </si>
  <si>
    <t>check which baseline to include (+/- new vaccines)</t>
  </si>
  <si>
    <t>Hep B birth dose</t>
  </si>
  <si>
    <t>first dose at 9 months (with measles) + booster at 16-24 in 194 districts at risk out of a total 640 (see JE-AES Prevention doc)</t>
  </si>
  <si>
    <t>Packaged volume per dose (cm3)</t>
  </si>
  <si>
    <t>Total net storage:</t>
  </si>
  <si>
    <t>This is PCV10</t>
  </si>
  <si>
    <t>https://tbcindia.gov.in/index1.php?lang=1&amp;level=2&amp;sublinkid=4682&amp;lid=3248</t>
  </si>
  <si>
    <t>Bedaquiline 100 mg (weeks 1-2)</t>
  </si>
  <si>
    <t>Bedaquiline 100 mg (weeks 3-22)</t>
  </si>
  <si>
    <t>Ethionamide 250 mg</t>
  </si>
  <si>
    <t>Background regimen to BDQ is the same as standard MDR treatment as per national guidelines</t>
  </si>
  <si>
    <t>200 mg 3 times a week</t>
  </si>
  <si>
    <t>All prices from StopTB Partnership product catalogue</t>
  </si>
  <si>
    <t>Ask Susmita for procurement prices in India?</t>
  </si>
  <si>
    <t>Intensive phase as for standard MDR-treatment. BDQ initiated only after 2nd line DST results. If no resistance to FQ/SLI, then standard MDR-treatment continued</t>
  </si>
  <si>
    <t>This background treatment option excludes SLIs and FQs, which would be administered depending on individual resistance profile. This is the cost for an average XDR case resistant to both</t>
  </si>
  <si>
    <t>Incremental costs INTRO YEAR - routine vaccination (incl freight charges)</t>
  </si>
  <si>
    <t>transport</t>
  </si>
  <si>
    <t>cold storage, all levels</t>
  </si>
  <si>
    <t>MR CAMPAIGN COSTS</t>
  </si>
  <si>
    <t>Lit review - all antigens</t>
  </si>
  <si>
    <t>Source: MR Vaccination Campaign Operational Guidelines (Annex 13)</t>
  </si>
  <si>
    <t>Micro-planning</t>
  </si>
  <si>
    <t>Cold chain</t>
  </si>
  <si>
    <t>Supervision</t>
  </si>
  <si>
    <t>Trainings</t>
  </si>
  <si>
    <t>Meetings</t>
  </si>
  <si>
    <t>Mobile team</t>
  </si>
  <si>
    <t>Community mob</t>
  </si>
  <si>
    <t>Monitoring</t>
  </si>
  <si>
    <t xml:space="preserve">States </t>
  </si>
  <si>
    <t>Districts</t>
  </si>
  <si>
    <t>PHCs</t>
  </si>
  <si>
    <t>CHCs</t>
  </si>
  <si>
    <t>https://community.data.gov.in/functioning-community-health-centres-chcs-as-on-31-03-2016/</t>
  </si>
  <si>
    <t>https://community.data.gov.in/functioning-primary-health-centres-phcs-during-five-year-plans-as-on-31st-march-2014/</t>
  </si>
  <si>
    <t>c_campaign_delivery</t>
  </si>
  <si>
    <t>national</t>
  </si>
  <si>
    <t>Parameter assumptions</t>
  </si>
  <si>
    <t>10 vaccinators, 4 supervisors, 20 CHWs per PHC</t>
  </si>
  <si>
    <t xml:space="preserve">5 posters per 1,500 pop + INR 50,000 per state </t>
  </si>
  <si>
    <t>Printing cards</t>
  </si>
  <si>
    <t>nationwide</t>
  </si>
  <si>
    <t>Community + school-based campaign (as for MR)</t>
  </si>
  <si>
    <t xml:space="preserve">30 ToTs and other meetings, 30 participants on avg </t>
  </si>
  <si>
    <t>vaccination campaign, mobile team</t>
  </si>
  <si>
    <t>days per state</t>
  </si>
  <si>
    <t>vehicles per state</t>
  </si>
  <si>
    <t>supervision &amp; monitoring</t>
  </si>
  <si>
    <t>3 teams, 4 vehicles and 20 working days for each state</t>
  </si>
  <si>
    <t>planning</t>
  </si>
  <si>
    <t>Mark-up for comms, training and monitoring to be added to cost per dose for routine immunisation</t>
  </si>
  <si>
    <t>vaccines and immunisation supplies + transport, cold chain, HR, cards + 7% mark-up</t>
  </si>
  <si>
    <t>Treatment DS-TB Costs (From Anja sheet)</t>
  </si>
  <si>
    <t>costs in US$ 2012</t>
  </si>
  <si>
    <t>data sources / input on previous tabs</t>
  </si>
  <si>
    <t>Point estimate (PE)</t>
  </si>
  <si>
    <t>Regimen</t>
  </si>
  <si>
    <t>Component</t>
  </si>
  <si>
    <t>drugs (a1)</t>
  </si>
  <si>
    <t>visits</t>
  </si>
  <si>
    <t xml:space="preserve"> tests for laboratory monitoring</t>
  </si>
  <si>
    <t xml:space="preserve">Hospitalization costs (e) </t>
  </si>
  <si>
    <t>Program management /Other (d)</t>
  </si>
  <si>
    <t xml:space="preserve">Full treat-ment </t>
  </si>
  <si>
    <t>Number</t>
  </si>
  <si>
    <t>unit cost (b)</t>
  </si>
  <si>
    <t>cost</t>
  </si>
  <si>
    <t>SSM #</t>
  </si>
  <si>
    <t xml:space="preserve">unit cost (c) </t>
  </si>
  <si>
    <t>first line catI</t>
  </si>
  <si>
    <t>Intensive phase (2 mo)</t>
  </si>
  <si>
    <t>Continuation phase (4 mo)</t>
  </si>
  <si>
    <t>Full course</t>
  </si>
  <si>
    <t>first line catII</t>
  </si>
  <si>
    <t>Intensive phase (2 mo incl strepto)</t>
  </si>
  <si>
    <t>Intensive phase (1 mo)</t>
  </si>
  <si>
    <t>Continuation phase (5 mo)</t>
  </si>
  <si>
    <t>Sources and assumptions - CHECK with TB program.</t>
  </si>
  <si>
    <t>Drugs costs</t>
  </si>
  <si>
    <t>PE: catI 602.33 rupees;  catII 1094.17 rupees. Source: RNTCP- Central TB Division, procurement section.  Exchange rate:  1 USD= 0.01492 rupee (1 Sept 2013) www.oanda.com</t>
  </si>
  <si>
    <t>Ouptiatent visit costs</t>
  </si>
  <si>
    <t>b=</t>
  </si>
  <si>
    <t xml:space="preserve"> http://www.who.int/choice/cost-effectiveness/inputs/health_service/en/   </t>
  </si>
  <si>
    <t>See Tab WHO-CHOICE</t>
  </si>
  <si>
    <t xml:space="preserve"> level PE: health centre with beds;   </t>
  </si>
  <si>
    <t xml:space="preserve">The number of visits are clinic visits. For catI assumed to be thrice weekly during the intensive phase and weekly during the continuation phase, to a clinic close to the patients home. </t>
  </si>
  <si>
    <t>Visits for laboratory monitoring with smear microscopy are as shown in column G, to a higher level facility (health center with beds).</t>
  </si>
  <si>
    <t>For catII the assumption is that the daily streptomycin injections are provided at the most peripheral level (health center no beds)</t>
  </si>
  <si>
    <t>The range for visit costs is taken as one level lower for the low end, and one level higher for the high end of the range. Except where the PE is already the lowest level.</t>
  </si>
  <si>
    <t xml:space="preserve">Microscopy </t>
  </si>
  <si>
    <t>c=</t>
  </si>
  <si>
    <t xml:space="preserve">cost estimate obtained by costing study </t>
  </si>
  <si>
    <t>Follows the NTP guidance that each patient on CatI has two smears (2 months and 5 months) to monitor bacteriological response to treatment, and on CatII three smears.</t>
  </si>
  <si>
    <t>Other costs</t>
  </si>
  <si>
    <t>d=</t>
  </si>
  <si>
    <t xml:space="preserve">point estimate: average of cost categories 'program management' and 'other' in Pantoja 2009 and Floyd 2006 (2x).  Muniyandi 2006 was excluded as it is an incomplete estimate.   </t>
  </si>
  <si>
    <t>e=</t>
  </si>
  <si>
    <t>Hospitalization costs for first-line treatment: See Goodchild 2011: average hospitalization rate of 7.5% under DOTS; average length of stay for TB patients is estimated at 30 days -</t>
  </si>
  <si>
    <t xml:space="preserve">Cost per hospitaliztion day: see WHO-CHOICE tab. Cost per bed day at secondary level (PE)  </t>
  </si>
  <si>
    <t>0.075*30*9.34</t>
  </si>
  <si>
    <t>India CPI 2012-2017</t>
  </si>
  <si>
    <t>https://data.gov.in/catalog/all-india-consumer-price-index-ruralurban</t>
  </si>
  <si>
    <t>Avg</t>
  </si>
  <si>
    <t>Costs in US$ 2017</t>
  </si>
  <si>
    <t>FLT cat I</t>
  </si>
  <si>
    <t>FLT cat II</t>
  </si>
  <si>
    <t>drugs</t>
  </si>
  <si>
    <t>mon tests</t>
  </si>
  <si>
    <t>hosp</t>
  </si>
  <si>
    <t>prog mgmt</t>
  </si>
  <si>
    <t>TOT per course</t>
  </si>
  <si>
    <t>FLT gen</t>
  </si>
  <si>
    <t>Scenario selection</t>
  </si>
  <si>
    <t xml:space="preserve">Vaccine price </t>
  </si>
  <si>
    <t xml:space="preserve">Vaccine dosage </t>
  </si>
  <si>
    <t>Lump sum added in years 1-2, then routine delivery</t>
  </si>
  <si>
    <t>Treatment MDR costs (from Anja sheet)</t>
  </si>
  <si>
    <t>costs in US$ 2013</t>
  </si>
  <si>
    <t>drugs (a)</t>
  </si>
  <si>
    <t>visits for treatment and lab monitoring</t>
  </si>
  <si>
    <t>Number (b1)</t>
  </si>
  <si>
    <t>unit cost (b2)</t>
  </si>
  <si>
    <t>cultures #</t>
  </si>
  <si>
    <t>DST #</t>
  </si>
  <si>
    <t>Second line</t>
  </si>
  <si>
    <t>Intensive phase (6 mo)</t>
  </si>
  <si>
    <t>Continuation phase (18 mo)</t>
  </si>
  <si>
    <t>Full course (a1)</t>
  </si>
  <si>
    <t>Short course (a2)</t>
  </si>
  <si>
    <t>Sources and assumptions</t>
  </si>
  <si>
    <t>a=</t>
  </si>
  <si>
    <t>Assumptions about drug cost per patient</t>
  </si>
  <si>
    <t>MDR per patient cost (GDF)</t>
  </si>
  <si>
    <t>source: USD, GDF Procurement - MDR TB Drugs for the year 2017-18</t>
  </si>
  <si>
    <t>XDR per patient cost (GDF)</t>
  </si>
  <si>
    <t>Percentage of (pre)XDR among MDR patients</t>
  </si>
  <si>
    <t>Personal communications FIND India office. Does the India team have a reference for this?</t>
  </si>
  <si>
    <t>Average drug  costs per patient MDR/XDR</t>
  </si>
  <si>
    <t>b1=</t>
  </si>
  <si>
    <t xml:space="preserve">The number of visits are clinic visits. As per discussion with India team: </t>
  </si>
  <si>
    <t>Assumes that during each treatment phase 5 visits are needed to provide a sample for culture.</t>
  </si>
  <si>
    <t>b2=</t>
  </si>
  <si>
    <t>Level of facility: In the community, so nearest clinic (without beds) for treatment; for laboratory monitoring a 'health center with beds' level needs to be visited from where the sample is transported for culture.</t>
  </si>
  <si>
    <t>cost estimate obtained by costing study (Tab diagnostics) for liquid culture $11.07 + $1.7 for decontamination +$4 for transportation (estimate India team) +50% needs identification @ $ 3.95</t>
  </si>
  <si>
    <t>culture PE</t>
  </si>
  <si>
    <t>For DST $29.88 (Tab diagnostics). The NTP schedule is 2 DST's during the intensive phase (baseline, 6 months), of which 90% have it done (=1.8). And 2 during the intensive phase (12, 24 months) of which 60% are done (=1.2). This because not all cultures are positive, so then DST is not done.</t>
  </si>
  <si>
    <t>taken from Tupasi (Philipines, DOTS-Plus program). See tab 'TB treatment costs'</t>
  </si>
  <si>
    <t>Assumes as indicated by Dr. Shubhangi, that patients are treated in the community, but initially they are hospitalized for 1-3 weeks. So assume 2 weeks (=14 days)</t>
  </si>
  <si>
    <t xml:space="preserve">Cost per hospitaliztion day: see WHO-CHOICE tab. Cost per bed day at tertiary level. </t>
  </si>
  <si>
    <t>Diagnostic Test Unit Costs (Source FIND costing study (Anja summary sheet))</t>
  </si>
  <si>
    <t>Type of test</t>
  </si>
  <si>
    <t>Average</t>
  </si>
  <si>
    <t>Name of laboratory</t>
  </si>
  <si>
    <t>Microscopy (ZN)</t>
  </si>
  <si>
    <t>Microscopy (FM)</t>
  </si>
  <si>
    <t>Microscopy Centres Calculation</t>
  </si>
  <si>
    <t>Decontamination</t>
  </si>
  <si>
    <t>Sub type</t>
  </si>
  <si>
    <t>Liq. Cul.</t>
  </si>
  <si>
    <t>Direct smear</t>
  </si>
  <si>
    <t>Solid Culture</t>
  </si>
  <si>
    <t>Number of specimen observed</t>
  </si>
  <si>
    <t>27,000 PHCs in India</t>
  </si>
  <si>
    <t>Liquid Culture</t>
  </si>
  <si>
    <t>Overhead</t>
  </si>
  <si>
    <t>13,000 with microscopies</t>
  </si>
  <si>
    <t>Microscopy (liquid culture)</t>
  </si>
  <si>
    <t>Building Space</t>
  </si>
  <si>
    <t>Add another 13,000, already 5000 in PHCs so additional 8000</t>
  </si>
  <si>
    <t>Microscopy (direct smear)</t>
  </si>
  <si>
    <t>Equipment</t>
  </si>
  <si>
    <t>Cost of microscope</t>
  </si>
  <si>
    <t>DST</t>
  </si>
  <si>
    <t xml:space="preserve">Staff </t>
  </si>
  <si>
    <t>LPA</t>
  </si>
  <si>
    <t>MTB ID</t>
  </si>
  <si>
    <t>Reagents and Chemicals</t>
  </si>
  <si>
    <t>Consumables</t>
  </si>
  <si>
    <t>X-ray</t>
  </si>
  <si>
    <t>Total</t>
  </si>
  <si>
    <t>LTBI test</t>
  </si>
  <si>
    <t>Type of algorithm</t>
  </si>
  <si>
    <t>Liquid culture</t>
  </si>
  <si>
    <t xml:space="preserve">Microscopy on liquid culture </t>
  </si>
  <si>
    <t>Direct smear microscopy</t>
  </si>
  <si>
    <t>Total cost</t>
  </si>
  <si>
    <t>Liquid DST of 1st line drugs</t>
  </si>
  <si>
    <t>-</t>
  </si>
  <si>
    <t>Line probe assay (LPA)</t>
  </si>
  <si>
    <t>1.93*</t>
  </si>
  <si>
    <t>0.99*</t>
  </si>
  <si>
    <t>*A MTB ID test and a microscopy on the MGIT culture in the BSL 3 lab will only be done on cultures that show growth. In the calculations in the table we assume that on average 25 percent of all liquid culture test show growth, only 25 percent of the microscopy on the liquid culture isolate and MTB ID unit cost (table 10) are, therefore, included in the algorithm.</t>
  </si>
  <si>
    <t>Passive</t>
  </si>
  <si>
    <t>ACF</t>
  </si>
  <si>
    <t>Symptom+Xray, followed by Xpert</t>
  </si>
  <si>
    <t>c_TB_suspects_ACF</t>
  </si>
  <si>
    <t>Costs of Symptom Screen, plus mobile cost</t>
  </si>
  <si>
    <t>c_TB_diagnoses_ACF</t>
  </si>
  <si>
    <t>Costs of X-ray and Xpert, plus 2 visit costs</t>
  </si>
  <si>
    <t>Lump sum for 2yr nationwide school+community campaign, routine delivery afterwards</t>
  </si>
  <si>
    <t xml:space="preserve"> split equally across years 1 and 2?</t>
  </si>
  <si>
    <t>Hospitalisation</t>
  </si>
  <si>
    <t>Medicines costs intensive phase BDQ</t>
  </si>
  <si>
    <t>Medicines cost continuation phase BDQ</t>
  </si>
  <si>
    <t>Programme management</t>
  </si>
  <si>
    <t>_f</t>
  </si>
  <si>
    <t>person months on FLT</t>
  </si>
  <si>
    <t>MDR-TB treatment (short-course)</t>
  </si>
  <si>
    <t xml:space="preserve">number on modified MDR treatment </t>
  </si>
  <si>
    <t>number on short-course MDR treatment</t>
  </si>
  <si>
    <t>All visits and tests assumed to be the same as for standard, only drug regimen varies</t>
  </si>
  <si>
    <t>Cost of vaccination campaign is driven by the number of vaccine doses which is just a placeholder at the moment, it needs to be modelled</t>
  </si>
  <si>
    <t>deflator</t>
  </si>
  <si>
    <t>http://databank.worldbank.org/data/reports.aspx?source=2&amp;series=NY.GDP.DEFL.KD.ZG&amp;country=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</si>
</sst>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_-;\-* #,##0_-;_-* &quot;-&quot;??_-;_-@_-"/>
    <numFmt numFmtId="165" formatCode="_-[$$-409]* #,##0.00_ ;_-[$$-409]* \-#,##0.00\ ;_-[$$-409]* &quot;-&quot;??_ ;_-@_ "/>
    <numFmt numFmtId="166" formatCode="_-* #,##0_-;\-* #,##0_-;_-* &quot;-&quot;?_-;_-@_-"/>
    <numFmt numFmtId="167" formatCode="0.0"/>
    <numFmt numFmtId="168" formatCode="_-* #,##0.0_-;\-* #,##0.0_-;_-* &quot;-&quot;??_-;_-@_-"/>
    <numFmt numFmtId="169" formatCode="0.000"/>
    <numFmt numFmtId="170" formatCode="_-* #,##0.000_-;\-* #,##0.000_-;_-* &quot;-&quot;??_-;_-@_-"/>
    <numFmt numFmtId="171" formatCode="[$$-409]#,##0.00"/>
    <numFmt numFmtId="172" formatCode="[$$-409]#,##0.0"/>
    <numFmt numFmtId="173" formatCode="[$$-409]#,##0"/>
    <numFmt numFmtId="174" formatCode="0.0%"/>
  </numFmts>
  <fonts count="50" x14ac:knownFonts="1">
    <font>
      <sz val="11"/>
      <color theme="1"/>
      <name val="Calibri"/>
      <family val="2"/>
      <scheme val="minor"/>
    </font>
    <font>
      <b/>
      <sz val="11"/>
      <color rgb="FFFA7D00"/>
      <name val="Calibri"/>
      <family val="2"/>
      <scheme val="minor"/>
    </font>
    <font>
      <b/>
      <sz val="11"/>
      <color theme="0"/>
      <name val="Calibri"/>
      <family val="2"/>
      <scheme val="minor"/>
    </font>
    <font>
      <b/>
      <sz val="10"/>
      <color theme="0"/>
      <name val="Calibri"/>
      <family val="2"/>
      <scheme val="minor"/>
    </font>
    <font>
      <b/>
      <sz val="10"/>
      <color rgb="FF000000"/>
      <name val="Calibri"/>
      <family val="2"/>
      <scheme val="minor"/>
    </font>
    <font>
      <sz val="10"/>
      <color theme="1"/>
      <name val="Calibri"/>
      <family val="2"/>
      <scheme val="minor"/>
    </font>
    <font>
      <b/>
      <sz val="10"/>
      <color rgb="FFFA7D00"/>
      <name val="Calibri"/>
      <family val="2"/>
      <scheme val="minor"/>
    </font>
    <font>
      <sz val="10"/>
      <color rgb="FF000000"/>
      <name val="Calibri"/>
      <family val="2"/>
      <scheme val="minor"/>
    </font>
    <font>
      <sz val="11"/>
      <color theme="1"/>
      <name val="Calibri"/>
      <family val="2"/>
      <scheme val="minor"/>
    </font>
    <font>
      <sz val="11"/>
      <color rgb="FF3F3F76"/>
      <name val="Calibri"/>
      <family val="2"/>
      <scheme val="minor"/>
    </font>
    <font>
      <b/>
      <sz val="10"/>
      <color theme="1"/>
      <name val="Calibri"/>
      <family val="2"/>
      <scheme val="minor"/>
    </font>
    <font>
      <b/>
      <i/>
      <sz val="10"/>
      <color theme="1"/>
      <name val="Calibri"/>
      <family val="2"/>
      <scheme val="minor"/>
    </font>
    <font>
      <sz val="10"/>
      <color rgb="FF3F3F76"/>
      <name val="Calibri"/>
      <family val="2"/>
      <scheme val="minor"/>
    </font>
    <font>
      <sz val="12"/>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b/>
      <sz val="8"/>
      <color rgb="FFFA7D00"/>
      <name val="Calibri"/>
      <family val="2"/>
      <scheme val="minor"/>
    </font>
    <font>
      <b/>
      <i/>
      <sz val="8"/>
      <color theme="1"/>
      <name val="Calibri"/>
      <family val="2"/>
      <scheme val="minor"/>
    </font>
    <font>
      <sz val="8"/>
      <color rgb="FF3F3F76"/>
      <name val="Calibri"/>
      <family val="2"/>
      <scheme val="minor"/>
    </font>
    <font>
      <b/>
      <sz val="8"/>
      <name val="Calibri"/>
      <family val="2"/>
      <scheme val="minor"/>
    </font>
    <font>
      <b/>
      <sz val="8"/>
      <color theme="0"/>
      <name val="Calibri"/>
      <family val="2"/>
      <scheme val="minor"/>
    </font>
    <font>
      <b/>
      <sz val="8"/>
      <color rgb="FF000000"/>
      <name val="Calibri"/>
      <family val="2"/>
      <scheme val="minor"/>
    </font>
    <font>
      <sz val="8"/>
      <color rgb="FF000000"/>
      <name val="Calibri"/>
      <family val="2"/>
      <scheme val="minor"/>
    </font>
    <font>
      <b/>
      <sz val="10"/>
      <color theme="6" tint="-0.499984740745262"/>
      <name val="Calibri"/>
      <family val="2"/>
      <scheme val="minor"/>
    </font>
    <font>
      <i/>
      <sz val="10"/>
      <color theme="1"/>
      <name val="Calibri"/>
      <family val="2"/>
      <scheme val="minor"/>
    </font>
    <font>
      <b/>
      <sz val="8"/>
      <color indexed="81"/>
      <name val="Tahoma"/>
      <family val="2"/>
    </font>
    <font>
      <sz val="8"/>
      <color indexed="81"/>
      <name val="Tahoma"/>
      <family val="2"/>
    </font>
    <font>
      <sz val="9"/>
      <name val="Arial"/>
      <family val="2"/>
    </font>
    <font>
      <b/>
      <vertAlign val="superscrip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sz val="9"/>
      <name val="Calibri"/>
      <family val="2"/>
      <scheme val="minor"/>
    </font>
    <font>
      <vertAlign val="superscript"/>
      <sz val="9"/>
      <color theme="1"/>
      <name val="Calibri"/>
      <family val="2"/>
      <scheme val="minor"/>
    </font>
    <font>
      <sz val="11"/>
      <color rgb="FF9C0006"/>
      <name val="Calibri"/>
      <family val="2"/>
      <scheme val="minor"/>
    </font>
    <font>
      <sz val="11"/>
      <color rgb="FFFF0000"/>
      <name val="Calibri"/>
      <family val="2"/>
      <scheme val="minor"/>
    </font>
    <font>
      <b/>
      <sz val="12"/>
      <color theme="1"/>
      <name val="Calibri"/>
      <family val="2"/>
      <scheme val="minor"/>
    </font>
    <font>
      <sz val="9"/>
      <color indexed="81"/>
      <name val="Tahoma"/>
      <family val="2"/>
    </font>
    <font>
      <b/>
      <sz val="9"/>
      <color indexed="81"/>
      <name val="Tahoma"/>
      <family val="2"/>
    </font>
    <font>
      <b/>
      <sz val="11"/>
      <color rgb="FF3F3F3F"/>
      <name val="Calibri"/>
      <family val="2"/>
      <scheme val="minor"/>
    </font>
    <font>
      <sz val="10"/>
      <color rgb="FFFF0000"/>
      <name val="Calibri"/>
      <family val="2"/>
      <scheme val="minor"/>
    </font>
    <font>
      <b/>
      <sz val="12"/>
      <name val="Calibri"/>
      <family val="2"/>
      <scheme val="minor"/>
    </font>
    <font>
      <b/>
      <sz val="11"/>
      <color rgb="FF0070C0"/>
      <name val="Calibri"/>
      <family val="2"/>
      <scheme val="minor"/>
    </font>
    <font>
      <b/>
      <sz val="11"/>
      <color rgb="FFFF0000"/>
      <name val="Calibri"/>
      <family val="2"/>
      <scheme val="minor"/>
    </font>
    <font>
      <b/>
      <sz val="14"/>
      <color rgb="FF0070C0"/>
      <name val="Calibri"/>
      <family val="2"/>
      <scheme val="minor"/>
    </font>
    <font>
      <sz val="11"/>
      <name val="Calibri"/>
      <family val="2"/>
      <scheme val="minor"/>
    </font>
    <font>
      <b/>
      <i/>
      <sz val="11"/>
      <color theme="1"/>
      <name val="Calibri"/>
      <family val="2"/>
      <scheme val="minor"/>
    </font>
    <font>
      <b/>
      <sz val="11"/>
      <color rgb="FFFFFFFF"/>
      <name val="Calibri"/>
      <family val="2"/>
      <scheme val="minor"/>
    </font>
    <font>
      <sz val="11"/>
      <color rgb="FF000000"/>
      <name val="Calibri"/>
      <family val="2"/>
      <scheme val="minor"/>
    </font>
  </fonts>
  <fills count="20">
    <fill>
      <patternFill patternType="none"/>
    </fill>
    <fill>
      <patternFill patternType="gray125"/>
    </fill>
    <fill>
      <patternFill patternType="solid">
        <fgColor rgb="FFF2F2F2"/>
      </patternFill>
    </fill>
    <fill>
      <patternFill patternType="solid">
        <fgColor theme="5"/>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CC99"/>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C7CE"/>
      </patternFill>
    </fill>
    <fill>
      <patternFill patternType="solid">
        <fgColor rgb="FFA5A5A5"/>
      </patternFill>
    </fill>
    <fill>
      <patternFill patternType="solid">
        <fgColor theme="6" tint="0.59999389629810485"/>
        <bgColor indexed="64"/>
      </patternFill>
    </fill>
    <fill>
      <patternFill patternType="solid">
        <fgColor theme="4"/>
        <bgColor theme="4"/>
      </patternFill>
    </fill>
    <fill>
      <patternFill patternType="solid">
        <fgColor theme="4" tint="0.39997558519241921"/>
        <bgColor theme="4"/>
      </patternFill>
    </fill>
    <fill>
      <patternFill patternType="solid">
        <fgColor theme="4" tint="0.39997558519241921"/>
        <bgColor indexed="64"/>
      </patternFill>
    </fill>
    <fill>
      <patternFill patternType="solid">
        <fgColor rgb="FF5B9BD5"/>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right/>
      <top style="thin">
        <color auto="1"/>
      </top>
      <bottom/>
      <diagonal/>
    </border>
    <border>
      <left/>
      <right style="thin">
        <color indexed="64"/>
      </right>
      <top/>
      <bottom/>
      <diagonal/>
    </border>
    <border>
      <left/>
      <right/>
      <top style="thin">
        <color rgb="FF7F7F7F"/>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4" tint="0.39994506668294322"/>
      </left>
      <right/>
      <top style="thin">
        <color theme="4"/>
      </top>
      <bottom/>
      <diagonal/>
    </border>
    <border>
      <left style="thin">
        <color theme="0"/>
      </left>
      <right style="thin">
        <color theme="0"/>
      </right>
      <top style="thin">
        <color theme="4"/>
      </top>
      <bottom/>
      <diagonal/>
    </border>
    <border>
      <left style="thin">
        <color theme="4" tint="0.39994506668294322"/>
      </left>
      <right/>
      <top style="thin">
        <color theme="4" tint="0.39994506668294322"/>
      </top>
      <bottom style="thin">
        <color theme="4" tint="0.39991454817346722"/>
      </bottom>
      <diagonal/>
    </border>
    <border>
      <left style="thin">
        <color theme="4" tint="0.39991454817346722"/>
      </left>
      <right style="thin">
        <color theme="4" tint="0.39994506668294322"/>
      </right>
      <top style="thin">
        <color theme="4" tint="0.39994506668294322"/>
      </top>
      <bottom style="thin">
        <color theme="4" tint="0.39991454817346722"/>
      </bottom>
      <diagonal/>
    </border>
    <border>
      <left style="thin">
        <color theme="4" tint="0.39994506668294322"/>
      </left>
      <right/>
      <top/>
      <bottom/>
      <diagonal/>
    </border>
    <border>
      <left style="thin">
        <color theme="0"/>
      </left>
      <right style="thin">
        <color theme="0"/>
      </right>
      <top/>
      <bottom/>
      <diagonal/>
    </border>
    <border>
      <left style="thin">
        <color theme="4" tint="0.39994506668294322"/>
      </left>
      <right/>
      <top style="thin">
        <color theme="4" tint="0.39991454817346722"/>
      </top>
      <bottom style="thin">
        <color theme="4" tint="0.39991454817346722"/>
      </bottom>
      <diagonal/>
    </border>
    <border>
      <left style="thin">
        <color theme="4" tint="0.39991454817346722"/>
      </left>
      <right style="thin">
        <color theme="4" tint="0.39994506668294322"/>
      </right>
      <top style="thin">
        <color theme="4" tint="0.39991454817346722"/>
      </top>
      <bottom style="thin">
        <color theme="4" tint="0.39991454817346722"/>
      </bottom>
      <diagonal/>
    </border>
    <border>
      <left style="thin">
        <color theme="4" tint="0.39994506668294322"/>
      </left>
      <right style="thin">
        <color theme="4" tint="0.39991454817346722"/>
      </right>
      <top/>
      <bottom style="thin">
        <color theme="4" tint="0.59996337778862885"/>
      </bottom>
      <diagonal/>
    </border>
    <border>
      <left/>
      <right/>
      <top/>
      <bottom style="thin">
        <color theme="4" tint="0.59996337778862885"/>
      </bottom>
      <diagonal/>
    </border>
    <border>
      <left style="thin">
        <color theme="4" tint="0.39994506668294322"/>
      </left>
      <right style="thin">
        <color theme="4" tint="0.39991454817346722"/>
      </right>
      <top style="thin">
        <color theme="4" tint="0.59996337778862885"/>
      </top>
      <bottom style="thin">
        <color theme="4" tint="0.59996337778862885"/>
      </bottom>
      <diagonal/>
    </border>
    <border>
      <left/>
      <right/>
      <top style="thin">
        <color theme="4" tint="0.59996337778862885"/>
      </top>
      <bottom style="thin">
        <color theme="4" tint="0.59996337778862885"/>
      </bottom>
      <diagonal/>
    </border>
    <border>
      <left style="thin">
        <color theme="4" tint="0.39994506668294322"/>
      </left>
      <right/>
      <top style="thin">
        <color theme="4" tint="0.39991454817346722"/>
      </top>
      <bottom style="thin">
        <color theme="4" tint="0.39994506668294322"/>
      </bottom>
      <diagonal/>
    </border>
    <border>
      <left style="thin">
        <color theme="4" tint="0.39991454817346722"/>
      </left>
      <right style="thin">
        <color theme="4" tint="0.39994506668294322"/>
      </right>
      <top style="thin">
        <color theme="4" tint="0.39991454817346722"/>
      </top>
      <bottom style="thin">
        <color theme="4" tint="0.39994506668294322"/>
      </bottom>
      <diagonal/>
    </border>
    <border>
      <left style="thin">
        <color theme="4" tint="0.39994506668294322"/>
      </left>
      <right style="thin">
        <color theme="4" tint="0.39991454817346722"/>
      </right>
      <top style="thin">
        <color theme="4" tint="0.59996337778862885"/>
      </top>
      <bottom style="thin">
        <color theme="4" tint="0.39991454817346722"/>
      </bottom>
      <diagonal/>
    </border>
    <border>
      <left/>
      <right/>
      <top style="thin">
        <color theme="4" tint="0.59996337778862885"/>
      </top>
      <bottom style="thin">
        <color theme="4" tint="0.39991454817346722"/>
      </bottom>
      <diagonal/>
    </border>
    <border>
      <left style="thin">
        <color theme="4" tint="0.39994506668294322"/>
      </left>
      <right style="thin">
        <color theme="4" tint="0.39991454817346722"/>
      </right>
      <top style="thin">
        <color theme="4" tint="0.39991454817346722"/>
      </top>
      <bottom style="thin">
        <color theme="4" tint="0.39994506668294322"/>
      </bottom>
      <diagonal/>
    </border>
    <border>
      <left/>
      <right/>
      <top style="thin">
        <color theme="4" tint="0.39991454817346722"/>
      </top>
      <bottom style="thin">
        <color theme="4" tint="0.39994506668294322"/>
      </bottom>
      <diagonal/>
    </border>
    <border>
      <left style="medium">
        <color rgb="FF9BC2E6"/>
      </left>
      <right/>
      <top style="medium">
        <color rgb="FF5B9BD5"/>
      </top>
      <bottom/>
      <diagonal/>
    </border>
    <border>
      <left style="medium">
        <color rgb="FFFFFFFF"/>
      </left>
      <right style="medium">
        <color rgb="FFFFFFFF"/>
      </right>
      <top style="medium">
        <color rgb="FF5B9BD5"/>
      </top>
      <bottom/>
      <diagonal/>
    </border>
    <border>
      <left/>
      <right style="medium">
        <color rgb="FFFFFFFF"/>
      </right>
      <top style="medium">
        <color rgb="FF5B9BD5"/>
      </top>
      <bottom/>
      <diagonal/>
    </border>
    <border>
      <left style="medium">
        <color rgb="FF9BC2E6"/>
      </left>
      <right/>
      <top style="medium">
        <color rgb="FF9BC2E6"/>
      </top>
      <bottom style="medium">
        <color rgb="FF9BC2E6"/>
      </bottom>
      <diagonal/>
    </border>
    <border>
      <left style="medium">
        <color rgb="FF9BC2E6"/>
      </left>
      <right style="medium">
        <color rgb="FF9BC2E6"/>
      </right>
      <top style="medium">
        <color rgb="FF9BC2E6"/>
      </top>
      <bottom style="medium">
        <color rgb="FF9BC2E6"/>
      </bottom>
      <diagonal/>
    </border>
    <border>
      <left/>
      <right style="medium">
        <color rgb="FF9BC2E6"/>
      </right>
      <top style="medium">
        <color rgb="FF9BC2E6"/>
      </top>
      <bottom style="medium">
        <color rgb="FF9BC2E6"/>
      </bottom>
      <diagonal/>
    </border>
    <border>
      <left style="medium">
        <color rgb="FF9BC2E6"/>
      </left>
      <right/>
      <top/>
      <bottom style="medium">
        <color rgb="FF9BC2E6"/>
      </bottom>
      <diagonal/>
    </border>
    <border>
      <left/>
      <right style="medium">
        <color rgb="FF9BC2E6"/>
      </right>
      <top/>
      <bottom style="medium">
        <color rgb="FF9BC2E6"/>
      </bottom>
      <diagonal/>
    </border>
  </borders>
  <cellStyleXfs count="9">
    <xf numFmtId="0" fontId="0" fillId="0" borderId="0"/>
    <xf numFmtId="0" fontId="1" fillId="2" borderId="1" applyNumberFormat="0" applyAlignment="0" applyProtection="0"/>
    <xf numFmtId="43" fontId="8" fillId="0" borderId="0" applyFont="0" applyFill="0" applyBorder="0" applyAlignment="0" applyProtection="0"/>
    <xf numFmtId="0" fontId="9" fillId="7" borderId="1" applyNumberFormat="0" applyAlignment="0" applyProtection="0"/>
    <xf numFmtId="0" fontId="31" fillId="0" borderId="0" applyNumberFormat="0" applyFill="0" applyBorder="0" applyAlignment="0" applyProtection="0"/>
    <xf numFmtId="9" fontId="8" fillId="0" borderId="0" applyFont="0" applyFill="0" applyBorder="0" applyAlignment="0" applyProtection="0"/>
    <xf numFmtId="0" fontId="35" fillId="13" borderId="0" applyNumberFormat="0" applyBorder="0" applyAlignment="0" applyProtection="0"/>
    <xf numFmtId="0" fontId="2" fillId="14" borderId="18" applyNumberFormat="0" applyAlignment="0" applyProtection="0"/>
    <xf numFmtId="0" fontId="40" fillId="2" borderId="19" applyNumberFormat="0" applyAlignment="0" applyProtection="0"/>
  </cellStyleXfs>
  <cellXfs count="284">
    <xf numFmtId="0" fontId="0" fillId="0" borderId="0" xfId="0"/>
    <xf numFmtId="0" fontId="0" fillId="0" borderId="0" xfId="0" applyAlignment="1">
      <alignment horizontal="center" wrapText="1"/>
    </xf>
    <xf numFmtId="0" fontId="2" fillId="3" borderId="0" xfId="0" applyFont="1" applyFill="1" applyAlignment="1">
      <alignment horizontal="center" wrapText="1"/>
    </xf>
    <xf numFmtId="0" fontId="3" fillId="4" borderId="2" xfId="0" applyFont="1" applyFill="1" applyBorder="1" applyAlignment="1">
      <alignment horizontal="center" vertical="center" wrapText="1"/>
    </xf>
    <xf numFmtId="0" fontId="4" fillId="5" borderId="2" xfId="0" applyFont="1" applyFill="1" applyBorder="1"/>
    <xf numFmtId="2" fontId="6" fillId="2" borderId="1" xfId="1" applyNumberFormat="1" applyFont="1"/>
    <xf numFmtId="0" fontId="5" fillId="0" borderId="0" xfId="0" applyFont="1"/>
    <xf numFmtId="0" fontId="5" fillId="0" borderId="0" xfId="0" applyFont="1" applyAlignment="1">
      <alignment horizontal="center"/>
    </xf>
    <xf numFmtId="0" fontId="10" fillId="9" borderId="4" xfId="0" applyFont="1" applyFill="1" applyBorder="1"/>
    <xf numFmtId="0" fontId="10" fillId="8" borderId="4" xfId="0" applyFont="1" applyFill="1" applyBorder="1" applyAlignment="1">
      <alignment horizontal="center"/>
    </xf>
    <xf numFmtId="43" fontId="11" fillId="8" borderId="0" xfId="2" applyFont="1" applyFill="1"/>
    <xf numFmtId="0" fontId="6" fillId="2" borderId="1" xfId="1" applyFont="1"/>
    <xf numFmtId="0" fontId="12" fillId="7" borderId="1" xfId="3" applyFont="1"/>
    <xf numFmtId="0" fontId="13" fillId="0" borderId="0" xfId="0" applyFont="1"/>
    <xf numFmtId="0" fontId="10" fillId="0" borderId="0" xfId="0" applyFont="1"/>
    <xf numFmtId="0" fontId="5" fillId="0" borderId="0" xfId="0" applyFont="1" applyFill="1"/>
    <xf numFmtId="0" fontId="15" fillId="9" borderId="6" xfId="0" applyFont="1" applyFill="1" applyBorder="1" applyAlignment="1">
      <alignment horizontal="left" wrapText="1"/>
    </xf>
    <xf numFmtId="0" fontId="15" fillId="9" borderId="6" xfId="0" applyFont="1" applyFill="1" applyBorder="1" applyAlignment="1">
      <alignment wrapText="1"/>
    </xf>
    <xf numFmtId="0" fontId="15" fillId="8" borderId="4" xfId="0" applyFont="1" applyFill="1" applyBorder="1" applyAlignment="1">
      <alignment horizontal="left" wrapText="1"/>
    </xf>
    <xf numFmtId="0" fontId="15" fillId="8" borderId="4" xfId="0" applyFont="1" applyFill="1" applyBorder="1" applyAlignment="1">
      <alignment horizontal="center" wrapText="1"/>
    </xf>
    <xf numFmtId="0" fontId="16" fillId="0" borderId="0" xfId="0" applyFont="1"/>
    <xf numFmtId="43" fontId="17" fillId="2" borderId="1" xfId="1" applyNumberFormat="1" applyFont="1"/>
    <xf numFmtId="0" fontId="18" fillId="11" borderId="7" xfId="0" applyFont="1" applyFill="1" applyBorder="1" applyAlignment="1">
      <alignment horizontal="left"/>
    </xf>
    <xf numFmtId="43" fontId="16" fillId="11" borderId="7" xfId="2" applyNumberFormat="1" applyFont="1" applyFill="1" applyBorder="1"/>
    <xf numFmtId="0" fontId="19" fillId="7" borderId="1" xfId="3" applyFont="1"/>
    <xf numFmtId="0" fontId="17" fillId="2" borderId="1" xfId="1" applyFont="1"/>
    <xf numFmtId="0" fontId="16" fillId="0" borderId="0" xfId="0" applyFont="1" applyAlignment="1"/>
    <xf numFmtId="0" fontId="20" fillId="9" borderId="7" xfId="0" applyFont="1" applyFill="1" applyBorder="1" applyAlignment="1">
      <alignment horizontal="center" wrapText="1"/>
    </xf>
    <xf numFmtId="0" fontId="15" fillId="9" borderId="7" xfId="0" applyFont="1" applyFill="1" applyBorder="1" applyAlignment="1">
      <alignment wrapText="1"/>
    </xf>
    <xf numFmtId="0" fontId="18" fillId="11" borderId="7" xfId="0" applyFont="1" applyFill="1" applyBorder="1" applyAlignment="1">
      <alignment horizontal="right"/>
    </xf>
    <xf numFmtId="43" fontId="16" fillId="11" borderId="7" xfId="2" applyFont="1" applyFill="1" applyBorder="1"/>
    <xf numFmtId="0" fontId="21" fillId="4" borderId="2" xfId="0" applyFont="1" applyFill="1" applyBorder="1" applyAlignment="1">
      <alignment horizontal="center" vertical="center" wrapText="1"/>
    </xf>
    <xf numFmtId="0" fontId="22" fillId="5" borderId="2" xfId="0" applyFont="1" applyFill="1" applyBorder="1"/>
    <xf numFmtId="2" fontId="17" fillId="2" borderId="1" xfId="1" applyNumberFormat="1" applyFont="1"/>
    <xf numFmtId="0" fontId="22" fillId="6" borderId="2" xfId="0" applyFont="1" applyFill="1" applyBorder="1"/>
    <xf numFmtId="0" fontId="15" fillId="9" borderId="4" xfId="0" applyFont="1" applyFill="1" applyBorder="1" applyAlignment="1">
      <alignment horizontal="left" wrapText="1"/>
    </xf>
    <xf numFmtId="0" fontId="15" fillId="9" borderId="4" xfId="0" applyFont="1" applyFill="1" applyBorder="1" applyAlignment="1">
      <alignment wrapText="1"/>
    </xf>
    <xf numFmtId="0" fontId="15" fillId="8" borderId="6" xfId="0" applyFont="1" applyFill="1" applyBorder="1" applyAlignment="1">
      <alignment horizontal="left"/>
    </xf>
    <xf numFmtId="0" fontId="15" fillId="8" borderId="6" xfId="0" applyFont="1" applyFill="1" applyBorder="1" applyAlignment="1">
      <alignment horizontal="center"/>
    </xf>
    <xf numFmtId="43" fontId="19" fillId="7" borderId="1" xfId="3" applyNumberFormat="1" applyFont="1"/>
    <xf numFmtId="0" fontId="24" fillId="0" borderId="6" xfId="0" applyFont="1" applyBorder="1" applyAlignment="1">
      <alignment horizontal="left" wrapText="1"/>
    </xf>
    <xf numFmtId="0" fontId="24" fillId="10" borderId="6" xfId="0" applyFont="1" applyFill="1" applyBorder="1" applyAlignment="1">
      <alignment horizontal="left" wrapText="1"/>
    </xf>
    <xf numFmtId="0" fontId="10" fillId="10" borderId="6" xfId="0" applyFont="1" applyFill="1" applyBorder="1" applyAlignment="1">
      <alignment horizontal="center" wrapText="1"/>
    </xf>
    <xf numFmtId="0" fontId="10" fillId="10" borderId="6" xfId="0" applyFont="1" applyFill="1" applyBorder="1" applyAlignment="1">
      <alignment horizontal="left" wrapText="1"/>
    </xf>
    <xf numFmtId="0" fontId="5" fillId="10" borderId="6" xfId="0" applyFont="1" applyFill="1" applyBorder="1" applyAlignment="1">
      <alignment horizontal="center" wrapText="1"/>
    </xf>
    <xf numFmtId="0" fontId="5" fillId="0" borderId="0" xfId="0" applyFont="1" applyAlignment="1">
      <alignment horizontal="center" wrapText="1"/>
    </xf>
    <xf numFmtId="0" fontId="24" fillId="0" borderId="0" xfId="0" applyFont="1"/>
    <xf numFmtId="0" fontId="25" fillId="0" borderId="0" xfId="0" applyFont="1"/>
    <xf numFmtId="2" fontId="12" fillId="7" borderId="1" xfId="3" applyNumberFormat="1" applyFont="1"/>
    <xf numFmtId="0" fontId="10" fillId="10" borderId="0" xfId="0" applyFont="1" applyFill="1" applyAlignment="1">
      <alignment horizontal="center"/>
    </xf>
    <xf numFmtId="0" fontId="10" fillId="10" borderId="0" xfId="0" applyFont="1" applyFill="1" applyAlignment="1">
      <alignment horizontal="center" wrapText="1"/>
    </xf>
    <xf numFmtId="0" fontId="0" fillId="0" borderId="0" xfId="0" applyAlignment="1">
      <alignment horizontal="center"/>
    </xf>
    <xf numFmtId="0" fontId="0" fillId="12" borderId="0" xfId="0" applyFill="1"/>
    <xf numFmtId="0" fontId="28" fillId="0" borderId="2" xfId="0" quotePrefix="1" applyFont="1" applyFill="1" applyBorder="1" applyAlignment="1" applyProtection="1">
      <alignment horizontal="center" wrapText="1"/>
    </xf>
    <xf numFmtId="0" fontId="28" fillId="0" borderId="2" xfId="0" quotePrefix="1" applyFont="1" applyFill="1" applyBorder="1" applyAlignment="1">
      <alignment horizontal="center" wrapText="1"/>
    </xf>
    <xf numFmtId="0" fontId="14" fillId="10" borderId="0" xfId="0" applyFont="1" applyFill="1" applyAlignment="1">
      <alignment horizontal="center" wrapText="1"/>
    </xf>
    <xf numFmtId="0" fontId="0" fillId="0" borderId="2" xfId="0" applyBorder="1" applyAlignment="1">
      <alignment horizontal="center"/>
    </xf>
    <xf numFmtId="164" fontId="19" fillId="7" borderId="1" xfId="3" applyNumberFormat="1" applyFont="1"/>
    <xf numFmtId="164" fontId="17" fillId="2" borderId="1" xfId="1" applyNumberFormat="1" applyFont="1"/>
    <xf numFmtId="9" fontId="19" fillId="7" borderId="1" xfId="3" applyNumberFormat="1" applyFont="1"/>
    <xf numFmtId="0" fontId="11" fillId="0" borderId="0" xfId="0" applyFont="1"/>
    <xf numFmtId="0" fontId="12" fillId="0" borderId="0" xfId="3" applyFont="1" applyFill="1" applyBorder="1"/>
    <xf numFmtId="0" fontId="6" fillId="0" borderId="0" xfId="1" applyFont="1" applyFill="1" applyBorder="1"/>
    <xf numFmtId="0" fontId="12" fillId="0" borderId="9" xfId="3" applyFont="1" applyFill="1" applyBorder="1"/>
    <xf numFmtId="0" fontId="6" fillId="0" borderId="9" xfId="1" applyFont="1" applyFill="1" applyBorder="1"/>
    <xf numFmtId="0" fontId="32" fillId="0" borderId="10" xfId="0" applyFont="1" applyBorder="1" applyAlignment="1">
      <alignment vertical="center" wrapText="1"/>
    </xf>
    <xf numFmtId="0" fontId="32" fillId="0" borderId="11" xfId="0" applyFont="1" applyBorder="1" applyAlignment="1">
      <alignment vertical="center" wrapText="1"/>
    </xf>
    <xf numFmtId="0" fontId="32" fillId="0" borderId="11" xfId="0" applyFont="1" applyBorder="1" applyAlignment="1">
      <alignment horizontal="center" vertical="center" wrapText="1"/>
    </xf>
    <xf numFmtId="0" fontId="33" fillId="0" borderId="12" xfId="0" applyFont="1" applyBorder="1" applyAlignment="1">
      <alignment vertical="center" wrapText="1"/>
    </xf>
    <xf numFmtId="0" fontId="30" fillId="0" borderId="13" xfId="0" applyFont="1" applyBorder="1" applyAlignment="1">
      <alignment vertical="center" wrapText="1"/>
    </xf>
    <xf numFmtId="0" fontId="30" fillId="0" borderId="13" xfId="0" applyFont="1" applyBorder="1" applyAlignment="1">
      <alignment horizontal="center" vertical="center" wrapText="1"/>
    </xf>
    <xf numFmtId="0" fontId="14" fillId="10" borderId="0" xfId="0" applyFont="1" applyFill="1" applyAlignment="1">
      <alignment horizontal="center" wrapText="1"/>
    </xf>
    <xf numFmtId="0" fontId="30" fillId="0" borderId="0" xfId="0" applyFont="1"/>
    <xf numFmtId="0" fontId="30" fillId="0" borderId="13" xfId="0" applyFont="1" applyBorder="1" applyAlignment="1">
      <alignment horizontal="left" vertical="center" wrapText="1"/>
    </xf>
    <xf numFmtId="0" fontId="32" fillId="0" borderId="17" xfId="0" applyFont="1" applyBorder="1" applyAlignment="1"/>
    <xf numFmtId="0" fontId="32" fillId="0" borderId="14" xfId="0" applyFont="1" applyBorder="1" applyAlignment="1"/>
    <xf numFmtId="0" fontId="37" fillId="0" borderId="0" xfId="0" applyFont="1"/>
    <xf numFmtId="0" fontId="1" fillId="2" borderId="1" xfId="1"/>
    <xf numFmtId="0" fontId="9" fillId="7" borderId="1" xfId="3"/>
    <xf numFmtId="0" fontId="14" fillId="0" borderId="0" xfId="0" applyFont="1"/>
    <xf numFmtId="9" fontId="9" fillId="7" borderId="1" xfId="3" applyNumberFormat="1"/>
    <xf numFmtId="2" fontId="9" fillId="7" borderId="1" xfId="3" applyNumberFormat="1"/>
    <xf numFmtId="0" fontId="14" fillId="8" borderId="0" xfId="0" applyFont="1" applyFill="1" applyAlignment="1">
      <alignment horizontal="center" wrapText="1"/>
    </xf>
    <xf numFmtId="165" fontId="9" fillId="7" borderId="1" xfId="3" applyNumberFormat="1"/>
    <xf numFmtId="9" fontId="9" fillId="7" borderId="1" xfId="5" applyFont="1" applyFill="1" applyBorder="1"/>
    <xf numFmtId="165" fontId="1" fillId="2" borderId="1" xfId="1" applyNumberFormat="1"/>
    <xf numFmtId="0" fontId="14" fillId="0" borderId="0" xfId="0" applyFont="1" applyAlignment="1">
      <alignment horizontal="right"/>
    </xf>
    <xf numFmtId="0" fontId="10" fillId="0" borderId="0" xfId="0" applyFont="1" applyAlignment="1">
      <alignment horizontal="center"/>
    </xf>
    <xf numFmtId="0" fontId="10" fillId="15" borderId="0" xfId="0" applyFont="1" applyFill="1" applyAlignment="1">
      <alignment horizontal="center"/>
    </xf>
    <xf numFmtId="164" fontId="9" fillId="7" borderId="1" xfId="2" applyNumberFormat="1" applyFont="1" applyFill="1" applyBorder="1"/>
    <xf numFmtId="164" fontId="9" fillId="7" borderId="1" xfId="3" applyNumberFormat="1"/>
    <xf numFmtId="164" fontId="1" fillId="2" borderId="1" xfId="1" applyNumberFormat="1"/>
    <xf numFmtId="166" fontId="1" fillId="2" borderId="1" xfId="1" applyNumberFormat="1"/>
    <xf numFmtId="9" fontId="1" fillId="2" borderId="1" xfId="1" applyNumberFormat="1"/>
    <xf numFmtId="2" fontId="1" fillId="2" borderId="1" xfId="1" applyNumberFormat="1"/>
    <xf numFmtId="164" fontId="1" fillId="2" borderId="1" xfId="2" applyNumberFormat="1" applyFont="1" applyFill="1" applyBorder="1"/>
    <xf numFmtId="164" fontId="35" fillId="13" borderId="1" xfId="6" applyNumberFormat="1" applyBorder="1"/>
    <xf numFmtId="164" fontId="2" fillId="14" borderId="18" xfId="7" applyNumberFormat="1"/>
    <xf numFmtId="0" fontId="35" fillId="13" borderId="1" xfId="6" applyBorder="1"/>
    <xf numFmtId="0" fontId="36" fillId="0" borderId="0" xfId="0" applyFont="1"/>
    <xf numFmtId="0" fontId="15" fillId="9" borderId="6" xfId="0" applyFont="1" applyFill="1" applyBorder="1" applyAlignment="1">
      <alignment horizontal="center" wrapText="1"/>
    </xf>
    <xf numFmtId="2" fontId="0" fillId="0" borderId="0" xfId="0" applyNumberFormat="1"/>
    <xf numFmtId="43" fontId="0" fillId="0" borderId="0" xfId="2" applyFont="1"/>
    <xf numFmtId="1" fontId="9" fillId="7" borderId="1" xfId="3" applyNumberFormat="1" applyAlignment="1">
      <alignment horizontal="center"/>
    </xf>
    <xf numFmtId="168" fontId="9" fillId="7" borderId="1" xfId="3" applyNumberFormat="1" applyAlignment="1">
      <alignment horizontal="center"/>
    </xf>
    <xf numFmtId="167" fontId="9" fillId="7" borderId="1" xfId="3" applyNumberFormat="1" applyAlignment="1">
      <alignment horizontal="center"/>
    </xf>
    <xf numFmtId="0" fontId="1" fillId="2" borderId="1" xfId="1" applyAlignment="1">
      <alignment horizontal="center"/>
    </xf>
    <xf numFmtId="9" fontId="1" fillId="2" borderId="1" xfId="1" applyNumberFormat="1" applyAlignment="1">
      <alignment horizontal="center"/>
    </xf>
    <xf numFmtId="0" fontId="9" fillId="7" borderId="1" xfId="3" applyAlignment="1">
      <alignment horizontal="center"/>
    </xf>
    <xf numFmtId="9" fontId="9" fillId="7" borderId="1" xfId="3" applyNumberFormat="1" applyAlignment="1">
      <alignment horizontal="center"/>
    </xf>
    <xf numFmtId="167" fontId="1" fillId="2" borderId="1" xfId="1" applyNumberFormat="1" applyAlignment="1">
      <alignment horizontal="center"/>
    </xf>
    <xf numFmtId="43" fontId="0" fillId="0" borderId="0" xfId="0" applyNumberFormat="1"/>
    <xf numFmtId="0" fontId="35" fillId="13" borderId="0" xfId="6"/>
    <xf numFmtId="167" fontId="35" fillId="13" borderId="0" xfId="6" applyNumberFormat="1" applyAlignment="1">
      <alignment horizontal="center"/>
    </xf>
    <xf numFmtId="167" fontId="35" fillId="13" borderId="1" xfId="6" applyNumberFormat="1" applyBorder="1" applyAlignment="1">
      <alignment horizontal="center"/>
    </xf>
    <xf numFmtId="10" fontId="1" fillId="2" borderId="1" xfId="1" applyNumberFormat="1"/>
    <xf numFmtId="9" fontId="1" fillId="2" borderId="1" xfId="5" applyFont="1" applyFill="1" applyBorder="1"/>
    <xf numFmtId="0" fontId="31" fillId="0" borderId="0" xfId="4"/>
    <xf numFmtId="1" fontId="12" fillId="7" borderId="1" xfId="3" applyNumberFormat="1" applyFont="1"/>
    <xf numFmtId="0" fontId="41" fillId="0" borderId="0" xfId="0" applyFont="1"/>
    <xf numFmtId="169" fontId="6" fillId="2" borderId="1" xfId="1" applyNumberFormat="1" applyFont="1"/>
    <xf numFmtId="43" fontId="6" fillId="2" borderId="1" xfId="2" applyFont="1" applyFill="1" applyBorder="1"/>
    <xf numFmtId="43" fontId="5" fillId="0" borderId="0" xfId="2" applyFont="1"/>
    <xf numFmtId="43" fontId="10" fillId="10" borderId="6" xfId="2" applyFont="1" applyFill="1" applyBorder="1" applyAlignment="1">
      <alignment horizontal="center" wrapText="1"/>
    </xf>
    <xf numFmtId="43" fontId="6" fillId="0" borderId="0" xfId="2" applyFont="1" applyFill="1" applyBorder="1"/>
    <xf numFmtId="43" fontId="5" fillId="0" borderId="0" xfId="2" applyFont="1" applyFill="1"/>
    <xf numFmtId="43" fontId="6" fillId="0" borderId="9" xfId="2" applyFont="1" applyFill="1" applyBorder="1"/>
    <xf numFmtId="43" fontId="6" fillId="2" borderId="1" xfId="1" applyNumberFormat="1" applyFont="1"/>
    <xf numFmtId="43" fontId="6" fillId="2" borderId="1" xfId="2" applyNumberFormat="1" applyFont="1" applyFill="1" applyBorder="1"/>
    <xf numFmtId="170" fontId="6" fillId="2" borderId="1" xfId="2" applyNumberFormat="1" applyFont="1" applyFill="1" applyBorder="1"/>
    <xf numFmtId="2" fontId="30" fillId="0" borderId="0" xfId="0" applyNumberFormat="1" applyFont="1"/>
    <xf numFmtId="0" fontId="32" fillId="0" borderId="0" xfId="0" applyFont="1"/>
    <xf numFmtId="0" fontId="30" fillId="0" borderId="0" xfId="0" applyFont="1" applyAlignment="1">
      <alignment horizontal="center"/>
    </xf>
    <xf numFmtId="0" fontId="30" fillId="0" borderId="2" xfId="0" applyFont="1" applyBorder="1" applyAlignment="1">
      <alignment horizontal="center"/>
    </xf>
    <xf numFmtId="0" fontId="30" fillId="0" borderId="2" xfId="0" applyFont="1" applyBorder="1"/>
    <xf numFmtId="0" fontId="32" fillId="0" borderId="2" xfId="0" applyFont="1" applyBorder="1" applyAlignment="1">
      <alignment horizontal="center"/>
    </xf>
    <xf numFmtId="0" fontId="32" fillId="0" borderId="0" xfId="0" applyFont="1" applyAlignment="1">
      <alignment horizontal="left"/>
    </xf>
    <xf numFmtId="43" fontId="30" fillId="0" borderId="2" xfId="2" applyFont="1" applyBorder="1" applyAlignment="1">
      <alignment horizontal="right"/>
    </xf>
    <xf numFmtId="0" fontId="30" fillId="0" borderId="0" xfId="0" applyFont="1" applyBorder="1"/>
    <xf numFmtId="0" fontId="30" fillId="0" borderId="0" xfId="0" applyFont="1" applyBorder="1" applyAlignment="1">
      <alignment horizontal="center"/>
    </xf>
    <xf numFmtId="43" fontId="30" fillId="0" borderId="0" xfId="2" applyFont="1" applyBorder="1" applyAlignment="1">
      <alignment horizontal="right"/>
    </xf>
    <xf numFmtId="9" fontId="5" fillId="0" borderId="0" xfId="5" applyFont="1"/>
    <xf numFmtId="0" fontId="42" fillId="0" borderId="0" xfId="0" applyFont="1"/>
    <xf numFmtId="0" fontId="0" fillId="0" borderId="0" xfId="0" applyFont="1"/>
    <xf numFmtId="0" fontId="43" fillId="0" borderId="0" xfId="0" applyFont="1" applyAlignment="1">
      <alignment horizontal="center"/>
    </xf>
    <xf numFmtId="0" fontId="0" fillId="8" borderId="20" xfId="0" applyFill="1" applyBorder="1"/>
    <xf numFmtId="0" fontId="0" fillId="8" borderId="20" xfId="0" applyFill="1" applyBorder="1" applyAlignment="1">
      <alignment horizontal="center" wrapText="1"/>
    </xf>
    <xf numFmtId="0" fontId="0" fillId="8" borderId="20" xfId="0" applyFill="1" applyBorder="1" applyAlignment="1">
      <alignment horizontal="center" wrapText="1"/>
    </xf>
    <xf numFmtId="0" fontId="0" fillId="8" borderId="12" xfId="0" applyFill="1" applyBorder="1"/>
    <xf numFmtId="0" fontId="0" fillId="8" borderId="12" xfId="0" applyFill="1" applyBorder="1" applyAlignment="1">
      <alignment horizontal="center"/>
    </xf>
    <xf numFmtId="0" fontId="0" fillId="8" borderId="17" xfId="0" applyFill="1" applyBorder="1"/>
    <xf numFmtId="0" fontId="0" fillId="8" borderId="14" xfId="0" applyFill="1" applyBorder="1"/>
    <xf numFmtId="0" fontId="0" fillId="8" borderId="13" xfId="0" applyFill="1" applyBorder="1" applyAlignment="1">
      <alignment horizontal="center"/>
    </xf>
    <xf numFmtId="0" fontId="0" fillId="8" borderId="17" xfId="0" applyFill="1" applyBorder="1" applyAlignment="1">
      <alignment wrapText="1"/>
    </xf>
    <xf numFmtId="171" fontId="0" fillId="0" borderId="0" xfId="0" applyNumberFormat="1"/>
    <xf numFmtId="1" fontId="0" fillId="0" borderId="0" xfId="0" applyNumberFormat="1" applyBorder="1" applyAlignment="1">
      <alignment horizontal="right"/>
    </xf>
    <xf numFmtId="171" fontId="0" fillId="0" borderId="0" xfId="0" applyNumberFormat="1" applyBorder="1"/>
    <xf numFmtId="0" fontId="44" fillId="0" borderId="0" xfId="0" applyFont="1" applyAlignment="1">
      <alignment horizontal="center" vertical="center" wrapText="1"/>
    </xf>
    <xf numFmtId="0" fontId="0" fillId="0" borderId="0" xfId="0" applyBorder="1"/>
    <xf numFmtId="0" fontId="14" fillId="0" borderId="0" xfId="0" applyFont="1" applyBorder="1"/>
    <xf numFmtId="0" fontId="0" fillId="0" borderId="6" xfId="0" applyBorder="1"/>
    <xf numFmtId="171" fontId="0" fillId="0" borderId="6" xfId="0" applyNumberFormat="1" applyBorder="1"/>
    <xf numFmtId="1" fontId="0" fillId="0" borderId="6" xfId="0" applyNumberFormat="1" applyBorder="1" applyAlignment="1">
      <alignment horizontal="right"/>
    </xf>
    <xf numFmtId="0" fontId="14" fillId="0" borderId="6" xfId="0" applyFont="1" applyBorder="1"/>
    <xf numFmtId="172" fontId="0" fillId="0" borderId="0" xfId="0" applyNumberFormat="1"/>
    <xf numFmtId="171" fontId="14" fillId="0" borderId="0" xfId="0" applyNumberFormat="1" applyFont="1"/>
    <xf numFmtId="0" fontId="0" fillId="8" borderId="0" xfId="0" applyFill="1"/>
    <xf numFmtId="0" fontId="14" fillId="8" borderId="0" xfId="0" applyFont="1" applyFill="1"/>
    <xf numFmtId="173" fontId="0" fillId="0" borderId="0" xfId="0" applyNumberFormat="1"/>
    <xf numFmtId="0" fontId="14" fillId="0" borderId="0" xfId="0" applyFont="1" applyAlignment="1">
      <alignment horizontal="left" vertical="center"/>
    </xf>
    <xf numFmtId="0" fontId="0" fillId="0" borderId="0" xfId="0" applyAlignment="1">
      <alignment horizontal="center" vertical="center" wrapText="1"/>
    </xf>
    <xf numFmtId="171" fontId="0" fillId="0" borderId="0" xfId="0" applyNumberFormat="1" applyFill="1"/>
    <xf numFmtId="0" fontId="0" fillId="0" borderId="0" xfId="0" applyBorder="1" applyAlignment="1">
      <alignment horizontal="right"/>
    </xf>
    <xf numFmtId="0" fontId="0" fillId="0" borderId="0" xfId="0" applyFill="1" applyBorder="1" applyAlignment="1"/>
    <xf numFmtId="0" fontId="0" fillId="0" borderId="0" xfId="0" applyBorder="1" applyAlignment="1">
      <alignment wrapText="1"/>
    </xf>
    <xf numFmtId="0" fontId="0" fillId="0" borderId="0" xfId="0" applyFill="1"/>
    <xf numFmtId="0" fontId="14" fillId="0" borderId="0" xfId="0" applyFont="1" applyBorder="1" applyAlignment="1">
      <alignment horizontal="left"/>
    </xf>
    <xf numFmtId="0" fontId="14" fillId="0" borderId="8" xfId="0" applyFont="1" applyBorder="1" applyAlignment="1">
      <alignment horizontal="left"/>
    </xf>
    <xf numFmtId="0" fontId="0" fillId="0" borderId="0" xfId="0" applyAlignment="1">
      <alignment horizontal="right"/>
    </xf>
    <xf numFmtId="0" fontId="0" fillId="0" borderId="0" xfId="0" applyBorder="1" applyAlignment="1"/>
    <xf numFmtId="0" fontId="14" fillId="0" borderId="0" xfId="0" applyFont="1" applyAlignment="1">
      <alignment horizontal="left"/>
    </xf>
    <xf numFmtId="9" fontId="0" fillId="0" borderId="0" xfId="5" applyFont="1"/>
    <xf numFmtId="2" fontId="40" fillId="2" borderId="19" xfId="8" applyNumberFormat="1"/>
    <xf numFmtId="43" fontId="40" fillId="2" borderId="19" xfId="8" applyNumberFormat="1"/>
    <xf numFmtId="0" fontId="9" fillId="7" borderId="1" xfId="3" applyFont="1"/>
    <xf numFmtId="0" fontId="31" fillId="0" borderId="0" xfId="4" applyFont="1"/>
    <xf numFmtId="43" fontId="1" fillId="2" borderId="1" xfId="1" applyNumberFormat="1"/>
    <xf numFmtId="0" fontId="45" fillId="0" borderId="0" xfId="0" applyFont="1"/>
    <xf numFmtId="0" fontId="43" fillId="0" borderId="0" xfId="0" applyFont="1"/>
    <xf numFmtId="0" fontId="0" fillId="8" borderId="14" xfId="0" applyFill="1" applyBorder="1" applyAlignment="1">
      <alignment wrapText="1"/>
    </xf>
    <xf numFmtId="1" fontId="0" fillId="0" borderId="6" xfId="0" applyNumberFormat="1" applyBorder="1"/>
    <xf numFmtId="167" fontId="0" fillId="0" borderId="6" xfId="0" applyNumberFormat="1" applyBorder="1" applyAlignment="1">
      <alignment horizontal="right"/>
    </xf>
    <xf numFmtId="0" fontId="0" fillId="0" borderId="8" xfId="0" applyBorder="1" applyAlignment="1">
      <alignment wrapText="1"/>
    </xf>
    <xf numFmtId="0" fontId="0" fillId="0" borderId="0" xfId="0" applyFill="1" applyAlignment="1">
      <alignment horizontal="right"/>
    </xf>
    <xf numFmtId="0" fontId="36" fillId="0" borderId="0" xfId="0" applyFont="1" applyFill="1"/>
    <xf numFmtId="174" fontId="0" fillId="0" borderId="6" xfId="5" applyNumberFormat="1" applyFont="1" applyFill="1" applyBorder="1"/>
    <xf numFmtId="0" fontId="2" fillId="16" borderId="24" xfId="0" applyFont="1" applyFill="1" applyBorder="1" applyAlignment="1">
      <alignment vertical="center"/>
    </xf>
    <xf numFmtId="0" fontId="2" fillId="16" borderId="25" xfId="0" applyFont="1" applyFill="1" applyBorder="1" applyAlignment="1"/>
    <xf numFmtId="0" fontId="2" fillId="16" borderId="25" xfId="0" applyFont="1" applyFill="1" applyBorder="1" applyAlignment="1">
      <alignment horizontal="center"/>
    </xf>
    <xf numFmtId="0" fontId="0" fillId="0" borderId="26" xfId="0" applyFont="1" applyBorder="1"/>
    <xf numFmtId="2" fontId="0" fillId="0" borderId="27" xfId="0" applyNumberFormat="1" applyFont="1" applyBorder="1"/>
    <xf numFmtId="0" fontId="46" fillId="17" borderId="28" xfId="0" applyFont="1" applyFill="1" applyBorder="1" applyAlignment="1">
      <alignment vertical="center"/>
    </xf>
    <xf numFmtId="0" fontId="46" fillId="17" borderId="29" xfId="0" applyFont="1" applyFill="1" applyBorder="1" applyAlignment="1">
      <alignment horizontal="center"/>
    </xf>
    <xf numFmtId="0" fontId="0" fillId="0" borderId="30" xfId="0" applyFont="1" applyBorder="1"/>
    <xf numFmtId="2" fontId="0" fillId="0" borderId="31" xfId="0" applyNumberFormat="1" applyFont="1" applyBorder="1"/>
    <xf numFmtId="0" fontId="46" fillId="18" borderId="29" xfId="0" applyFont="1" applyFill="1" applyBorder="1" applyAlignment="1">
      <alignment horizontal="center"/>
    </xf>
    <xf numFmtId="0" fontId="0" fillId="0" borderId="32" xfId="0" applyFont="1" applyBorder="1"/>
    <xf numFmtId="169" fontId="0" fillId="0" borderId="33" xfId="0" applyNumberFormat="1" applyFont="1" applyBorder="1"/>
    <xf numFmtId="0" fontId="0" fillId="0" borderId="34" xfId="0" applyFont="1" applyBorder="1"/>
    <xf numFmtId="169" fontId="0" fillId="0" borderId="35" xfId="0" applyNumberFormat="1" applyFont="1" applyBorder="1"/>
    <xf numFmtId="169" fontId="47" fillId="0" borderId="0" xfId="0" applyNumberFormat="1" applyFont="1"/>
    <xf numFmtId="0" fontId="0" fillId="0" borderId="36" xfId="0" applyFont="1" applyBorder="1"/>
    <xf numFmtId="2" fontId="0" fillId="0" borderId="37" xfId="0" applyNumberFormat="1" applyFont="1" applyBorder="1"/>
    <xf numFmtId="0" fontId="0" fillId="0" borderId="28" xfId="0" applyFont="1" applyFill="1" applyBorder="1"/>
    <xf numFmtId="0" fontId="0" fillId="0" borderId="38" xfId="0" applyFont="1" applyBorder="1"/>
    <xf numFmtId="169" fontId="0" fillId="0" borderId="39" xfId="0" applyNumberFormat="1" applyFont="1" applyBorder="1"/>
    <xf numFmtId="2" fontId="0" fillId="0" borderId="0" xfId="0" applyNumberFormat="1" applyFont="1"/>
    <xf numFmtId="0" fontId="0" fillId="0" borderId="40" xfId="0" applyFont="1" applyBorder="1"/>
    <xf numFmtId="2" fontId="14" fillId="0" borderId="41" xfId="0" applyNumberFormat="1" applyFont="1" applyFill="1" applyBorder="1"/>
    <xf numFmtId="2" fontId="14" fillId="0" borderId="41" xfId="0" applyNumberFormat="1" applyFont="1" applyBorder="1"/>
    <xf numFmtId="0" fontId="0" fillId="0" borderId="0" xfId="0" applyFont="1" applyFill="1" applyBorder="1"/>
    <xf numFmtId="0" fontId="48" fillId="19" borderId="42" xfId="0" applyFont="1" applyFill="1" applyBorder="1" applyAlignment="1">
      <alignment vertical="center"/>
    </xf>
    <xf numFmtId="0" fontId="48" fillId="19" borderId="43" xfId="0" applyFont="1" applyFill="1" applyBorder="1" applyAlignment="1">
      <alignment vertical="center"/>
    </xf>
    <xf numFmtId="0" fontId="48" fillId="19" borderId="44" xfId="0" applyFont="1" applyFill="1" applyBorder="1" applyAlignment="1">
      <alignment horizontal="center" vertical="center" wrapText="1"/>
    </xf>
    <xf numFmtId="0" fontId="49" fillId="0" borderId="45" xfId="0" applyFont="1" applyBorder="1" applyAlignment="1">
      <alignment vertical="center"/>
    </xf>
    <xf numFmtId="2" fontId="49" fillId="0" borderId="46" xfId="0" applyNumberFormat="1" applyFont="1" applyBorder="1" applyAlignment="1">
      <alignment horizontal="right" vertical="center"/>
    </xf>
    <xf numFmtId="2" fontId="49" fillId="0" borderId="47" xfId="0" applyNumberFormat="1" applyFont="1" applyBorder="1" applyAlignment="1">
      <alignment horizontal="right" vertical="center" wrapText="1"/>
    </xf>
    <xf numFmtId="0" fontId="49" fillId="0" borderId="47" xfId="0" applyFont="1" applyBorder="1" applyAlignment="1">
      <alignment horizontal="right" vertical="center" wrapText="1"/>
    </xf>
    <xf numFmtId="0" fontId="49" fillId="0" borderId="48" xfId="0" applyFont="1" applyBorder="1" applyAlignment="1">
      <alignment vertical="center"/>
    </xf>
    <xf numFmtId="0" fontId="49" fillId="0" borderId="49" xfId="0" applyFont="1" applyBorder="1" applyAlignment="1">
      <alignment horizontal="right" vertical="center" wrapText="1"/>
    </xf>
    <xf numFmtId="2" fontId="49" fillId="0" borderId="49" xfId="0" applyNumberFormat="1" applyFont="1" applyBorder="1" applyAlignment="1">
      <alignment horizontal="right" vertical="center" wrapText="1"/>
    </xf>
    <xf numFmtId="0" fontId="23" fillId="0" borderId="0" xfId="0" applyFont="1" applyBorder="1" applyAlignment="1">
      <alignment vertical="center"/>
    </xf>
    <xf numFmtId="2" fontId="49" fillId="0" borderId="0" xfId="0" applyNumberFormat="1" applyFont="1" applyBorder="1" applyAlignment="1">
      <alignment horizontal="right" vertical="center"/>
    </xf>
    <xf numFmtId="2" fontId="49" fillId="0" borderId="0" xfId="0" applyNumberFormat="1" applyFont="1" applyBorder="1" applyAlignment="1">
      <alignment horizontal="right" vertical="center" wrapText="1"/>
    </xf>
    <xf numFmtId="0" fontId="49" fillId="0" borderId="0" xfId="0" applyFont="1" applyBorder="1" applyAlignment="1">
      <alignment horizontal="right" vertical="center" wrapText="1"/>
    </xf>
    <xf numFmtId="0" fontId="49" fillId="0" borderId="0" xfId="0" applyFont="1"/>
    <xf numFmtId="164" fontId="19" fillId="7" borderId="1" xfId="2" applyNumberFormat="1" applyFont="1" applyFill="1" applyBorder="1"/>
    <xf numFmtId="0" fontId="32" fillId="0" borderId="15" xfId="0" applyFont="1" applyBorder="1" applyAlignment="1">
      <alignment horizontal="center"/>
    </xf>
    <xf numFmtId="0" fontId="32" fillId="0" borderId="16" xfId="0" applyFont="1" applyBorder="1" applyAlignment="1">
      <alignment horizontal="center"/>
    </xf>
    <xf numFmtId="0" fontId="14" fillId="10" borderId="0" xfId="0" applyFont="1" applyFill="1" applyAlignment="1">
      <alignment horizontal="center" wrapText="1"/>
    </xf>
    <xf numFmtId="0" fontId="14" fillId="10" borderId="2" xfId="0" applyFont="1" applyFill="1" applyBorder="1" applyAlignment="1">
      <alignment horizontal="center" wrapText="1"/>
    </xf>
    <xf numFmtId="0" fontId="14" fillId="8" borderId="20" xfId="0" applyFont="1" applyFill="1" applyBorder="1" applyAlignment="1">
      <alignment horizontal="center" wrapText="1"/>
    </xf>
    <xf numFmtId="0" fontId="14" fillId="8" borderId="12" xfId="0" applyFont="1" applyFill="1" applyBorder="1" applyAlignment="1">
      <alignment horizontal="center" wrapText="1"/>
    </xf>
    <xf numFmtId="0" fontId="44" fillId="0" borderId="22" xfId="0" applyFont="1" applyBorder="1" applyAlignment="1">
      <alignment horizontal="center" vertical="center" wrapText="1"/>
    </xf>
    <xf numFmtId="0" fontId="44" fillId="0" borderId="0" xfId="0" applyFont="1" applyBorder="1" applyAlignment="1">
      <alignment horizontal="center" vertical="center" wrapText="1"/>
    </xf>
    <xf numFmtId="0" fontId="44" fillId="0" borderId="0" xfId="0" applyFont="1" applyAlignment="1">
      <alignment horizontal="center" vertical="center" wrapText="1"/>
    </xf>
    <xf numFmtId="0" fontId="0" fillId="8" borderId="21" xfId="0" applyFill="1" applyBorder="1" applyAlignment="1">
      <alignment horizontal="center"/>
    </xf>
    <xf numFmtId="0" fontId="0" fillId="8" borderId="22" xfId="0" applyFill="1" applyBorder="1" applyAlignment="1">
      <alignment horizontal="center"/>
    </xf>
    <xf numFmtId="0" fontId="0" fillId="8" borderId="23" xfId="0" applyFill="1" applyBorder="1" applyAlignment="1">
      <alignment horizontal="center"/>
    </xf>
    <xf numFmtId="0" fontId="0" fillId="8" borderId="20" xfId="0" applyFill="1" applyBorder="1" applyAlignment="1">
      <alignment horizontal="center" wrapText="1"/>
    </xf>
    <xf numFmtId="0" fontId="0" fillId="8" borderId="12" xfId="0" applyFill="1" applyBorder="1" applyAlignment="1">
      <alignment horizont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5" fillId="5" borderId="3" xfId="0" applyFont="1" applyFill="1" applyBorder="1" applyAlignment="1">
      <alignment horizontal="left"/>
    </xf>
    <xf numFmtId="0" fontId="5" fillId="5" borderId="4" xfId="0" applyFont="1" applyFill="1" applyBorder="1" applyAlignment="1">
      <alignment horizontal="left"/>
    </xf>
    <xf numFmtId="0" fontId="5" fillId="5" borderId="5" xfId="0" applyFont="1" applyFill="1" applyBorder="1" applyAlignment="1">
      <alignment horizontal="left"/>
    </xf>
    <xf numFmtId="0" fontId="5" fillId="5" borderId="3" xfId="0" applyFont="1" applyFill="1" applyBorder="1" applyAlignment="1">
      <alignment horizontal="center"/>
    </xf>
    <xf numFmtId="0" fontId="5" fillId="5" borderId="5" xfId="0" applyFont="1" applyFill="1" applyBorder="1" applyAlignment="1">
      <alignment horizontal="center"/>
    </xf>
    <xf numFmtId="0" fontId="10" fillId="9" borderId="4" xfId="0" applyFont="1" applyFill="1" applyBorder="1" applyAlignment="1">
      <alignment horizontal="center"/>
    </xf>
    <xf numFmtId="0" fontId="7" fillId="5" borderId="3" xfId="0" applyFont="1" applyFill="1" applyBorder="1" applyAlignment="1">
      <alignment horizontal="left"/>
    </xf>
    <xf numFmtId="0" fontId="7" fillId="5" borderId="4" xfId="0" applyFont="1" applyFill="1" applyBorder="1" applyAlignment="1">
      <alignment horizontal="left"/>
    </xf>
    <xf numFmtId="0" fontId="7" fillId="5" borderId="5" xfId="0" applyFont="1" applyFill="1" applyBorder="1" applyAlignment="1">
      <alignment horizontal="left"/>
    </xf>
    <xf numFmtId="0" fontId="7" fillId="5" borderId="3" xfId="0" applyFont="1" applyFill="1" applyBorder="1" applyAlignment="1">
      <alignment horizontal="center"/>
    </xf>
    <xf numFmtId="0" fontId="7" fillId="5" borderId="5" xfId="0" applyFont="1" applyFill="1" applyBorder="1" applyAlignment="1">
      <alignment horizontal="center"/>
    </xf>
    <xf numFmtId="0" fontId="15" fillId="9" borderId="4" xfId="0" applyFont="1" applyFill="1" applyBorder="1" applyAlignment="1">
      <alignment horizontal="center" wrapText="1"/>
    </xf>
    <xf numFmtId="0" fontId="21" fillId="4" borderId="3" xfId="0" applyFont="1" applyFill="1" applyBorder="1" applyAlignment="1">
      <alignment horizontal="center" vertical="center" wrapText="1"/>
    </xf>
    <xf numFmtId="0" fontId="21" fillId="4" borderId="4" xfId="0" applyFont="1" applyFill="1" applyBorder="1" applyAlignment="1">
      <alignment horizontal="center" vertical="center" wrapText="1"/>
    </xf>
    <xf numFmtId="0" fontId="21" fillId="4" borderId="5" xfId="0" applyFont="1" applyFill="1" applyBorder="1" applyAlignment="1">
      <alignment horizontal="center" vertical="center" wrapText="1"/>
    </xf>
    <xf numFmtId="0" fontId="16" fillId="5" borderId="3" xfId="0" applyFont="1" applyFill="1" applyBorder="1" applyAlignment="1">
      <alignment horizontal="left"/>
    </xf>
    <xf numFmtId="0" fontId="16" fillId="5" borderId="4" xfId="0" applyFont="1" applyFill="1" applyBorder="1" applyAlignment="1">
      <alignment horizontal="left"/>
    </xf>
    <xf numFmtId="0" fontId="16" fillId="5" borderId="5" xfId="0" applyFont="1" applyFill="1" applyBorder="1" applyAlignment="1">
      <alignment horizontal="left"/>
    </xf>
    <xf numFmtId="0" fontId="16" fillId="5" borderId="3" xfId="0" applyFont="1" applyFill="1" applyBorder="1" applyAlignment="1">
      <alignment horizontal="center"/>
    </xf>
    <xf numFmtId="0" fontId="16" fillId="5" borderId="5" xfId="0" applyFont="1" applyFill="1" applyBorder="1" applyAlignment="1">
      <alignment horizontal="center"/>
    </xf>
    <xf numFmtId="0" fontId="23" fillId="6" borderId="3" xfId="0" applyFont="1" applyFill="1" applyBorder="1" applyAlignment="1">
      <alignment horizontal="left"/>
    </xf>
    <xf numFmtId="0" fontId="23" fillId="6" borderId="4" xfId="0" applyFont="1" applyFill="1" applyBorder="1" applyAlignment="1">
      <alignment horizontal="left"/>
    </xf>
    <xf numFmtId="0" fontId="16" fillId="6" borderId="3" xfId="0" applyFont="1" applyFill="1" applyBorder="1" applyAlignment="1">
      <alignment horizontal="center"/>
    </xf>
    <xf numFmtId="0" fontId="16" fillId="6" borderId="5" xfId="0" applyFont="1" applyFill="1" applyBorder="1" applyAlignment="1">
      <alignment horizontal="center"/>
    </xf>
    <xf numFmtId="0" fontId="15" fillId="9" borderId="7" xfId="0" applyFont="1" applyFill="1" applyBorder="1" applyAlignment="1">
      <alignment horizontal="center" wrapText="1"/>
    </xf>
    <xf numFmtId="0" fontId="15" fillId="9" borderId="6" xfId="0" applyFont="1" applyFill="1" applyBorder="1" applyAlignment="1">
      <alignment horizontal="center" wrapText="1"/>
    </xf>
    <xf numFmtId="0" fontId="23" fillId="5" borderId="3" xfId="0" applyFont="1" applyFill="1" applyBorder="1" applyAlignment="1">
      <alignment horizontal="left"/>
    </xf>
    <xf numFmtId="0" fontId="23" fillId="5" borderId="4" xfId="0" applyFont="1" applyFill="1" applyBorder="1" applyAlignment="1">
      <alignment horizontal="left"/>
    </xf>
    <xf numFmtId="0" fontId="23" fillId="5" borderId="3" xfId="0" applyFont="1" applyFill="1" applyBorder="1" applyAlignment="1">
      <alignment horizontal="center"/>
    </xf>
    <xf numFmtId="0" fontId="23" fillId="5" borderId="5" xfId="0" applyFont="1" applyFill="1" applyBorder="1" applyAlignment="1">
      <alignment horizontal="center"/>
    </xf>
  </cellXfs>
  <cellStyles count="9">
    <cellStyle name="Bad" xfId="6" builtinId="27"/>
    <cellStyle name="Calculation" xfId="1" builtinId="22"/>
    <cellStyle name="Check Cell" xfId="7" builtinId="23"/>
    <cellStyle name="Comma" xfId="2" builtinId="3"/>
    <cellStyle name="Hyperlink" xfId="4" builtinId="8"/>
    <cellStyle name="Input" xfId="3" builtinId="20"/>
    <cellStyle name="Normal" xfId="0" builtinId="0"/>
    <cellStyle name="Output" xfId="8" builtinId="21"/>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it%20costs_2018_IND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iammetta/Filr/My%20Files/TransferFiles/TB%20in%20SA/Constraints/Constraints%20model%20assumptions%20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for Susmita"/>
      <sheetName val="Patient cost studies"/>
      <sheetName val="Cost Model All"/>
      <sheetName val="Diagnostic"/>
      <sheetName val="Drug regimens"/>
      <sheetName val="DS Treatment"/>
      <sheetName val="MDR Treatment"/>
      <sheetName val="TB Literature"/>
    </sheetNames>
    <sheetDataSet>
      <sheetData sheetId="0">
        <row r="1">
          <cell r="B1">
            <v>65.400000000000006</v>
          </cell>
        </row>
      </sheetData>
      <sheetData sheetId="1"/>
      <sheetData sheetId="2"/>
      <sheetData sheetId="3">
        <row r="8">
          <cell r="B8">
            <v>1.0083938167770914</v>
          </cell>
        </row>
      </sheetData>
      <sheetData sheetId="4">
        <row r="41">
          <cell r="H41">
            <v>824.87899999999991</v>
          </cell>
        </row>
      </sheetData>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model"/>
      <sheetName val="HR constraint"/>
      <sheetName val="HR Option A "/>
      <sheetName val="HR Option B"/>
      <sheetName val="Budget constraint"/>
      <sheetName val="Number of Xperts"/>
      <sheetName val="Nurse training"/>
      <sheetName val="Cost of training"/>
    </sheetNames>
    <sheetDataSet>
      <sheetData sheetId="0"/>
      <sheetData sheetId="1"/>
      <sheetData sheetId="2">
        <row r="21">
          <cell r="B21">
            <v>223</v>
          </cell>
        </row>
        <row r="29">
          <cell r="L29">
            <v>480</v>
          </cell>
        </row>
      </sheetData>
      <sheetData sheetId="3"/>
      <sheetData sheetId="4"/>
      <sheetData sheetId="5"/>
      <sheetData sheetId="6">
        <row r="47">
          <cell r="G47">
            <v>0.94</v>
          </cell>
        </row>
      </sheetData>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0659FB-8D55-44DA-8A1C-8C7E1A6EAF27}" name="Table1" displayName="Table1" ref="A21:A24" totalsRowShown="0">
  <autoFilter ref="A21:A24" xr:uid="{FE54E183-D942-4C80-A5C7-73AD9C089479}"/>
  <tableColumns count="1">
    <tableColumn id="1" xr3:uid="{D15D4A8E-A22A-4E01-B96B-E13FC30EDC33}" name="Vaccine candidate scenario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oanda.com/currency/average"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tbcindia.gov.in/index1.php?lang=1&amp;level=2&amp;sublinkid=4682&amp;lid=3248"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databank.worldbank.org/data/reports.aspx?source=2&amp;series=NY.GDP.DEFL.KD.ZG&amp;country=" TargetMode="External"/><Relationship Id="rId1" Type="http://schemas.openxmlformats.org/officeDocument/2006/relationships/hyperlink" Target="https://data.gov.in/catalog/all-india-consumer-price-index-ruralurban"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E1534-D3E8-4FDF-8FCC-154145DF2309}">
  <sheetPr>
    <tabColor theme="4" tint="-0.499984740745262"/>
  </sheetPr>
  <dimension ref="A1:B24"/>
  <sheetViews>
    <sheetView workbookViewId="0">
      <selection activeCell="B3" sqref="B3"/>
    </sheetView>
  </sheetViews>
  <sheetFormatPr defaultRowHeight="14.4" x14ac:dyDescent="0.3"/>
  <cols>
    <col min="1" max="1" width="24.33203125" customWidth="1"/>
  </cols>
  <sheetData>
    <row r="1" spans="1:2" x14ac:dyDescent="0.3">
      <c r="A1" t="s">
        <v>0</v>
      </c>
    </row>
    <row r="2" spans="1:2" x14ac:dyDescent="0.3">
      <c r="A2">
        <v>1</v>
      </c>
      <c r="B2" t="s">
        <v>1</v>
      </c>
    </row>
    <row r="3" spans="1:2" x14ac:dyDescent="0.3">
      <c r="A3">
        <v>2</v>
      </c>
      <c r="B3" t="s">
        <v>2</v>
      </c>
    </row>
    <row r="4" spans="1:2" x14ac:dyDescent="0.3">
      <c r="A4">
        <v>3</v>
      </c>
      <c r="B4" t="s">
        <v>3</v>
      </c>
    </row>
    <row r="6" spans="1:2" x14ac:dyDescent="0.3">
      <c r="A6" t="s">
        <v>5</v>
      </c>
    </row>
    <row r="7" spans="1:2" x14ac:dyDescent="0.3">
      <c r="A7">
        <v>1</v>
      </c>
      <c r="B7" t="s">
        <v>6</v>
      </c>
    </row>
    <row r="8" spans="1:2" x14ac:dyDescent="0.3">
      <c r="A8">
        <v>2</v>
      </c>
      <c r="B8" t="s">
        <v>7</v>
      </c>
    </row>
    <row r="9" spans="1:2" x14ac:dyDescent="0.3">
      <c r="A9">
        <v>3</v>
      </c>
      <c r="B9" t="s">
        <v>8</v>
      </c>
    </row>
    <row r="11" spans="1:2" x14ac:dyDescent="0.3">
      <c r="A11" t="s">
        <v>4</v>
      </c>
    </row>
    <row r="12" spans="1:2" x14ac:dyDescent="0.3">
      <c r="A12">
        <v>1</v>
      </c>
      <c r="B12" t="s">
        <v>9</v>
      </c>
    </row>
    <row r="13" spans="1:2" x14ac:dyDescent="0.3">
      <c r="A13">
        <v>2</v>
      </c>
      <c r="B13" t="s">
        <v>10</v>
      </c>
    </row>
    <row r="14" spans="1:2" x14ac:dyDescent="0.3">
      <c r="A14">
        <v>3</v>
      </c>
      <c r="B14" t="s">
        <v>11</v>
      </c>
    </row>
    <row r="16" spans="1:2" x14ac:dyDescent="0.3">
      <c r="A16" t="s">
        <v>12</v>
      </c>
    </row>
    <row r="17" spans="1:2" x14ac:dyDescent="0.3">
      <c r="A17">
        <v>1</v>
      </c>
      <c r="B17" t="s">
        <v>13</v>
      </c>
    </row>
    <row r="18" spans="1:2" x14ac:dyDescent="0.3">
      <c r="A18">
        <v>2</v>
      </c>
      <c r="B18" t="s">
        <v>14</v>
      </c>
    </row>
    <row r="19" spans="1:2" x14ac:dyDescent="0.3">
      <c r="A19">
        <v>3</v>
      </c>
      <c r="B19" t="s">
        <v>15</v>
      </c>
    </row>
    <row r="21" spans="1:2" x14ac:dyDescent="0.3">
      <c r="A21" t="s">
        <v>132</v>
      </c>
    </row>
    <row r="22" spans="1:2" x14ac:dyDescent="0.3">
      <c r="A22" t="s">
        <v>129</v>
      </c>
    </row>
    <row r="23" spans="1:2" x14ac:dyDescent="0.3">
      <c r="A23" t="s">
        <v>218</v>
      </c>
    </row>
    <row r="24" spans="1:2" x14ac:dyDescent="0.3">
      <c r="A24" t="s">
        <v>131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BB51F-8D00-45F5-80C7-FAF18400C339}">
  <sheetPr>
    <tabColor theme="5"/>
  </sheetPr>
  <dimension ref="A1:N38"/>
  <sheetViews>
    <sheetView showGridLines="0" workbookViewId="0">
      <pane ySplit="9" topLeftCell="A10" activePane="bottomLeft" state="frozen"/>
      <selection pane="bottomLeft" activeCell="L37" sqref="L37"/>
    </sheetView>
  </sheetViews>
  <sheetFormatPr defaultRowHeight="10.199999999999999" x14ac:dyDescent="0.2"/>
  <cols>
    <col min="1" max="1" width="37.21875" style="20" customWidth="1"/>
    <col min="2" max="2" width="11.109375" style="20" customWidth="1"/>
    <col min="3" max="3" width="14" style="20" customWidth="1"/>
    <col min="4" max="4" width="11.109375" style="20" customWidth="1"/>
    <col min="5" max="6" width="14" style="20" customWidth="1"/>
    <col min="7" max="7" width="11.109375" style="20" customWidth="1"/>
    <col min="8" max="9" width="14" style="20" customWidth="1"/>
    <col min="10" max="10" width="11.109375" style="20" customWidth="1"/>
    <col min="11" max="12" width="14" style="20" customWidth="1"/>
    <col min="13" max="13" width="11.109375" style="20" customWidth="1"/>
    <col min="14" max="14" width="14" style="20" customWidth="1"/>
    <col min="15" max="16384" width="8.88671875" style="20"/>
  </cols>
  <sheetData>
    <row r="1" spans="1:14" ht="20.399999999999999" x14ac:dyDescent="0.2">
      <c r="A1" s="31" t="s">
        <v>16</v>
      </c>
      <c r="B1" s="266" t="s">
        <v>49</v>
      </c>
      <c r="C1" s="267"/>
      <c r="D1" s="267"/>
      <c r="E1" s="267"/>
      <c r="F1" s="266" t="s">
        <v>19</v>
      </c>
      <c r="G1" s="268"/>
      <c r="H1" s="31" t="s">
        <v>27</v>
      </c>
    </row>
    <row r="2" spans="1:14" x14ac:dyDescent="0.2">
      <c r="A2" s="32" t="s">
        <v>99</v>
      </c>
      <c r="B2" s="269"/>
      <c r="C2" s="270"/>
      <c r="D2" s="270"/>
      <c r="E2" s="270"/>
      <c r="F2" s="272" t="s">
        <v>123</v>
      </c>
      <c r="G2" s="273"/>
      <c r="H2" s="33">
        <f>E38/('TB drug regimens'!D5+'TB drug regimens'!D6)</f>
        <v>23.484366308830502</v>
      </c>
    </row>
    <row r="3" spans="1:14" x14ac:dyDescent="0.2">
      <c r="A3" s="34" t="s">
        <v>100</v>
      </c>
      <c r="B3" s="274"/>
      <c r="C3" s="275"/>
      <c r="D3" s="275"/>
      <c r="E3" s="275"/>
      <c r="F3" s="276" t="s">
        <v>123</v>
      </c>
      <c r="G3" s="277"/>
      <c r="H3" s="33">
        <f>H38/('TB drug regimens'!D10+'TB drug regimens'!D16)</f>
        <v>190.96703289264715</v>
      </c>
    </row>
    <row r="4" spans="1:14" x14ac:dyDescent="0.2">
      <c r="A4" s="32" t="s">
        <v>101</v>
      </c>
      <c r="B4" s="280"/>
      <c r="C4" s="281"/>
      <c r="D4" s="281"/>
      <c r="E4" s="281"/>
      <c r="F4" s="282" t="s">
        <v>123</v>
      </c>
      <c r="G4" s="283"/>
      <c r="H4" s="33">
        <f>K38/('TB drug regimens'!D23+'TB drug regimens'!D31)</f>
        <v>107.95398333333335</v>
      </c>
    </row>
    <row r="5" spans="1:14" x14ac:dyDescent="0.2">
      <c r="A5" s="34" t="s">
        <v>102</v>
      </c>
      <c r="B5" s="274"/>
      <c r="C5" s="275"/>
      <c r="D5" s="275"/>
      <c r="E5" s="275"/>
      <c r="F5" s="276" t="s">
        <v>123</v>
      </c>
      <c r="G5" s="277"/>
      <c r="H5" s="33">
        <f>N38/('TB drug regimens'!D10+'TB drug regimens'!D16)</f>
        <v>194.84748289264715</v>
      </c>
    </row>
    <row r="7" spans="1:14" ht="12.6" customHeight="1" x14ac:dyDescent="0.2">
      <c r="A7" s="27"/>
      <c r="B7" s="27"/>
      <c r="C7" s="28"/>
      <c r="D7" s="278" t="s">
        <v>103</v>
      </c>
      <c r="E7" s="278"/>
      <c r="F7" s="278" t="s">
        <v>104</v>
      </c>
      <c r="G7" s="278"/>
      <c r="H7" s="278"/>
      <c r="I7" s="278" t="s">
        <v>469</v>
      </c>
      <c r="J7" s="278"/>
      <c r="K7" s="278"/>
      <c r="L7" s="278" t="s">
        <v>124</v>
      </c>
      <c r="M7" s="278"/>
      <c r="N7" s="278"/>
    </row>
    <row r="8" spans="1:14" ht="13.2" customHeight="1" x14ac:dyDescent="0.2">
      <c r="A8" s="16"/>
      <c r="B8" s="16"/>
      <c r="C8" s="17"/>
      <c r="D8" s="17"/>
      <c r="E8" s="17"/>
      <c r="F8" s="100"/>
      <c r="G8" s="279"/>
      <c r="H8" s="279"/>
      <c r="I8" s="100"/>
      <c r="J8" s="279"/>
      <c r="K8" s="279"/>
      <c r="L8" s="100"/>
      <c r="M8" s="279"/>
      <c r="N8" s="279"/>
    </row>
    <row r="9" spans="1:14" x14ac:dyDescent="0.2">
      <c r="A9" s="18"/>
      <c r="B9" s="19" t="s">
        <v>44</v>
      </c>
      <c r="C9" s="19" t="s">
        <v>40</v>
      </c>
      <c r="D9" s="19" t="s">
        <v>41</v>
      </c>
      <c r="E9" s="19" t="s">
        <v>42</v>
      </c>
      <c r="F9" s="19" t="s">
        <v>40</v>
      </c>
      <c r="G9" s="19" t="s">
        <v>41</v>
      </c>
      <c r="H9" s="19" t="s">
        <v>42</v>
      </c>
      <c r="I9" s="19" t="s">
        <v>40</v>
      </c>
      <c r="J9" s="19" t="s">
        <v>41</v>
      </c>
      <c r="K9" s="19" t="s">
        <v>42</v>
      </c>
      <c r="L9" s="19" t="s">
        <v>40</v>
      </c>
      <c r="M9" s="19" t="s">
        <v>41</v>
      </c>
      <c r="N9" s="19" t="s">
        <v>42</v>
      </c>
    </row>
    <row r="10" spans="1:14" x14ac:dyDescent="0.2">
      <c r="A10" s="20" t="s">
        <v>463</v>
      </c>
      <c r="B10" s="24"/>
      <c r="C10" s="21">
        <f>'DS Treatment'!J6*deflator</f>
        <v>22.241074004081625</v>
      </c>
      <c r="D10" s="57">
        <v>1</v>
      </c>
      <c r="E10" s="21">
        <f>C10*D10</f>
        <v>22.241074004081625</v>
      </c>
      <c r="F10" s="21">
        <f>'MDR Treatment'!L10*deflator</f>
        <v>178.94309909698057</v>
      </c>
      <c r="G10" s="57">
        <v>1</v>
      </c>
      <c r="H10" s="21">
        <f>F10*G10</f>
        <v>178.94309909698057</v>
      </c>
      <c r="I10" s="58"/>
      <c r="J10" s="57"/>
      <c r="K10" s="21">
        <f>I10*J10</f>
        <v>0</v>
      </c>
      <c r="L10" s="21">
        <f>F10</f>
        <v>178.94309909698057</v>
      </c>
      <c r="M10" s="236">
        <f>G10</f>
        <v>1</v>
      </c>
      <c r="N10" s="21">
        <f>L10*M10</f>
        <v>178.94309909698057</v>
      </c>
    </row>
    <row r="11" spans="1:14" x14ac:dyDescent="0.2">
      <c r="A11" s="20" t="s">
        <v>105</v>
      </c>
      <c r="B11" s="24"/>
      <c r="C11" s="21"/>
      <c r="D11" s="57"/>
      <c r="E11" s="21">
        <f t="shared" ref="E11:E37" si="0">C11*D11</f>
        <v>0</v>
      </c>
      <c r="F11" s="21">
        <f>'MDR Treatment'!E6*deflator</f>
        <v>1.9954128338766632</v>
      </c>
      <c r="G11" s="57">
        <f>'MDR Treatment'!D6</f>
        <v>144</v>
      </c>
      <c r="H11" s="21">
        <f t="shared" ref="H11:H37" si="1">F11*G11</f>
        <v>287.33944807823951</v>
      </c>
      <c r="I11" s="21"/>
      <c r="J11" s="39"/>
      <c r="K11" s="21">
        <f t="shared" ref="K11:K37" si="2">I11*J11</f>
        <v>0</v>
      </c>
      <c r="L11" s="21">
        <f t="shared" ref="L11:L37" si="3">F11</f>
        <v>1.9954128338766632</v>
      </c>
      <c r="M11" s="236">
        <f t="shared" ref="M11:M36" si="4">G11</f>
        <v>144</v>
      </c>
      <c r="N11" s="21">
        <f t="shared" ref="N11:N37" si="5">L11*M11</f>
        <v>287.33944807823951</v>
      </c>
    </row>
    <row r="12" spans="1:14" x14ac:dyDescent="0.2">
      <c r="A12" s="20" t="s">
        <v>106</v>
      </c>
      <c r="B12" s="24"/>
      <c r="C12" s="21"/>
      <c r="D12" s="57"/>
      <c r="E12" s="21">
        <f t="shared" si="0"/>
        <v>0</v>
      </c>
      <c r="F12" s="21">
        <f>'MDR Treatment'!E8*deflator</f>
        <v>1.9954128338766632</v>
      </c>
      <c r="G12" s="57">
        <f>'MDR Treatment'!D8</f>
        <v>72</v>
      </c>
      <c r="H12" s="21">
        <f t="shared" si="1"/>
        <v>143.66972403911976</v>
      </c>
      <c r="I12" s="21"/>
      <c r="J12" s="57"/>
      <c r="K12" s="21">
        <f t="shared" si="2"/>
        <v>0</v>
      </c>
      <c r="L12" s="21">
        <f t="shared" si="3"/>
        <v>1.9954128338766632</v>
      </c>
      <c r="M12" s="236">
        <f t="shared" si="4"/>
        <v>72</v>
      </c>
      <c r="N12" s="21">
        <f t="shared" si="5"/>
        <v>143.66972403911976</v>
      </c>
    </row>
    <row r="13" spans="1:14" x14ac:dyDescent="0.2">
      <c r="A13" s="20" t="s">
        <v>107</v>
      </c>
      <c r="B13" s="24"/>
      <c r="C13" s="21">
        <f>'DS Treatment'!E6*deflator</f>
        <v>1.9954128338766632</v>
      </c>
      <c r="D13" s="57">
        <f>'DS Treatment'!D6</f>
        <v>24</v>
      </c>
      <c r="E13" s="21">
        <f t="shared" si="0"/>
        <v>47.889908013039914</v>
      </c>
      <c r="F13" s="21"/>
      <c r="G13" s="39"/>
      <c r="H13" s="21">
        <f t="shared" si="1"/>
        <v>0</v>
      </c>
      <c r="I13" s="21"/>
      <c r="J13" s="39"/>
      <c r="K13" s="21">
        <f t="shared" si="2"/>
        <v>0</v>
      </c>
      <c r="L13" s="21">
        <f t="shared" si="3"/>
        <v>0</v>
      </c>
      <c r="M13" s="236"/>
      <c r="N13" s="21">
        <f t="shared" si="5"/>
        <v>0</v>
      </c>
    </row>
    <row r="14" spans="1:14" x14ac:dyDescent="0.2">
      <c r="A14" s="20" t="s">
        <v>108</v>
      </c>
      <c r="B14" s="24"/>
      <c r="C14" s="21">
        <f>'DS Treatment'!E8*deflator</f>
        <v>1.9954128338766632</v>
      </c>
      <c r="D14" s="57">
        <f>'DS Treatment'!D8</f>
        <v>16</v>
      </c>
      <c r="E14" s="21">
        <f t="shared" si="0"/>
        <v>31.926605342026612</v>
      </c>
      <c r="F14" s="21"/>
      <c r="G14" s="57"/>
      <c r="H14" s="21">
        <f t="shared" si="1"/>
        <v>0</v>
      </c>
      <c r="I14" s="21"/>
      <c r="J14" s="57"/>
      <c r="K14" s="21">
        <f t="shared" si="2"/>
        <v>0</v>
      </c>
      <c r="L14" s="21">
        <f t="shared" si="3"/>
        <v>0</v>
      </c>
      <c r="M14" s="236"/>
      <c r="N14" s="21">
        <f t="shared" si="5"/>
        <v>0</v>
      </c>
    </row>
    <row r="15" spans="1:14" x14ac:dyDescent="0.2">
      <c r="A15" s="20" t="s">
        <v>109</v>
      </c>
      <c r="B15" s="24"/>
      <c r="C15" s="21">
        <f>'DS Treatment'!E7*deflator</f>
        <v>2.4637834762441781</v>
      </c>
      <c r="D15" s="57">
        <f>'DS Treatment'!D7+'DS Treatment'!D9</f>
        <v>2</v>
      </c>
      <c r="E15" s="21">
        <f t="shared" si="0"/>
        <v>4.9275669524883563</v>
      </c>
      <c r="F15" s="21">
        <f>'MDR Treatment'!E8*deflator</f>
        <v>1.9954128338766632</v>
      </c>
      <c r="G15" s="57">
        <f>'MDR Treatment'!D7+'MDR Treatment'!D9</f>
        <v>9.8000000000000007</v>
      </c>
      <c r="H15" s="21">
        <f t="shared" si="1"/>
        <v>19.555045771991303</v>
      </c>
      <c r="I15" s="21"/>
      <c r="J15" s="57"/>
      <c r="K15" s="21">
        <f t="shared" si="2"/>
        <v>0</v>
      </c>
      <c r="L15" s="21">
        <f t="shared" si="3"/>
        <v>1.9954128338766632</v>
      </c>
      <c r="M15" s="236">
        <f t="shared" si="4"/>
        <v>9.8000000000000007</v>
      </c>
      <c r="N15" s="21">
        <f t="shared" si="5"/>
        <v>19.555045771991303</v>
      </c>
    </row>
    <row r="16" spans="1:14" x14ac:dyDescent="0.2">
      <c r="A16" s="20" t="s">
        <v>110</v>
      </c>
      <c r="B16" s="24"/>
      <c r="C16" s="21"/>
      <c r="D16" s="57"/>
      <c r="E16" s="21">
        <f t="shared" si="0"/>
        <v>0</v>
      </c>
      <c r="F16" s="21"/>
      <c r="G16" s="57"/>
      <c r="H16" s="21">
        <f t="shared" si="1"/>
        <v>0</v>
      </c>
      <c r="I16" s="21"/>
      <c r="J16" s="57"/>
      <c r="K16" s="21">
        <f t="shared" si="2"/>
        <v>0</v>
      </c>
      <c r="L16" s="21">
        <f t="shared" si="3"/>
        <v>0</v>
      </c>
      <c r="M16" s="236"/>
      <c r="N16" s="21">
        <f t="shared" si="5"/>
        <v>0</v>
      </c>
    </row>
    <row r="17" spans="1:14" x14ac:dyDescent="0.2">
      <c r="A17" s="20" t="s">
        <v>111</v>
      </c>
      <c r="B17" s="24"/>
      <c r="C17" s="21">
        <f>'DS Treatment'!H7*deflator</f>
        <v>1.050521770673251</v>
      </c>
      <c r="D17" s="57">
        <f>'DS Treatment'!G7+'DS Treatment'!G9</f>
        <v>2</v>
      </c>
      <c r="E17" s="21">
        <f t="shared" si="0"/>
        <v>2.1010435413465021</v>
      </c>
      <c r="F17" s="21"/>
      <c r="G17" s="57"/>
      <c r="H17" s="21">
        <f t="shared" si="1"/>
        <v>0</v>
      </c>
      <c r="I17" s="21"/>
      <c r="J17" s="57"/>
      <c r="K17" s="21">
        <f t="shared" si="2"/>
        <v>0</v>
      </c>
      <c r="L17" s="21">
        <f t="shared" si="3"/>
        <v>0</v>
      </c>
      <c r="M17" s="236"/>
      <c r="N17" s="21">
        <f t="shared" si="5"/>
        <v>0</v>
      </c>
    </row>
    <row r="18" spans="1:14" x14ac:dyDescent="0.2">
      <c r="A18" s="20" t="s">
        <v>112</v>
      </c>
      <c r="B18" s="24"/>
      <c r="C18" s="21"/>
      <c r="D18" s="57"/>
      <c r="E18" s="21">
        <f t="shared" si="0"/>
        <v>0</v>
      </c>
      <c r="F18" s="21">
        <f>'MDR Treatment'!H7*deflator</f>
        <v>19.528115170526753</v>
      </c>
      <c r="G18" s="57">
        <f>'MDR Treatment'!G7+'MDR Treatment'!G9</f>
        <v>9.8000000000000007</v>
      </c>
      <c r="H18" s="21">
        <f t="shared" si="1"/>
        <v>191.37552867116219</v>
      </c>
      <c r="I18" s="21"/>
      <c r="J18" s="57"/>
      <c r="K18" s="21">
        <f t="shared" si="2"/>
        <v>0</v>
      </c>
      <c r="L18" s="21">
        <f t="shared" si="3"/>
        <v>19.528115170526753</v>
      </c>
      <c r="M18" s="236">
        <f t="shared" si="4"/>
        <v>9.8000000000000007</v>
      </c>
      <c r="N18" s="21">
        <f t="shared" si="5"/>
        <v>191.37552867116219</v>
      </c>
    </row>
    <row r="19" spans="1:14" x14ac:dyDescent="0.2">
      <c r="A19" s="20" t="s">
        <v>113</v>
      </c>
      <c r="B19" s="24"/>
      <c r="C19" s="21"/>
      <c r="D19" s="57"/>
      <c r="E19" s="21">
        <f t="shared" si="0"/>
        <v>0</v>
      </c>
      <c r="F19" s="21"/>
      <c r="G19" s="57"/>
      <c r="H19" s="21">
        <f t="shared" si="1"/>
        <v>0</v>
      </c>
      <c r="I19" s="21"/>
      <c r="J19" s="57"/>
      <c r="K19" s="21">
        <f t="shared" si="2"/>
        <v>0</v>
      </c>
      <c r="L19" s="21">
        <f t="shared" si="3"/>
        <v>0</v>
      </c>
      <c r="M19" s="236"/>
      <c r="N19" s="21">
        <f t="shared" si="5"/>
        <v>0</v>
      </c>
    </row>
    <row r="20" spans="1:14" x14ac:dyDescent="0.2">
      <c r="A20" s="20" t="s">
        <v>114</v>
      </c>
      <c r="B20" s="24"/>
      <c r="C20" s="21"/>
      <c r="D20" s="57"/>
      <c r="E20" s="21">
        <f t="shared" si="0"/>
        <v>0</v>
      </c>
      <c r="F20" s="21">
        <f>'MDR Treatment'!J7*deflator</f>
        <v>31.128305217142668</v>
      </c>
      <c r="G20" s="57">
        <f>'MDR Treatment'!I7+'MDR Treatment'!I9</f>
        <v>3</v>
      </c>
      <c r="H20" s="21">
        <f t="shared" si="1"/>
        <v>93.384915651428003</v>
      </c>
      <c r="I20" s="21"/>
      <c r="J20" s="57"/>
      <c r="K20" s="21">
        <f t="shared" si="2"/>
        <v>0</v>
      </c>
      <c r="L20" s="21">
        <f t="shared" si="3"/>
        <v>31.128305217142668</v>
      </c>
      <c r="M20" s="236">
        <f t="shared" si="4"/>
        <v>3</v>
      </c>
      <c r="N20" s="21">
        <f t="shared" si="5"/>
        <v>93.384915651428003</v>
      </c>
    </row>
    <row r="21" spans="1:14" x14ac:dyDescent="0.2">
      <c r="A21" s="20" t="s">
        <v>115</v>
      </c>
      <c r="B21" s="24"/>
      <c r="C21" s="21"/>
      <c r="D21" s="57"/>
      <c r="E21" s="21">
        <f t="shared" si="0"/>
        <v>0</v>
      </c>
      <c r="F21" s="21"/>
      <c r="G21" s="57"/>
      <c r="H21" s="21">
        <f t="shared" si="1"/>
        <v>0</v>
      </c>
      <c r="I21" s="21"/>
      <c r="J21" s="57"/>
      <c r="K21" s="21">
        <f t="shared" si="2"/>
        <v>0</v>
      </c>
      <c r="L21" s="21">
        <f t="shared" si="3"/>
        <v>0</v>
      </c>
      <c r="M21" s="236"/>
      <c r="N21" s="21">
        <f t="shared" si="5"/>
        <v>0</v>
      </c>
    </row>
    <row r="22" spans="1:14" x14ac:dyDescent="0.2">
      <c r="A22" s="20" t="s">
        <v>116</v>
      </c>
      <c r="B22" s="24"/>
      <c r="C22" s="21"/>
      <c r="D22" s="57"/>
      <c r="E22" s="21">
        <f t="shared" si="0"/>
        <v>0</v>
      </c>
      <c r="F22" s="21"/>
      <c r="G22" s="57"/>
      <c r="H22" s="21">
        <f t="shared" si="1"/>
        <v>0</v>
      </c>
      <c r="I22" s="21"/>
      <c r="J22" s="57"/>
      <c r="K22" s="21">
        <f t="shared" si="2"/>
        <v>0</v>
      </c>
      <c r="L22" s="21">
        <f t="shared" si="3"/>
        <v>0</v>
      </c>
      <c r="M22" s="236"/>
      <c r="N22" s="21">
        <f t="shared" si="5"/>
        <v>0</v>
      </c>
    </row>
    <row r="23" spans="1:14" x14ac:dyDescent="0.2">
      <c r="A23" s="20" t="s">
        <v>117</v>
      </c>
      <c r="B23" s="24"/>
      <c r="C23" s="21"/>
      <c r="D23" s="57"/>
      <c r="E23" s="21">
        <f t="shared" si="0"/>
        <v>0</v>
      </c>
      <c r="F23" s="21"/>
      <c r="G23" s="57"/>
      <c r="H23" s="21">
        <f t="shared" si="1"/>
        <v>0</v>
      </c>
      <c r="I23" s="21"/>
      <c r="J23" s="57"/>
      <c r="K23" s="21">
        <f t="shared" si="2"/>
        <v>0</v>
      </c>
      <c r="L23" s="21">
        <f t="shared" si="3"/>
        <v>0</v>
      </c>
      <c r="M23" s="236"/>
      <c r="N23" s="21">
        <f t="shared" si="5"/>
        <v>0</v>
      </c>
    </row>
    <row r="24" spans="1:14" x14ac:dyDescent="0.2">
      <c r="A24" s="20" t="s">
        <v>118</v>
      </c>
      <c r="B24" s="24"/>
      <c r="C24" s="21"/>
      <c r="D24" s="57"/>
      <c r="E24" s="21">
        <f t="shared" si="0"/>
        <v>0</v>
      </c>
      <c r="F24" s="21"/>
      <c r="G24" s="57"/>
      <c r="H24" s="21">
        <f t="shared" si="1"/>
        <v>0</v>
      </c>
      <c r="I24" s="21"/>
      <c r="J24" s="57"/>
      <c r="K24" s="21">
        <f t="shared" si="2"/>
        <v>0</v>
      </c>
      <c r="L24" s="21">
        <f t="shared" si="3"/>
        <v>0</v>
      </c>
      <c r="M24" s="236"/>
      <c r="N24" s="21">
        <f t="shared" si="5"/>
        <v>0</v>
      </c>
    </row>
    <row r="25" spans="1:14" x14ac:dyDescent="0.2">
      <c r="A25" s="20" t="s">
        <v>119</v>
      </c>
      <c r="B25" s="24"/>
      <c r="C25" s="21"/>
      <c r="D25" s="57"/>
      <c r="E25" s="21">
        <f t="shared" si="0"/>
        <v>0</v>
      </c>
      <c r="F25" s="21"/>
      <c r="G25" s="57"/>
      <c r="H25" s="21">
        <f t="shared" si="1"/>
        <v>0</v>
      </c>
      <c r="I25" s="21"/>
      <c r="J25" s="57"/>
      <c r="K25" s="21">
        <f t="shared" si="2"/>
        <v>0</v>
      </c>
      <c r="L25" s="21">
        <f t="shared" si="3"/>
        <v>0</v>
      </c>
      <c r="M25" s="236"/>
      <c r="N25" s="21">
        <f t="shared" si="5"/>
        <v>0</v>
      </c>
    </row>
    <row r="26" spans="1:14" x14ac:dyDescent="0.2">
      <c r="A26" s="20" t="s">
        <v>120</v>
      </c>
      <c r="B26" s="24"/>
      <c r="C26" s="21"/>
      <c r="D26" s="57"/>
      <c r="E26" s="21">
        <f t="shared" si="0"/>
        <v>0</v>
      </c>
      <c r="F26" s="21"/>
      <c r="G26" s="57"/>
      <c r="H26" s="21">
        <f t="shared" si="1"/>
        <v>0</v>
      </c>
      <c r="I26" s="21"/>
      <c r="J26" s="57"/>
      <c r="K26" s="21">
        <f t="shared" si="2"/>
        <v>0</v>
      </c>
      <c r="L26" s="21">
        <f t="shared" si="3"/>
        <v>0</v>
      </c>
      <c r="M26" s="236"/>
      <c r="N26" s="21">
        <f t="shared" si="5"/>
        <v>0</v>
      </c>
    </row>
    <row r="27" spans="1:14" x14ac:dyDescent="0.2">
      <c r="A27" s="20" t="s">
        <v>121</v>
      </c>
      <c r="B27" s="24"/>
      <c r="C27" s="21"/>
      <c r="D27" s="57"/>
      <c r="E27" s="21">
        <f t="shared" si="0"/>
        <v>0</v>
      </c>
      <c r="F27" s="21"/>
      <c r="G27" s="57"/>
      <c r="H27" s="21">
        <f t="shared" si="1"/>
        <v>0</v>
      </c>
      <c r="I27" s="21"/>
      <c r="J27" s="57"/>
      <c r="K27" s="21">
        <f t="shared" si="2"/>
        <v>0</v>
      </c>
      <c r="L27" s="21">
        <f t="shared" si="3"/>
        <v>0</v>
      </c>
      <c r="M27" s="236"/>
      <c r="N27" s="21">
        <f t="shared" si="5"/>
        <v>0</v>
      </c>
    </row>
    <row r="28" spans="1:14" x14ac:dyDescent="0.2">
      <c r="A28" s="20" t="s">
        <v>93</v>
      </c>
      <c r="B28" s="24"/>
      <c r="C28" s="21">
        <f>'TB drug regimens'!I5</f>
        <v>20.25</v>
      </c>
      <c r="D28" s="57">
        <v>1</v>
      </c>
      <c r="E28" s="21">
        <f t="shared" si="0"/>
        <v>20.25</v>
      </c>
      <c r="F28" s="21"/>
      <c r="G28" s="57"/>
      <c r="H28" s="21">
        <f t="shared" si="1"/>
        <v>0</v>
      </c>
      <c r="I28" s="21"/>
      <c r="J28" s="57"/>
      <c r="K28" s="21">
        <f t="shared" si="2"/>
        <v>0</v>
      </c>
      <c r="L28" s="21">
        <f t="shared" si="3"/>
        <v>0</v>
      </c>
      <c r="M28" s="236"/>
      <c r="N28" s="21">
        <f t="shared" si="5"/>
        <v>0</v>
      </c>
    </row>
    <row r="29" spans="1:14" x14ac:dyDescent="0.2">
      <c r="A29" s="20" t="s">
        <v>94</v>
      </c>
      <c r="B29" s="24"/>
      <c r="C29" s="21">
        <f>'TB drug regimens'!I6</f>
        <v>11.57</v>
      </c>
      <c r="D29" s="57">
        <v>1</v>
      </c>
      <c r="E29" s="21">
        <f t="shared" si="0"/>
        <v>11.57</v>
      </c>
      <c r="F29" s="21"/>
      <c r="G29" s="57"/>
      <c r="H29" s="21">
        <f t="shared" si="1"/>
        <v>0</v>
      </c>
      <c r="I29" s="21"/>
      <c r="J29" s="57"/>
      <c r="K29" s="21">
        <f t="shared" si="2"/>
        <v>0</v>
      </c>
      <c r="L29" s="21">
        <f t="shared" si="3"/>
        <v>0</v>
      </c>
      <c r="M29" s="236"/>
      <c r="N29" s="21">
        <f t="shared" si="5"/>
        <v>0</v>
      </c>
    </row>
    <row r="30" spans="1:14" x14ac:dyDescent="0.2">
      <c r="A30" s="20" t="s">
        <v>95</v>
      </c>
      <c r="B30" s="24"/>
      <c r="C30" s="33"/>
      <c r="D30" s="57"/>
      <c r="E30" s="21">
        <f t="shared" si="0"/>
        <v>0</v>
      </c>
      <c r="F30" s="21">
        <f>SUM('TB drug regimens'!I10:I14)</f>
        <v>1064.2296000000001</v>
      </c>
      <c r="G30" s="57">
        <v>1</v>
      </c>
      <c r="H30" s="21">
        <f t="shared" si="1"/>
        <v>1064.2296000000001</v>
      </c>
      <c r="I30" s="21"/>
      <c r="J30" s="57"/>
      <c r="K30" s="21">
        <f t="shared" si="2"/>
        <v>0</v>
      </c>
      <c r="L30" s="21">
        <v>0</v>
      </c>
      <c r="M30" s="236">
        <f t="shared" si="4"/>
        <v>1</v>
      </c>
      <c r="N30" s="21">
        <f t="shared" si="5"/>
        <v>0</v>
      </c>
    </row>
    <row r="31" spans="1:14" x14ac:dyDescent="0.2">
      <c r="A31" s="20" t="s">
        <v>96</v>
      </c>
      <c r="B31" s="24"/>
      <c r="C31" s="33"/>
      <c r="D31" s="57"/>
      <c r="E31" s="21">
        <f t="shared" si="0"/>
        <v>0</v>
      </c>
      <c r="F31" s="21">
        <f>SUM('TB drug regimens'!I16:I19)</f>
        <v>823.88880000000006</v>
      </c>
      <c r="G31" s="57">
        <v>1</v>
      </c>
      <c r="H31" s="21">
        <f t="shared" si="1"/>
        <v>823.88880000000006</v>
      </c>
      <c r="I31" s="21"/>
      <c r="J31" s="57"/>
      <c r="K31" s="21">
        <f t="shared" si="2"/>
        <v>0</v>
      </c>
      <c r="L31" s="21">
        <v>0</v>
      </c>
      <c r="M31" s="236">
        <f t="shared" si="4"/>
        <v>1</v>
      </c>
      <c r="N31" s="21">
        <f t="shared" si="5"/>
        <v>0</v>
      </c>
    </row>
    <row r="32" spans="1:14" x14ac:dyDescent="0.2">
      <c r="A32" s="20" t="s">
        <v>97</v>
      </c>
      <c r="B32" s="24"/>
      <c r="C32" s="33"/>
      <c r="D32" s="57"/>
      <c r="E32" s="21">
        <f t="shared" si="0"/>
        <v>0</v>
      </c>
      <c r="F32" s="21"/>
      <c r="G32" s="57"/>
      <c r="H32" s="21">
        <f t="shared" si="1"/>
        <v>0</v>
      </c>
      <c r="I32" s="21">
        <f>SUM('TB drug regimens'!I23:I29)</f>
        <v>704.96991666666679</v>
      </c>
      <c r="J32" s="57">
        <v>1</v>
      </c>
      <c r="K32" s="21">
        <f t="shared" si="2"/>
        <v>704.96991666666679</v>
      </c>
      <c r="L32" s="21">
        <f t="shared" si="3"/>
        <v>0</v>
      </c>
      <c r="M32" s="236"/>
      <c r="N32" s="21">
        <f t="shared" si="5"/>
        <v>0</v>
      </c>
    </row>
    <row r="33" spans="1:14" x14ac:dyDescent="0.2">
      <c r="A33" s="20" t="s">
        <v>98</v>
      </c>
      <c r="B33" s="24"/>
      <c r="C33" s="33"/>
      <c r="D33" s="57"/>
      <c r="E33" s="21">
        <f t="shared" si="0"/>
        <v>0</v>
      </c>
      <c r="F33" s="21"/>
      <c r="G33" s="57"/>
      <c r="H33" s="21">
        <f t="shared" si="1"/>
        <v>0</v>
      </c>
      <c r="I33" s="21">
        <f>SUM('TB drug regimens'!I31:I36)</f>
        <v>374.5699166666667</v>
      </c>
      <c r="J33" s="57">
        <v>1</v>
      </c>
      <c r="K33" s="21">
        <f t="shared" si="2"/>
        <v>374.5699166666667</v>
      </c>
      <c r="L33" s="21">
        <f t="shared" si="3"/>
        <v>0</v>
      </c>
      <c r="M33" s="236"/>
      <c r="N33" s="21">
        <f t="shared" si="5"/>
        <v>0</v>
      </c>
    </row>
    <row r="34" spans="1:14" x14ac:dyDescent="0.2">
      <c r="A34" s="20" t="s">
        <v>464</v>
      </c>
      <c r="B34" s="24"/>
      <c r="C34" s="33"/>
      <c r="D34" s="57"/>
      <c r="E34" s="21">
        <f t="shared" si="0"/>
        <v>0</v>
      </c>
      <c r="F34" s="21"/>
      <c r="G34" s="57"/>
      <c r="H34" s="21">
        <f t="shared" si="1"/>
        <v>0</v>
      </c>
      <c r="I34" s="21"/>
      <c r="J34" s="57"/>
      <c r="K34" s="21">
        <f t="shared" si="2"/>
        <v>0</v>
      </c>
      <c r="L34" s="21">
        <f>SUM('TB drug regimens'!I39:I44)</f>
        <v>1157.3604</v>
      </c>
      <c r="M34" s="236">
        <v>1</v>
      </c>
      <c r="N34" s="21">
        <f t="shared" si="5"/>
        <v>1157.3604</v>
      </c>
    </row>
    <row r="35" spans="1:14" x14ac:dyDescent="0.2">
      <c r="A35" s="20" t="s">
        <v>465</v>
      </c>
      <c r="B35" s="24"/>
      <c r="C35" s="33"/>
      <c r="D35" s="57"/>
      <c r="E35" s="21">
        <f t="shared" si="0"/>
        <v>0</v>
      </c>
      <c r="F35" s="21"/>
      <c r="G35" s="57"/>
      <c r="H35" s="21">
        <f t="shared" si="1"/>
        <v>0</v>
      </c>
      <c r="I35" s="21"/>
      <c r="J35" s="57"/>
      <c r="K35" s="21">
        <f t="shared" si="2"/>
        <v>0</v>
      </c>
      <c r="L35" s="21">
        <f>F31</f>
        <v>823.88880000000006</v>
      </c>
      <c r="M35" s="236">
        <v>1</v>
      </c>
      <c r="N35" s="21">
        <f t="shared" si="5"/>
        <v>823.88880000000006</v>
      </c>
    </row>
    <row r="36" spans="1:14" x14ac:dyDescent="0.2">
      <c r="A36" s="20" t="s">
        <v>466</v>
      </c>
      <c r="B36" s="24" t="s">
        <v>467</v>
      </c>
      <c r="C36" s="33">
        <f>'DS Treatment'!K10*deflator</f>
        <v>36.137740257002484</v>
      </c>
      <c r="D36" s="57">
        <v>1</v>
      </c>
      <c r="E36" s="21">
        <f t="shared" si="0"/>
        <v>36.137740257002484</v>
      </c>
      <c r="F36" s="21">
        <f>'MDR Treatment'!M10*deflator</f>
        <v>1780.8226281146103</v>
      </c>
      <c r="G36" s="236">
        <v>1</v>
      </c>
      <c r="H36" s="21">
        <f t="shared" si="1"/>
        <v>1780.8226281146103</v>
      </c>
      <c r="I36" s="25"/>
      <c r="J36" s="59"/>
      <c r="K36" s="21">
        <f t="shared" si="2"/>
        <v>0</v>
      </c>
      <c r="L36" s="21">
        <f t="shared" si="3"/>
        <v>1780.8226281146103</v>
      </c>
      <c r="M36" s="236">
        <f t="shared" si="4"/>
        <v>1</v>
      </c>
      <c r="N36" s="21">
        <f t="shared" si="5"/>
        <v>1780.8226281146103</v>
      </c>
    </row>
    <row r="37" spans="1:14" x14ac:dyDescent="0.2">
      <c r="B37" s="24"/>
      <c r="C37" s="25"/>
      <c r="D37" s="59"/>
      <c r="E37" s="21">
        <f t="shared" si="0"/>
        <v>0</v>
      </c>
      <c r="F37" s="21"/>
      <c r="G37" s="59"/>
      <c r="H37" s="21">
        <f t="shared" si="1"/>
        <v>0</v>
      </c>
      <c r="I37" s="25"/>
      <c r="J37" s="59"/>
      <c r="K37" s="21">
        <f t="shared" si="2"/>
        <v>0</v>
      </c>
      <c r="L37" s="21">
        <f t="shared" si="3"/>
        <v>0</v>
      </c>
      <c r="M37" s="236"/>
      <c r="N37" s="21">
        <f t="shared" si="5"/>
        <v>0</v>
      </c>
    </row>
    <row r="38" spans="1:14" x14ac:dyDescent="0.2">
      <c r="A38" s="29" t="s">
        <v>122</v>
      </c>
      <c r="B38" s="29"/>
      <c r="C38" s="30"/>
      <c r="D38" s="30"/>
      <c r="E38" s="30">
        <f>SUM(E10:E29)</f>
        <v>140.90619785298301</v>
      </c>
      <c r="F38" s="30"/>
      <c r="G38" s="30"/>
      <c r="H38" s="30">
        <f>SUM(H10:H37)</f>
        <v>4583.2087894235319</v>
      </c>
      <c r="I38" s="30"/>
      <c r="J38" s="30"/>
      <c r="K38" s="30">
        <f>SUM(K10:K37)</f>
        <v>1079.5398333333335</v>
      </c>
      <c r="L38" s="30"/>
      <c r="M38" s="30"/>
      <c r="N38" s="30">
        <f>SUM(N10:N37)</f>
        <v>4676.3395894235318</v>
      </c>
    </row>
  </sheetData>
  <mergeCells count="17">
    <mergeCell ref="I7:K7"/>
    <mergeCell ref="J8:K8"/>
    <mergeCell ref="L7:N7"/>
    <mergeCell ref="M8:N8"/>
    <mergeCell ref="D7:E7"/>
    <mergeCell ref="F7:H7"/>
    <mergeCell ref="G8:H8"/>
    <mergeCell ref="B4:E4"/>
    <mergeCell ref="F4:G4"/>
    <mergeCell ref="B5:E5"/>
    <mergeCell ref="F5:G5"/>
    <mergeCell ref="B1:E1"/>
    <mergeCell ref="F1:G1"/>
    <mergeCell ref="B2:E2"/>
    <mergeCell ref="F2:G2"/>
    <mergeCell ref="B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4A66F-6265-4F3D-AFB0-EB2B9180195E}">
  <sheetPr>
    <tabColor theme="9"/>
  </sheetPr>
  <dimension ref="A1:G10"/>
  <sheetViews>
    <sheetView showGridLines="0" zoomScale="80" zoomScaleNormal="80" workbookViewId="0">
      <selection activeCell="E8" sqref="E8"/>
    </sheetView>
  </sheetViews>
  <sheetFormatPr defaultRowHeight="14.4" x14ac:dyDescent="0.3"/>
  <cols>
    <col min="1" max="1" width="17.44140625" customWidth="1"/>
    <col min="2" max="2" width="75.88671875" customWidth="1"/>
    <col min="3" max="3" width="19" customWidth="1"/>
    <col min="4" max="4" width="29.77734375" customWidth="1"/>
    <col min="5" max="5" width="15.33203125" customWidth="1"/>
    <col min="6" max="6" width="37.44140625" customWidth="1"/>
    <col min="7" max="7" width="52.33203125" customWidth="1"/>
  </cols>
  <sheetData>
    <row r="1" spans="1:7" s="1" customFormat="1" ht="28.8" x14ac:dyDescent="0.3">
      <c r="A1" s="2" t="s">
        <v>17</v>
      </c>
      <c r="B1" s="2" t="s">
        <v>21</v>
      </c>
      <c r="C1" s="2" t="s">
        <v>18</v>
      </c>
      <c r="D1" s="2" t="s">
        <v>19</v>
      </c>
      <c r="E1" s="2" t="s">
        <v>20</v>
      </c>
      <c r="F1" s="2" t="s">
        <v>22</v>
      </c>
      <c r="G1" s="2" t="s">
        <v>26</v>
      </c>
    </row>
    <row r="2" spans="1:7" x14ac:dyDescent="0.3">
      <c r="A2" s="78" t="s">
        <v>16</v>
      </c>
      <c r="B2" s="78" t="s">
        <v>50</v>
      </c>
      <c r="C2" s="77" t="str">
        <f>'1. Vaccine delivery'!A2</f>
        <v>c_routine_delivery</v>
      </c>
      <c r="D2" s="77" t="str">
        <f>'1. Vaccine delivery'!G2</f>
        <v>per dose</v>
      </c>
      <c r="E2" s="186">
        <f>'1. Vaccine delivery'!I2</f>
        <v>9.8435202881145223</v>
      </c>
      <c r="F2" s="78" t="s">
        <v>25</v>
      </c>
      <c r="G2" s="78"/>
    </row>
    <row r="3" spans="1:7" x14ac:dyDescent="0.3">
      <c r="A3" s="78" t="s">
        <v>16</v>
      </c>
      <c r="B3" s="78" t="s">
        <v>51</v>
      </c>
      <c r="C3" s="77" t="str">
        <f>'1. Vaccine delivery'!A3</f>
        <v>c_campaign_delivery</v>
      </c>
      <c r="D3" s="77" t="str">
        <f>'1. Vaccine delivery'!G3</f>
        <v>nationwide</v>
      </c>
      <c r="E3" s="186">
        <f>'1. Vaccine delivery'!I3</f>
        <v>68642478.778978661</v>
      </c>
      <c r="F3" s="78"/>
      <c r="G3" s="78" t="s">
        <v>377</v>
      </c>
    </row>
    <row r="4" spans="1:7" x14ac:dyDescent="0.3">
      <c r="A4" s="78" t="s">
        <v>52</v>
      </c>
      <c r="B4" s="78" t="s">
        <v>162</v>
      </c>
      <c r="C4" s="77" t="s">
        <v>53</v>
      </c>
      <c r="D4" s="77" t="s">
        <v>54</v>
      </c>
      <c r="E4" s="77"/>
      <c r="F4" s="78" t="s">
        <v>167</v>
      </c>
      <c r="G4" s="78"/>
    </row>
    <row r="5" spans="1:7" x14ac:dyDescent="0.3">
      <c r="A5" s="78" t="s">
        <v>52</v>
      </c>
      <c r="B5" s="78" t="s">
        <v>163</v>
      </c>
      <c r="C5" s="77" t="s">
        <v>99</v>
      </c>
      <c r="D5" s="77" t="str">
        <f>'3. TB treatment'!F2</f>
        <v>per patient month</v>
      </c>
      <c r="E5" s="94">
        <f>'3. TB treatment'!H2</f>
        <v>23.484366308830502</v>
      </c>
      <c r="F5" s="78" t="s">
        <v>468</v>
      </c>
      <c r="G5" s="78"/>
    </row>
    <row r="6" spans="1:7" x14ac:dyDescent="0.3">
      <c r="A6" s="78" t="s">
        <v>52</v>
      </c>
      <c r="B6" s="78" t="s">
        <v>164</v>
      </c>
      <c r="C6" s="77" t="s">
        <v>100</v>
      </c>
      <c r="D6" s="77" t="str">
        <f>'3. TB treatment'!F3</f>
        <v>per patient month</v>
      </c>
      <c r="E6" s="94">
        <f>'3. TB treatment'!H3</f>
        <v>190.96703289264715</v>
      </c>
      <c r="F6" s="78" t="s">
        <v>168</v>
      </c>
      <c r="G6" s="78"/>
    </row>
    <row r="7" spans="1:7" x14ac:dyDescent="0.3">
      <c r="A7" s="78" t="s">
        <v>52</v>
      </c>
      <c r="B7" s="78" t="s">
        <v>166</v>
      </c>
      <c r="C7" s="77" t="s">
        <v>101</v>
      </c>
      <c r="D7" s="77" t="str">
        <f>'3. TB treatment'!F4</f>
        <v>per patient month</v>
      </c>
      <c r="E7" s="94">
        <f>'3. TB treatment'!H4</f>
        <v>107.95398333333335</v>
      </c>
      <c r="F7" s="78" t="s">
        <v>471</v>
      </c>
      <c r="G7" s="78"/>
    </row>
    <row r="8" spans="1:7" x14ac:dyDescent="0.3">
      <c r="A8" s="78" t="s">
        <v>52</v>
      </c>
      <c r="B8" s="78" t="s">
        <v>165</v>
      </c>
      <c r="C8" s="77" t="s">
        <v>102</v>
      </c>
      <c r="D8" s="77" t="str">
        <f>'3. TB treatment'!F5</f>
        <v>per patient month</v>
      </c>
      <c r="E8" s="94">
        <f>'3. TB treatment'!H5</f>
        <v>194.84748289264715</v>
      </c>
      <c r="F8" s="78" t="s">
        <v>470</v>
      </c>
      <c r="G8" s="78" t="s">
        <v>472</v>
      </c>
    </row>
    <row r="9" spans="1:7" x14ac:dyDescent="0.3">
      <c r="G9" t="s">
        <v>254</v>
      </c>
    </row>
    <row r="10" spans="1:7" x14ac:dyDescent="0.3">
      <c r="A10" s="99" t="s">
        <v>473</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18BD-19A4-4BC9-A1D9-51B9CEFF7931}">
  <sheetPr>
    <tabColor theme="6" tint="-0.249977111117893"/>
  </sheetPr>
  <dimension ref="A1:L30"/>
  <sheetViews>
    <sheetView showGridLines="0" workbookViewId="0">
      <selection activeCell="C23" sqref="C23"/>
    </sheetView>
  </sheetViews>
  <sheetFormatPr defaultRowHeight="12" x14ac:dyDescent="0.25"/>
  <cols>
    <col min="1" max="2" width="14.109375" style="72" customWidth="1"/>
    <col min="3" max="3" width="11" style="72" bestFit="1" customWidth="1"/>
    <col min="4" max="4" width="20.5546875" style="72" customWidth="1"/>
    <col min="5" max="5" width="11" style="72" customWidth="1"/>
    <col min="6" max="7" width="9.109375" style="72"/>
    <col min="8" max="8" width="12.88671875" style="72" customWidth="1"/>
    <col min="9" max="9" width="15.44140625" style="72" customWidth="1"/>
    <col min="10" max="10" width="12.33203125" style="72" customWidth="1"/>
    <col min="11" max="11" width="9.88671875" style="72" customWidth="1"/>
    <col min="12" max="12" width="53.33203125" style="72" customWidth="1"/>
    <col min="13" max="16384" width="8.88671875" style="72"/>
  </cols>
  <sheetData>
    <row r="1" spans="1:12" ht="12.6" thickBot="1" x14ac:dyDescent="0.3">
      <c r="A1" s="131" t="s">
        <v>281</v>
      </c>
    </row>
    <row r="2" spans="1:12" ht="15" customHeight="1" thickBot="1" x14ac:dyDescent="0.3">
      <c r="F2" s="237" t="s">
        <v>189</v>
      </c>
      <c r="G2" s="238"/>
      <c r="H2" s="238"/>
      <c r="I2" s="238"/>
      <c r="J2" s="74"/>
      <c r="K2" s="75"/>
    </row>
    <row r="3" spans="1:12" ht="24.6" thickBot="1" x14ac:dyDescent="0.3">
      <c r="A3" s="65" t="s">
        <v>178</v>
      </c>
      <c r="B3" s="66" t="s">
        <v>184</v>
      </c>
      <c r="C3" s="67" t="s">
        <v>181</v>
      </c>
      <c r="D3" s="66" t="s">
        <v>177</v>
      </c>
      <c r="E3" s="66" t="s">
        <v>190</v>
      </c>
      <c r="F3" s="67" t="s">
        <v>47</v>
      </c>
      <c r="G3" s="67" t="s">
        <v>175</v>
      </c>
      <c r="H3" s="67" t="s">
        <v>176</v>
      </c>
      <c r="I3" s="67" t="s">
        <v>173</v>
      </c>
      <c r="J3" s="67" t="s">
        <v>18</v>
      </c>
      <c r="K3" s="67" t="s">
        <v>19</v>
      </c>
      <c r="L3" s="67" t="s">
        <v>70</v>
      </c>
    </row>
    <row r="4" spans="1:12" ht="36.6" thickBot="1" x14ac:dyDescent="0.3">
      <c r="A4" s="68" t="s">
        <v>179</v>
      </c>
      <c r="B4" s="69" t="s">
        <v>174</v>
      </c>
      <c r="C4" s="70" t="s">
        <v>180</v>
      </c>
      <c r="D4" s="69" t="s">
        <v>43</v>
      </c>
      <c r="E4" s="69" t="s">
        <v>191</v>
      </c>
      <c r="F4" s="70">
        <v>0</v>
      </c>
      <c r="G4" s="70">
        <v>0</v>
      </c>
      <c r="H4" s="70" t="s">
        <v>182</v>
      </c>
      <c r="I4" s="70" t="s">
        <v>182</v>
      </c>
      <c r="J4" s="70" t="s">
        <v>183</v>
      </c>
      <c r="K4" s="70" t="s">
        <v>23</v>
      </c>
      <c r="L4" s="73" t="s">
        <v>200</v>
      </c>
    </row>
    <row r="5" spans="1:12" ht="24.6" thickBot="1" x14ac:dyDescent="0.3">
      <c r="A5" s="68" t="s">
        <v>193</v>
      </c>
      <c r="B5" s="69" t="s">
        <v>194</v>
      </c>
      <c r="C5" s="70" t="s">
        <v>195</v>
      </c>
      <c r="D5" s="69" t="s">
        <v>43</v>
      </c>
      <c r="E5" s="69" t="s">
        <v>192</v>
      </c>
      <c r="F5" s="70">
        <v>0</v>
      </c>
      <c r="G5" s="70">
        <v>0</v>
      </c>
      <c r="H5" s="70" t="s">
        <v>197</v>
      </c>
      <c r="I5" s="70" t="s">
        <v>182</v>
      </c>
      <c r="J5" s="70" t="s">
        <v>196</v>
      </c>
      <c r="K5" s="70" t="s">
        <v>188</v>
      </c>
      <c r="L5" s="73" t="s">
        <v>198</v>
      </c>
    </row>
    <row r="6" spans="1:12" ht="24.6" thickBot="1" x14ac:dyDescent="0.3">
      <c r="A6" s="68" t="s">
        <v>185</v>
      </c>
      <c r="B6" s="69" t="s">
        <v>186</v>
      </c>
      <c r="C6" s="70" t="s">
        <v>187</v>
      </c>
      <c r="D6" s="69" t="s">
        <v>43</v>
      </c>
      <c r="E6" s="69" t="s">
        <v>191</v>
      </c>
      <c r="F6" s="70"/>
      <c r="G6" s="70">
        <v>0</v>
      </c>
      <c r="H6" s="70" t="s">
        <v>199</v>
      </c>
      <c r="I6" s="70" t="s">
        <v>182</v>
      </c>
      <c r="J6" s="70">
        <v>5.0999999999999996</v>
      </c>
      <c r="K6" s="70" t="s">
        <v>23</v>
      </c>
      <c r="L6" s="73" t="s">
        <v>201</v>
      </c>
    </row>
    <row r="7" spans="1:12" ht="48.6" thickBot="1" x14ac:dyDescent="0.3">
      <c r="A7" s="68" t="s">
        <v>202</v>
      </c>
      <c r="B7" s="69" t="s">
        <v>174</v>
      </c>
      <c r="C7" s="70" t="s">
        <v>203</v>
      </c>
      <c r="D7" s="69" t="s">
        <v>43</v>
      </c>
      <c r="E7" s="69" t="s">
        <v>191</v>
      </c>
      <c r="F7" s="70" t="s">
        <v>204</v>
      </c>
      <c r="G7" s="70" t="s">
        <v>205</v>
      </c>
      <c r="H7" s="70" t="s">
        <v>206</v>
      </c>
      <c r="I7" s="70" t="s">
        <v>207</v>
      </c>
      <c r="J7" s="70"/>
      <c r="K7" s="70"/>
      <c r="L7" s="73" t="s">
        <v>208</v>
      </c>
    </row>
    <row r="8" spans="1:12" x14ac:dyDescent="0.25">
      <c r="F8" s="72">
        <f>20/100</f>
        <v>0.2</v>
      </c>
      <c r="G8" s="72">
        <f>3/1000</f>
        <v>3.0000000000000001E-3</v>
      </c>
      <c r="I8" s="72">
        <f>20/1000</f>
        <v>0.02</v>
      </c>
      <c r="J8" s="130">
        <f>((82+116)/2)/exch_rate</f>
        <v>1.5137614678899081</v>
      </c>
    </row>
    <row r="10" spans="1:12" x14ac:dyDescent="0.25">
      <c r="A10" s="131" t="s">
        <v>280</v>
      </c>
      <c r="C10" s="72" t="s">
        <v>282</v>
      </c>
    </row>
    <row r="12" spans="1:12" s="132" customFormat="1" x14ac:dyDescent="0.25">
      <c r="A12" s="135" t="s">
        <v>217</v>
      </c>
      <c r="B12" s="135" t="s">
        <v>19</v>
      </c>
      <c r="C12" s="135" t="s">
        <v>18</v>
      </c>
      <c r="D12" s="136" t="s">
        <v>49</v>
      </c>
    </row>
    <row r="13" spans="1:12" x14ac:dyDescent="0.25">
      <c r="A13" s="134" t="s">
        <v>283</v>
      </c>
      <c r="B13" s="133" t="s">
        <v>298</v>
      </c>
      <c r="C13" s="137">
        <f>(1000*districts)/exch_rate</f>
        <v>10810.397553516819</v>
      </c>
    </row>
    <row r="14" spans="1:12" x14ac:dyDescent="0.25">
      <c r="A14" s="134" t="s">
        <v>175</v>
      </c>
      <c r="B14" s="133" t="s">
        <v>298</v>
      </c>
      <c r="C14" s="137">
        <f>((10000*districts)+50*(B27+B28))/exch_rate</f>
        <v>131444.95412844035</v>
      </c>
    </row>
    <row r="15" spans="1:12" x14ac:dyDescent="0.25">
      <c r="A15" s="134" t="s">
        <v>284</v>
      </c>
      <c r="B15" s="133" t="s">
        <v>298</v>
      </c>
      <c r="C15" s="137">
        <f>(2000*(B27+B28))/exch_rate</f>
        <v>933639.14373088675</v>
      </c>
    </row>
    <row r="16" spans="1:12" x14ac:dyDescent="0.25">
      <c r="A16" s="134" t="s">
        <v>285</v>
      </c>
      <c r="B16" s="133" t="s">
        <v>298</v>
      </c>
      <c r="C16" s="137">
        <f>(100*3)+(800*B30*B29)*states</f>
        <v>1856300</v>
      </c>
      <c r="D16" s="72" t="s">
        <v>310</v>
      </c>
    </row>
    <row r="17" spans="1:4" x14ac:dyDescent="0.25">
      <c r="A17" s="134" t="s">
        <v>286</v>
      </c>
      <c r="B17" s="133" t="s">
        <v>298</v>
      </c>
      <c r="C17" s="137">
        <f>(((200*14)+(600*2)+(1000*2))*states)/exch_rate</f>
        <v>2660.5504587155961</v>
      </c>
      <c r="D17" s="72" t="s">
        <v>300</v>
      </c>
    </row>
    <row r="18" spans="1:4" x14ac:dyDescent="0.25">
      <c r="A18" s="134" t="s">
        <v>287</v>
      </c>
      <c r="B18" s="133" t="s">
        <v>298</v>
      </c>
      <c r="C18" s="137">
        <f>(100*30*30)/exch_rate</f>
        <v>1376.1467889908256</v>
      </c>
      <c r="D18" s="72" t="s">
        <v>305</v>
      </c>
    </row>
    <row r="19" spans="1:4" x14ac:dyDescent="0.25">
      <c r="A19" s="134" t="s">
        <v>288</v>
      </c>
      <c r="B19" s="133" t="s">
        <v>298</v>
      </c>
      <c r="C19" s="137">
        <f>(800*B29*B30*states)/exch_rate</f>
        <v>28379.204892966358</v>
      </c>
    </row>
    <row r="20" spans="1:4" x14ac:dyDescent="0.25">
      <c r="A20" s="134" t="s">
        <v>289</v>
      </c>
      <c r="B20" s="133" t="s">
        <v>298</v>
      </c>
      <c r="C20" s="137">
        <f>((50000*states)+((20*'Vaccine costs (routine)'!H6)/1500))/exch_rate</f>
        <v>292134.83261977573</v>
      </c>
      <c r="D20" s="72" t="s">
        <v>301</v>
      </c>
    </row>
    <row r="21" spans="1:4" x14ac:dyDescent="0.25">
      <c r="A21" s="134" t="s">
        <v>302</v>
      </c>
      <c r="B21" s="133" t="s">
        <v>23</v>
      </c>
      <c r="C21" s="137">
        <f>5/exch_rate</f>
        <v>7.64525993883792E-2</v>
      </c>
    </row>
    <row r="22" spans="1:4" x14ac:dyDescent="0.25">
      <c r="A22" s="134" t="s">
        <v>290</v>
      </c>
      <c r="B22" s="133" t="s">
        <v>298</v>
      </c>
      <c r="C22" s="137">
        <f>(50000*states)/exch_rate</f>
        <v>22171.253822629966</v>
      </c>
    </row>
    <row r="23" spans="1:4" x14ac:dyDescent="0.25">
      <c r="A23" s="138"/>
      <c r="B23" s="139"/>
      <c r="C23" s="140"/>
    </row>
    <row r="24" spans="1:4" x14ac:dyDescent="0.25">
      <c r="A24" s="72" t="s">
        <v>299</v>
      </c>
    </row>
    <row r="25" spans="1:4" x14ac:dyDescent="0.25">
      <c r="A25" s="72" t="s">
        <v>291</v>
      </c>
      <c r="B25" s="72">
        <v>29</v>
      </c>
    </row>
    <row r="26" spans="1:4" x14ac:dyDescent="0.25">
      <c r="A26" s="72" t="s">
        <v>292</v>
      </c>
      <c r="B26" s="72">
        <v>707</v>
      </c>
    </row>
    <row r="27" spans="1:4" x14ac:dyDescent="0.25">
      <c r="A27" s="72" t="s">
        <v>294</v>
      </c>
      <c r="B27" s="72">
        <v>5510</v>
      </c>
      <c r="D27" s="72" t="s">
        <v>295</v>
      </c>
    </row>
    <row r="28" spans="1:4" x14ac:dyDescent="0.25">
      <c r="A28" s="72" t="s">
        <v>293</v>
      </c>
      <c r="B28" s="72">
        <v>25020</v>
      </c>
      <c r="D28" s="72" t="s">
        <v>296</v>
      </c>
    </row>
    <row r="29" spans="1:4" x14ac:dyDescent="0.25">
      <c r="A29" s="72" t="s">
        <v>307</v>
      </c>
      <c r="B29" s="72">
        <v>20</v>
      </c>
    </row>
    <row r="30" spans="1:4" x14ac:dyDescent="0.25">
      <c r="A30" s="72" t="s">
        <v>308</v>
      </c>
      <c r="B30" s="72">
        <v>4</v>
      </c>
    </row>
  </sheetData>
  <mergeCells count="1">
    <mergeCell ref="F2:I2"/>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12D15-B8A6-4CD8-B30F-5DECBD3E264A}">
  <sheetPr>
    <tabColor theme="0" tint="-0.499984740745262"/>
  </sheetPr>
  <dimension ref="A1:T52"/>
  <sheetViews>
    <sheetView showGridLines="0" tabSelected="1" zoomScale="80" zoomScaleNormal="80" workbookViewId="0">
      <pane xSplit="1" topLeftCell="B1" activePane="topRight" state="frozen"/>
      <selection activeCell="A6" sqref="A6"/>
      <selection pane="topRight" activeCell="I21" sqref="I21"/>
    </sheetView>
  </sheetViews>
  <sheetFormatPr defaultRowHeight="14.4" x14ac:dyDescent="0.3"/>
  <cols>
    <col min="1" max="1" width="39.88671875" customWidth="1"/>
    <col min="4" max="4" width="11.5546875" customWidth="1"/>
    <col min="5" max="5" width="11.109375" customWidth="1"/>
    <col min="6" max="6" width="11.6640625" customWidth="1"/>
    <col min="7" max="7" width="15.6640625" customWidth="1"/>
    <col min="8" max="8" width="15.109375" customWidth="1"/>
    <col min="9" max="9" width="11.6640625" customWidth="1"/>
    <col min="10" max="10" width="13.33203125" customWidth="1"/>
    <col min="11" max="11" width="13.21875" customWidth="1"/>
    <col min="12" max="12" width="11.6640625" customWidth="1"/>
    <col min="13" max="13" width="15" customWidth="1"/>
    <col min="14" max="14" width="14.44140625" customWidth="1"/>
    <col min="15" max="15" width="15.33203125" customWidth="1"/>
    <col min="16" max="16" width="14.44140625" customWidth="1"/>
    <col min="17" max="18" width="15.5546875" customWidth="1"/>
    <col min="19" max="19" width="15.44140625" customWidth="1"/>
    <col min="20" max="20" width="11.21875" customWidth="1"/>
    <col min="21" max="21" width="15" customWidth="1"/>
    <col min="22" max="22" width="16.33203125" customWidth="1"/>
  </cols>
  <sheetData>
    <row r="1" spans="1:11" s="20" customFormat="1" ht="15.6" x14ac:dyDescent="0.3">
      <c r="A1" s="76" t="s">
        <v>127</v>
      </c>
      <c r="G1"/>
      <c r="H1"/>
    </row>
    <row r="2" spans="1:11" s="20" customFormat="1" ht="15.6" x14ac:dyDescent="0.3">
      <c r="A2" s="13"/>
      <c r="G2" s="88" t="s">
        <v>242</v>
      </c>
      <c r="H2" s="88" t="s">
        <v>41</v>
      </c>
      <c r="I2" s="87" t="s">
        <v>246</v>
      </c>
      <c r="J2" s="51"/>
    </row>
    <row r="3" spans="1:11" s="51" customFormat="1" x14ac:dyDescent="0.3">
      <c r="A3" s="49" t="s">
        <v>229</v>
      </c>
      <c r="B3" s="49" t="s">
        <v>131</v>
      </c>
      <c r="C3" s="49" t="s">
        <v>130</v>
      </c>
      <c r="D3" s="49" t="s">
        <v>129</v>
      </c>
      <c r="E3"/>
      <c r="G3" t="s">
        <v>243</v>
      </c>
      <c r="H3" s="89">
        <f>126120000/5</f>
        <v>25224000</v>
      </c>
      <c r="I3" s="78" t="s">
        <v>251</v>
      </c>
      <c r="J3"/>
    </row>
    <row r="4" spans="1:11" x14ac:dyDescent="0.3">
      <c r="A4" s="52" t="s">
        <v>135</v>
      </c>
      <c r="B4" s="81">
        <v>1.5</v>
      </c>
      <c r="C4" s="81">
        <f>(B4+D4)/2</f>
        <v>3.25</v>
      </c>
      <c r="D4" s="81">
        <v>5</v>
      </c>
      <c r="G4" t="s">
        <v>244</v>
      </c>
      <c r="H4" s="91">
        <f>H3-H7</f>
        <v>24341160</v>
      </c>
      <c r="I4" s="78"/>
    </row>
    <row r="5" spans="1:11" x14ac:dyDescent="0.3">
      <c r="A5" s="52" t="s">
        <v>133</v>
      </c>
      <c r="B5" s="78">
        <v>1</v>
      </c>
      <c r="C5" s="78">
        <v>2</v>
      </c>
      <c r="D5" s="78">
        <v>3</v>
      </c>
      <c r="G5" t="s">
        <v>245</v>
      </c>
      <c r="H5" s="92">
        <f>H3*1.1</f>
        <v>27746400.000000004</v>
      </c>
      <c r="I5" s="78" t="s">
        <v>250</v>
      </c>
    </row>
    <row r="6" spans="1:11" x14ac:dyDescent="0.3">
      <c r="A6" s="52" t="s">
        <v>137</v>
      </c>
      <c r="B6" s="78"/>
      <c r="C6" s="78">
        <v>1</v>
      </c>
      <c r="D6" s="78"/>
      <c r="G6" t="s">
        <v>247</v>
      </c>
      <c r="H6" s="89">
        <v>1324171354</v>
      </c>
      <c r="I6" s="78" t="s">
        <v>248</v>
      </c>
    </row>
    <row r="7" spans="1:11" x14ac:dyDescent="0.3">
      <c r="A7" s="52" t="s">
        <v>249</v>
      </c>
      <c r="B7" s="78"/>
      <c r="C7" s="80">
        <v>0.25</v>
      </c>
      <c r="D7" s="78"/>
      <c r="G7" t="s">
        <v>252</v>
      </c>
      <c r="H7" s="91">
        <f>H3*(35/1000)</f>
        <v>882840.00000000012</v>
      </c>
      <c r="I7" s="78" t="s">
        <v>253</v>
      </c>
    </row>
    <row r="8" spans="1:11" x14ac:dyDescent="0.3">
      <c r="A8" s="52" t="s">
        <v>255</v>
      </c>
      <c r="B8" s="78"/>
      <c r="C8" s="80">
        <v>0.8</v>
      </c>
      <c r="D8" s="78"/>
    </row>
    <row r="9" spans="1:11" x14ac:dyDescent="0.3">
      <c r="A9" s="52" t="s">
        <v>256</v>
      </c>
      <c r="B9" s="78"/>
      <c r="C9" s="80">
        <v>0.25</v>
      </c>
      <c r="D9" s="78"/>
      <c r="G9" s="79" t="s">
        <v>374</v>
      </c>
      <c r="K9" s="20"/>
    </row>
    <row r="10" spans="1:11" x14ac:dyDescent="0.3">
      <c r="A10" s="52" t="s">
        <v>264</v>
      </c>
      <c r="B10" s="78"/>
      <c r="C10" s="81">
        <v>10.8</v>
      </c>
      <c r="D10" s="78"/>
      <c r="E10" s="99" t="s">
        <v>266</v>
      </c>
      <c r="G10" s="143" t="s">
        <v>46</v>
      </c>
      <c r="H10" s="184">
        <v>65.400000000000006</v>
      </c>
      <c r="I10" s="143" t="s">
        <v>172</v>
      </c>
      <c r="J10" s="185" t="s">
        <v>171</v>
      </c>
      <c r="K10" s="20"/>
    </row>
    <row r="11" spans="1:11" x14ac:dyDescent="0.3">
      <c r="G11" s="143" t="s">
        <v>375</v>
      </c>
      <c r="H11" s="184" t="s">
        <v>218</v>
      </c>
      <c r="I11" s="143"/>
      <c r="J11" s="20"/>
      <c r="K11" s="20"/>
    </row>
    <row r="12" spans="1:11" x14ac:dyDescent="0.3">
      <c r="A12" s="79" t="s">
        <v>239</v>
      </c>
      <c r="G12" s="143" t="s">
        <v>376</v>
      </c>
      <c r="H12" s="184" t="s">
        <v>218</v>
      </c>
      <c r="I12" s="143"/>
      <c r="J12" s="20"/>
    </row>
    <row r="13" spans="1:11" s="1" customFormat="1" ht="30.6" customHeight="1" x14ac:dyDescent="0.3">
      <c r="A13" s="82" t="s">
        <v>217</v>
      </c>
      <c r="B13" s="82" t="s">
        <v>136</v>
      </c>
      <c r="C13" s="82" t="s">
        <v>134</v>
      </c>
      <c r="D13" s="82" t="s">
        <v>40</v>
      </c>
      <c r="E13" s="82" t="s">
        <v>236</v>
      </c>
    </row>
    <row r="14" spans="1:11" x14ac:dyDescent="0.3">
      <c r="A14" t="s">
        <v>231</v>
      </c>
      <c r="B14" s="80">
        <v>0.1</v>
      </c>
      <c r="C14" s="81">
        <f>1/(1-B14)</f>
        <v>1.1111111111111112</v>
      </c>
      <c r="D14" s="83">
        <v>0.03</v>
      </c>
      <c r="E14" s="84"/>
    </row>
    <row r="15" spans="1:11" x14ac:dyDescent="0.3">
      <c r="A15" t="s">
        <v>232</v>
      </c>
      <c r="B15" s="80">
        <v>0.1</v>
      </c>
      <c r="C15" s="81">
        <f t="shared" ref="C15:C20" si="0">1/(1-B15)</f>
        <v>1.1111111111111112</v>
      </c>
      <c r="D15" s="83">
        <v>0.04</v>
      </c>
      <c r="E15" s="84"/>
    </row>
    <row r="16" spans="1:11" x14ac:dyDescent="0.3">
      <c r="A16" t="s">
        <v>233</v>
      </c>
      <c r="B16" s="80">
        <v>0.1</v>
      </c>
      <c r="C16" s="81">
        <f t="shared" si="0"/>
        <v>1.1111111111111112</v>
      </c>
      <c r="D16" s="83">
        <v>0.03</v>
      </c>
      <c r="E16" s="84"/>
    </row>
    <row r="17" spans="1:20" x14ac:dyDescent="0.3">
      <c r="A17" t="s">
        <v>259</v>
      </c>
      <c r="B17" s="84">
        <v>0.1</v>
      </c>
      <c r="C17" s="81">
        <f t="shared" si="0"/>
        <v>1.1111111111111112</v>
      </c>
      <c r="D17" s="83">
        <f>18.5</f>
        <v>18.5</v>
      </c>
      <c r="E17" s="84"/>
    </row>
    <row r="18" spans="1:20" x14ac:dyDescent="0.3">
      <c r="A18" t="s">
        <v>138</v>
      </c>
      <c r="B18" s="78">
        <v>100000</v>
      </c>
      <c r="C18" s="81"/>
      <c r="D18" s="83"/>
      <c r="E18" s="84"/>
    </row>
    <row r="19" spans="1:20" x14ac:dyDescent="0.3">
      <c r="A19" t="s">
        <v>237</v>
      </c>
      <c r="B19" s="84">
        <v>0.1</v>
      </c>
      <c r="C19" s="81">
        <f t="shared" si="0"/>
        <v>1.1111111111111112</v>
      </c>
      <c r="D19" s="83"/>
      <c r="E19" s="84">
        <v>0.9</v>
      </c>
      <c r="J19" t="s">
        <v>254</v>
      </c>
    </row>
    <row r="20" spans="1:20" x14ac:dyDescent="0.3">
      <c r="A20" t="s">
        <v>238</v>
      </c>
      <c r="B20" s="84">
        <v>0.1</v>
      </c>
      <c r="C20" s="81">
        <f t="shared" si="0"/>
        <v>1.1111111111111112</v>
      </c>
      <c r="D20" s="83"/>
      <c r="E20" s="84">
        <v>0.9</v>
      </c>
    </row>
    <row r="22" spans="1:20" x14ac:dyDescent="0.3">
      <c r="A22" s="79" t="s">
        <v>277</v>
      </c>
    </row>
    <row r="23" spans="1:20" s="1" customFormat="1" ht="48.6" customHeight="1" x14ac:dyDescent="0.3">
      <c r="A23" s="82" t="s">
        <v>216</v>
      </c>
      <c r="B23" s="82" t="s">
        <v>215</v>
      </c>
      <c r="C23" s="82" t="s">
        <v>236</v>
      </c>
      <c r="D23" s="82" t="s">
        <v>137</v>
      </c>
      <c r="E23" s="82" t="s">
        <v>136</v>
      </c>
      <c r="F23" s="82" t="s">
        <v>134</v>
      </c>
      <c r="G23" s="82" t="s">
        <v>257</v>
      </c>
      <c r="H23" s="82" t="s">
        <v>258</v>
      </c>
      <c r="I23" s="82" t="s">
        <v>224</v>
      </c>
      <c r="J23" s="82" t="s">
        <v>220</v>
      </c>
      <c r="K23" s="82" t="s">
        <v>221</v>
      </c>
      <c r="L23" s="82" t="s">
        <v>223</v>
      </c>
      <c r="M23" s="82" t="s">
        <v>226</v>
      </c>
      <c r="N23" s="82" t="s">
        <v>222</v>
      </c>
      <c r="O23" s="82" t="s">
        <v>225</v>
      </c>
      <c r="P23" s="82" t="s">
        <v>227</v>
      </c>
      <c r="Q23" s="82" t="s">
        <v>228</v>
      </c>
      <c r="R23" s="82" t="s">
        <v>260</v>
      </c>
      <c r="S23" s="82" t="s">
        <v>230</v>
      </c>
    </row>
    <row r="24" spans="1:20" x14ac:dyDescent="0.3">
      <c r="A24" t="s">
        <v>158</v>
      </c>
      <c r="B24" s="78">
        <v>1</v>
      </c>
      <c r="C24" s="84">
        <v>0.89</v>
      </c>
      <c r="D24" s="78">
        <v>10</v>
      </c>
      <c r="E24" s="84">
        <v>0.5</v>
      </c>
      <c r="F24" s="81">
        <f>1/(1-E24)</f>
        <v>2</v>
      </c>
      <c r="G24" s="85">
        <f>H24*D24</f>
        <v>0.5</v>
      </c>
      <c r="H24" s="83">
        <v>0.05</v>
      </c>
      <c r="I24" s="91">
        <f>births*C24</f>
        <v>22449360</v>
      </c>
      <c r="J24" s="95">
        <f>B24*F24*I24</f>
        <v>44898720</v>
      </c>
      <c r="K24" s="95">
        <f>J24*H24</f>
        <v>2244936</v>
      </c>
      <c r="L24" s="89">
        <f>B24*I24*C15</f>
        <v>24943733.333333336</v>
      </c>
      <c r="M24" s="95">
        <f>L24*D15</f>
        <v>997749.33333333349</v>
      </c>
      <c r="N24" s="89">
        <f>(J24/B24)*$C$16</f>
        <v>49887466.666666672</v>
      </c>
      <c r="O24" s="95">
        <f>N24*$D$16</f>
        <v>1496624</v>
      </c>
      <c r="P24" s="89">
        <f>((L24+N24)/$B$18)*$C$17</f>
        <v>831.45777777777778</v>
      </c>
      <c r="Q24" s="95">
        <f>P24*$D$17</f>
        <v>15381.968888888889</v>
      </c>
      <c r="R24" s="95">
        <f>M24+O24+Q24</f>
        <v>2509755.3022222226</v>
      </c>
      <c r="S24" s="91">
        <f>K24+R24</f>
        <v>4754691.3022222221</v>
      </c>
    </row>
    <row r="25" spans="1:20" x14ac:dyDescent="0.3">
      <c r="A25" t="s">
        <v>209</v>
      </c>
      <c r="B25" s="78">
        <v>1</v>
      </c>
      <c r="C25" s="84">
        <v>0.47</v>
      </c>
      <c r="D25" s="78">
        <v>10</v>
      </c>
      <c r="E25" s="84">
        <v>0.15</v>
      </c>
      <c r="F25" s="81">
        <f t="shared" ref="F25:F33" si="1">1/(1-E25)</f>
        <v>1.1764705882352942</v>
      </c>
      <c r="G25" s="85">
        <f t="shared" ref="G25:G35" si="2">H25*D25</f>
        <v>0.5</v>
      </c>
      <c r="H25" s="83">
        <v>0.05</v>
      </c>
      <c r="I25" s="91">
        <f>births*C25</f>
        <v>11855280</v>
      </c>
      <c r="J25" s="95">
        <f t="shared" ref="J25:J35" si="3">B25*F25*I25</f>
        <v>13947388.235294119</v>
      </c>
      <c r="K25" s="95">
        <f t="shared" ref="K25:K35" si="4">J25*H25</f>
        <v>697369.41176470602</v>
      </c>
      <c r="L25" s="89">
        <f>B25*I25*$C$14</f>
        <v>13172533.333333334</v>
      </c>
      <c r="M25" s="95">
        <f>L25*$D$14</f>
        <v>395176</v>
      </c>
      <c r="N25" s="98"/>
      <c r="O25" s="98"/>
      <c r="P25" s="89">
        <f t="shared" ref="P25:P35" si="5">((L25+N25)/$B$18)*$C$17</f>
        <v>146.36148148148149</v>
      </c>
      <c r="Q25" s="95">
        <f>P25*$D$17</f>
        <v>2707.6874074074076</v>
      </c>
      <c r="R25" s="95">
        <f t="shared" ref="R25:R35" si="6">M25+O25+Q25</f>
        <v>397883.68740740739</v>
      </c>
      <c r="S25" s="91">
        <f t="shared" ref="S25:S33" si="7">K25+R25</f>
        <v>1095253.0991721135</v>
      </c>
    </row>
    <row r="26" spans="1:20" x14ac:dyDescent="0.3">
      <c r="A26" t="s">
        <v>210</v>
      </c>
      <c r="B26" s="78">
        <v>3</v>
      </c>
      <c r="C26" s="84">
        <v>0.86</v>
      </c>
      <c r="D26" s="78">
        <v>20</v>
      </c>
      <c r="E26" s="84">
        <v>0.1</v>
      </c>
      <c r="F26" s="81">
        <f t="shared" si="1"/>
        <v>1.1111111111111112</v>
      </c>
      <c r="G26" s="85">
        <f t="shared" si="2"/>
        <v>1.2</v>
      </c>
      <c r="H26" s="83">
        <v>0.06</v>
      </c>
      <c r="I26" s="91">
        <f>surv_infants*C26</f>
        <v>20933397.600000001</v>
      </c>
      <c r="J26" s="95">
        <f t="shared" si="3"/>
        <v>69777992.000000015</v>
      </c>
      <c r="K26" s="95">
        <f t="shared" si="4"/>
        <v>4186679.5200000009</v>
      </c>
      <c r="L26" s="96"/>
      <c r="M26" s="96"/>
      <c r="N26" s="98"/>
      <c r="O26" s="98"/>
      <c r="P26" s="96"/>
      <c r="Q26" s="96"/>
      <c r="R26" s="96"/>
      <c r="S26" s="91">
        <f t="shared" si="7"/>
        <v>4186679.5200000009</v>
      </c>
    </row>
    <row r="27" spans="1:20" x14ac:dyDescent="0.3">
      <c r="A27" t="s">
        <v>211</v>
      </c>
      <c r="B27" s="78">
        <v>3</v>
      </c>
      <c r="C27" s="84">
        <v>0.88</v>
      </c>
      <c r="D27" s="78">
        <v>10</v>
      </c>
      <c r="E27" s="84">
        <v>0.1</v>
      </c>
      <c r="F27" s="81">
        <f t="shared" si="1"/>
        <v>1.1111111111111112</v>
      </c>
      <c r="G27" s="85">
        <f t="shared" si="2"/>
        <v>15.4</v>
      </c>
      <c r="H27" s="83">
        <v>1.54</v>
      </c>
      <c r="I27" s="91">
        <f>surv_infants*C27</f>
        <v>21420220.800000001</v>
      </c>
      <c r="J27" s="95">
        <f t="shared" si="3"/>
        <v>71400736</v>
      </c>
      <c r="K27" s="95">
        <f t="shared" si="4"/>
        <v>109957133.44</v>
      </c>
      <c r="L27" s="89">
        <f t="shared" ref="L27:L35" si="8">B27*I27*$C$14</f>
        <v>71400736.000000015</v>
      </c>
      <c r="M27" s="95">
        <f t="shared" ref="M27:M35" si="9">L27*$D$14</f>
        <v>2142022.0800000005</v>
      </c>
      <c r="N27" s="98"/>
      <c r="O27" s="98"/>
      <c r="P27" s="89">
        <f t="shared" si="5"/>
        <v>793.34151111111134</v>
      </c>
      <c r="Q27" s="91">
        <f t="shared" ref="Q27:Q35" si="10">P27*$D$17</f>
        <v>14676.81795555556</v>
      </c>
      <c r="R27" s="95">
        <f t="shared" si="6"/>
        <v>2156698.8979555559</v>
      </c>
      <c r="S27" s="91">
        <f t="shared" si="7"/>
        <v>112113832.33795555</v>
      </c>
    </row>
    <row r="28" spans="1:20" x14ac:dyDescent="0.3">
      <c r="A28" t="s">
        <v>212</v>
      </c>
      <c r="B28" s="78">
        <v>2</v>
      </c>
      <c r="C28" s="84">
        <v>0.76</v>
      </c>
      <c r="D28" s="78">
        <v>5</v>
      </c>
      <c r="E28" s="84">
        <v>0.25</v>
      </c>
      <c r="F28" s="81">
        <f t="shared" si="1"/>
        <v>1.3333333333333333</v>
      </c>
      <c r="G28" s="85">
        <f t="shared" si="2"/>
        <v>0.8</v>
      </c>
      <c r="H28" s="83">
        <v>0.16</v>
      </c>
      <c r="I28" s="91">
        <f>surv_infants*C28</f>
        <v>18499281.600000001</v>
      </c>
      <c r="J28" s="95">
        <f t="shared" si="3"/>
        <v>49331417.600000001</v>
      </c>
      <c r="K28" s="95">
        <f t="shared" si="4"/>
        <v>7893026.8160000006</v>
      </c>
      <c r="L28" s="89">
        <f t="shared" si="8"/>
        <v>41109514.666666672</v>
      </c>
      <c r="M28" s="95">
        <f t="shared" si="9"/>
        <v>1233285.4400000002</v>
      </c>
      <c r="N28" s="89">
        <f>(J28/B28)*$C$16</f>
        <v>27406343.111111112</v>
      </c>
      <c r="O28" s="95">
        <f>N28*$D$16</f>
        <v>822190.29333333333</v>
      </c>
      <c r="P28" s="89">
        <f t="shared" si="5"/>
        <v>761.28730864197553</v>
      </c>
      <c r="Q28" s="95">
        <f t="shared" si="10"/>
        <v>14083.815209876548</v>
      </c>
      <c r="R28" s="95">
        <f t="shared" si="6"/>
        <v>2069559.5485432099</v>
      </c>
      <c r="S28" s="91">
        <f t="shared" si="7"/>
        <v>9962586.3645432107</v>
      </c>
    </row>
    <row r="29" spans="1:20" x14ac:dyDescent="0.3">
      <c r="A29" s="52" t="s">
        <v>235</v>
      </c>
      <c r="B29" s="78">
        <v>2</v>
      </c>
      <c r="C29" s="84">
        <v>0.8</v>
      </c>
      <c r="D29" s="78">
        <v>5</v>
      </c>
      <c r="E29" s="84">
        <v>0.25</v>
      </c>
      <c r="F29" s="81">
        <f t="shared" si="1"/>
        <v>1.3333333333333333</v>
      </c>
      <c r="G29" s="85">
        <f t="shared" si="2"/>
        <v>2.5</v>
      </c>
      <c r="H29" s="83">
        <v>0.5</v>
      </c>
      <c r="I29" s="91">
        <f>surv_infants*C29</f>
        <v>19472928</v>
      </c>
      <c r="J29" s="95">
        <f t="shared" si="3"/>
        <v>51927808</v>
      </c>
      <c r="K29" s="95">
        <f t="shared" si="4"/>
        <v>25963904</v>
      </c>
      <c r="L29" s="89">
        <f t="shared" si="8"/>
        <v>43273173.333333336</v>
      </c>
      <c r="M29" s="95">
        <f t="shared" si="9"/>
        <v>1298195.2</v>
      </c>
      <c r="N29" s="89">
        <f>(J29/B29)*$C$16</f>
        <v>28848782.222222224</v>
      </c>
      <c r="O29" s="95">
        <f>N29*$D$16</f>
        <v>865463.46666666667</v>
      </c>
      <c r="P29" s="89">
        <f t="shared" si="5"/>
        <v>801.35506172839507</v>
      </c>
      <c r="Q29" s="95">
        <f t="shared" si="10"/>
        <v>14825.068641975309</v>
      </c>
      <c r="R29" s="95">
        <f t="shared" si="6"/>
        <v>2178483.735308642</v>
      </c>
      <c r="S29" s="91">
        <f t="shared" si="7"/>
        <v>28142387.735308643</v>
      </c>
    </row>
    <row r="30" spans="1:20" x14ac:dyDescent="0.3">
      <c r="A30" t="s">
        <v>213</v>
      </c>
      <c r="B30" s="78">
        <v>2</v>
      </c>
      <c r="C30" s="84">
        <v>0.04</v>
      </c>
      <c r="D30" s="78">
        <v>10</v>
      </c>
      <c r="E30" s="84">
        <v>0.1</v>
      </c>
      <c r="F30" s="81">
        <f t="shared" si="1"/>
        <v>1.1111111111111112</v>
      </c>
      <c r="G30" s="85">
        <f t="shared" si="2"/>
        <v>10</v>
      </c>
      <c r="H30" s="83">
        <v>1</v>
      </c>
      <c r="I30" s="91">
        <f>surv_infants*C30</f>
        <v>973646.4</v>
      </c>
      <c r="J30" s="95">
        <f t="shared" si="3"/>
        <v>2163658.666666667</v>
      </c>
      <c r="K30" s="95">
        <f t="shared" si="4"/>
        <v>2163658.666666667</v>
      </c>
      <c r="L30" s="96"/>
      <c r="M30" s="96"/>
      <c r="N30" s="98"/>
      <c r="O30" s="96"/>
      <c r="P30" s="96"/>
      <c r="Q30" s="96"/>
      <c r="R30" s="96"/>
      <c r="S30" s="91">
        <f t="shared" si="7"/>
        <v>2163658.666666667</v>
      </c>
    </row>
    <row r="31" spans="1:20" x14ac:dyDescent="0.3">
      <c r="A31" s="52" t="s">
        <v>214</v>
      </c>
      <c r="B31" s="78">
        <v>2</v>
      </c>
      <c r="C31" s="84">
        <v>0.8</v>
      </c>
      <c r="D31" s="78">
        <v>5</v>
      </c>
      <c r="E31" s="84">
        <v>0.25</v>
      </c>
      <c r="F31" s="81">
        <f t="shared" si="1"/>
        <v>1.3333333333333333</v>
      </c>
      <c r="G31" s="85">
        <f t="shared" si="2"/>
        <v>0.89999999999999991</v>
      </c>
      <c r="H31" s="83">
        <v>0.18</v>
      </c>
      <c r="I31" s="91"/>
      <c r="J31" s="95">
        <f t="shared" si="3"/>
        <v>0</v>
      </c>
      <c r="K31" s="95">
        <f t="shared" si="4"/>
        <v>0</v>
      </c>
      <c r="L31" s="89">
        <f t="shared" si="8"/>
        <v>0</v>
      </c>
      <c r="M31" s="95">
        <f t="shared" si="9"/>
        <v>0</v>
      </c>
      <c r="N31" s="89">
        <f>J31/B31*$C$16</f>
        <v>0</v>
      </c>
      <c r="O31" s="95">
        <f t="shared" ref="O31" si="11">N31*$D$16</f>
        <v>0</v>
      </c>
      <c r="P31" s="90">
        <f t="shared" si="5"/>
        <v>0</v>
      </c>
      <c r="Q31" s="91">
        <f t="shared" si="10"/>
        <v>0</v>
      </c>
      <c r="R31" s="95">
        <f t="shared" si="6"/>
        <v>0</v>
      </c>
      <c r="S31" s="91">
        <f t="shared" si="7"/>
        <v>0</v>
      </c>
      <c r="T31" s="99" t="s">
        <v>263</v>
      </c>
    </row>
    <row r="32" spans="1:20" x14ac:dyDescent="0.3">
      <c r="A32" s="52" t="s">
        <v>234</v>
      </c>
      <c r="B32" s="78">
        <v>1</v>
      </c>
      <c r="C32" s="84">
        <v>0.47</v>
      </c>
      <c r="D32" s="78">
        <v>10</v>
      </c>
      <c r="E32" s="84">
        <v>0.3</v>
      </c>
      <c r="F32" s="81">
        <f t="shared" si="1"/>
        <v>1.4285714285714286</v>
      </c>
      <c r="G32" s="85">
        <f t="shared" si="2"/>
        <v>10</v>
      </c>
      <c r="H32" s="83">
        <v>1</v>
      </c>
      <c r="I32" s="91">
        <f>surv_infants*C32</f>
        <v>11440345.199999999</v>
      </c>
      <c r="J32" s="95">
        <f t="shared" si="3"/>
        <v>16343350.285714285</v>
      </c>
      <c r="K32" s="95">
        <f t="shared" si="4"/>
        <v>16343350.285714285</v>
      </c>
      <c r="L32" s="89">
        <f t="shared" si="8"/>
        <v>12711494.666666666</v>
      </c>
      <c r="M32" s="95">
        <f t="shared" si="9"/>
        <v>381344.83999999997</v>
      </c>
      <c r="N32" s="98"/>
      <c r="O32" s="98"/>
      <c r="P32" s="89">
        <f t="shared" si="5"/>
        <v>141.23882962962963</v>
      </c>
      <c r="Q32" s="95">
        <f t="shared" si="10"/>
        <v>2612.9183481481482</v>
      </c>
      <c r="R32" s="95">
        <f t="shared" si="6"/>
        <v>383957.75834814814</v>
      </c>
      <c r="S32" s="91">
        <f t="shared" si="7"/>
        <v>16727308.044062434</v>
      </c>
    </row>
    <row r="33" spans="1:20" x14ac:dyDescent="0.3">
      <c r="A33" t="s">
        <v>159</v>
      </c>
      <c r="B33" s="78">
        <v>2</v>
      </c>
      <c r="C33" s="84">
        <v>0.85</v>
      </c>
      <c r="D33" s="78">
        <v>10</v>
      </c>
      <c r="E33" s="84">
        <v>0.1</v>
      </c>
      <c r="F33" s="81">
        <f t="shared" si="1"/>
        <v>1.1111111111111112</v>
      </c>
      <c r="G33" s="85">
        <f t="shared" si="2"/>
        <v>0.2</v>
      </c>
      <c r="H33" s="83">
        <v>0.02</v>
      </c>
      <c r="I33" s="91">
        <f>preg_women*C33</f>
        <v>23584440.000000004</v>
      </c>
      <c r="J33" s="95">
        <f t="shared" si="3"/>
        <v>52409866.666666679</v>
      </c>
      <c r="K33" s="95">
        <f t="shared" si="4"/>
        <v>1048197.3333333336</v>
      </c>
      <c r="L33" s="89">
        <f t="shared" si="8"/>
        <v>52409866.666666679</v>
      </c>
      <c r="M33" s="95">
        <f t="shared" si="9"/>
        <v>1572296.0000000002</v>
      </c>
      <c r="N33" s="98"/>
      <c r="O33" s="98"/>
      <c r="P33" s="89">
        <f t="shared" si="5"/>
        <v>582.33185185185198</v>
      </c>
      <c r="Q33" s="95">
        <f t="shared" si="10"/>
        <v>10773.139259259262</v>
      </c>
      <c r="R33" s="95">
        <f t="shared" si="6"/>
        <v>1583069.1392592594</v>
      </c>
      <c r="S33" s="91">
        <f t="shared" si="7"/>
        <v>2631266.4725925932</v>
      </c>
    </row>
    <row r="34" spans="1:20" ht="15" thickBot="1" x14ac:dyDescent="0.35">
      <c r="Q34" s="86"/>
      <c r="R34" s="86" t="s">
        <v>240</v>
      </c>
      <c r="S34" s="91">
        <f>SUM(S24:S33)-S29-S31-S32</f>
        <v>136907967.76315233</v>
      </c>
      <c r="T34" s="99" t="s">
        <v>261</v>
      </c>
    </row>
    <row r="35" spans="1:20" ht="15.6" thickTop="1" thickBot="1" x14ac:dyDescent="0.35">
      <c r="A35" s="52" t="s">
        <v>219</v>
      </c>
      <c r="B35" s="77">
        <f>_xlfn.IFS('Vaccine costs (routine)'!H12="High",D5,'Vaccine costs (routine)'!H12="Medium",C5,'Vaccine costs (routine)'!H12="Low",B5)</f>
        <v>2</v>
      </c>
      <c r="C35" s="93">
        <f>C8</f>
        <v>0.8</v>
      </c>
      <c r="D35" s="77">
        <f>C6</f>
        <v>1</v>
      </c>
      <c r="E35" s="93">
        <f>C9</f>
        <v>0.25</v>
      </c>
      <c r="F35" s="94">
        <f>1/(1-E35)</f>
        <v>1.3333333333333333</v>
      </c>
      <c r="G35" s="85">
        <f t="shared" si="2"/>
        <v>3.25</v>
      </c>
      <c r="H35" s="85">
        <f>_xlfn.IFS('Vaccine costs (routine)'!H11="High",D4, 'Vaccine costs (routine)'!H11="Medium",C4, 'Vaccine costs (routine)'!H11="Low",B4)</f>
        <v>3.25</v>
      </c>
      <c r="I35" s="97">
        <f>surv_infants*C35</f>
        <v>19472928</v>
      </c>
      <c r="J35" s="95">
        <f t="shared" si="3"/>
        <v>51927808</v>
      </c>
      <c r="K35" s="95">
        <f t="shared" si="4"/>
        <v>168765376</v>
      </c>
      <c r="L35" s="91">
        <f t="shared" si="8"/>
        <v>43273173.333333336</v>
      </c>
      <c r="M35" s="95">
        <f t="shared" si="9"/>
        <v>1298195.2</v>
      </c>
      <c r="N35" s="98"/>
      <c r="O35" s="98"/>
      <c r="P35" s="91">
        <f t="shared" si="5"/>
        <v>480.81303703703708</v>
      </c>
      <c r="Q35" s="95">
        <f t="shared" si="10"/>
        <v>8895.0411851851859</v>
      </c>
      <c r="R35" s="95">
        <f t="shared" si="6"/>
        <v>1307090.241185185</v>
      </c>
      <c r="S35" s="91">
        <f>K35+R35+K35*buffer_stock</f>
        <v>212263810.24118519</v>
      </c>
    </row>
    <row r="36" spans="1:20" ht="15" thickTop="1" x14ac:dyDescent="0.3">
      <c r="R36" s="86" t="s">
        <v>241</v>
      </c>
      <c r="S36" s="91">
        <f>S33+S35</f>
        <v>214895076.71377778</v>
      </c>
    </row>
    <row r="38" spans="1:20" ht="33" customHeight="1" x14ac:dyDescent="0.3">
      <c r="A38" s="79" t="s">
        <v>142</v>
      </c>
      <c r="J38" s="240" t="s">
        <v>149</v>
      </c>
      <c r="K38" s="240"/>
      <c r="L38" s="240"/>
      <c r="M38" s="240" t="s">
        <v>152</v>
      </c>
      <c r="N38" s="240"/>
      <c r="O38" s="240"/>
    </row>
    <row r="39" spans="1:20" s="1" customFormat="1" ht="57.6" customHeight="1" x14ac:dyDescent="0.3">
      <c r="A39" s="50" t="s">
        <v>139</v>
      </c>
      <c r="B39" s="55" t="s">
        <v>140</v>
      </c>
      <c r="C39" s="55" t="s">
        <v>137</v>
      </c>
      <c r="D39" s="239" t="s">
        <v>155</v>
      </c>
      <c r="E39" s="239"/>
      <c r="F39" s="55" t="s">
        <v>143</v>
      </c>
      <c r="G39" s="55" t="s">
        <v>144</v>
      </c>
      <c r="H39" s="55" t="s">
        <v>145</v>
      </c>
      <c r="I39" s="55" t="s">
        <v>146</v>
      </c>
      <c r="J39" s="239" t="s">
        <v>147</v>
      </c>
      <c r="K39" s="239"/>
      <c r="L39" s="55" t="s">
        <v>148</v>
      </c>
      <c r="M39" s="239" t="s">
        <v>147</v>
      </c>
      <c r="N39" s="239"/>
      <c r="O39" s="55" t="s">
        <v>148</v>
      </c>
      <c r="P39" s="55" t="s">
        <v>156</v>
      </c>
      <c r="Q39" s="55" t="s">
        <v>157</v>
      </c>
      <c r="R39" s="71"/>
    </row>
    <row r="40" spans="1:20" x14ac:dyDescent="0.3">
      <c r="D40" s="56" t="s">
        <v>139</v>
      </c>
      <c r="E40" s="56" t="s">
        <v>141</v>
      </c>
      <c r="J40" s="53" t="s">
        <v>150</v>
      </c>
      <c r="K40" s="53" t="s">
        <v>151</v>
      </c>
      <c r="L40" s="54" t="s">
        <v>154</v>
      </c>
      <c r="M40" s="53" t="s">
        <v>153</v>
      </c>
      <c r="N40" s="53" t="s">
        <v>154</v>
      </c>
      <c r="O40" s="54" t="s">
        <v>154</v>
      </c>
    </row>
    <row r="41" spans="1:20" x14ac:dyDescent="0.3">
      <c r="A41" t="s">
        <v>158</v>
      </c>
      <c r="B41" s="78" t="s">
        <v>160</v>
      </c>
      <c r="C41" s="103">
        <v>10</v>
      </c>
      <c r="D41" s="104">
        <v>1.8</v>
      </c>
      <c r="E41" s="105">
        <v>1.8</v>
      </c>
      <c r="F41" s="106">
        <f>B24</f>
        <v>1</v>
      </c>
      <c r="G41" s="107">
        <f>E24</f>
        <v>0.5</v>
      </c>
      <c r="H41" s="108">
        <f>F41</f>
        <v>1</v>
      </c>
      <c r="I41" s="109">
        <f>G41</f>
        <v>0.5</v>
      </c>
      <c r="J41" s="113"/>
      <c r="K41" s="110">
        <f>100/(100-$G41)*$D41*$F41</f>
        <v>1.8090452261306531</v>
      </c>
      <c r="L41" s="110">
        <f>IF($B41="Reconst",E41*F41,0)+SUM(J41:K41)</f>
        <v>3.6090452261306529</v>
      </c>
      <c r="M41" s="112"/>
      <c r="N41" s="110">
        <f>100/(100-$I41)*$D41*$H41</f>
        <v>1.8090452261306531</v>
      </c>
      <c r="O41" s="110">
        <f>IF($B41="Reconst",E41*H41,0)+SUM(M41:N41)</f>
        <v>3.6090452261306529</v>
      </c>
      <c r="P41" s="115">
        <f>N41/($M$52+$N$52)</f>
        <v>1.8930135327108549E-2</v>
      </c>
      <c r="Q41" s="116">
        <f>O41/$O$52</f>
        <v>2.7515452668873036E-2</v>
      </c>
    </row>
    <row r="42" spans="1:20" x14ac:dyDescent="0.3">
      <c r="A42" t="s">
        <v>262</v>
      </c>
      <c r="B42" s="78" t="s">
        <v>161</v>
      </c>
      <c r="C42" s="103">
        <v>10</v>
      </c>
      <c r="D42" s="104">
        <v>3.5</v>
      </c>
      <c r="E42" s="105" t="s">
        <v>182</v>
      </c>
      <c r="F42" s="106">
        <f t="shared" ref="F42:F50" si="12">B25</f>
        <v>1</v>
      </c>
      <c r="G42" s="107">
        <f t="shared" ref="G42:G50" si="13">E25</f>
        <v>0.15</v>
      </c>
      <c r="H42" s="108">
        <f t="shared" ref="H42:H50" si="14">F42</f>
        <v>1</v>
      </c>
      <c r="I42" s="109">
        <f t="shared" ref="I42:I50" si="15">G42</f>
        <v>0.15</v>
      </c>
      <c r="J42" s="113"/>
      <c r="K42" s="110">
        <f t="shared" ref="J42:K50" si="16">100/(100-$G42)*$D42*$F42</f>
        <v>3.5052578868302455</v>
      </c>
      <c r="L42" s="110">
        <f t="shared" ref="L42:L50" si="17">IF($B42="Reconst",E42*F42,0)+SUM(J42:K42)</f>
        <v>3.5052578868302455</v>
      </c>
      <c r="M42" s="113"/>
      <c r="N42" s="110">
        <f t="shared" ref="M42:N51" si="18">100/(100-$I42)*$D42*$H42</f>
        <v>3.5052578868302455</v>
      </c>
      <c r="O42" s="110">
        <f t="shared" ref="O42:O51" si="19">IF($B42="Reconst",E42*H42,0)+SUM(M42:N42)</f>
        <v>3.5052578868302455</v>
      </c>
      <c r="P42" s="115">
        <f t="shared" ref="P42:P51" si="20">N42/($M$52+$N$52)</f>
        <v>3.6679572846300301E-2</v>
      </c>
      <c r="Q42" s="116">
        <f t="shared" ref="Q42:Q51" si="21">O42/$O$52</f>
        <v>2.6724175352237589E-2</v>
      </c>
    </row>
    <row r="43" spans="1:20" x14ac:dyDescent="0.3">
      <c r="A43" t="s">
        <v>210</v>
      </c>
      <c r="B43" s="78" t="s">
        <v>161</v>
      </c>
      <c r="C43" s="103">
        <v>20</v>
      </c>
      <c r="D43" s="104">
        <v>0.8</v>
      </c>
      <c r="E43" s="105" t="s">
        <v>182</v>
      </c>
      <c r="F43" s="106">
        <f t="shared" si="12"/>
        <v>3</v>
      </c>
      <c r="G43" s="107">
        <f t="shared" si="13"/>
        <v>0.1</v>
      </c>
      <c r="H43" s="108">
        <f t="shared" si="14"/>
        <v>3</v>
      </c>
      <c r="I43" s="109">
        <f t="shared" si="15"/>
        <v>0.1</v>
      </c>
      <c r="J43" s="110">
        <f t="shared" si="16"/>
        <v>2.4024024024024024</v>
      </c>
      <c r="K43" s="113"/>
      <c r="L43" s="110">
        <f t="shared" si="17"/>
        <v>2.4024024024024024</v>
      </c>
      <c r="M43" s="110">
        <f t="shared" si="18"/>
        <v>2.4024024024024024</v>
      </c>
      <c r="N43" s="112"/>
      <c r="O43" s="110">
        <f t="shared" si="19"/>
        <v>2.4024024024024024</v>
      </c>
      <c r="P43" s="115">
        <f>M43/($M$52+$N$52)</f>
        <v>2.5139118652616629E-2</v>
      </c>
      <c r="Q43" s="116">
        <f t="shared" si="21"/>
        <v>1.8315977066810284E-2</v>
      </c>
    </row>
    <row r="44" spans="1:20" x14ac:dyDescent="0.3">
      <c r="A44" t="s">
        <v>211</v>
      </c>
      <c r="B44" s="78" t="s">
        <v>161</v>
      </c>
      <c r="C44" s="103">
        <v>10</v>
      </c>
      <c r="D44" s="104">
        <v>2.8</v>
      </c>
      <c r="E44" s="105" t="s">
        <v>182</v>
      </c>
      <c r="F44" s="106">
        <f t="shared" si="12"/>
        <v>3</v>
      </c>
      <c r="G44" s="107">
        <f t="shared" si="13"/>
        <v>0.1</v>
      </c>
      <c r="H44" s="108">
        <f t="shared" si="14"/>
        <v>3</v>
      </c>
      <c r="I44" s="109">
        <f t="shared" si="15"/>
        <v>0.1</v>
      </c>
      <c r="J44" s="113"/>
      <c r="K44" s="110">
        <f t="shared" si="16"/>
        <v>8.4084084084084072</v>
      </c>
      <c r="L44" s="110">
        <f t="shared" si="17"/>
        <v>8.4084084084084072</v>
      </c>
      <c r="M44" s="113"/>
      <c r="N44" s="110">
        <f t="shared" si="18"/>
        <v>8.4084084084084072</v>
      </c>
      <c r="O44" s="110">
        <f t="shared" si="19"/>
        <v>8.4084084084084072</v>
      </c>
      <c r="P44" s="115">
        <f t="shared" si="20"/>
        <v>8.7986915284158196E-2</v>
      </c>
      <c r="Q44" s="116">
        <f t="shared" si="21"/>
        <v>6.4105919733835989E-2</v>
      </c>
    </row>
    <row r="45" spans="1:20" x14ac:dyDescent="0.3">
      <c r="A45" t="s">
        <v>212</v>
      </c>
      <c r="B45" s="78" t="s">
        <v>160</v>
      </c>
      <c r="C45" s="103">
        <v>5</v>
      </c>
      <c r="D45" s="104">
        <v>5.2</v>
      </c>
      <c r="E45" s="105">
        <v>7</v>
      </c>
      <c r="F45" s="106">
        <f t="shared" si="12"/>
        <v>2</v>
      </c>
      <c r="G45" s="107">
        <f t="shared" si="13"/>
        <v>0.25</v>
      </c>
      <c r="H45" s="108">
        <f t="shared" si="14"/>
        <v>2</v>
      </c>
      <c r="I45" s="109">
        <f t="shared" si="15"/>
        <v>0.25</v>
      </c>
      <c r="J45" s="113"/>
      <c r="K45" s="110">
        <f t="shared" si="16"/>
        <v>10.426065162907268</v>
      </c>
      <c r="L45" s="110">
        <f t="shared" si="17"/>
        <v>24.426065162907268</v>
      </c>
      <c r="M45" s="113"/>
      <c r="N45" s="110">
        <f t="shared" si="18"/>
        <v>10.426065162907268</v>
      </c>
      <c r="O45" s="110">
        <f t="shared" si="19"/>
        <v>24.426065162907268</v>
      </c>
      <c r="P45" s="115">
        <f t="shared" si="20"/>
        <v>0.10909999463376178</v>
      </c>
      <c r="Q45" s="116">
        <f t="shared" si="21"/>
        <v>0.18622494254452787</v>
      </c>
    </row>
    <row r="46" spans="1:20" x14ac:dyDescent="0.3">
      <c r="A46" s="52" t="s">
        <v>235</v>
      </c>
      <c r="B46" s="78" t="s">
        <v>160</v>
      </c>
      <c r="C46" s="103">
        <v>5</v>
      </c>
      <c r="D46" s="104">
        <v>5.2</v>
      </c>
      <c r="E46" s="105">
        <v>7</v>
      </c>
      <c r="F46" s="106">
        <f t="shared" si="12"/>
        <v>2</v>
      </c>
      <c r="G46" s="107">
        <f t="shared" si="13"/>
        <v>0.25</v>
      </c>
      <c r="H46" s="108">
        <f t="shared" si="14"/>
        <v>2</v>
      </c>
      <c r="I46" s="109">
        <f t="shared" si="15"/>
        <v>0.25</v>
      </c>
      <c r="J46" s="113"/>
      <c r="K46" s="110">
        <f t="shared" si="16"/>
        <v>10.426065162907268</v>
      </c>
      <c r="L46" s="110">
        <f t="shared" si="17"/>
        <v>24.426065162907268</v>
      </c>
      <c r="M46" s="113"/>
      <c r="N46" s="110">
        <f t="shared" si="18"/>
        <v>10.426065162907268</v>
      </c>
      <c r="O46" s="110">
        <f t="shared" si="19"/>
        <v>24.426065162907268</v>
      </c>
      <c r="P46" s="115">
        <f t="shared" si="20"/>
        <v>0.10909999463376178</v>
      </c>
      <c r="Q46" s="116">
        <f t="shared" si="21"/>
        <v>0.18622494254452787</v>
      </c>
    </row>
    <row r="47" spans="1:20" x14ac:dyDescent="0.3">
      <c r="A47" t="s">
        <v>213</v>
      </c>
      <c r="B47" s="78" t="s">
        <v>161</v>
      </c>
      <c r="C47" s="103">
        <v>1</v>
      </c>
      <c r="D47" s="104">
        <v>17.100000000000001</v>
      </c>
      <c r="E47" s="105" t="s">
        <v>182</v>
      </c>
      <c r="F47" s="106">
        <f t="shared" si="12"/>
        <v>2</v>
      </c>
      <c r="G47" s="107">
        <f t="shared" si="13"/>
        <v>0.1</v>
      </c>
      <c r="H47" s="108">
        <f t="shared" si="14"/>
        <v>2</v>
      </c>
      <c r="I47" s="109">
        <f t="shared" si="15"/>
        <v>0.1</v>
      </c>
      <c r="J47" s="113"/>
      <c r="K47" s="110">
        <f t="shared" si="16"/>
        <v>34.234234234234229</v>
      </c>
      <c r="L47" s="110">
        <f t="shared" si="17"/>
        <v>34.234234234234229</v>
      </c>
      <c r="M47" s="113"/>
      <c r="N47" s="110">
        <f t="shared" si="18"/>
        <v>34.234234234234229</v>
      </c>
      <c r="O47" s="110">
        <f t="shared" si="19"/>
        <v>34.234234234234229</v>
      </c>
      <c r="P47" s="115">
        <f t="shared" si="20"/>
        <v>0.35823244079978694</v>
      </c>
      <c r="Q47" s="116">
        <f t="shared" si="21"/>
        <v>0.26100267320204651</v>
      </c>
    </row>
    <row r="48" spans="1:20" x14ac:dyDescent="0.3">
      <c r="A48" s="52" t="s">
        <v>214</v>
      </c>
      <c r="B48" s="78" t="s">
        <v>160</v>
      </c>
      <c r="C48" s="103">
        <v>5</v>
      </c>
      <c r="D48" s="104">
        <v>2.4</v>
      </c>
      <c r="E48" s="105">
        <v>2.9</v>
      </c>
      <c r="F48" s="106">
        <f t="shared" si="12"/>
        <v>2</v>
      </c>
      <c r="G48" s="107">
        <f t="shared" si="13"/>
        <v>0.25</v>
      </c>
      <c r="H48" s="108">
        <f t="shared" si="14"/>
        <v>2</v>
      </c>
      <c r="I48" s="109">
        <f t="shared" si="15"/>
        <v>0.25</v>
      </c>
      <c r="J48" s="113"/>
      <c r="K48" s="110">
        <f t="shared" si="16"/>
        <v>4.8120300751879697</v>
      </c>
      <c r="L48" s="110">
        <f t="shared" si="17"/>
        <v>10.61203007518797</v>
      </c>
      <c r="M48" s="113"/>
      <c r="N48" s="110">
        <f t="shared" si="18"/>
        <v>4.8120300751879697</v>
      </c>
      <c r="O48" s="110">
        <f t="shared" si="19"/>
        <v>10.61203007518797</v>
      </c>
      <c r="P48" s="115">
        <f t="shared" si="20"/>
        <v>5.0353843677120827E-2</v>
      </c>
      <c r="Q48" s="116">
        <f t="shared" si="21"/>
        <v>8.0906387412481018E-2</v>
      </c>
    </row>
    <row r="49" spans="1:18" x14ac:dyDescent="0.3">
      <c r="A49" s="52" t="s">
        <v>234</v>
      </c>
      <c r="B49" s="78" t="s">
        <v>161</v>
      </c>
      <c r="C49" s="103">
        <v>10</v>
      </c>
      <c r="D49" s="104">
        <v>2.5</v>
      </c>
      <c r="E49" s="105" t="s">
        <v>182</v>
      </c>
      <c r="F49" s="106">
        <f t="shared" si="12"/>
        <v>1</v>
      </c>
      <c r="G49" s="107">
        <f t="shared" si="13"/>
        <v>0.3</v>
      </c>
      <c r="H49" s="108">
        <f t="shared" si="14"/>
        <v>1</v>
      </c>
      <c r="I49" s="109">
        <f t="shared" si="15"/>
        <v>0.3</v>
      </c>
      <c r="J49" s="113"/>
      <c r="K49" s="110">
        <f t="shared" si="16"/>
        <v>2.5075225677031092</v>
      </c>
      <c r="L49" s="110">
        <f t="shared" si="17"/>
        <v>2.5075225677031092</v>
      </c>
      <c r="M49" s="113"/>
      <c r="N49" s="110">
        <f t="shared" si="18"/>
        <v>2.5075225677031092</v>
      </c>
      <c r="O49" s="110">
        <f t="shared" si="19"/>
        <v>2.5075225677031092</v>
      </c>
      <c r="P49" s="115">
        <f t="shared" si="20"/>
        <v>2.623911268593699E-2</v>
      </c>
      <c r="Q49" s="116">
        <f t="shared" si="21"/>
        <v>1.9117415882797844E-2</v>
      </c>
    </row>
    <row r="50" spans="1:18" x14ac:dyDescent="0.3">
      <c r="A50" t="s">
        <v>159</v>
      </c>
      <c r="B50" s="78" t="s">
        <v>161</v>
      </c>
      <c r="C50" s="103">
        <v>10</v>
      </c>
      <c r="D50" s="104">
        <v>3.1</v>
      </c>
      <c r="E50" s="105" t="s">
        <v>182</v>
      </c>
      <c r="F50" s="106">
        <f t="shared" si="12"/>
        <v>2</v>
      </c>
      <c r="G50" s="107">
        <f t="shared" si="13"/>
        <v>0.1</v>
      </c>
      <c r="H50" s="108">
        <f t="shared" si="14"/>
        <v>2</v>
      </c>
      <c r="I50" s="109">
        <f t="shared" si="15"/>
        <v>0.1</v>
      </c>
      <c r="J50" s="113"/>
      <c r="K50" s="110">
        <f t="shared" si="16"/>
        <v>6.2062062062062058</v>
      </c>
      <c r="L50" s="110">
        <f t="shared" si="17"/>
        <v>6.2062062062062058</v>
      </c>
      <c r="M50" s="113"/>
      <c r="N50" s="110">
        <f t="shared" si="18"/>
        <v>6.2062062062062058</v>
      </c>
      <c r="O50" s="110">
        <f t="shared" si="19"/>
        <v>6.2062062062062058</v>
      </c>
      <c r="P50" s="115">
        <f t="shared" si="20"/>
        <v>6.4942723185926282E-2</v>
      </c>
      <c r="Q50" s="116">
        <f t="shared" si="21"/>
        <v>4.7316274089259897E-2</v>
      </c>
    </row>
    <row r="51" spans="1:18" x14ac:dyDescent="0.3">
      <c r="A51" s="52" t="s">
        <v>219</v>
      </c>
      <c r="B51" s="78" t="s">
        <v>161</v>
      </c>
      <c r="C51" s="106">
        <f>C6</f>
        <v>1</v>
      </c>
      <c r="D51" s="110">
        <f>C10</f>
        <v>10.8</v>
      </c>
      <c r="E51" s="108" t="s">
        <v>182</v>
      </c>
      <c r="F51" s="106">
        <v>0</v>
      </c>
      <c r="G51" s="107">
        <v>0</v>
      </c>
      <c r="H51" s="106">
        <v>1</v>
      </c>
      <c r="I51" s="107">
        <f>C9</f>
        <v>0.25</v>
      </c>
      <c r="J51" s="110">
        <v>0</v>
      </c>
      <c r="K51" s="110">
        <v>0</v>
      </c>
      <c r="L51" s="110">
        <v>0</v>
      </c>
      <c r="M51" s="114"/>
      <c r="N51" s="110">
        <f t="shared" si="18"/>
        <v>10.827067669172932</v>
      </c>
      <c r="O51" s="110">
        <f t="shared" si="19"/>
        <v>10.827067669172932</v>
      </c>
      <c r="P51" s="115">
        <f t="shared" si="20"/>
        <v>0.11329614827352186</v>
      </c>
      <c r="Q51" s="116">
        <f t="shared" si="21"/>
        <v>8.2545839502602136E-2</v>
      </c>
      <c r="R51" s="52"/>
    </row>
    <row r="52" spans="1:18" x14ac:dyDescent="0.3">
      <c r="I52" s="86" t="s">
        <v>265</v>
      </c>
      <c r="J52" s="110">
        <f>SUM(J41:J51)</f>
        <v>2.4024024024024024</v>
      </c>
      <c r="K52" s="110">
        <f t="shared" ref="K52:O52" si="22">SUM(K41:K51)</f>
        <v>82.334834930515342</v>
      </c>
      <c r="L52" s="110">
        <f t="shared" si="22"/>
        <v>120.33723733291775</v>
      </c>
      <c r="M52" s="110">
        <f t="shared" si="22"/>
        <v>2.4024024024024024</v>
      </c>
      <c r="N52" s="110">
        <f>SUM(N41:N51)</f>
        <v>93.161902599688275</v>
      </c>
      <c r="O52" s="110">
        <f t="shared" si="22"/>
        <v>131.16430500209069</v>
      </c>
      <c r="P52" s="115">
        <f>SUM(P41:P51)</f>
        <v>1.0000000000000002</v>
      </c>
      <c r="Q52" s="115">
        <f>SUM(Q41:Q51)</f>
        <v>1</v>
      </c>
    </row>
  </sheetData>
  <mergeCells count="5">
    <mergeCell ref="D39:E39"/>
    <mergeCell ref="J39:K39"/>
    <mergeCell ref="J38:L38"/>
    <mergeCell ref="M39:N39"/>
    <mergeCell ref="M38:O38"/>
  </mergeCells>
  <hyperlinks>
    <hyperlink ref="J10" r:id="rId1" xr:uid="{0A461805-11DC-4213-B71D-97FD2DA0E6E1}"/>
  </hyperlinks>
  <pageMargins left="0.7" right="0.7" top="0.75" bottom="0.75" header="0.3" footer="0.3"/>
  <pageSetup paperSize="9" orientation="portrait" horizontalDpi="4294967293" verticalDpi="4294967293"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108B800B-2757-49C0-9411-404A4DCB6FE5}">
          <x14:formula1>
            <xm:f>Instructions!$A$22:$A$24</xm:f>
          </x14:formula1>
          <xm:sqref>H11:H12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40F55-07E2-41C2-9981-6B2F9506741C}">
  <sheetPr>
    <tabColor theme="0" tint="-0.499984740745262"/>
  </sheetPr>
  <dimension ref="A1:I33"/>
  <sheetViews>
    <sheetView showGridLines="0" zoomScale="80" zoomScaleNormal="80" workbookViewId="0">
      <selection activeCell="Q34" sqref="Q34"/>
    </sheetView>
  </sheetViews>
  <sheetFormatPr defaultColWidth="9.109375" defaultRowHeight="14.4" x14ac:dyDescent="0.3"/>
  <cols>
    <col min="1" max="1" width="38.5546875" style="143" customWidth="1"/>
    <col min="2" max="3" width="9.109375" style="143"/>
    <col min="4" max="4" width="30" style="143" customWidth="1"/>
    <col min="5" max="5" width="11.5546875" style="143" customWidth="1"/>
    <col min="6" max="6" width="19.88671875" style="143" customWidth="1"/>
    <col min="7" max="16384" width="9.109375" style="143"/>
  </cols>
  <sheetData>
    <row r="1" spans="1:6" x14ac:dyDescent="0.3">
      <c r="A1" s="79" t="s">
        <v>411</v>
      </c>
    </row>
    <row r="3" spans="1:6" x14ac:dyDescent="0.3">
      <c r="A3" s="196" t="s">
        <v>412</v>
      </c>
      <c r="B3" s="197" t="s">
        <v>413</v>
      </c>
      <c r="D3" s="196" t="s">
        <v>414</v>
      </c>
      <c r="E3" s="197" t="s">
        <v>415</v>
      </c>
      <c r="F3" s="198" t="s">
        <v>416</v>
      </c>
    </row>
    <row r="4" spans="1:6" x14ac:dyDescent="0.3">
      <c r="A4" s="199" t="s">
        <v>418</v>
      </c>
      <c r="B4" s="200">
        <v>1.695170357473951</v>
      </c>
      <c r="D4" s="201" t="s">
        <v>419</v>
      </c>
      <c r="E4" s="202" t="s">
        <v>420</v>
      </c>
      <c r="F4" s="202" t="s">
        <v>421</v>
      </c>
    </row>
    <row r="5" spans="1:6" x14ac:dyDescent="0.3">
      <c r="A5" s="203" t="s">
        <v>422</v>
      </c>
      <c r="B5" s="204">
        <v>9.8346331018485511</v>
      </c>
      <c r="D5" s="201" t="s">
        <v>423</v>
      </c>
      <c r="E5" s="205">
        <v>6</v>
      </c>
      <c r="F5" s="205">
        <v>25</v>
      </c>
    </row>
    <row r="6" spans="1:6" x14ac:dyDescent="0.3">
      <c r="A6" s="203" t="s">
        <v>425</v>
      </c>
      <c r="B6" s="204">
        <v>11.065014479690294</v>
      </c>
      <c r="D6" s="206" t="s">
        <v>426</v>
      </c>
      <c r="E6" s="207">
        <v>0.84730512241216838</v>
      </c>
      <c r="F6" s="207">
        <v>0.20335322937892042</v>
      </c>
    </row>
    <row r="7" spans="1:6" x14ac:dyDescent="0.3">
      <c r="A7" s="203" t="s">
        <v>428</v>
      </c>
      <c r="B7" s="204">
        <v>7.7033339503798839</v>
      </c>
      <c r="D7" s="208" t="s">
        <v>429</v>
      </c>
      <c r="E7" s="209">
        <v>2.533477356370375</v>
      </c>
      <c r="F7" s="209">
        <v>0.36117009697007363</v>
      </c>
    </row>
    <row r="8" spans="1:6" x14ac:dyDescent="0.3">
      <c r="A8" s="203" t="s">
        <v>431</v>
      </c>
      <c r="B8" s="204">
        <v>1.0083938167770914</v>
      </c>
      <c r="D8" s="208" t="s">
        <v>432</v>
      </c>
      <c r="E8" s="209">
        <v>0.41605239791602283</v>
      </c>
      <c r="F8" s="209">
        <v>1.4595793971449065E-3</v>
      </c>
    </row>
    <row r="9" spans="1:6" x14ac:dyDescent="0.3">
      <c r="A9" s="203" t="s">
        <v>434</v>
      </c>
      <c r="B9" s="204">
        <v>29.876682255992257</v>
      </c>
      <c r="D9" s="208" t="s">
        <v>435</v>
      </c>
      <c r="E9" s="209">
        <v>0.42007020757020758</v>
      </c>
      <c r="F9" s="209">
        <v>7.3625952380952375E-2</v>
      </c>
    </row>
    <row r="10" spans="1:6" x14ac:dyDescent="0.3">
      <c r="A10" s="203" t="s">
        <v>436</v>
      </c>
      <c r="B10" s="204">
        <v>18.180183803473646</v>
      </c>
      <c r="E10" s="210">
        <f>SUM(E6:E9)</f>
        <v>4.2169050842687739</v>
      </c>
      <c r="F10" s="210">
        <f>SUM(F6:F9)</f>
        <v>0.63960885812709134</v>
      </c>
    </row>
    <row r="11" spans="1:6" x14ac:dyDescent="0.3">
      <c r="A11" s="211" t="s">
        <v>437</v>
      </c>
      <c r="B11" s="212">
        <v>3.950932260469759</v>
      </c>
      <c r="D11" s="208" t="s">
        <v>438</v>
      </c>
      <c r="E11" s="209">
        <v>0.63190649333333337</v>
      </c>
      <c r="F11" s="209">
        <v>0.14101515929999997</v>
      </c>
    </row>
    <row r="12" spans="1:6" x14ac:dyDescent="0.3">
      <c r="A12" s="213" t="s">
        <v>110</v>
      </c>
      <c r="B12" s="143">
        <v>12.29</v>
      </c>
      <c r="D12" s="214" t="s">
        <v>439</v>
      </c>
      <c r="E12" s="215">
        <v>2.8545223727777773</v>
      </c>
      <c r="F12" s="215">
        <v>0.22776979935000002</v>
      </c>
    </row>
    <row r="13" spans="1:6" x14ac:dyDescent="0.3">
      <c r="A13" s="213" t="s">
        <v>440</v>
      </c>
      <c r="B13" s="216">
        <v>2.9789921262159211</v>
      </c>
      <c r="D13" s="217" t="s">
        <v>441</v>
      </c>
      <c r="E13" s="218">
        <v>7.7033339503798839</v>
      </c>
      <c r="F13" s="219">
        <v>1.0083938167770914</v>
      </c>
    </row>
    <row r="14" spans="1:6" x14ac:dyDescent="0.3">
      <c r="A14" s="213" t="s">
        <v>442</v>
      </c>
    </row>
    <row r="15" spans="1:6" x14ac:dyDescent="0.3">
      <c r="A15" s="220"/>
    </row>
    <row r="16" spans="1:6" ht="15" thickBot="1" x14ac:dyDescent="0.35">
      <c r="A16" s="79"/>
    </row>
    <row r="17" spans="1:9" ht="58.2" thickBot="1" x14ac:dyDescent="0.35">
      <c r="A17" s="221" t="s">
        <v>443</v>
      </c>
      <c r="B17" s="222" t="s">
        <v>418</v>
      </c>
      <c r="C17" s="223" t="s">
        <v>444</v>
      </c>
      <c r="D17" s="223" t="s">
        <v>445</v>
      </c>
      <c r="E17" s="223" t="s">
        <v>434</v>
      </c>
      <c r="F17" s="223" t="s">
        <v>437</v>
      </c>
      <c r="G17" s="223" t="s">
        <v>446</v>
      </c>
      <c r="H17" s="223" t="s">
        <v>436</v>
      </c>
      <c r="I17" s="223" t="s">
        <v>447</v>
      </c>
    </row>
    <row r="18" spans="1:9" ht="15" thickBot="1" x14ac:dyDescent="0.35">
      <c r="A18" s="224" t="s">
        <v>448</v>
      </c>
      <c r="B18" s="225">
        <v>1.695170357473951</v>
      </c>
      <c r="C18" s="226">
        <v>11.065014479690294</v>
      </c>
      <c r="D18" s="227" t="s">
        <v>449</v>
      </c>
      <c r="E18" s="226">
        <v>29.876682255992257</v>
      </c>
      <c r="F18" s="227" t="s">
        <v>449</v>
      </c>
      <c r="G18" s="227" t="s">
        <v>449</v>
      </c>
      <c r="H18" s="227" t="s">
        <v>449</v>
      </c>
      <c r="I18" s="226">
        <v>42.636867093156503</v>
      </c>
    </row>
    <row r="19" spans="1:9" ht="15" thickBot="1" x14ac:dyDescent="0.35">
      <c r="A19" s="228" t="s">
        <v>450</v>
      </c>
      <c r="B19" s="225">
        <v>1.695170357473951</v>
      </c>
      <c r="C19" s="229" t="s">
        <v>449</v>
      </c>
      <c r="D19" s="229" t="s">
        <v>449</v>
      </c>
      <c r="E19" s="229" t="s">
        <v>449</v>
      </c>
      <c r="F19" s="229" t="s">
        <v>449</v>
      </c>
      <c r="G19" s="230">
        <v>1.0083938167770914</v>
      </c>
      <c r="H19" s="230">
        <v>18.180183803473646</v>
      </c>
      <c r="I19" s="226">
        <v>20.883747977724688</v>
      </c>
    </row>
    <row r="20" spans="1:9" ht="15" thickBot="1" x14ac:dyDescent="0.35">
      <c r="A20" s="228" t="s">
        <v>425</v>
      </c>
      <c r="B20" s="225">
        <v>1.695170357473951</v>
      </c>
      <c r="C20" s="230">
        <v>11.065014479690294</v>
      </c>
      <c r="D20" s="230" t="s">
        <v>451</v>
      </c>
      <c r="E20" s="229" t="s">
        <v>449</v>
      </c>
      <c r="F20" s="230" t="s">
        <v>452</v>
      </c>
      <c r="G20" s="229" t="s">
        <v>449</v>
      </c>
      <c r="H20" s="229" t="s">
        <v>449</v>
      </c>
      <c r="I20" s="226">
        <v>12.760184837164246</v>
      </c>
    </row>
    <row r="21" spans="1:9" x14ac:dyDescent="0.3">
      <c r="A21" s="231" t="s">
        <v>453</v>
      </c>
      <c r="B21" s="232"/>
      <c r="C21" s="233"/>
      <c r="D21" s="233"/>
      <c r="E21" s="234"/>
      <c r="F21" s="233"/>
      <c r="G21" s="234"/>
      <c r="H21" s="234"/>
      <c r="I21" s="234"/>
    </row>
    <row r="22" spans="1:9" x14ac:dyDescent="0.3">
      <c r="H22" s="79" t="s">
        <v>454</v>
      </c>
    </row>
    <row r="23" spans="1:9" x14ac:dyDescent="0.3">
      <c r="A23" s="79" t="s">
        <v>455</v>
      </c>
    </row>
    <row r="24" spans="1:9" x14ac:dyDescent="0.3">
      <c r="A24" s="143" t="s">
        <v>16</v>
      </c>
      <c r="B24" s="235" t="s">
        <v>456</v>
      </c>
    </row>
    <row r="25" spans="1:9" x14ac:dyDescent="0.3">
      <c r="A25" s="143" t="s">
        <v>457</v>
      </c>
      <c r="B25" s="143" t="s">
        <v>458</v>
      </c>
    </row>
    <row r="26" spans="1:9" x14ac:dyDescent="0.3">
      <c r="A26" s="143" t="s">
        <v>459</v>
      </c>
      <c r="B26" s="143" t="s">
        <v>460</v>
      </c>
    </row>
    <row r="28" spans="1:9" x14ac:dyDescent="0.3">
      <c r="A28" s="143" t="s">
        <v>417</v>
      </c>
    </row>
    <row r="30" spans="1:9" x14ac:dyDescent="0.3">
      <c r="A30" s="143" t="s">
        <v>424</v>
      </c>
    </row>
    <row r="31" spans="1:9" x14ac:dyDescent="0.3">
      <c r="A31" s="143" t="s">
        <v>427</v>
      </c>
    </row>
    <row r="32" spans="1:9" x14ac:dyDescent="0.3">
      <c r="A32" s="143" t="s">
        <v>430</v>
      </c>
    </row>
    <row r="33" spans="1:1" x14ac:dyDescent="0.3">
      <c r="A33" s="143" t="s">
        <v>433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C4616-A277-475D-9881-A0CF9A73376C}">
  <sheetPr>
    <tabColor theme="0" tint="-0.499984740745262"/>
  </sheetPr>
  <dimension ref="A1:Q50"/>
  <sheetViews>
    <sheetView showGridLines="0" zoomScale="90" zoomScaleNormal="90" zoomScalePageLayoutView="110" workbookViewId="0">
      <pane ySplit="3" topLeftCell="A18" activePane="bottomLeft" state="frozen"/>
      <selection pane="bottomLeft" activeCell="D45" sqref="D45"/>
    </sheetView>
  </sheetViews>
  <sheetFormatPr defaultColWidth="8.77734375" defaultRowHeight="13.8" x14ac:dyDescent="0.3"/>
  <cols>
    <col min="1" max="1" width="26.77734375" style="6" customWidth="1"/>
    <col min="2" max="2" width="35.33203125" style="6" customWidth="1"/>
    <col min="3" max="3" width="11.6640625" style="6" customWidth="1"/>
    <col min="4" max="4" width="9.44140625" style="6" customWidth="1"/>
    <col min="5" max="5" width="10.44140625" style="6" customWidth="1"/>
    <col min="6" max="6" width="9.6640625" style="6" customWidth="1"/>
    <col min="7" max="7" width="8.77734375" style="6"/>
    <col min="8" max="8" width="8.77734375" style="122"/>
    <col min="9" max="9" width="11.109375" style="122" customWidth="1"/>
    <col min="10" max="10" width="11.109375" style="122" bestFit="1" customWidth="1"/>
    <col min="11" max="11" width="15.33203125" style="6" customWidth="1"/>
    <col min="12" max="12" width="23.6640625" style="6" customWidth="1"/>
    <col min="13" max="13" width="40.88671875" style="6" customWidth="1"/>
    <col min="14" max="16384" width="8.77734375" style="6"/>
  </cols>
  <sheetData>
    <row r="1" spans="1:17" ht="15.6" x14ac:dyDescent="0.3">
      <c r="A1" s="76" t="s">
        <v>128</v>
      </c>
    </row>
    <row r="3" spans="1:17" s="45" customFormat="1" ht="41.4" x14ac:dyDescent="0.3">
      <c r="A3" s="40"/>
      <c r="B3" s="41"/>
      <c r="C3" s="42" t="s">
        <v>63</v>
      </c>
      <c r="D3" s="42" t="s">
        <v>64</v>
      </c>
      <c r="E3" s="42" t="s">
        <v>65</v>
      </c>
      <c r="F3" s="42" t="s">
        <v>66</v>
      </c>
      <c r="G3" s="42" t="s">
        <v>67</v>
      </c>
      <c r="H3" s="123" t="s">
        <v>68</v>
      </c>
      <c r="I3" s="123" t="s">
        <v>42</v>
      </c>
      <c r="J3" s="123" t="s">
        <v>169</v>
      </c>
      <c r="K3" s="43" t="s">
        <v>69</v>
      </c>
      <c r="L3" s="44"/>
      <c r="M3" s="44"/>
      <c r="N3" s="43" t="s">
        <v>70</v>
      </c>
      <c r="O3" s="44"/>
      <c r="P3" s="44"/>
      <c r="Q3" s="44"/>
    </row>
    <row r="4" spans="1:17" x14ac:dyDescent="0.3">
      <c r="A4" s="46"/>
      <c r="B4" s="46"/>
    </row>
    <row r="5" spans="1:17" x14ac:dyDescent="0.3">
      <c r="A5" s="14" t="s">
        <v>71</v>
      </c>
      <c r="B5" s="12" t="s">
        <v>72</v>
      </c>
      <c r="C5" s="12">
        <v>3</v>
      </c>
      <c r="D5" s="12">
        <v>2</v>
      </c>
      <c r="E5" s="11">
        <f>C5*D5*7*4</f>
        <v>168</v>
      </c>
      <c r="F5" s="12">
        <f>3*7*8</f>
        <v>168</v>
      </c>
      <c r="G5" s="12">
        <v>20.25</v>
      </c>
      <c r="H5" s="121">
        <f>G5/F5</f>
        <v>0.12053571428571429</v>
      </c>
      <c r="I5" s="121">
        <f>E5*H5</f>
        <v>20.25</v>
      </c>
      <c r="J5" s="121">
        <f>I5*exch_rate</f>
        <v>1324.3500000000001</v>
      </c>
      <c r="K5" s="6" t="s">
        <v>273</v>
      </c>
    </row>
    <row r="6" spans="1:17" x14ac:dyDescent="0.3">
      <c r="A6" s="6" t="s">
        <v>73</v>
      </c>
      <c r="B6" s="12" t="s">
        <v>74</v>
      </c>
      <c r="C6" s="12">
        <v>3</v>
      </c>
      <c r="D6" s="12">
        <v>4</v>
      </c>
      <c r="E6" s="11">
        <f>C6*D6*7*4</f>
        <v>336</v>
      </c>
      <c r="F6" s="12">
        <f>3*7*16</f>
        <v>336</v>
      </c>
      <c r="G6" s="12">
        <v>11.57</v>
      </c>
      <c r="H6" s="121">
        <f>G6/F6</f>
        <v>3.4434523809523811E-2</v>
      </c>
      <c r="I6" s="121">
        <f>E6*H6</f>
        <v>11.57</v>
      </c>
      <c r="J6" s="121">
        <f>I6*exch_rate</f>
        <v>756.67800000000011</v>
      </c>
      <c r="K6" s="119" t="s">
        <v>274</v>
      </c>
    </row>
    <row r="7" spans="1:17" ht="14.4" x14ac:dyDescent="0.3">
      <c r="B7" s="60" t="s">
        <v>170</v>
      </c>
      <c r="C7"/>
      <c r="D7"/>
      <c r="E7"/>
      <c r="F7"/>
      <c r="G7"/>
      <c r="H7" s="102"/>
      <c r="I7" s="121">
        <f>SUM(I5:I6)</f>
        <v>31.82</v>
      </c>
      <c r="J7" s="121">
        <f>I7*exch_rate</f>
        <v>2081.0280000000002</v>
      </c>
    </row>
    <row r="9" spans="1:17" x14ac:dyDescent="0.3">
      <c r="A9" s="14" t="s">
        <v>75</v>
      </c>
      <c r="B9" s="47" t="s">
        <v>76</v>
      </c>
    </row>
    <row r="10" spans="1:17" x14ac:dyDescent="0.3">
      <c r="A10" s="6" t="s">
        <v>77</v>
      </c>
      <c r="B10" s="12" t="s">
        <v>78</v>
      </c>
      <c r="C10" s="12">
        <v>3</v>
      </c>
      <c r="D10" s="12">
        <v>6</v>
      </c>
      <c r="E10" s="11">
        <f>C10*D10*7*4</f>
        <v>504</v>
      </c>
      <c r="F10" s="12">
        <v>100</v>
      </c>
      <c r="G10" s="12">
        <v>18.25</v>
      </c>
      <c r="H10" s="121">
        <f t="shared" ref="H10:H14" si="0">G10/F10</f>
        <v>0.1825</v>
      </c>
      <c r="I10" s="121">
        <f t="shared" ref="I10:I14" si="1">E10*H10</f>
        <v>91.98</v>
      </c>
      <c r="J10" s="121">
        <f>I10*exch_rate</f>
        <v>6015.4920000000011</v>
      </c>
    </row>
    <row r="11" spans="1:17" x14ac:dyDescent="0.3">
      <c r="B11" s="12" t="s">
        <v>79</v>
      </c>
      <c r="C11" s="12">
        <v>3</v>
      </c>
      <c r="D11" s="12">
        <v>6</v>
      </c>
      <c r="E11" s="11">
        <f t="shared" ref="E11:E14" si="2">C11*D11*7*4</f>
        <v>504</v>
      </c>
      <c r="F11" s="12">
        <v>100</v>
      </c>
      <c r="G11" s="12">
        <v>28.8</v>
      </c>
      <c r="H11" s="121">
        <f t="shared" si="0"/>
        <v>0.28800000000000003</v>
      </c>
      <c r="I11" s="121">
        <f t="shared" si="1"/>
        <v>145.15200000000002</v>
      </c>
      <c r="J11" s="121">
        <f>I11*exch_rate</f>
        <v>9492.9408000000021</v>
      </c>
    </row>
    <row r="12" spans="1:17" x14ac:dyDescent="0.3">
      <c r="B12" s="12" t="s">
        <v>80</v>
      </c>
      <c r="C12" s="12">
        <v>2</v>
      </c>
      <c r="D12" s="12">
        <v>6</v>
      </c>
      <c r="E12" s="11">
        <f t="shared" si="2"/>
        <v>336</v>
      </c>
      <c r="F12" s="12">
        <v>100</v>
      </c>
      <c r="G12" s="12">
        <v>4.91</v>
      </c>
      <c r="H12" s="121">
        <f t="shared" si="0"/>
        <v>4.9100000000000005E-2</v>
      </c>
      <c r="I12" s="121">
        <f t="shared" si="1"/>
        <v>16.497600000000002</v>
      </c>
      <c r="J12" s="121">
        <f>I12*exch_rate</f>
        <v>1078.9430400000003</v>
      </c>
    </row>
    <row r="13" spans="1:17" x14ac:dyDescent="0.3">
      <c r="B13" s="12" t="s">
        <v>81</v>
      </c>
      <c r="C13" s="12">
        <v>1</v>
      </c>
      <c r="D13" s="12">
        <v>6</v>
      </c>
      <c r="E13" s="11">
        <f t="shared" si="2"/>
        <v>168</v>
      </c>
      <c r="F13" s="12">
        <v>1</v>
      </c>
      <c r="G13" s="12">
        <v>4.7</v>
      </c>
      <c r="H13" s="121">
        <f t="shared" si="0"/>
        <v>4.7</v>
      </c>
      <c r="I13" s="121">
        <f t="shared" si="1"/>
        <v>789.6</v>
      </c>
      <c r="J13" s="121">
        <f>I13*exch_rate</f>
        <v>51639.840000000004</v>
      </c>
    </row>
    <row r="14" spans="1:17" x14ac:dyDescent="0.3">
      <c r="B14" s="12" t="s">
        <v>82</v>
      </c>
      <c r="C14" s="12">
        <v>4</v>
      </c>
      <c r="D14" s="12">
        <v>6</v>
      </c>
      <c r="E14" s="11">
        <f t="shared" si="2"/>
        <v>672</v>
      </c>
      <c r="F14" s="12">
        <v>672</v>
      </c>
      <c r="G14" s="12">
        <v>21</v>
      </c>
      <c r="H14" s="121">
        <f t="shared" si="0"/>
        <v>3.125E-2</v>
      </c>
      <c r="I14" s="121">
        <f t="shared" si="1"/>
        <v>21</v>
      </c>
      <c r="J14" s="121">
        <f>I14*exch_rate</f>
        <v>1373.4</v>
      </c>
    </row>
    <row r="15" spans="1:17" x14ac:dyDescent="0.3">
      <c r="B15" s="47" t="s">
        <v>83</v>
      </c>
    </row>
    <row r="16" spans="1:17" x14ac:dyDescent="0.3">
      <c r="B16" s="12" t="s">
        <v>78</v>
      </c>
      <c r="C16" s="12">
        <v>3</v>
      </c>
      <c r="D16" s="12">
        <v>18</v>
      </c>
      <c r="E16" s="11">
        <f>C16*D16*7*4</f>
        <v>1512</v>
      </c>
      <c r="F16" s="12">
        <v>100</v>
      </c>
      <c r="G16" s="12">
        <v>18.25</v>
      </c>
      <c r="H16" s="121">
        <f>G16/F16</f>
        <v>0.1825</v>
      </c>
      <c r="I16" s="121">
        <f>E16*H16</f>
        <v>275.94</v>
      </c>
      <c r="J16" s="121">
        <f>I16*exch_rate</f>
        <v>18046.476000000002</v>
      </c>
    </row>
    <row r="17" spans="1:10" x14ac:dyDescent="0.3">
      <c r="B17" s="12" t="s">
        <v>79</v>
      </c>
      <c r="C17" s="12">
        <v>3</v>
      </c>
      <c r="D17" s="12">
        <v>18</v>
      </c>
      <c r="E17" s="11">
        <f t="shared" ref="E17:E19" si="3">C17*D17*7*4</f>
        <v>1512</v>
      </c>
      <c r="F17" s="12">
        <v>100</v>
      </c>
      <c r="G17" s="12">
        <v>28.8</v>
      </c>
      <c r="H17" s="121">
        <f t="shared" ref="H17:H19" si="4">G17/F17</f>
        <v>0.28800000000000003</v>
      </c>
      <c r="I17" s="121">
        <f t="shared" ref="I17:I19" si="5">E17*H17</f>
        <v>435.45600000000007</v>
      </c>
      <c r="J17" s="121">
        <f>I17*exch_rate</f>
        <v>28478.822400000008</v>
      </c>
    </row>
    <row r="18" spans="1:10" x14ac:dyDescent="0.3">
      <c r="B18" s="12" t="s">
        <v>80</v>
      </c>
      <c r="C18" s="12">
        <v>2</v>
      </c>
      <c r="D18" s="12">
        <v>18</v>
      </c>
      <c r="E18" s="11">
        <f t="shared" si="3"/>
        <v>1008</v>
      </c>
      <c r="F18" s="12">
        <v>100</v>
      </c>
      <c r="G18" s="12">
        <v>4.91</v>
      </c>
      <c r="H18" s="121">
        <f t="shared" si="4"/>
        <v>4.9100000000000005E-2</v>
      </c>
      <c r="I18" s="121">
        <f t="shared" si="5"/>
        <v>49.492800000000003</v>
      </c>
      <c r="J18" s="121">
        <f>I18*exch_rate</f>
        <v>3236.8291200000003</v>
      </c>
    </row>
    <row r="19" spans="1:10" x14ac:dyDescent="0.3">
      <c r="B19" s="12" t="s">
        <v>82</v>
      </c>
      <c r="C19" s="12">
        <v>4</v>
      </c>
      <c r="D19" s="12">
        <v>18</v>
      </c>
      <c r="E19" s="11">
        <f t="shared" si="3"/>
        <v>2016</v>
      </c>
      <c r="F19" s="12">
        <v>672</v>
      </c>
      <c r="G19" s="12">
        <v>21</v>
      </c>
      <c r="H19" s="121">
        <f t="shared" si="4"/>
        <v>3.125E-2</v>
      </c>
      <c r="I19" s="121">
        <f t="shared" si="5"/>
        <v>63</v>
      </c>
      <c r="J19" s="121">
        <f>I19*exch_rate</f>
        <v>4120.2000000000007</v>
      </c>
    </row>
    <row r="20" spans="1:10" s="15" customFormat="1" x14ac:dyDescent="0.3">
      <c r="B20" s="60" t="s">
        <v>170</v>
      </c>
      <c r="C20" s="63"/>
      <c r="D20" s="64"/>
      <c r="E20" s="64"/>
      <c r="F20" s="63"/>
      <c r="G20" s="63"/>
      <c r="H20" s="126"/>
      <c r="I20" s="121">
        <f>SUM(I10:I19)</f>
        <v>1888.1184000000003</v>
      </c>
      <c r="J20" s="121">
        <f>SUM(J10:J19)</f>
        <v>123482.94336</v>
      </c>
    </row>
    <row r="21" spans="1:10" s="15" customFormat="1" x14ac:dyDescent="0.3">
      <c r="B21" s="61"/>
      <c r="C21" s="61"/>
      <c r="D21" s="62"/>
      <c r="E21" s="62"/>
      <c r="F21" s="61"/>
      <c r="G21" s="61"/>
      <c r="H21" s="124"/>
      <c r="I21" s="124"/>
      <c r="J21" s="125"/>
    </row>
    <row r="22" spans="1:10" x14ac:dyDescent="0.3">
      <c r="A22" s="14" t="s">
        <v>84</v>
      </c>
      <c r="B22" s="47" t="s">
        <v>76</v>
      </c>
    </row>
    <row r="23" spans="1:10" x14ac:dyDescent="0.3">
      <c r="A23" s="6" t="s">
        <v>77</v>
      </c>
      <c r="B23" s="12" t="s">
        <v>85</v>
      </c>
      <c r="C23" s="12">
        <v>1</v>
      </c>
      <c r="D23" s="12">
        <v>5</v>
      </c>
      <c r="E23" s="11">
        <f>C23*D23*7*4</f>
        <v>140</v>
      </c>
      <c r="F23" s="12">
        <v>10</v>
      </c>
      <c r="G23" s="12">
        <v>23.6</v>
      </c>
      <c r="H23" s="121">
        <f>G23/F23</f>
        <v>2.3600000000000003</v>
      </c>
      <c r="I23" s="121">
        <f>E23*H23</f>
        <v>330.40000000000003</v>
      </c>
      <c r="J23" s="121">
        <f t="shared" ref="J23:J29" si="6">I23*exch_rate</f>
        <v>21608.160000000003</v>
      </c>
    </row>
    <row r="24" spans="1:10" x14ac:dyDescent="0.3">
      <c r="B24" s="12" t="s">
        <v>86</v>
      </c>
      <c r="C24" s="12">
        <v>2</v>
      </c>
      <c r="D24" s="12">
        <v>5</v>
      </c>
      <c r="E24" s="11">
        <f t="shared" ref="E24:E29" si="7">C24*D24*7*4</f>
        <v>280</v>
      </c>
      <c r="F24" s="12">
        <v>100</v>
      </c>
      <c r="G24" s="12">
        <v>39</v>
      </c>
      <c r="H24" s="121">
        <f t="shared" ref="H24:H29" si="8">G24/F24</f>
        <v>0.39</v>
      </c>
      <c r="I24" s="121">
        <f t="shared" ref="I24:I29" si="9">E24*H24</f>
        <v>109.2</v>
      </c>
      <c r="J24" s="121">
        <f t="shared" si="6"/>
        <v>7141.6800000000012</v>
      </c>
    </row>
    <row r="25" spans="1:10" x14ac:dyDescent="0.3">
      <c r="B25" s="12" t="s">
        <v>78</v>
      </c>
      <c r="C25" s="12">
        <v>3</v>
      </c>
      <c r="D25" s="12">
        <v>5</v>
      </c>
      <c r="E25" s="11">
        <f t="shared" si="7"/>
        <v>420</v>
      </c>
      <c r="F25" s="12">
        <v>100</v>
      </c>
      <c r="G25" s="12">
        <v>18.25</v>
      </c>
      <c r="H25" s="121">
        <f t="shared" si="8"/>
        <v>0.1825</v>
      </c>
      <c r="I25" s="121">
        <f t="shared" si="9"/>
        <v>76.649999999999991</v>
      </c>
      <c r="J25" s="121">
        <f t="shared" si="6"/>
        <v>5012.91</v>
      </c>
    </row>
    <row r="26" spans="1:10" x14ac:dyDescent="0.3">
      <c r="B26" s="12" t="s">
        <v>87</v>
      </c>
      <c r="C26" s="12">
        <v>2</v>
      </c>
      <c r="D26" s="12">
        <v>5</v>
      </c>
      <c r="E26" s="11">
        <f t="shared" si="7"/>
        <v>280</v>
      </c>
      <c r="F26" s="12">
        <v>672</v>
      </c>
      <c r="G26" s="12">
        <v>12.76</v>
      </c>
      <c r="H26" s="121">
        <f t="shared" si="8"/>
        <v>1.8988095238095238E-2</v>
      </c>
      <c r="I26" s="121">
        <f t="shared" si="9"/>
        <v>5.3166666666666664</v>
      </c>
      <c r="J26" s="121">
        <f t="shared" si="6"/>
        <v>347.71000000000004</v>
      </c>
    </row>
    <row r="27" spans="1:10" x14ac:dyDescent="0.3">
      <c r="B27" s="12" t="s">
        <v>88</v>
      </c>
      <c r="C27" s="12">
        <v>1</v>
      </c>
      <c r="D27" s="12">
        <v>5</v>
      </c>
      <c r="E27" s="11">
        <f t="shared" si="7"/>
        <v>140</v>
      </c>
      <c r="F27" s="12">
        <v>100</v>
      </c>
      <c r="G27" s="12">
        <v>109.48</v>
      </c>
      <c r="H27" s="121">
        <f t="shared" si="8"/>
        <v>1.0948</v>
      </c>
      <c r="I27" s="121">
        <f t="shared" si="9"/>
        <v>153.27199999999999</v>
      </c>
      <c r="J27" s="121">
        <f t="shared" si="6"/>
        <v>10023.988800000001</v>
      </c>
    </row>
    <row r="28" spans="1:10" x14ac:dyDescent="0.3">
      <c r="B28" s="12" t="s">
        <v>89</v>
      </c>
      <c r="C28" s="12">
        <v>3</v>
      </c>
      <c r="D28" s="12">
        <v>5</v>
      </c>
      <c r="E28" s="11">
        <f t="shared" si="7"/>
        <v>420</v>
      </c>
      <c r="F28" s="12">
        <v>672</v>
      </c>
      <c r="G28" s="12">
        <v>20.21</v>
      </c>
      <c r="H28" s="121">
        <f t="shared" si="8"/>
        <v>3.0074404761904764E-2</v>
      </c>
      <c r="I28" s="121">
        <f t="shared" si="9"/>
        <v>12.631250000000001</v>
      </c>
      <c r="J28" s="121">
        <f t="shared" si="6"/>
        <v>826.08375000000012</v>
      </c>
    </row>
    <row r="29" spans="1:10" x14ac:dyDescent="0.3">
      <c r="B29" s="12" t="s">
        <v>82</v>
      </c>
      <c r="C29" s="12">
        <v>4</v>
      </c>
      <c r="D29" s="12">
        <v>5</v>
      </c>
      <c r="E29" s="11">
        <f t="shared" si="7"/>
        <v>560</v>
      </c>
      <c r="F29" s="12">
        <v>672</v>
      </c>
      <c r="G29" s="12">
        <v>21</v>
      </c>
      <c r="H29" s="121">
        <f t="shared" si="8"/>
        <v>3.125E-2</v>
      </c>
      <c r="I29" s="121">
        <f t="shared" si="9"/>
        <v>17.5</v>
      </c>
      <c r="J29" s="121">
        <f t="shared" si="6"/>
        <v>1144.5</v>
      </c>
    </row>
    <row r="30" spans="1:10" x14ac:dyDescent="0.3">
      <c r="B30" s="47" t="s">
        <v>83</v>
      </c>
    </row>
    <row r="31" spans="1:10" x14ac:dyDescent="0.3">
      <c r="B31" s="12" t="s">
        <v>86</v>
      </c>
      <c r="C31" s="12">
        <v>2</v>
      </c>
      <c r="D31" s="12">
        <v>5</v>
      </c>
      <c r="E31" s="11">
        <f>C31*D31*7*4</f>
        <v>280</v>
      </c>
      <c r="F31" s="12">
        <v>100</v>
      </c>
      <c r="G31" s="12">
        <v>39</v>
      </c>
      <c r="H31" s="121">
        <f>G31/F31</f>
        <v>0.39</v>
      </c>
      <c r="I31" s="121">
        <f>E31*H31</f>
        <v>109.2</v>
      </c>
      <c r="J31" s="121">
        <f t="shared" ref="J31:J36" si="10">I31*exch_rate</f>
        <v>7141.6800000000012</v>
      </c>
    </row>
    <row r="32" spans="1:10" x14ac:dyDescent="0.3">
      <c r="B32" s="12" t="s">
        <v>78</v>
      </c>
      <c r="C32" s="12">
        <v>3</v>
      </c>
      <c r="D32" s="12">
        <v>5</v>
      </c>
      <c r="E32" s="11">
        <f t="shared" ref="E32:E36" si="11">C32*D32*7*4</f>
        <v>420</v>
      </c>
      <c r="F32" s="12">
        <v>100</v>
      </c>
      <c r="G32" s="12">
        <v>18.25</v>
      </c>
      <c r="H32" s="121">
        <f t="shared" ref="H32:H36" si="12">G32/F32</f>
        <v>0.1825</v>
      </c>
      <c r="I32" s="121">
        <f t="shared" ref="I32:I36" si="13">E32*H32</f>
        <v>76.649999999999991</v>
      </c>
      <c r="J32" s="121">
        <f t="shared" si="10"/>
        <v>5012.91</v>
      </c>
    </row>
    <row r="33" spans="1:14" x14ac:dyDescent="0.3">
      <c r="B33" s="12" t="s">
        <v>87</v>
      </c>
      <c r="C33" s="12">
        <v>2</v>
      </c>
      <c r="D33" s="12">
        <v>5</v>
      </c>
      <c r="E33" s="11">
        <f t="shared" si="11"/>
        <v>280</v>
      </c>
      <c r="F33" s="12">
        <v>672</v>
      </c>
      <c r="G33" s="12">
        <v>12.76</v>
      </c>
      <c r="H33" s="121">
        <f t="shared" si="12"/>
        <v>1.8988095238095238E-2</v>
      </c>
      <c r="I33" s="121">
        <f t="shared" si="13"/>
        <v>5.3166666666666664</v>
      </c>
      <c r="J33" s="121">
        <f t="shared" si="10"/>
        <v>347.71000000000004</v>
      </c>
    </row>
    <row r="34" spans="1:14" x14ac:dyDescent="0.3">
      <c r="B34" s="12" t="s">
        <v>88</v>
      </c>
      <c r="C34" s="12">
        <v>1</v>
      </c>
      <c r="D34" s="12">
        <v>5</v>
      </c>
      <c r="E34" s="11">
        <f t="shared" si="11"/>
        <v>140</v>
      </c>
      <c r="F34" s="12">
        <v>100</v>
      </c>
      <c r="G34" s="12">
        <v>109.48</v>
      </c>
      <c r="H34" s="121">
        <f t="shared" si="12"/>
        <v>1.0948</v>
      </c>
      <c r="I34" s="121">
        <f t="shared" si="13"/>
        <v>153.27199999999999</v>
      </c>
      <c r="J34" s="121">
        <f t="shared" si="10"/>
        <v>10023.988800000001</v>
      </c>
    </row>
    <row r="35" spans="1:14" x14ac:dyDescent="0.3">
      <c r="B35" s="12" t="s">
        <v>89</v>
      </c>
      <c r="C35" s="12">
        <v>3</v>
      </c>
      <c r="D35" s="12">
        <v>5</v>
      </c>
      <c r="E35" s="11">
        <f t="shared" si="11"/>
        <v>420</v>
      </c>
      <c r="F35" s="12">
        <v>672</v>
      </c>
      <c r="G35" s="12">
        <v>20.21</v>
      </c>
      <c r="H35" s="121">
        <f t="shared" si="12"/>
        <v>3.0074404761904764E-2</v>
      </c>
      <c r="I35" s="121">
        <f t="shared" si="13"/>
        <v>12.631250000000001</v>
      </c>
      <c r="J35" s="121">
        <f t="shared" si="10"/>
        <v>826.08375000000012</v>
      </c>
    </row>
    <row r="36" spans="1:14" x14ac:dyDescent="0.3">
      <c r="B36" s="12" t="s">
        <v>82</v>
      </c>
      <c r="C36" s="12">
        <v>4</v>
      </c>
      <c r="D36" s="12">
        <v>5</v>
      </c>
      <c r="E36" s="11">
        <f t="shared" si="11"/>
        <v>560</v>
      </c>
      <c r="F36" s="12">
        <v>672</v>
      </c>
      <c r="G36" s="12">
        <v>21</v>
      </c>
      <c r="H36" s="121">
        <f t="shared" si="12"/>
        <v>3.125E-2</v>
      </c>
      <c r="I36" s="121">
        <f t="shared" si="13"/>
        <v>17.5</v>
      </c>
      <c r="J36" s="121">
        <f t="shared" si="10"/>
        <v>1144.5</v>
      </c>
    </row>
    <row r="37" spans="1:14" ht="14.4" x14ac:dyDescent="0.3">
      <c r="B37" s="60" t="s">
        <v>170</v>
      </c>
      <c r="C37"/>
      <c r="D37"/>
      <c r="E37"/>
      <c r="F37"/>
      <c r="G37"/>
      <c r="H37"/>
      <c r="I37" s="127">
        <f>SUM(I23:I36)</f>
        <v>1079.5398333333335</v>
      </c>
      <c r="J37" s="127">
        <f>SUM(J23:J36)</f>
        <v>70601.905100000004</v>
      </c>
    </row>
    <row r="39" spans="1:14" ht="14.4" x14ac:dyDescent="0.3">
      <c r="A39" s="14" t="s">
        <v>90</v>
      </c>
      <c r="B39" s="12" t="s">
        <v>268</v>
      </c>
      <c r="C39" s="12">
        <v>4</v>
      </c>
      <c r="D39" s="12">
        <v>0.5</v>
      </c>
      <c r="E39" s="11">
        <f>C39*D39*7*4</f>
        <v>56</v>
      </c>
      <c r="F39" s="12">
        <v>188</v>
      </c>
      <c r="G39" s="12"/>
      <c r="H39" s="121">
        <f t="shared" ref="H39:H44" si="14">G39/F39</f>
        <v>0</v>
      </c>
      <c r="I39" s="121">
        <f t="shared" ref="I39:I44" si="15">E39*H39</f>
        <v>0</v>
      </c>
      <c r="J39" s="121">
        <f t="shared" ref="J39:J44" si="16">I39*exch_rate</f>
        <v>0</v>
      </c>
      <c r="K39" s="6" t="s">
        <v>275</v>
      </c>
      <c r="N39" s="117" t="s">
        <v>267</v>
      </c>
    </row>
    <row r="40" spans="1:14" ht="14.4" x14ac:dyDescent="0.3">
      <c r="A40" s="14"/>
      <c r="B40" s="12" t="s">
        <v>269</v>
      </c>
      <c r="C40" s="48">
        <f>6/7</f>
        <v>0.8571428571428571</v>
      </c>
      <c r="D40" s="12">
        <v>5.5</v>
      </c>
      <c r="E40" s="11">
        <f t="shared" ref="E40:E44" si="17">C40*D40*7*4</f>
        <v>132</v>
      </c>
      <c r="F40" s="12">
        <v>188</v>
      </c>
      <c r="G40" s="12"/>
      <c r="H40" s="121">
        <f t="shared" si="14"/>
        <v>0</v>
      </c>
      <c r="I40" s="121">
        <f t="shared" si="15"/>
        <v>0</v>
      </c>
      <c r="J40" s="121">
        <f t="shared" si="16"/>
        <v>0</v>
      </c>
      <c r="K40" s="6" t="s">
        <v>272</v>
      </c>
      <c r="N40" s="117"/>
    </row>
    <row r="41" spans="1:14" x14ac:dyDescent="0.3">
      <c r="A41" s="14"/>
      <c r="B41" s="12" t="s">
        <v>270</v>
      </c>
      <c r="C41" s="118">
        <v>3</v>
      </c>
      <c r="D41" s="12">
        <v>18</v>
      </c>
      <c r="E41" s="11">
        <f t="shared" si="17"/>
        <v>1512</v>
      </c>
      <c r="F41" s="12">
        <v>100</v>
      </c>
      <c r="G41" s="12">
        <f>(6.4+7.77)/2</f>
        <v>7.085</v>
      </c>
      <c r="H41" s="121">
        <f t="shared" si="14"/>
        <v>7.0849999999999996E-2</v>
      </c>
      <c r="I41" s="121">
        <f t="shared" si="15"/>
        <v>107.12519999999999</v>
      </c>
      <c r="J41" s="121">
        <f t="shared" si="16"/>
        <v>7005.9880800000001</v>
      </c>
      <c r="K41" s="6" t="s">
        <v>276</v>
      </c>
    </row>
    <row r="42" spans="1:14" x14ac:dyDescent="0.3">
      <c r="A42" s="14"/>
      <c r="B42" s="12" t="s">
        <v>79</v>
      </c>
      <c r="C42" s="118">
        <v>3</v>
      </c>
      <c r="D42" s="12">
        <v>18</v>
      </c>
      <c r="E42" s="11">
        <f t="shared" si="17"/>
        <v>1512</v>
      </c>
      <c r="F42" s="12">
        <v>100</v>
      </c>
      <c r="G42" s="12">
        <v>28.8</v>
      </c>
      <c r="H42" s="121">
        <f t="shared" si="14"/>
        <v>0.28800000000000003</v>
      </c>
      <c r="I42" s="121">
        <f t="shared" si="15"/>
        <v>435.45600000000007</v>
      </c>
      <c r="J42" s="121">
        <f t="shared" si="16"/>
        <v>28478.822400000008</v>
      </c>
      <c r="K42" s="6" t="s">
        <v>271</v>
      </c>
    </row>
    <row r="43" spans="1:14" x14ac:dyDescent="0.3">
      <c r="A43" s="14"/>
      <c r="B43" s="12" t="s">
        <v>88</v>
      </c>
      <c r="C43" s="118">
        <v>1</v>
      </c>
      <c r="D43" s="12">
        <v>18</v>
      </c>
      <c r="E43" s="11">
        <f t="shared" si="17"/>
        <v>504</v>
      </c>
      <c r="F43" s="12">
        <v>100</v>
      </c>
      <c r="G43" s="12">
        <v>109.48</v>
      </c>
      <c r="H43" s="121">
        <f t="shared" si="14"/>
        <v>1.0948</v>
      </c>
      <c r="I43" s="121">
        <f t="shared" si="15"/>
        <v>551.77919999999995</v>
      </c>
      <c r="J43" s="121">
        <f t="shared" si="16"/>
        <v>36086.359680000001</v>
      </c>
    </row>
    <row r="44" spans="1:14" x14ac:dyDescent="0.3">
      <c r="A44" s="14"/>
      <c r="B44" s="12" t="s">
        <v>82</v>
      </c>
      <c r="C44" s="118">
        <v>4</v>
      </c>
      <c r="D44" s="12">
        <v>18</v>
      </c>
      <c r="E44" s="11">
        <f t="shared" si="17"/>
        <v>2016</v>
      </c>
      <c r="F44" s="12">
        <v>672</v>
      </c>
      <c r="G44" s="12">
        <v>21</v>
      </c>
      <c r="H44" s="121">
        <f t="shared" si="14"/>
        <v>3.125E-2</v>
      </c>
      <c r="I44" s="121">
        <f t="shared" si="15"/>
        <v>63</v>
      </c>
      <c r="J44" s="121">
        <f t="shared" si="16"/>
        <v>4120.2000000000007</v>
      </c>
    </row>
    <row r="45" spans="1:14" ht="14.4" x14ac:dyDescent="0.3">
      <c r="A45" s="14"/>
      <c r="B45" s="60" t="s">
        <v>170</v>
      </c>
      <c r="C45"/>
      <c r="D45"/>
      <c r="E45"/>
      <c r="F45"/>
      <c r="G45"/>
      <c r="H45"/>
      <c r="I45" s="121">
        <f>SUM(I10:I14)+SUM(I39:I44)</f>
        <v>2221.59</v>
      </c>
      <c r="J45" s="121">
        <f>SUM(J10:J14)+SUM(J39:J44)</f>
        <v>145291.986</v>
      </c>
    </row>
    <row r="47" spans="1:14" x14ac:dyDescent="0.3">
      <c r="A47" s="14" t="s">
        <v>91</v>
      </c>
      <c r="B47" s="12" t="s">
        <v>87</v>
      </c>
      <c r="C47" s="12">
        <v>1</v>
      </c>
      <c r="D47" s="12">
        <v>6</v>
      </c>
      <c r="E47" s="11">
        <f>C47*D47*7*4</f>
        <v>168</v>
      </c>
      <c r="F47" s="12">
        <v>672</v>
      </c>
      <c r="G47" s="12">
        <v>12.76</v>
      </c>
      <c r="H47" s="121">
        <f t="shared" ref="H47" si="18">G47/F47</f>
        <v>1.8988095238095238E-2</v>
      </c>
      <c r="I47" s="121">
        <f t="shared" ref="I47" si="19">E47*H47</f>
        <v>3.19</v>
      </c>
      <c r="J47" s="121">
        <f>I47*exch_rate</f>
        <v>208.626</v>
      </c>
    </row>
    <row r="49" spans="1:10" x14ac:dyDescent="0.3">
      <c r="A49" s="14" t="s">
        <v>28</v>
      </c>
      <c r="B49" s="12" t="s">
        <v>87</v>
      </c>
      <c r="C49" s="12">
        <v>1</v>
      </c>
      <c r="D49" s="12"/>
      <c r="E49" s="11">
        <f>C49*D49*7*4</f>
        <v>0</v>
      </c>
      <c r="F49" s="12">
        <v>672</v>
      </c>
      <c r="G49" s="12">
        <v>12.76</v>
      </c>
      <c r="H49" s="121">
        <f t="shared" ref="H49:H50" si="20">G49/F49</f>
        <v>1.8988095238095238E-2</v>
      </c>
      <c r="I49" s="121">
        <f t="shared" ref="I49:I50" si="21">E49*H49</f>
        <v>0</v>
      </c>
      <c r="J49" s="121"/>
    </row>
    <row r="50" spans="1:10" x14ac:dyDescent="0.3">
      <c r="B50" s="12" t="s">
        <v>92</v>
      </c>
      <c r="C50" s="12">
        <v>1</v>
      </c>
      <c r="D50" s="12"/>
      <c r="E50" s="11">
        <f>C50*D50*7*4</f>
        <v>0</v>
      </c>
      <c r="F50" s="12">
        <v>24</v>
      </c>
      <c r="G50" s="12"/>
      <c r="H50" s="121">
        <f t="shared" si="20"/>
        <v>0</v>
      </c>
      <c r="I50" s="121">
        <f t="shared" si="21"/>
        <v>0</v>
      </c>
      <c r="J50" s="121"/>
    </row>
  </sheetData>
  <hyperlinks>
    <hyperlink ref="N39" r:id="rId1" xr:uid="{78355012-A463-421D-BBA5-A7939945A193}"/>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7A18-ECD6-4838-A782-97C582B091DD}">
  <sheetPr>
    <tabColor theme="0" tint="-0.499984740745262"/>
  </sheetPr>
  <dimension ref="A1:AL41"/>
  <sheetViews>
    <sheetView showGridLines="0" zoomScale="80" zoomScaleNormal="80" workbookViewId="0">
      <selection activeCell="Q37" sqref="Q37"/>
    </sheetView>
  </sheetViews>
  <sheetFormatPr defaultRowHeight="14.4" x14ac:dyDescent="0.3"/>
  <cols>
    <col min="3" max="3" width="22.109375" customWidth="1"/>
    <col min="20" max="20" width="9.88671875" customWidth="1"/>
  </cols>
  <sheetData>
    <row r="1" spans="1:21" s="143" customFormat="1" ht="15.6" x14ac:dyDescent="0.3">
      <c r="A1" s="142" t="s">
        <v>314</v>
      </c>
      <c r="J1" s="99"/>
    </row>
    <row r="2" spans="1:21" x14ac:dyDescent="0.3">
      <c r="J2" s="99"/>
      <c r="S2" s="117" t="s">
        <v>363</v>
      </c>
    </row>
    <row r="3" spans="1:21" ht="15" thickBot="1" x14ac:dyDescent="0.35">
      <c r="B3" s="79" t="s">
        <v>315</v>
      </c>
      <c r="D3" t="s">
        <v>316</v>
      </c>
      <c r="L3" s="144" t="s">
        <v>317</v>
      </c>
      <c r="O3" s="79" t="s">
        <v>362</v>
      </c>
      <c r="Q3" t="s">
        <v>474</v>
      </c>
      <c r="S3" s="117" t="s">
        <v>475</v>
      </c>
    </row>
    <row r="4" spans="1:21" x14ac:dyDescent="0.3">
      <c r="A4" s="145" t="s">
        <v>318</v>
      </c>
      <c r="B4" s="145" t="s">
        <v>319</v>
      </c>
      <c r="C4" s="146" t="s">
        <v>320</v>
      </c>
      <c r="D4" s="246" t="s">
        <v>321</v>
      </c>
      <c r="E4" s="247"/>
      <c r="F4" s="248"/>
      <c r="G4" s="246" t="s">
        <v>322</v>
      </c>
      <c r="H4" s="247"/>
      <c r="I4" s="248"/>
      <c r="J4" s="249" t="s">
        <v>323</v>
      </c>
      <c r="K4" s="249" t="s">
        <v>324</v>
      </c>
      <c r="L4" s="241" t="s">
        <v>325</v>
      </c>
      <c r="O4">
        <v>2012</v>
      </c>
      <c r="P4" s="101">
        <v>100</v>
      </c>
      <c r="S4" t="s">
        <v>364</v>
      </c>
    </row>
    <row r="5" spans="1:21" ht="15" thickBot="1" x14ac:dyDescent="0.35">
      <c r="A5" s="148"/>
      <c r="B5" s="148"/>
      <c r="C5" s="149"/>
      <c r="D5" s="150" t="s">
        <v>326</v>
      </c>
      <c r="E5" s="151" t="s">
        <v>327</v>
      </c>
      <c r="F5" s="152" t="s">
        <v>328</v>
      </c>
      <c r="G5" s="153" t="s">
        <v>329</v>
      </c>
      <c r="H5" s="151" t="s">
        <v>330</v>
      </c>
      <c r="I5" s="152" t="s">
        <v>328</v>
      </c>
      <c r="J5" s="250"/>
      <c r="K5" s="250"/>
      <c r="L5" s="242"/>
      <c r="O5">
        <v>2013</v>
      </c>
      <c r="P5" s="101">
        <v>110.01388888888889</v>
      </c>
      <c r="Q5">
        <f>((100/P5)/100)+1</f>
        <v>1.0090897613937635</v>
      </c>
      <c r="R5" s="181">
        <f>(P5-P4)/P4</f>
        <v>0.10013888888888886</v>
      </c>
      <c r="S5" s="101">
        <f>(AVERAGE(P4:P9)-100)/100</f>
        <v>0.18479629629629626</v>
      </c>
    </row>
    <row r="6" spans="1:21" x14ac:dyDescent="0.3">
      <c r="A6" s="243" t="s">
        <v>331</v>
      </c>
      <c r="B6" t="s">
        <v>332</v>
      </c>
      <c r="D6">
        <v>24</v>
      </c>
      <c r="E6" s="154">
        <v>1.9153929216615286</v>
      </c>
      <c r="F6" s="154">
        <f>D6*E6</f>
        <v>45.969430119876691</v>
      </c>
      <c r="G6" s="154"/>
      <c r="H6" s="154"/>
      <c r="I6" s="154"/>
      <c r="J6" s="154">
        <v>21.349163939576684</v>
      </c>
      <c r="L6" s="79"/>
      <c r="O6">
        <v>2014</v>
      </c>
      <c r="P6" s="101">
        <v>117.32777777777775</v>
      </c>
      <c r="Q6">
        <f t="shared" ref="Q6:Q9" si="0">((100/P6)/100)+1</f>
        <v>1.0085231308300582</v>
      </c>
      <c r="R6" s="181">
        <f>(P6-P5)/P5</f>
        <v>6.6481504860497226E-2</v>
      </c>
      <c r="S6">
        <f>PRODUCT(Q5:Q9)</f>
        <v>1.0417772830369032</v>
      </c>
    </row>
    <row r="7" spans="1:21" x14ac:dyDescent="0.3">
      <c r="A7" s="244"/>
      <c r="D7">
        <v>1</v>
      </c>
      <c r="E7" s="154">
        <v>2.3649809958055141</v>
      </c>
      <c r="F7" s="154">
        <f t="shared" ref="F7:F9" si="1">D7*E7</f>
        <v>2.3649809958055141</v>
      </c>
      <c r="G7" s="155">
        <v>1</v>
      </c>
      <c r="H7" s="156">
        <f>[1]Diagnostic!B8</f>
        <v>1.0083938167770914</v>
      </c>
      <c r="I7" s="156">
        <f>G7*H7</f>
        <v>1.0083938167770914</v>
      </c>
      <c r="J7" s="154"/>
      <c r="L7" s="79"/>
      <c r="O7">
        <v>2015</v>
      </c>
      <c r="P7" s="101">
        <v>123.0361111111111</v>
      </c>
      <c r="Q7">
        <f t="shared" si="0"/>
        <v>1.0081276951211253</v>
      </c>
      <c r="R7" s="181">
        <f>(P7-P6)/P6</f>
        <v>4.8652871821582552E-2</v>
      </c>
    </row>
    <row r="8" spans="1:21" x14ac:dyDescent="0.3">
      <c r="A8" s="245"/>
      <c r="B8" s="158" t="s">
        <v>333</v>
      </c>
      <c r="C8" s="158"/>
      <c r="D8" s="158">
        <v>16</v>
      </c>
      <c r="E8" s="156">
        <v>1.9153929216615286</v>
      </c>
      <c r="F8" s="156">
        <f t="shared" si="1"/>
        <v>30.646286746584458</v>
      </c>
      <c r="J8" s="156"/>
      <c r="K8" s="158"/>
      <c r="L8" s="159"/>
      <c r="O8">
        <v>2016</v>
      </c>
      <c r="P8" s="101">
        <v>129.10000000000002</v>
      </c>
      <c r="Q8">
        <f t="shared" si="0"/>
        <v>1.007745933384973</v>
      </c>
      <c r="R8" s="181">
        <f>(P8-P7)/P7</f>
        <v>4.9285440137268044E-2</v>
      </c>
    </row>
    <row r="9" spans="1:21" x14ac:dyDescent="0.3">
      <c r="A9" s="245"/>
      <c r="B9" s="160"/>
      <c r="C9" s="160"/>
      <c r="D9" s="160">
        <v>1</v>
      </c>
      <c r="E9" s="161">
        <v>2.3649809958055141</v>
      </c>
      <c r="F9" s="161">
        <f t="shared" si="1"/>
        <v>2.3649809958055141</v>
      </c>
      <c r="G9" s="162">
        <v>1</v>
      </c>
      <c r="H9" s="161">
        <f>[1]Diagnostic!B8</f>
        <v>1.0083938167770914</v>
      </c>
      <c r="I9" s="161">
        <f>G9*H9</f>
        <v>1.0083938167770914</v>
      </c>
      <c r="J9" s="161"/>
      <c r="K9" s="160"/>
      <c r="L9" s="163"/>
      <c r="O9">
        <v>2017</v>
      </c>
      <c r="P9" s="101">
        <v>131.4</v>
      </c>
      <c r="Q9">
        <f t="shared" si="0"/>
        <v>1.0076103500761036</v>
      </c>
      <c r="R9" s="181">
        <f>(P9-P8)/P8</f>
        <v>1.7815646785437511E-2</v>
      </c>
    </row>
    <row r="10" spans="1:21" x14ac:dyDescent="0.3">
      <c r="A10" s="245"/>
      <c r="B10" t="s">
        <v>334</v>
      </c>
      <c r="C10" s="164">
        <v>8.9867635999999997</v>
      </c>
      <c r="E10" s="154"/>
      <c r="F10" s="154">
        <f>SUM(F6:F9)</f>
        <v>81.345678858072176</v>
      </c>
      <c r="G10" s="154"/>
      <c r="H10" s="154"/>
      <c r="I10" s="154">
        <f>SUM(I6:I9)</f>
        <v>2.0167876335541828</v>
      </c>
      <c r="J10" s="154">
        <v>21.349163939576684</v>
      </c>
      <c r="K10" s="154">
        <v>34.688547010409678</v>
      </c>
      <c r="L10" s="165">
        <f>SUM(C10:K10)</f>
        <v>148.38694104161272</v>
      </c>
    </row>
    <row r="11" spans="1:21" x14ac:dyDescent="0.3">
      <c r="A11" s="166"/>
      <c r="B11" s="166"/>
      <c r="C11" s="166"/>
      <c r="D11" s="166"/>
      <c r="E11" s="166"/>
      <c r="F11" s="166"/>
      <c r="G11" s="166"/>
      <c r="H11" s="166"/>
      <c r="I11" s="166"/>
      <c r="J11" s="166"/>
      <c r="K11" s="166"/>
      <c r="L11" s="167"/>
      <c r="O11" s="79" t="s">
        <v>365</v>
      </c>
    </row>
    <row r="12" spans="1:21" x14ac:dyDescent="0.3">
      <c r="A12" s="245" t="s">
        <v>335</v>
      </c>
      <c r="B12" t="s">
        <v>336</v>
      </c>
      <c r="D12">
        <v>24</v>
      </c>
      <c r="E12" s="154">
        <v>1.9153929216615286</v>
      </c>
      <c r="F12" s="154">
        <f t="shared" ref="F12:F17" si="2">D12*E12</f>
        <v>45.969430119876691</v>
      </c>
      <c r="G12" s="154"/>
      <c r="H12" s="154"/>
      <c r="I12" s="154"/>
      <c r="J12" s="154">
        <v>21.349163939576684</v>
      </c>
      <c r="L12" s="79"/>
      <c r="P12" t="s">
        <v>368</v>
      </c>
      <c r="Q12" t="s">
        <v>321</v>
      </c>
      <c r="R12" t="s">
        <v>369</v>
      </c>
      <c r="S12" t="s">
        <v>370</v>
      </c>
      <c r="T12" t="s">
        <v>371</v>
      </c>
      <c r="U12" t="s">
        <v>372</v>
      </c>
    </row>
    <row r="13" spans="1:21" x14ac:dyDescent="0.3">
      <c r="A13" s="245"/>
      <c r="D13">
        <v>1</v>
      </c>
      <c r="E13" s="154">
        <v>2.3649809958055141</v>
      </c>
      <c r="F13" s="154">
        <f t="shared" si="2"/>
        <v>2.3649809958055141</v>
      </c>
      <c r="G13" s="155">
        <v>1</v>
      </c>
      <c r="H13" s="156">
        <f>[1]Diagnostic!B8</f>
        <v>1.0083938167770914</v>
      </c>
      <c r="I13" s="156">
        <f>G13*H13</f>
        <v>1.0083938167770914</v>
      </c>
      <c r="J13" s="154"/>
      <c r="L13" s="79"/>
      <c r="O13" t="s">
        <v>366</v>
      </c>
      <c r="P13" s="101">
        <f>C10*deflator</f>
        <v>9.3622061665029381</v>
      </c>
      <c r="Q13" s="101">
        <f>F10*deflator</f>
        <v>84.744080307554896</v>
      </c>
      <c r="R13" s="101">
        <f>I10*deflator</f>
        <v>2.1010435413465021</v>
      </c>
      <c r="S13" s="101">
        <f>J10*deflator</f>
        <v>22.241074004081625</v>
      </c>
      <c r="T13" s="101">
        <f>K10*deflator</f>
        <v>36.137740257002484</v>
      </c>
      <c r="U13" s="182">
        <f>SUM(P13:T13)</f>
        <v>154.58614427648845</v>
      </c>
    </row>
    <row r="14" spans="1:21" x14ac:dyDescent="0.3">
      <c r="A14" s="245"/>
      <c r="B14" t="s">
        <v>337</v>
      </c>
      <c r="D14">
        <v>12</v>
      </c>
      <c r="E14" s="154">
        <v>1.9153929216615286</v>
      </c>
      <c r="F14" s="154">
        <f t="shared" si="2"/>
        <v>22.984715059938345</v>
      </c>
      <c r="G14" s="154"/>
      <c r="H14" s="154"/>
      <c r="I14" s="154"/>
      <c r="J14" s="154"/>
      <c r="L14" s="79"/>
      <c r="O14" t="s">
        <v>367</v>
      </c>
      <c r="P14" s="101">
        <f>C18*deflator</f>
        <v>17.007031230724884</v>
      </c>
      <c r="Q14" s="101">
        <f>F18*deflator</f>
        <v>119.13446912582567</v>
      </c>
      <c r="R14" s="101">
        <f>I18*deflator</f>
        <v>3.1515653120197533</v>
      </c>
      <c r="S14" s="101">
        <f>S13</f>
        <v>22.241074004081625</v>
      </c>
      <c r="T14" s="101">
        <f>T13</f>
        <v>36.137740257002484</v>
      </c>
      <c r="U14" s="182">
        <f>SUM(P14:T14)</f>
        <v>197.67187992965441</v>
      </c>
    </row>
    <row r="15" spans="1:21" x14ac:dyDescent="0.3">
      <c r="A15" s="245"/>
      <c r="D15">
        <v>1</v>
      </c>
      <c r="E15" s="154">
        <v>2.3649809958055141</v>
      </c>
      <c r="F15" s="154">
        <f t="shared" si="2"/>
        <v>2.3649809958055141</v>
      </c>
      <c r="G15" s="155">
        <v>1</v>
      </c>
      <c r="H15" s="156">
        <f>[1]Diagnostic!B8</f>
        <v>1.0083938167770914</v>
      </c>
      <c r="I15" s="156">
        <f>G15*H15</f>
        <v>1.0083938167770914</v>
      </c>
      <c r="J15" s="154"/>
      <c r="L15" s="79"/>
    </row>
    <row r="16" spans="1:21" x14ac:dyDescent="0.3">
      <c r="A16" s="245"/>
      <c r="B16" s="158" t="s">
        <v>338</v>
      </c>
      <c r="C16" s="158"/>
      <c r="D16" s="158">
        <v>20</v>
      </c>
      <c r="E16" s="156">
        <v>1.9153929216615286</v>
      </c>
      <c r="F16" s="156">
        <f t="shared" si="2"/>
        <v>38.307858433230571</v>
      </c>
      <c r="G16" s="155"/>
      <c r="H16" s="156"/>
      <c r="I16" s="156"/>
      <c r="J16" s="156"/>
      <c r="K16" s="158"/>
      <c r="L16" s="159"/>
      <c r="M16" s="158"/>
      <c r="O16" t="s">
        <v>373</v>
      </c>
      <c r="P16" s="111">
        <f>'TB drug regimens'!I7</f>
        <v>31.82</v>
      </c>
      <c r="Q16" s="101">
        <f>Q13</f>
        <v>84.744080307554896</v>
      </c>
      <c r="R16" s="101">
        <f t="shared" ref="R16:T16" si="3">R13</f>
        <v>2.1010435413465021</v>
      </c>
      <c r="S16" s="101">
        <f t="shared" si="3"/>
        <v>22.241074004081625</v>
      </c>
      <c r="T16" s="101">
        <f t="shared" si="3"/>
        <v>36.137740257002484</v>
      </c>
      <c r="U16" s="183">
        <f>SUM(P16:T16)</f>
        <v>177.0439381099855</v>
      </c>
    </row>
    <row r="17" spans="1:38" x14ac:dyDescent="0.3">
      <c r="A17" s="245"/>
      <c r="B17" s="160"/>
      <c r="C17" s="160"/>
      <c r="D17" s="160">
        <v>1</v>
      </c>
      <c r="E17" s="161">
        <v>2.3649809958055141</v>
      </c>
      <c r="F17" s="161">
        <f t="shared" si="2"/>
        <v>2.3649809958055141</v>
      </c>
      <c r="G17" s="162">
        <v>1</v>
      </c>
      <c r="H17" s="161">
        <f>[1]Diagnostic!B8</f>
        <v>1.0083938167770914</v>
      </c>
      <c r="I17" s="161">
        <f>G17*H17</f>
        <v>1.0083938167770914</v>
      </c>
      <c r="J17" s="161"/>
      <c r="K17" s="160"/>
      <c r="L17" s="163"/>
    </row>
    <row r="18" spans="1:38" x14ac:dyDescent="0.3">
      <c r="A18" s="245"/>
      <c r="B18" t="s">
        <v>334</v>
      </c>
      <c r="C18" s="168">
        <v>16.325016399999999</v>
      </c>
      <c r="E18" s="154"/>
      <c r="F18" s="154">
        <f>SUM(F12:F17)</f>
        <v>114.35694660046214</v>
      </c>
      <c r="G18" s="154"/>
      <c r="H18" s="154"/>
      <c r="I18" s="154">
        <f>SUM(I13:I17)</f>
        <v>3.0251814503312744</v>
      </c>
      <c r="J18" s="154">
        <v>21.349163939576684</v>
      </c>
      <c r="K18" s="154">
        <v>34.688547010409678</v>
      </c>
      <c r="L18" s="165">
        <f>SUM(C18:K18)</f>
        <v>189.74485540077976</v>
      </c>
    </row>
    <row r="19" spans="1:38" x14ac:dyDescent="0.3">
      <c r="A19" s="166"/>
      <c r="B19" s="166"/>
      <c r="C19" s="166"/>
      <c r="D19" s="166"/>
      <c r="E19" s="166"/>
      <c r="F19" s="166"/>
      <c r="G19" s="166"/>
      <c r="H19" s="166"/>
      <c r="I19" s="166"/>
      <c r="J19" s="166"/>
      <c r="K19" s="166"/>
      <c r="L19" s="167"/>
    </row>
    <row r="20" spans="1:38" x14ac:dyDescent="0.3">
      <c r="A20" s="169" t="s">
        <v>339</v>
      </c>
      <c r="C20" s="168"/>
      <c r="E20" s="154"/>
      <c r="F20" s="154"/>
      <c r="G20" s="154"/>
      <c r="H20" s="154"/>
      <c r="I20" s="154"/>
      <c r="J20" s="154"/>
      <c r="K20" s="154"/>
      <c r="L20" s="165"/>
      <c r="N20" s="170"/>
      <c r="P20" s="168"/>
      <c r="R20" s="171"/>
      <c r="S20" s="154"/>
      <c r="T20" s="154"/>
      <c r="U20" s="154"/>
      <c r="V20" s="154"/>
      <c r="W20" s="154"/>
      <c r="X20" s="154"/>
      <c r="Y20" s="154"/>
      <c r="AA20" s="170"/>
      <c r="AC20" s="168"/>
      <c r="AE20" s="154"/>
      <c r="AF20" s="154"/>
      <c r="AG20" s="154"/>
      <c r="AH20" s="154"/>
      <c r="AI20" s="154"/>
      <c r="AJ20" s="154"/>
      <c r="AK20" s="154"/>
      <c r="AL20" s="154"/>
    </row>
    <row r="21" spans="1:38" x14ac:dyDescent="0.3">
      <c r="A21" s="169"/>
      <c r="C21" s="168"/>
      <c r="E21" s="154"/>
      <c r="F21" s="154"/>
      <c r="G21" s="154"/>
      <c r="H21" s="154"/>
      <c r="I21" s="154"/>
      <c r="J21" s="154"/>
      <c r="K21" s="154"/>
      <c r="L21" s="165"/>
      <c r="N21" s="170"/>
      <c r="P21" s="168"/>
      <c r="R21" s="171"/>
      <c r="S21" s="154"/>
      <c r="T21" s="154"/>
      <c r="U21" s="154"/>
      <c r="V21" s="154"/>
      <c r="W21" s="154"/>
      <c r="X21" s="154"/>
      <c r="Y21" s="154"/>
      <c r="AA21" s="170"/>
      <c r="AC21" s="168"/>
      <c r="AE21" s="154"/>
      <c r="AF21" s="154"/>
      <c r="AG21" s="154"/>
      <c r="AH21" s="154"/>
      <c r="AI21" s="154"/>
      <c r="AJ21" s="154"/>
      <c r="AK21" s="154"/>
      <c r="AL21" s="154"/>
    </row>
    <row r="22" spans="1:38" x14ac:dyDescent="0.3">
      <c r="A22" s="169" t="s">
        <v>340</v>
      </c>
      <c r="C22" s="168"/>
      <c r="E22" s="154"/>
      <c r="F22" s="154"/>
      <c r="G22" s="154"/>
      <c r="H22" s="154"/>
      <c r="I22" s="154"/>
      <c r="J22" s="154"/>
      <c r="K22" s="154"/>
      <c r="L22" s="165"/>
      <c r="N22" s="170"/>
      <c r="P22" s="168"/>
      <c r="R22" s="171"/>
      <c r="S22" s="154"/>
      <c r="T22" s="154"/>
      <c r="U22" s="154"/>
      <c r="V22" s="154"/>
      <c r="W22" s="154"/>
      <c r="X22" s="154"/>
      <c r="Y22" s="154"/>
      <c r="AA22" s="170"/>
      <c r="AC22" s="168"/>
      <c r="AE22" s="154"/>
      <c r="AF22" s="154"/>
      <c r="AG22" s="154"/>
      <c r="AH22" s="154"/>
      <c r="AI22" s="154"/>
      <c r="AJ22" s="154"/>
      <c r="AK22" s="154"/>
      <c r="AL22" s="154"/>
    </row>
    <row r="23" spans="1:38" x14ac:dyDescent="0.3">
      <c r="A23" s="172"/>
      <c r="B23" t="s">
        <v>341</v>
      </c>
      <c r="C23" s="168"/>
      <c r="E23" s="154"/>
      <c r="F23" s="154"/>
      <c r="G23" s="154"/>
      <c r="H23" s="154"/>
      <c r="I23" s="154"/>
      <c r="J23" s="154"/>
      <c r="K23" s="154"/>
      <c r="L23" s="165"/>
      <c r="N23" s="170"/>
      <c r="P23" s="168"/>
      <c r="R23" s="171"/>
      <c r="S23" s="154"/>
      <c r="T23" s="154"/>
      <c r="U23" s="154"/>
      <c r="V23" s="154"/>
      <c r="W23" s="154"/>
      <c r="X23" s="154"/>
      <c r="Y23" s="154"/>
      <c r="AA23" s="170"/>
      <c r="AC23" s="168"/>
      <c r="AE23" s="154"/>
      <c r="AF23" s="154"/>
      <c r="AG23" s="154"/>
      <c r="AH23" s="154"/>
      <c r="AI23" s="154"/>
      <c r="AJ23" s="154"/>
      <c r="AK23" s="154"/>
      <c r="AL23" s="154"/>
    </row>
    <row r="24" spans="1:38" x14ac:dyDescent="0.3">
      <c r="A24" s="172"/>
      <c r="B24" s="173"/>
      <c r="C24" s="174"/>
      <c r="R24" s="175"/>
    </row>
    <row r="25" spans="1:38" x14ac:dyDescent="0.3">
      <c r="A25" s="176" t="s">
        <v>342</v>
      </c>
      <c r="B25" s="176"/>
      <c r="C25" s="177"/>
      <c r="G25" s="117"/>
      <c r="L25" s="117"/>
      <c r="R25" s="175"/>
    </row>
    <row r="26" spans="1:38" x14ac:dyDescent="0.3">
      <c r="A26" s="172"/>
      <c r="B26" s="173"/>
      <c r="C26" s="174"/>
      <c r="R26" s="175"/>
    </row>
    <row r="27" spans="1:38" x14ac:dyDescent="0.3">
      <c r="A27" s="178" t="s">
        <v>343</v>
      </c>
      <c r="B27" s="117" t="s">
        <v>344</v>
      </c>
      <c r="H27" t="s">
        <v>345</v>
      </c>
      <c r="R27" s="175"/>
    </row>
    <row r="28" spans="1:38" x14ac:dyDescent="0.3">
      <c r="A28" s="178"/>
      <c r="B28" t="s">
        <v>346</v>
      </c>
      <c r="R28" s="175"/>
    </row>
    <row r="29" spans="1:38" x14ac:dyDescent="0.3">
      <c r="A29" s="172"/>
      <c r="B29" t="s">
        <v>347</v>
      </c>
      <c r="C29" s="174"/>
      <c r="R29" s="175"/>
    </row>
    <row r="30" spans="1:38" x14ac:dyDescent="0.3">
      <c r="A30" s="172"/>
      <c r="B30" s="179" t="s">
        <v>348</v>
      </c>
      <c r="C30" s="174"/>
      <c r="R30" s="175"/>
    </row>
    <row r="31" spans="1:38" x14ac:dyDescent="0.3">
      <c r="A31" s="172"/>
      <c r="B31" s="173" t="s">
        <v>349</v>
      </c>
      <c r="C31" s="174"/>
      <c r="R31" s="175"/>
    </row>
    <row r="32" spans="1:38" x14ac:dyDescent="0.3">
      <c r="A32" s="172"/>
      <c r="B32" s="173" t="s">
        <v>350</v>
      </c>
      <c r="C32" s="174"/>
      <c r="R32" s="175"/>
    </row>
    <row r="33" spans="1:18" x14ac:dyDescent="0.3">
      <c r="A33" s="180" t="s">
        <v>351</v>
      </c>
      <c r="R33" s="175"/>
    </row>
    <row r="34" spans="1:18" x14ac:dyDescent="0.3">
      <c r="A34" s="178" t="s">
        <v>352</v>
      </c>
      <c r="B34" t="s">
        <v>353</v>
      </c>
      <c r="R34" s="175"/>
    </row>
    <row r="35" spans="1:18" x14ac:dyDescent="0.3">
      <c r="A35" s="178"/>
      <c r="B35" t="s">
        <v>354</v>
      </c>
      <c r="R35" s="175"/>
    </row>
    <row r="36" spans="1:18" x14ac:dyDescent="0.3">
      <c r="A36" s="180" t="s">
        <v>355</v>
      </c>
      <c r="R36" s="175"/>
    </row>
    <row r="37" spans="1:18" x14ac:dyDescent="0.3">
      <c r="A37" s="178" t="s">
        <v>356</v>
      </c>
      <c r="B37" t="s">
        <v>357</v>
      </c>
      <c r="R37" s="175"/>
    </row>
    <row r="38" spans="1:18" x14ac:dyDescent="0.3">
      <c r="R38" s="175"/>
    </row>
    <row r="39" spans="1:18" x14ac:dyDescent="0.3">
      <c r="A39" s="178" t="s">
        <v>358</v>
      </c>
      <c r="B39" t="s">
        <v>359</v>
      </c>
      <c r="R39" s="175"/>
    </row>
    <row r="40" spans="1:18" x14ac:dyDescent="0.3">
      <c r="A40" s="178"/>
      <c r="B40" t="s">
        <v>360</v>
      </c>
      <c r="J40" t="s">
        <v>361</v>
      </c>
      <c r="R40" s="175"/>
    </row>
    <row r="41" spans="1:18" x14ac:dyDescent="0.3">
      <c r="A41" s="178"/>
      <c r="R41" s="175"/>
    </row>
  </sheetData>
  <mergeCells count="7">
    <mergeCell ref="L4:L5"/>
    <mergeCell ref="A6:A10"/>
    <mergeCell ref="A12:A18"/>
    <mergeCell ref="D4:F4"/>
    <mergeCell ref="G4:I4"/>
    <mergeCell ref="J4:J5"/>
    <mergeCell ref="K4:K5"/>
  </mergeCells>
  <hyperlinks>
    <hyperlink ref="S2" r:id="rId1" xr:uid="{B2AA9E88-9F36-4B3C-B629-661B6B3BF5F1}"/>
    <hyperlink ref="S3" r:id="rId2" xr:uid="{125983E9-025C-432F-A793-9A201C212D69}"/>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F002B-FAD4-4BD2-9543-24436327FDE7}">
  <sheetPr>
    <tabColor theme="0" tint="-0.499984740745262"/>
  </sheetPr>
  <dimension ref="A1:O32"/>
  <sheetViews>
    <sheetView showGridLines="0" zoomScale="80" zoomScaleNormal="80" workbookViewId="0">
      <selection activeCell="X25" sqref="X25"/>
    </sheetView>
  </sheetViews>
  <sheetFormatPr defaultRowHeight="14.4" x14ac:dyDescent="0.3"/>
  <cols>
    <col min="2" max="2" width="13.88671875" customWidth="1"/>
    <col min="5" max="5" width="16" customWidth="1"/>
  </cols>
  <sheetData>
    <row r="1" spans="1:15" ht="15.6" x14ac:dyDescent="0.3">
      <c r="A1" s="142" t="s">
        <v>378</v>
      </c>
      <c r="J1" s="99"/>
      <c r="L1" s="99"/>
    </row>
    <row r="2" spans="1:15" ht="18" x14ac:dyDescent="0.35">
      <c r="A2" s="187"/>
      <c r="L2" s="99"/>
    </row>
    <row r="3" spans="1:15" ht="15" thickBot="1" x14ac:dyDescent="0.35">
      <c r="B3" s="79" t="s">
        <v>379</v>
      </c>
      <c r="D3" t="s">
        <v>316</v>
      </c>
      <c r="N3" s="188" t="s">
        <v>317</v>
      </c>
    </row>
    <row r="4" spans="1:15" x14ac:dyDescent="0.3">
      <c r="A4" s="145" t="s">
        <v>318</v>
      </c>
      <c r="B4" s="145" t="s">
        <v>319</v>
      </c>
      <c r="C4" s="147" t="s">
        <v>380</v>
      </c>
      <c r="D4" s="246" t="s">
        <v>381</v>
      </c>
      <c r="E4" s="247"/>
      <c r="F4" s="248"/>
      <c r="G4" s="246" t="s">
        <v>322</v>
      </c>
      <c r="H4" s="247"/>
      <c r="I4" s="247"/>
      <c r="J4" s="247"/>
      <c r="K4" s="248"/>
      <c r="L4" s="249" t="s">
        <v>323</v>
      </c>
      <c r="M4" s="249" t="s">
        <v>324</v>
      </c>
      <c r="N4" s="241" t="s">
        <v>325</v>
      </c>
    </row>
    <row r="5" spans="1:15" ht="29.4" thickBot="1" x14ac:dyDescent="0.35">
      <c r="A5" s="148"/>
      <c r="B5" s="148"/>
      <c r="C5" s="149"/>
      <c r="D5" s="150" t="s">
        <v>382</v>
      </c>
      <c r="E5" s="151" t="s">
        <v>383</v>
      </c>
      <c r="F5" s="152" t="s">
        <v>328</v>
      </c>
      <c r="G5" s="153" t="s">
        <v>384</v>
      </c>
      <c r="H5" s="189" t="s">
        <v>330</v>
      </c>
      <c r="I5" s="189" t="s">
        <v>385</v>
      </c>
      <c r="J5" s="189" t="s">
        <v>330</v>
      </c>
      <c r="K5" s="152" t="s">
        <v>328</v>
      </c>
      <c r="L5" s="250"/>
      <c r="M5" s="250"/>
      <c r="N5" s="242"/>
    </row>
    <row r="6" spans="1:15" x14ac:dyDescent="0.3">
      <c r="A6" s="245" t="s">
        <v>386</v>
      </c>
      <c r="B6" t="s">
        <v>387</v>
      </c>
      <c r="D6">
        <v>144</v>
      </c>
      <c r="E6" s="154">
        <v>1.9153929216615286</v>
      </c>
      <c r="F6" s="154">
        <f>D6*E6</f>
        <v>275.81658071926012</v>
      </c>
      <c r="L6" s="154">
        <v>171.76713488639376</v>
      </c>
      <c r="N6" s="79"/>
    </row>
    <row r="7" spans="1:15" x14ac:dyDescent="0.3">
      <c r="A7" s="245"/>
      <c r="D7">
        <v>5</v>
      </c>
      <c r="E7" s="156">
        <v>2.3649809958055141</v>
      </c>
      <c r="F7" s="156">
        <f t="shared" ref="F7:F9" si="0">D7*E7</f>
        <v>11.82490497902757</v>
      </c>
      <c r="G7">
        <v>5</v>
      </c>
      <c r="H7" s="154">
        <v>18.745000000000001</v>
      </c>
      <c r="I7">
        <v>1.8</v>
      </c>
      <c r="J7" s="154">
        <v>29.88</v>
      </c>
      <c r="K7" s="154">
        <v>147.50900000000001</v>
      </c>
      <c r="L7" s="154"/>
      <c r="N7" s="79"/>
    </row>
    <row r="8" spans="1:15" x14ac:dyDescent="0.3">
      <c r="A8" s="245"/>
      <c r="B8" s="158" t="s">
        <v>388</v>
      </c>
      <c r="C8" s="158"/>
      <c r="D8" s="158">
        <v>72</v>
      </c>
      <c r="E8" s="156">
        <v>1.9153929216615286</v>
      </c>
      <c r="F8" s="156">
        <f t="shared" si="0"/>
        <v>137.90829035963006</v>
      </c>
      <c r="L8" s="156"/>
      <c r="M8" s="158"/>
      <c r="N8" s="159"/>
    </row>
    <row r="9" spans="1:15" x14ac:dyDescent="0.3">
      <c r="A9" s="245"/>
      <c r="B9" s="160"/>
      <c r="C9" s="160"/>
      <c r="D9" s="190">
        <v>4.8</v>
      </c>
      <c r="E9" s="161">
        <v>2.3649809958055141</v>
      </c>
      <c r="F9" s="161">
        <f t="shared" si="0"/>
        <v>11.351908779866468</v>
      </c>
      <c r="G9" s="162">
        <v>4.8</v>
      </c>
      <c r="H9" s="161">
        <v>18.745000000000001</v>
      </c>
      <c r="I9" s="191">
        <v>1.2</v>
      </c>
      <c r="J9" s="161">
        <v>29.88</v>
      </c>
      <c r="K9" s="161">
        <v>143.42399999999998</v>
      </c>
      <c r="L9" s="161"/>
      <c r="M9" s="160"/>
      <c r="N9" s="163"/>
    </row>
    <row r="10" spans="1:15" x14ac:dyDescent="0.3">
      <c r="A10" s="245"/>
      <c r="B10" t="s">
        <v>389</v>
      </c>
      <c r="C10" s="168">
        <v>2578.0275663873067</v>
      </c>
      <c r="E10" s="154"/>
      <c r="F10" s="154">
        <f>SUM(F6:F9)</f>
        <v>436.90168483778416</v>
      </c>
      <c r="G10" s="154"/>
      <c r="H10" s="154"/>
      <c r="I10" s="154"/>
      <c r="J10" s="154"/>
      <c r="K10" s="154">
        <v>290.93299999999999</v>
      </c>
      <c r="L10" s="154">
        <v>171.76713488639376</v>
      </c>
      <c r="M10" s="154">
        <v>1709.4081980011151</v>
      </c>
      <c r="N10" s="165">
        <v>5187.0375841125997</v>
      </c>
    </row>
    <row r="11" spans="1:15" x14ac:dyDescent="0.3">
      <c r="A11" s="157"/>
      <c r="B11" t="s">
        <v>390</v>
      </c>
      <c r="C11" s="168">
        <f>'[1]Drug regimens'!H41</f>
        <v>824.87899999999991</v>
      </c>
      <c r="E11" s="154"/>
      <c r="F11" s="154"/>
      <c r="G11" s="154"/>
      <c r="H11" s="154"/>
      <c r="I11" s="154"/>
      <c r="J11" s="154"/>
      <c r="K11" s="154"/>
      <c r="L11" s="154"/>
      <c r="M11" s="154"/>
      <c r="N11" s="165"/>
    </row>
    <row r="12" spans="1:15" x14ac:dyDescent="0.3">
      <c r="A12" s="166"/>
      <c r="B12" s="166"/>
      <c r="C12" s="166"/>
      <c r="D12" s="166"/>
      <c r="E12" s="166"/>
      <c r="F12" s="166"/>
      <c r="G12" s="166"/>
      <c r="H12" s="166"/>
      <c r="I12" s="166"/>
      <c r="J12" s="166"/>
      <c r="K12" s="166"/>
      <c r="L12" s="166"/>
      <c r="M12" s="166"/>
      <c r="N12" s="167"/>
    </row>
    <row r="13" spans="1:15" x14ac:dyDescent="0.3">
      <c r="A13" s="169" t="s">
        <v>391</v>
      </c>
      <c r="C13" s="168"/>
      <c r="E13" s="154"/>
      <c r="F13" s="154"/>
      <c r="G13" s="154"/>
      <c r="H13" s="154"/>
      <c r="I13" s="154"/>
      <c r="J13" s="154"/>
      <c r="K13" s="154"/>
      <c r="L13" s="154"/>
      <c r="M13" s="154"/>
      <c r="N13" s="165"/>
    </row>
    <row r="14" spans="1:15" x14ac:dyDescent="0.3">
      <c r="A14" s="172" t="s">
        <v>392</v>
      </c>
      <c r="B14" s="173" t="s">
        <v>393</v>
      </c>
      <c r="C14" s="192"/>
      <c r="G14" s="117"/>
      <c r="H14" s="117"/>
      <c r="I14" s="117"/>
    </row>
    <row r="15" spans="1:15" s="175" customFormat="1" x14ac:dyDescent="0.3">
      <c r="A15" s="193"/>
      <c r="B15" s="175" t="s">
        <v>394</v>
      </c>
      <c r="E15" s="171">
        <v>1732.1640729375622</v>
      </c>
      <c r="F15" s="175" t="s">
        <v>395</v>
      </c>
      <c r="O15" s="194"/>
    </row>
    <row r="16" spans="1:15" s="175" customFormat="1" x14ac:dyDescent="0.3">
      <c r="B16" s="175" t="s">
        <v>396</v>
      </c>
      <c r="E16" s="171">
        <v>10926.332480000001</v>
      </c>
      <c r="F16" s="175" t="s">
        <v>395</v>
      </c>
    </row>
    <row r="17" spans="1:14" s="175" customFormat="1" x14ac:dyDescent="0.3">
      <c r="B17" s="175" t="s">
        <v>397</v>
      </c>
      <c r="E17" s="195">
        <v>9.1999999999999998E-2</v>
      </c>
      <c r="F17" s="175" t="s">
        <v>398</v>
      </c>
    </row>
    <row r="18" spans="1:14" s="175" customFormat="1" x14ac:dyDescent="0.3">
      <c r="B18" s="175" t="s">
        <v>399</v>
      </c>
      <c r="E18" s="171">
        <v>2578.0275663873067</v>
      </c>
    </row>
    <row r="19" spans="1:14" x14ac:dyDescent="0.3">
      <c r="A19" s="172"/>
      <c r="B19" s="179"/>
      <c r="C19" s="174"/>
      <c r="G19" s="117"/>
      <c r="H19" s="117"/>
      <c r="I19" s="117"/>
    </row>
    <row r="20" spans="1:14" x14ac:dyDescent="0.3">
      <c r="A20" s="172" t="s">
        <v>400</v>
      </c>
      <c r="B20" t="s">
        <v>401</v>
      </c>
      <c r="C20" s="174"/>
    </row>
    <row r="21" spans="1:14" x14ac:dyDescent="0.3">
      <c r="A21" s="172"/>
      <c r="B21" s="179" t="s">
        <v>402</v>
      </c>
      <c r="C21" s="174"/>
    </row>
    <row r="22" spans="1:14" x14ac:dyDescent="0.3">
      <c r="A22" s="178" t="s">
        <v>403</v>
      </c>
      <c r="B22" s="117" t="s">
        <v>344</v>
      </c>
      <c r="J22" t="s">
        <v>345</v>
      </c>
    </row>
    <row r="23" spans="1:14" x14ac:dyDescent="0.3">
      <c r="A23" s="178"/>
      <c r="B23" s="173" t="s">
        <v>404</v>
      </c>
    </row>
    <row r="24" spans="1:14" x14ac:dyDescent="0.3">
      <c r="A24" s="178"/>
    </row>
    <row r="25" spans="1:14" x14ac:dyDescent="0.3">
      <c r="A25" s="178" t="s">
        <v>352</v>
      </c>
      <c r="B25" t="s">
        <v>405</v>
      </c>
    </row>
    <row r="26" spans="1:14" x14ac:dyDescent="0.3">
      <c r="A26" s="178"/>
      <c r="B26" s="178" t="s">
        <v>406</v>
      </c>
      <c r="C26" s="156">
        <v>11.07</v>
      </c>
      <c r="D26" s="156">
        <v>1.7</v>
      </c>
      <c r="E26" s="156">
        <v>4</v>
      </c>
      <c r="F26" s="156">
        <v>1.9750000000000001</v>
      </c>
      <c r="G26" s="158"/>
      <c r="H26" s="175"/>
      <c r="I26" s="175"/>
      <c r="J26" s="175"/>
      <c r="K26" s="175"/>
      <c r="L26" s="175"/>
      <c r="M26" s="175"/>
      <c r="N26" s="175"/>
    </row>
    <row r="27" spans="1:14" x14ac:dyDescent="0.3">
      <c r="A27" s="178"/>
      <c r="B27" t="s">
        <v>407</v>
      </c>
    </row>
    <row r="28" spans="1:14" x14ac:dyDescent="0.3">
      <c r="A28" s="178"/>
    </row>
    <row r="29" spans="1:14" x14ac:dyDescent="0.3">
      <c r="A29" s="178" t="s">
        <v>356</v>
      </c>
      <c r="B29" t="s">
        <v>408</v>
      </c>
    </row>
    <row r="31" spans="1:14" x14ac:dyDescent="0.3">
      <c r="A31" s="178" t="s">
        <v>358</v>
      </c>
      <c r="B31" t="s">
        <v>409</v>
      </c>
    </row>
    <row r="32" spans="1:14" x14ac:dyDescent="0.3">
      <c r="A32" s="178"/>
      <c r="B32" t="s">
        <v>410</v>
      </c>
    </row>
  </sheetData>
  <mergeCells count="6">
    <mergeCell ref="A6:A10"/>
    <mergeCell ref="D4:F4"/>
    <mergeCell ref="G4:K4"/>
    <mergeCell ref="L4:L5"/>
    <mergeCell ref="M4:M5"/>
    <mergeCell ref="N4:N5"/>
  </mergeCell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1EA1-0AB0-4E91-92DC-EF67A93F2C36}">
  <sheetPr>
    <tabColor theme="5"/>
  </sheetPr>
  <dimension ref="A1:J26"/>
  <sheetViews>
    <sheetView showGridLines="0" zoomScale="90" zoomScaleNormal="90" workbookViewId="0">
      <selection activeCell="O22" sqref="O22"/>
    </sheetView>
  </sheetViews>
  <sheetFormatPr defaultRowHeight="13.8" x14ac:dyDescent="0.3"/>
  <cols>
    <col min="1" max="1" width="37.21875" style="6" customWidth="1"/>
    <col min="2" max="2" width="14" style="6" customWidth="1"/>
    <col min="3" max="3" width="11.109375" style="6" customWidth="1"/>
    <col min="4" max="4" width="14" style="6" customWidth="1"/>
    <col min="5" max="5" width="12.109375" style="6" customWidth="1"/>
    <col min="6" max="6" width="14" style="6" customWidth="1"/>
    <col min="7" max="7" width="12.109375" style="6" customWidth="1"/>
    <col min="8" max="8" width="14" style="6" customWidth="1"/>
    <col min="9" max="9" width="12.109375" style="6" customWidth="1"/>
    <col min="10" max="16384" width="8.88671875" style="6"/>
  </cols>
  <sheetData>
    <row r="1" spans="1:10" ht="41.4" x14ac:dyDescent="0.3">
      <c r="A1" s="3" t="s">
        <v>16</v>
      </c>
      <c r="B1" s="251" t="s">
        <v>49</v>
      </c>
      <c r="C1" s="252"/>
      <c r="D1" s="252"/>
      <c r="E1" s="252"/>
      <c r="F1" s="253"/>
      <c r="G1" s="251" t="s">
        <v>19</v>
      </c>
      <c r="H1" s="253"/>
      <c r="I1" s="3" t="s">
        <v>27</v>
      </c>
    </row>
    <row r="2" spans="1:10" x14ac:dyDescent="0.3">
      <c r="A2" s="4" t="s">
        <v>48</v>
      </c>
      <c r="B2" s="254" t="s">
        <v>313</v>
      </c>
      <c r="C2" s="255"/>
      <c r="D2" s="255"/>
      <c r="E2" s="255"/>
      <c r="F2" s="256"/>
      <c r="G2" s="257" t="s">
        <v>23</v>
      </c>
      <c r="H2" s="258"/>
      <c r="I2" s="121">
        <f>D25+H26*D25</f>
        <v>9.8435202881145223</v>
      </c>
    </row>
    <row r="3" spans="1:10" x14ac:dyDescent="0.3">
      <c r="A3" s="4" t="s">
        <v>297</v>
      </c>
      <c r="B3" s="260" t="s">
        <v>461</v>
      </c>
      <c r="C3" s="261"/>
      <c r="D3" s="261"/>
      <c r="E3" s="261"/>
      <c r="F3" s="262"/>
      <c r="G3" s="263" t="s">
        <v>303</v>
      </c>
      <c r="H3" s="264"/>
      <c r="I3" s="121">
        <f>H25</f>
        <v>68642478.778978661</v>
      </c>
      <c r="J3" s="119" t="s">
        <v>462</v>
      </c>
    </row>
    <row r="5" spans="1:10" ht="14.4" customHeight="1" x14ac:dyDescent="0.3">
      <c r="A5" s="8"/>
      <c r="B5" s="259" t="s">
        <v>43</v>
      </c>
      <c r="C5" s="259"/>
      <c r="D5" s="259"/>
      <c r="E5" s="259"/>
      <c r="F5" s="259" t="s">
        <v>304</v>
      </c>
      <c r="G5" s="259"/>
      <c r="H5" s="259"/>
      <c r="I5" s="259"/>
    </row>
    <row r="6" spans="1:10" s="7" customFormat="1" x14ac:dyDescent="0.3">
      <c r="A6" s="9"/>
      <c r="B6" s="9" t="s">
        <v>40</v>
      </c>
      <c r="C6" s="9" t="s">
        <v>41</v>
      </c>
      <c r="D6" s="9" t="s">
        <v>42</v>
      </c>
      <c r="E6" s="9" t="s">
        <v>44</v>
      </c>
      <c r="F6" s="9" t="s">
        <v>40</v>
      </c>
      <c r="G6" s="9" t="s">
        <v>41</v>
      </c>
      <c r="H6" s="9" t="s">
        <v>42</v>
      </c>
      <c r="I6" s="9" t="s">
        <v>44</v>
      </c>
    </row>
    <row r="7" spans="1:10" x14ac:dyDescent="0.3">
      <c r="A7" s="6" t="s">
        <v>126</v>
      </c>
      <c r="B7" s="11">
        <f>'Vaccine costs (routine)'!G35</f>
        <v>3.25</v>
      </c>
      <c r="C7" s="12">
        <v>1</v>
      </c>
      <c r="D7" s="128">
        <f>B7*C7</f>
        <v>3.25</v>
      </c>
      <c r="E7" s="12"/>
      <c r="F7" s="11">
        <f>'Vaccine costs (routine)'!H35</f>
        <v>3.25</v>
      </c>
      <c r="G7" s="12">
        <f>'Vaccine costs (routine)'!I35</f>
        <v>19472928</v>
      </c>
      <c r="H7" s="121">
        <f>F7*G7</f>
        <v>63287016</v>
      </c>
      <c r="I7" s="12"/>
    </row>
    <row r="8" spans="1:10" x14ac:dyDescent="0.3">
      <c r="A8" s="6" t="s">
        <v>125</v>
      </c>
      <c r="B8" s="5">
        <f>'Vaccine costs (routine)'!D14+('Vaccine costs (routine)'!D17/'Vaccine costs (routine)'!B18)</f>
        <v>3.0185E-2</v>
      </c>
      <c r="C8" s="12">
        <v>1</v>
      </c>
      <c r="D8" s="128">
        <f>B8*C8</f>
        <v>3.0185E-2</v>
      </c>
      <c r="E8" s="12"/>
      <c r="F8" s="5">
        <f>'Vaccine costs (routine)'!D14+('Vaccine costs (routine)'!D17/'Vaccine costs (routine)'!B18)</f>
        <v>3.0185E-2</v>
      </c>
      <c r="G8" s="12">
        <f>'Vaccine costs (routine)'!I35</f>
        <v>19472928</v>
      </c>
      <c r="H8" s="121">
        <f>F8*G8</f>
        <v>587790.33167999994</v>
      </c>
      <c r="I8" s="12"/>
    </row>
    <row r="9" spans="1:10" x14ac:dyDescent="0.3">
      <c r="A9" s="6" t="s">
        <v>278</v>
      </c>
      <c r="B9" s="11">
        <f>'Vaccine lit review'!G8</f>
        <v>3.0000000000000001E-3</v>
      </c>
      <c r="C9" s="12">
        <v>1</v>
      </c>
      <c r="D9" s="129">
        <f t="shared" ref="D9:D24" si="0">B9*C9</f>
        <v>3.0000000000000001E-3</v>
      </c>
      <c r="E9" s="12"/>
      <c r="F9" s="127">
        <f>'Vaccine lit review'!C14</f>
        <v>131444.95412844035</v>
      </c>
      <c r="G9" s="12">
        <v>1</v>
      </c>
      <c r="H9" s="121">
        <f>F9*G9</f>
        <v>131444.95412844035</v>
      </c>
      <c r="I9" s="12"/>
    </row>
    <row r="10" spans="1:10" x14ac:dyDescent="0.3">
      <c r="A10" s="6" t="s">
        <v>279</v>
      </c>
      <c r="B10" s="120">
        <f>'Vaccine lit review'!F8*('Vaccine costs (routine)'!N51+'Vaccine costs (routine)'!O51)</f>
        <v>4.3308270676691727</v>
      </c>
      <c r="C10" s="12">
        <v>1</v>
      </c>
      <c r="D10" s="129">
        <f t="shared" si="0"/>
        <v>4.3308270676691727</v>
      </c>
      <c r="E10" s="12"/>
      <c r="F10" s="127">
        <f>'Vaccine lit review'!C15</f>
        <v>933639.14373088675</v>
      </c>
      <c r="G10" s="12">
        <v>1</v>
      </c>
      <c r="H10" s="121">
        <f t="shared" ref="H10:H11" si="1">F10*G10</f>
        <v>933639.14373088675</v>
      </c>
      <c r="I10" s="12"/>
    </row>
    <row r="11" spans="1:10" x14ac:dyDescent="0.3">
      <c r="A11" s="6" t="s">
        <v>29</v>
      </c>
      <c r="B11" s="11"/>
      <c r="C11" s="12"/>
      <c r="D11" s="128">
        <f t="shared" si="0"/>
        <v>0</v>
      </c>
      <c r="E11" s="12"/>
      <c r="F11" s="11"/>
      <c r="G11" s="12"/>
      <c r="H11" s="121">
        <f t="shared" si="1"/>
        <v>0</v>
      </c>
      <c r="I11" s="12"/>
    </row>
    <row r="12" spans="1:10" x14ac:dyDescent="0.3">
      <c r="A12" s="6" t="s">
        <v>30</v>
      </c>
      <c r="B12" s="11"/>
      <c r="C12" s="12"/>
      <c r="D12" s="128">
        <f t="shared" si="0"/>
        <v>0</v>
      </c>
      <c r="E12" s="12"/>
      <c r="F12" s="11"/>
      <c r="G12" s="12"/>
      <c r="H12" s="121">
        <f t="shared" ref="H12:H24" si="2">F12*G12</f>
        <v>0</v>
      </c>
      <c r="I12" s="12"/>
    </row>
    <row r="13" spans="1:10" x14ac:dyDescent="0.3">
      <c r="A13" s="6" t="s">
        <v>31</v>
      </c>
      <c r="B13" s="11"/>
      <c r="C13" s="12"/>
      <c r="D13" s="128">
        <f t="shared" si="0"/>
        <v>0</v>
      </c>
      <c r="E13" s="12"/>
      <c r="F13" s="11"/>
      <c r="G13" s="12"/>
      <c r="H13" s="121">
        <f t="shared" si="2"/>
        <v>0</v>
      </c>
      <c r="I13" s="12"/>
    </row>
    <row r="14" spans="1:10" x14ac:dyDescent="0.3">
      <c r="A14" s="6" t="s">
        <v>32</v>
      </c>
      <c r="B14" s="11"/>
      <c r="C14" s="12"/>
      <c r="D14" s="128">
        <f t="shared" si="0"/>
        <v>0</v>
      </c>
      <c r="E14" s="12"/>
      <c r="F14" s="11"/>
      <c r="G14" s="12"/>
      <c r="H14" s="121">
        <f t="shared" si="2"/>
        <v>0</v>
      </c>
      <c r="I14" s="12"/>
    </row>
    <row r="15" spans="1:10" x14ac:dyDescent="0.3">
      <c r="A15" s="6" t="s">
        <v>33</v>
      </c>
      <c r="B15" s="5">
        <f>'Vaccine lit review'!J8</f>
        <v>1.5137614678899081</v>
      </c>
      <c r="C15" s="12">
        <v>1</v>
      </c>
      <c r="D15" s="128">
        <f t="shared" si="0"/>
        <v>1.5137614678899081</v>
      </c>
      <c r="E15" s="12"/>
      <c r="F15" s="11"/>
      <c r="G15" s="12"/>
      <c r="H15" s="121">
        <f t="shared" si="2"/>
        <v>0</v>
      </c>
      <c r="I15" s="12"/>
    </row>
    <row r="16" spans="1:10" x14ac:dyDescent="0.3">
      <c r="A16" s="6" t="s">
        <v>34</v>
      </c>
      <c r="B16" s="11"/>
      <c r="C16" s="12"/>
      <c r="D16" s="128">
        <f t="shared" si="0"/>
        <v>0</v>
      </c>
      <c r="E16" s="12"/>
      <c r="F16" s="11"/>
      <c r="G16" s="12"/>
      <c r="H16" s="121">
        <f t="shared" si="2"/>
        <v>0</v>
      </c>
      <c r="I16" s="12" t="s">
        <v>24</v>
      </c>
    </row>
    <row r="17" spans="1:10" x14ac:dyDescent="0.3">
      <c r="A17" s="6" t="s">
        <v>35</v>
      </c>
      <c r="B17" s="11"/>
      <c r="C17" s="12"/>
      <c r="D17" s="128">
        <f t="shared" si="0"/>
        <v>0</v>
      </c>
      <c r="E17" s="12"/>
      <c r="F17" s="11"/>
      <c r="G17" s="12"/>
      <c r="H17" s="121">
        <f t="shared" si="2"/>
        <v>0</v>
      </c>
      <c r="I17" s="12"/>
    </row>
    <row r="18" spans="1:10" x14ac:dyDescent="0.3">
      <c r="A18" s="6" t="s">
        <v>306</v>
      </c>
      <c r="B18" s="11"/>
      <c r="C18" s="12"/>
      <c r="D18" s="128">
        <f t="shared" si="0"/>
        <v>0</v>
      </c>
      <c r="E18" s="12"/>
      <c r="F18" s="127">
        <f>'Vaccine lit review'!C19</f>
        <v>28379.204892966358</v>
      </c>
      <c r="G18" s="12">
        <v>1</v>
      </c>
      <c r="H18" s="121">
        <f t="shared" si="2"/>
        <v>28379.204892966358</v>
      </c>
      <c r="I18" s="12"/>
    </row>
    <row r="19" spans="1:10" x14ac:dyDescent="0.3">
      <c r="A19" s="6" t="s">
        <v>36</v>
      </c>
      <c r="B19" s="11"/>
      <c r="C19" s="12"/>
      <c r="D19" s="128">
        <f t="shared" si="0"/>
        <v>0</v>
      </c>
      <c r="E19" s="12"/>
      <c r="F19" s="127">
        <f>'Vaccine lit review'!C18</f>
        <v>1376.1467889908256</v>
      </c>
      <c r="G19" s="12">
        <v>1</v>
      </c>
      <c r="H19" s="121">
        <f t="shared" si="2"/>
        <v>1376.1467889908256</v>
      </c>
      <c r="I19" s="12"/>
    </row>
    <row r="20" spans="1:10" x14ac:dyDescent="0.3">
      <c r="A20" s="6" t="s">
        <v>37</v>
      </c>
      <c r="B20" s="11"/>
      <c r="C20" s="12"/>
      <c r="D20" s="128">
        <f t="shared" si="0"/>
        <v>0</v>
      </c>
      <c r="E20" s="12"/>
      <c r="F20" s="127">
        <f>'Vaccine lit review'!C17</f>
        <v>2660.5504587155961</v>
      </c>
      <c r="G20" s="12">
        <v>1</v>
      </c>
      <c r="H20" s="121">
        <f t="shared" si="2"/>
        <v>2660.5504587155961</v>
      </c>
      <c r="I20" s="12"/>
    </row>
    <row r="21" spans="1:10" x14ac:dyDescent="0.3">
      <c r="A21" s="6" t="s">
        <v>311</v>
      </c>
      <c r="B21" s="11"/>
      <c r="C21" s="12"/>
      <c r="D21" s="128">
        <f t="shared" si="0"/>
        <v>0</v>
      </c>
      <c r="E21" s="12"/>
      <c r="F21" s="127">
        <f>'Vaccine lit review'!C13</f>
        <v>10810.397553516819</v>
      </c>
      <c r="G21" s="12">
        <v>1</v>
      </c>
      <c r="H21" s="121">
        <f t="shared" si="2"/>
        <v>10810.397553516819</v>
      </c>
      <c r="I21" s="12"/>
    </row>
    <row r="22" spans="1:10" x14ac:dyDescent="0.3">
      <c r="A22" s="6" t="s">
        <v>38</v>
      </c>
      <c r="B22" s="120">
        <f>'Vaccine lit review'!C21</f>
        <v>7.64525993883792E-2</v>
      </c>
      <c r="C22" s="12">
        <v>1</v>
      </c>
      <c r="D22" s="128">
        <f t="shared" si="0"/>
        <v>7.64525993883792E-2</v>
      </c>
      <c r="E22" s="12"/>
      <c r="F22" s="127">
        <f>'Vaccine lit review'!C21</f>
        <v>7.64525993883792E-2</v>
      </c>
      <c r="G22" s="12">
        <f>'Vaccine costs (routine)'!I35</f>
        <v>19472928</v>
      </c>
      <c r="H22" s="121">
        <f t="shared" si="2"/>
        <v>1488755.9633027522</v>
      </c>
      <c r="I22" s="12"/>
    </row>
    <row r="23" spans="1:10" x14ac:dyDescent="0.3">
      <c r="A23" s="6" t="s">
        <v>309</v>
      </c>
      <c r="B23" s="11"/>
      <c r="C23" s="12"/>
      <c r="D23" s="128">
        <f t="shared" si="0"/>
        <v>0</v>
      </c>
      <c r="E23" s="12"/>
      <c r="F23" s="127">
        <f>'Vaccine lit review'!C22+'Vaccine lit review'!C16</f>
        <v>1878471.25382263</v>
      </c>
      <c r="G23" s="12">
        <v>1</v>
      </c>
      <c r="H23" s="121">
        <f t="shared" si="2"/>
        <v>1878471.25382263</v>
      </c>
      <c r="I23" s="12"/>
    </row>
    <row r="24" spans="1:10" x14ac:dyDescent="0.3">
      <c r="A24" s="6" t="s">
        <v>39</v>
      </c>
      <c r="B24" s="11"/>
      <c r="C24" s="12"/>
      <c r="D24" s="128">
        <f t="shared" si="0"/>
        <v>0</v>
      </c>
      <c r="E24" s="12"/>
      <c r="F24" s="127">
        <f>'Vaccine lit review'!C20</f>
        <v>292134.83261977573</v>
      </c>
      <c r="G24" s="12">
        <v>1</v>
      </c>
      <c r="H24" s="121">
        <f t="shared" si="2"/>
        <v>292134.83261977573</v>
      </c>
      <c r="I24" s="12"/>
    </row>
    <row r="25" spans="1:10" x14ac:dyDescent="0.3">
      <c r="A25" s="10" t="s">
        <v>45</v>
      </c>
      <c r="B25" s="11"/>
      <c r="C25" s="11"/>
      <c r="D25" s="128">
        <f>SUM(D7:D24)</f>
        <v>9.2042261349474597</v>
      </c>
      <c r="E25" s="11"/>
      <c r="F25" s="11"/>
      <c r="G25" s="11"/>
      <c r="H25" s="121">
        <f>SUM(H7:H24)</f>
        <v>68642478.778978661</v>
      </c>
      <c r="I25" s="11"/>
    </row>
    <row r="26" spans="1:10" x14ac:dyDescent="0.3">
      <c r="H26" s="141">
        <f>(H25-H7-H8)/H25</f>
        <v>6.9456589157423199E-2</v>
      </c>
      <c r="J26" s="119" t="s">
        <v>312</v>
      </c>
    </row>
  </sheetData>
  <mergeCells count="8">
    <mergeCell ref="B1:F1"/>
    <mergeCell ref="G1:H1"/>
    <mergeCell ref="B2:F2"/>
    <mergeCell ref="G2:H2"/>
    <mergeCell ref="F5:I5"/>
    <mergeCell ref="B5:E5"/>
    <mergeCell ref="B3:F3"/>
    <mergeCell ref="G3:H3"/>
  </mergeCells>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0204-18BF-40BE-8B37-38F7B0127E93}">
  <sheetPr>
    <tabColor theme="5"/>
  </sheetPr>
  <dimension ref="A1:I14"/>
  <sheetViews>
    <sheetView showGridLines="0" zoomScale="110" zoomScaleNormal="110" workbookViewId="0">
      <selection activeCell="I11" sqref="I11"/>
    </sheetView>
  </sheetViews>
  <sheetFormatPr defaultRowHeight="10.199999999999999" x14ac:dyDescent="0.2"/>
  <cols>
    <col min="1" max="1" width="37.21875" style="20" customWidth="1"/>
    <col min="2" max="2" width="11.109375" style="20" customWidth="1"/>
    <col min="3" max="3" width="14" style="20" customWidth="1"/>
    <col min="4" max="4" width="11.109375" style="20" customWidth="1"/>
    <col min="5" max="5" width="14" style="20" customWidth="1"/>
    <col min="6" max="6" width="11.109375" style="20" customWidth="1"/>
    <col min="7" max="8" width="14" style="20" customWidth="1"/>
    <col min="9" max="9" width="12.109375" style="20" customWidth="1"/>
    <col min="10" max="16384" width="8.88671875" style="20"/>
  </cols>
  <sheetData>
    <row r="1" spans="1:9" ht="20.399999999999999" x14ac:dyDescent="0.2">
      <c r="A1" s="31" t="s">
        <v>16</v>
      </c>
      <c r="B1" s="266" t="s">
        <v>49</v>
      </c>
      <c r="C1" s="267"/>
      <c r="D1" s="267"/>
      <c r="E1" s="267"/>
      <c r="F1" s="268"/>
      <c r="G1" s="266" t="s">
        <v>19</v>
      </c>
      <c r="H1" s="268"/>
      <c r="I1" s="31" t="s">
        <v>27</v>
      </c>
    </row>
    <row r="2" spans="1:9" x14ac:dyDescent="0.2">
      <c r="A2" s="32" t="s">
        <v>53</v>
      </c>
      <c r="B2" s="269"/>
      <c r="C2" s="270"/>
      <c r="D2" s="270"/>
      <c r="E2" s="270"/>
      <c r="F2" s="271"/>
      <c r="G2" s="272" t="s">
        <v>54</v>
      </c>
      <c r="H2" s="273"/>
      <c r="I2" s="33">
        <f>D21</f>
        <v>0</v>
      </c>
    </row>
    <row r="3" spans="1:9" ht="14.4" x14ac:dyDescent="0.3">
      <c r="A3"/>
      <c r="B3"/>
      <c r="C3"/>
      <c r="D3"/>
      <c r="E3"/>
      <c r="F3"/>
      <c r="G3"/>
      <c r="H3"/>
      <c r="I3"/>
    </row>
    <row r="5" spans="1:9" ht="14.4" customHeight="1" x14ac:dyDescent="0.2">
      <c r="A5" s="35"/>
      <c r="B5" s="35"/>
      <c r="C5" s="36"/>
      <c r="D5" s="265" t="s">
        <v>55</v>
      </c>
      <c r="E5" s="265"/>
      <c r="F5" s="265" t="s">
        <v>56</v>
      </c>
      <c r="G5" s="265"/>
    </row>
    <row r="6" spans="1:9" s="26" customFormat="1" x14ac:dyDescent="0.2">
      <c r="A6" s="37"/>
      <c r="B6" s="38" t="s">
        <v>44</v>
      </c>
      <c r="C6" s="38" t="s">
        <v>40</v>
      </c>
      <c r="D6" s="38" t="s">
        <v>41</v>
      </c>
      <c r="E6" s="38" t="s">
        <v>42</v>
      </c>
      <c r="F6" s="38" t="s">
        <v>41</v>
      </c>
      <c r="G6" s="38" t="s">
        <v>42</v>
      </c>
    </row>
    <row r="7" spans="1:9" x14ac:dyDescent="0.2">
      <c r="A7" s="20" t="s">
        <v>58</v>
      </c>
      <c r="B7" s="24" t="s">
        <v>24</v>
      </c>
      <c r="C7" s="21" t="e">
        <f>#REF!</f>
        <v>#REF!</v>
      </c>
      <c r="D7" s="39"/>
      <c r="E7" s="21"/>
      <c r="F7" s="39"/>
      <c r="G7" s="21"/>
    </row>
    <row r="8" spans="1:9" x14ac:dyDescent="0.2">
      <c r="A8" s="20" t="s">
        <v>59</v>
      </c>
      <c r="B8" s="24" t="s">
        <v>24</v>
      </c>
      <c r="C8" s="21" t="e">
        <f>#REF!</f>
        <v>#REF!</v>
      </c>
      <c r="D8" s="39"/>
      <c r="E8" s="21"/>
      <c r="F8" s="39"/>
      <c r="G8" s="21"/>
    </row>
    <row r="9" spans="1:9" x14ac:dyDescent="0.2">
      <c r="A9" s="20" t="s">
        <v>60</v>
      </c>
      <c r="B9" s="24" t="s">
        <v>24</v>
      </c>
      <c r="C9" s="21" t="e">
        <f>#REF!</f>
        <v>#REF!</v>
      </c>
      <c r="D9" s="39"/>
      <c r="E9" s="21"/>
      <c r="F9" s="39"/>
      <c r="G9" s="21"/>
    </row>
    <row r="10" spans="1:9" x14ac:dyDescent="0.2">
      <c r="A10" s="20" t="s">
        <v>61</v>
      </c>
      <c r="B10" s="24" t="s">
        <v>24</v>
      </c>
      <c r="C10" s="21" t="e">
        <f>#REF!</f>
        <v>#REF!</v>
      </c>
      <c r="D10" s="39"/>
      <c r="E10" s="21"/>
      <c r="F10" s="39"/>
      <c r="G10" s="21"/>
    </row>
    <row r="11" spans="1:9" x14ac:dyDescent="0.2">
      <c r="A11" s="20" t="s">
        <v>62</v>
      </c>
      <c r="B11" s="24" t="s">
        <v>24</v>
      </c>
      <c r="C11" s="21" t="e">
        <f>#REF!</f>
        <v>#REF!</v>
      </c>
      <c r="D11" s="39"/>
      <c r="E11" s="21"/>
      <c r="F11" s="39"/>
      <c r="G11" s="21"/>
    </row>
    <row r="12" spans="1:9" x14ac:dyDescent="0.2">
      <c r="B12" s="24"/>
      <c r="C12" s="21"/>
      <c r="D12" s="39"/>
      <c r="E12" s="21"/>
      <c r="F12" s="39"/>
      <c r="G12" s="21"/>
    </row>
    <row r="13" spans="1:9" x14ac:dyDescent="0.2">
      <c r="B13" s="24"/>
      <c r="C13" s="21"/>
      <c r="D13" s="39"/>
      <c r="E13" s="21"/>
      <c r="F13" s="39"/>
      <c r="G13" s="21"/>
    </row>
    <row r="14" spans="1:9" x14ac:dyDescent="0.2">
      <c r="A14" s="22" t="s">
        <v>57</v>
      </c>
      <c r="B14" s="22"/>
      <c r="C14" s="23"/>
      <c r="D14" s="23"/>
      <c r="E14" s="23">
        <f>SUM(E7:E13)</f>
        <v>0</v>
      </c>
      <c r="F14" s="23"/>
      <c r="G14" s="23">
        <f>SUM(G7:G11)</f>
        <v>0</v>
      </c>
    </row>
  </sheetData>
  <mergeCells count="6">
    <mergeCell ref="D5:E5"/>
    <mergeCell ref="F5:G5"/>
    <mergeCell ref="B1:F1"/>
    <mergeCell ref="G1:H1"/>
    <mergeCell ref="B2:F2"/>
    <mergeCell ref="G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Instructions</vt:lpstr>
      <vt:lpstr>Vaccine lit review</vt:lpstr>
      <vt:lpstr>Vaccine costs (routine)</vt:lpstr>
      <vt:lpstr>Diagnostics</vt:lpstr>
      <vt:lpstr>TB drug regimens</vt:lpstr>
      <vt:lpstr>DS Treatment</vt:lpstr>
      <vt:lpstr>MDR Treatment</vt:lpstr>
      <vt:lpstr>1. Vaccine delivery</vt:lpstr>
      <vt:lpstr>2. TB diagnosis</vt:lpstr>
      <vt:lpstr>3. TB treatment</vt:lpstr>
      <vt:lpstr>Cost model</vt:lpstr>
      <vt:lpstr>avg_infl</vt:lpstr>
      <vt:lpstr>births</vt:lpstr>
      <vt:lpstr>buffer_stock</vt:lpstr>
      <vt:lpstr>deflator</vt:lpstr>
      <vt:lpstr>districts</vt:lpstr>
      <vt:lpstr>exch_rate</vt:lpstr>
      <vt:lpstr>preg_women</vt:lpstr>
      <vt:lpstr>states</vt:lpstr>
      <vt:lpstr>surv_infants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Fiammetta</dc:creator>
  <cp:lastModifiedBy>Fiammetta</cp:lastModifiedBy>
  <dcterms:created xsi:type="dcterms:W3CDTF">2017-11-15T12:07:36Z</dcterms:created>
  <dcterms:modified xsi:type="dcterms:W3CDTF">2018-04-13T11:40:53Z</dcterms:modified>
</cp:coreProperties>
</file>